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7.xml" ContentType="application/vnd.openxmlformats-officedocument.themeOverrid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9.xml" ContentType="application/vnd.openxmlformats-officedocument.themeOverrid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0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1.xml" ContentType="application/vnd.openxmlformats-officedocument.themeOverrid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2.xml" ContentType="application/vnd.openxmlformats-officedocument.themeOverrid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3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9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14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2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4.xml" ContentType="application/vnd.openxmlformats-officedocument.drawing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26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27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28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theme/themeOverride15.xml" ContentType="application/vnd.openxmlformats-officedocument.themeOverrid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29.xml" ContentType="application/vnd.openxmlformats-officedocument.drawing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30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31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32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33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34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35.xml" ContentType="application/vnd.openxmlformats-officedocument.drawing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37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38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theme/themeOverride16.xml" ContentType="application/vnd.openxmlformats-officedocument.themeOverrid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theme/themeOverride17.xml" ContentType="application/vnd.openxmlformats-officedocument.themeOverride+xml"/>
  <Override PartName="/xl/drawings/drawing39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theme/themeOverride18.xml" ContentType="application/vnd.openxmlformats-officedocument.themeOverride+xml"/>
  <Override PartName="/xl/drawings/drawing40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theme/themeOverride19.xml" ContentType="application/vnd.openxmlformats-officedocument.themeOverride+xml"/>
  <Override PartName="/xl/drawings/drawing41.xml" ContentType="application/vnd.openxmlformats-officedocument.drawing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theme/themeOverride20.xml" ContentType="application/vnd.openxmlformats-officedocument.themeOverride+xml"/>
  <Override PartName="/xl/drawings/drawing42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theme/themeOverride21.xml" ContentType="application/vnd.openxmlformats-officedocument.themeOverride+xml"/>
  <Override PartName="/xl/drawings/drawing43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theme/themeOverride22.xml" ContentType="application/vnd.openxmlformats-officedocument.themeOverride+xml"/>
  <Override PartName="/xl/drawings/drawing44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45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46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4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theme/themeOverride23.xml" ContentType="application/vnd.openxmlformats-officedocument.themeOverride+xml"/>
  <Override PartName="/xl/drawings/drawing4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theme/themeOverride24.xml" ContentType="application/vnd.openxmlformats-officedocument.themeOverride+xml"/>
  <Override PartName="/xl/drawings/drawing49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theme/themeOverride25.xml" ContentType="application/vnd.openxmlformats-officedocument.themeOverride+xml"/>
  <Override PartName="/xl/drawings/drawing50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theme/themeOverride26.xml" ContentType="application/vnd.openxmlformats-officedocument.themeOverride+xml"/>
  <Override PartName="/xl/drawings/drawing51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theme/themeOverride27.xml" ContentType="application/vnd.openxmlformats-officedocument.themeOverride+xml"/>
  <Override PartName="/xl/drawings/drawing52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theme/themeOverride28.xml" ContentType="application/vnd.openxmlformats-officedocument.themeOverride+xml"/>
  <Override PartName="/xl/drawings/drawing53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theme/themeOverride29.xml" ContentType="application/vnd.openxmlformats-officedocument.themeOverride+xml"/>
  <Override PartName="/xl/drawings/drawing54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theme/themeOverride30.xml" ContentType="application/vnd.openxmlformats-officedocument.themeOverride+xml"/>
  <Override PartName="/xl/drawings/drawing55.xml" ContentType="application/vnd.openxmlformats-officedocument.drawing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theme/themeOverride31.xml" ContentType="application/vnd.openxmlformats-officedocument.themeOverride+xml"/>
  <Override PartName="/xl/drawings/drawing56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theme/themeOverride32.xml" ContentType="application/vnd.openxmlformats-officedocument.themeOverride+xml"/>
  <Override PartName="/xl/drawings/drawing57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theme/themeOverride33.xml" ContentType="application/vnd.openxmlformats-officedocument.themeOverride+xml"/>
  <Override PartName="/xl/drawings/drawing58.xml" ContentType="application/vnd.openxmlformats-officedocument.drawing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theme/themeOverride34.xml" ContentType="application/vnd.openxmlformats-officedocument.themeOverride+xml"/>
  <Override PartName="/xl/drawings/drawing59.xml" ContentType="application/vnd.openxmlformats-officedocument.drawing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theme/themeOverride35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hkds\Desktop\연구!!!!\KPX전달자료\"/>
    </mc:Choice>
  </mc:AlternateContent>
  <xr:revisionPtr revIDLastSave="0" documentId="13_ncr:1_{8A8228AD-B3F4-4D08-98CA-120F771BCC8F}" xr6:coauthVersionLast="36" xr6:coauthVersionMax="36" xr10:uidLastSave="{00000000-0000-0000-0000-000000000000}"/>
  <bookViews>
    <workbookView xWindow="0" yWindow="0" windowWidth="23040" windowHeight="7812" tabRatio="813" firstSheet="16" activeTab="18" xr2:uid="{56C15AF0-841A-4252-9B6C-EEA27E857FA6}"/>
  </bookViews>
  <sheets>
    <sheet name="ghg_sort" sheetId="21" r:id="rId1"/>
    <sheet name="CurPol_GHG_by_sector" sheetId="67" r:id="rId2"/>
    <sheet name="NZ-0p_GHG_by_sector" sheetId="68" state="hidden" r:id="rId3"/>
    <sheet name="NZ2050_GHG_by_sector" sheetId="69" r:id="rId4"/>
    <sheet name="NZ-0p_CCS" sheetId="96" state="hidden" r:id="rId5"/>
    <sheet name="NZ-22p_CCS" sheetId="95" state="hidden" r:id="rId6"/>
    <sheet name="CP_CO2_by_sector" sheetId="70" state="hidden" r:id="rId7"/>
    <sheet name="NZ-0p_CO2_by_sector" sheetId="65" state="hidden" r:id="rId8"/>
    <sheet name="NZ-22p_CO2_by_sector" sheetId="66" state="hidden" r:id="rId9"/>
    <sheet name="NZ-0p_Hydrogen production" sheetId="87" state="hidden" r:id="rId10"/>
    <sheet name="CP_iron_steel_tech_cost" sheetId="93" state="hidden" r:id="rId11"/>
    <sheet name="NZ-0p_iron_steel_tech_cost" sheetId="92" state="hidden" r:id="rId12"/>
    <sheet name="NZ-22p_iron_steel_tech_cost" sheetId="17" state="hidden" r:id="rId13"/>
    <sheet name="NZ-0p_primary" sheetId="82" state="hidden" r:id="rId14"/>
    <sheet name="CurPol_electricity" sheetId="79" r:id="rId15"/>
    <sheet name="NZ-0p_electricity" sheetId="83" state="hidden" r:id="rId16"/>
    <sheet name="NZ2050_electricity" sheetId="81" r:id="rId17"/>
    <sheet name="Sheet1" sheetId="112" r:id="rId18"/>
    <sheet name="CurPol_final_energy" sheetId="71" r:id="rId19"/>
    <sheet name="NZ-0p_building_final_energy" sheetId="73" state="hidden" r:id="rId20"/>
    <sheet name="NZ2050_final_energy" sheetId="75" r:id="rId21"/>
    <sheet name="CurPol_industry_final_energ (2)" sheetId="100" r:id="rId22"/>
    <sheet name="NZ2050_industry_final_energy" sheetId="91" r:id="rId23"/>
    <sheet name="전력선형" sheetId="101" r:id="rId24"/>
    <sheet name="전력선형(보정)" sheetId="102" r:id="rId25"/>
    <sheet name="철강CP" sheetId="103" r:id="rId26"/>
    <sheet name="철강NZ" sheetId="104" r:id="rId27"/>
    <sheet name="석유화학CP" sheetId="105" r:id="rId28"/>
    <sheet name="석유화학NZ" sheetId="106" r:id="rId29"/>
    <sheet name="반디CP+NZ" sheetId="107" r:id="rId30"/>
    <sheet name="시멘트" sheetId="108" r:id="rId31"/>
    <sheet name="기타산업 (2)" sheetId="109" r:id="rId32"/>
    <sheet name="건물" sheetId="110" r:id="rId33"/>
    <sheet name="수송" sheetId="111" r:id="rId34"/>
    <sheet name="NZ2050EF_industry_final_energy" sheetId="90" state="hidden" r:id="rId35"/>
    <sheet name="NZ-0p_industry_final_energy" sheetId="18" state="hidden" r:id="rId36"/>
    <sheet name="NZ-22p_industry_final_energy" sheetId="32" state="hidden" r:id="rId37"/>
    <sheet name="Shareweights" sheetId="59" state="hidden" r:id="rId38"/>
    <sheet name="Costs" sheetId="61" state="hidden" r:id="rId39"/>
    <sheet name="NZ-0p_iron_steel_production" sheetId="14" state="hidden" r:id="rId40"/>
    <sheet name="NZ-0p_iron_steel_energy" sheetId="13" state="hidden" r:id="rId41"/>
    <sheet name="CP_iron_steel_energy_tech" sheetId="15" state="hidden" r:id="rId42"/>
    <sheet name="NZ-0p_iron_steel_energy_tech" sheetId="16" state="hidden" r:id="rId43"/>
    <sheet name="NZ-22p_iron_steel_energy_tech" sheetId="30" state="hidden" r:id="rId44"/>
    <sheet name="CP_chemical_CO2" sheetId="97" state="hidden" r:id="rId45"/>
    <sheet name="NZ_chemical_CO2" sheetId="98" state="hidden" r:id="rId46"/>
    <sheet name="NZ_cement_CO2" sheetId="99" state="hidden" r:id="rId47"/>
    <sheet name="NZ-22p_cement_energy" sheetId="52" state="hidden" r:id="rId48"/>
    <sheet name="NZ-0p_fertilizer_energy" sheetId="39" state="hidden" r:id="rId49"/>
    <sheet name="NZ-10p_fertilizer_energy" sheetId="46" state="hidden" r:id="rId50"/>
    <sheet name="NZ-0p_agriculture_energy" sheetId="40" state="hidden" r:id="rId51"/>
    <sheet name="NZ-10p_agriculture_energy" sheetId="47" state="hidden" r:id="rId52"/>
    <sheet name="NZ-0p_mining_energy" sheetId="41" state="hidden" r:id="rId53"/>
    <sheet name="NZ-10p_mining_energy" sheetId="48" state="hidden" r:id="rId54"/>
    <sheet name="NZ-0p_construction_energy" sheetId="42" state="hidden" r:id="rId55"/>
    <sheet name="NZ-10p_construction_energy" sheetId="49" state="hidden" r:id="rId56"/>
    <sheet name="NZ-22p_construction_energy" sheetId="56" state="hidden" r:id="rId57"/>
    <sheet name="NZ-0p_other_industry_energy" sheetId="43" state="hidden" r:id="rId58"/>
    <sheet name="NZ-10p_other_industry_energy" sheetId="50" state="hidden" r:id="rId59"/>
    <sheet name="NZ-22p_other_industry_energy" sheetId="57" state="hidden" r:id="rId60"/>
  </sheets>
  <externalReferences>
    <externalReference r:id="rId61"/>
  </externalReferences>
  <definedNames>
    <definedName name="_xlnm._FilterDatabase" localSheetId="21" hidden="1">'CurPol_industry_final_energ (2)'!$E$2:$E$66</definedName>
    <definedName name="_xlnm._FilterDatabase" localSheetId="22" hidden="1">NZ2050_industry_final_energy!$H$2:$H$92</definedName>
    <definedName name="_xlnm._FilterDatabase" localSheetId="34" hidden="1">NZ2050EF_industry_final_energy!$A$2:$Q$78</definedName>
    <definedName name="CIQWBGuid" hidden="1">"99b309e8-f1fe-4019-8d7e-32a2bc99ab44"</definedName>
    <definedName name="CIQWBInfo" hidden="1">"{ ""CIQVersion"":""9.47.1108.4092""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"11/20/2021 12:54:27"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8" i="71" l="1"/>
  <c r="K116" i="71"/>
  <c r="K137" i="71"/>
  <c r="I24" i="101"/>
  <c r="H24" i="101"/>
  <c r="G24" i="101"/>
  <c r="F24" i="101"/>
  <c r="E24" i="101"/>
  <c r="D24" i="101"/>
  <c r="C24" i="101"/>
  <c r="B24" i="101"/>
  <c r="D12" i="101"/>
  <c r="E12" i="101"/>
  <c r="F12" i="101"/>
  <c r="G12" i="101"/>
  <c r="H12" i="101"/>
  <c r="I12" i="101"/>
  <c r="B12" i="101"/>
  <c r="F51" i="81"/>
  <c r="G51" i="81"/>
  <c r="H51" i="81"/>
  <c r="I51" i="81"/>
  <c r="J51" i="81"/>
  <c r="K51" i="81"/>
  <c r="L51" i="81"/>
  <c r="F43" i="79"/>
  <c r="F38" i="79"/>
  <c r="F35" i="79"/>
  <c r="AH3" i="75"/>
  <c r="K139" i="71" l="1"/>
  <c r="L42" i="112"/>
  <c r="E43" i="112"/>
  <c r="F43" i="112"/>
  <c r="G43" i="112"/>
  <c r="H43" i="112"/>
  <c r="I43" i="112"/>
  <c r="J43" i="112"/>
  <c r="C43" i="112"/>
  <c r="D42" i="112"/>
  <c r="E42" i="112"/>
  <c r="F42" i="112"/>
  <c r="G42" i="112"/>
  <c r="H42" i="112"/>
  <c r="I42" i="112"/>
  <c r="J42" i="112"/>
  <c r="C42" i="112"/>
  <c r="X39" i="112"/>
  <c r="L38" i="112"/>
  <c r="M20" i="75"/>
  <c r="P41" i="112"/>
  <c r="Q41" i="112"/>
  <c r="R41" i="112"/>
  <c r="S41" i="112"/>
  <c r="T41" i="112"/>
  <c r="U41" i="112"/>
  <c r="V41" i="112"/>
  <c r="O41" i="112"/>
  <c r="P40" i="112"/>
  <c r="Q40" i="112"/>
  <c r="R40" i="112"/>
  <c r="S40" i="112"/>
  <c r="T40" i="112"/>
  <c r="U40" i="112"/>
  <c r="V40" i="112"/>
  <c r="O40" i="112"/>
  <c r="P39" i="112"/>
  <c r="Q39" i="112"/>
  <c r="R39" i="112"/>
  <c r="S39" i="112"/>
  <c r="T39" i="112"/>
  <c r="U39" i="112"/>
  <c r="V39" i="112"/>
  <c r="O39" i="112"/>
  <c r="P38" i="112"/>
  <c r="Q38" i="112"/>
  <c r="R38" i="112"/>
  <c r="S38" i="112"/>
  <c r="T38" i="112"/>
  <c r="U38" i="112"/>
  <c r="V38" i="112"/>
  <c r="O38" i="112"/>
  <c r="P42" i="112"/>
  <c r="Q42" i="112"/>
  <c r="R42" i="112"/>
  <c r="S42" i="112"/>
  <c r="T42" i="112"/>
  <c r="U42" i="112"/>
  <c r="V42" i="112"/>
  <c r="O42" i="112"/>
  <c r="P37" i="112"/>
  <c r="Q37" i="112"/>
  <c r="R37" i="112"/>
  <c r="S37" i="112"/>
  <c r="T37" i="112"/>
  <c r="U37" i="112"/>
  <c r="V37" i="112"/>
  <c r="O37" i="112"/>
  <c r="P36" i="112"/>
  <c r="Q36" i="112"/>
  <c r="R36" i="112"/>
  <c r="S36" i="112"/>
  <c r="T36" i="112"/>
  <c r="U36" i="112"/>
  <c r="V36" i="112"/>
  <c r="O36" i="112"/>
  <c r="P35" i="112"/>
  <c r="Q35" i="112"/>
  <c r="R35" i="112"/>
  <c r="S35" i="112"/>
  <c r="T35" i="112"/>
  <c r="U35" i="112"/>
  <c r="O35" i="112"/>
  <c r="V34" i="112"/>
  <c r="U34" i="112"/>
  <c r="T34" i="112"/>
  <c r="S34" i="112"/>
  <c r="R34" i="112"/>
  <c r="Q34" i="112"/>
  <c r="P34" i="112"/>
  <c r="O34" i="112"/>
  <c r="D11" i="71"/>
  <c r="E11" i="71"/>
  <c r="F11" i="71"/>
  <c r="G11" i="71"/>
  <c r="H11" i="71"/>
  <c r="I11" i="71"/>
  <c r="J11" i="71"/>
  <c r="K11" i="71"/>
  <c r="D12" i="71"/>
  <c r="E12" i="71"/>
  <c r="F12" i="71"/>
  <c r="G12" i="71"/>
  <c r="H12" i="71"/>
  <c r="I12" i="71"/>
  <c r="J12" i="71"/>
  <c r="K12" i="71"/>
  <c r="D13" i="71"/>
  <c r="E13" i="71"/>
  <c r="F13" i="71"/>
  <c r="G13" i="71"/>
  <c r="H13" i="71"/>
  <c r="I13" i="71"/>
  <c r="J13" i="71"/>
  <c r="K13" i="71"/>
  <c r="D14" i="71"/>
  <c r="E14" i="71"/>
  <c r="F14" i="71"/>
  <c r="G14" i="71"/>
  <c r="H14" i="71"/>
  <c r="I14" i="71"/>
  <c r="J14" i="71"/>
  <c r="K14" i="71"/>
  <c r="D15" i="71"/>
  <c r="E15" i="71"/>
  <c r="F15" i="71"/>
  <c r="G15" i="71"/>
  <c r="H15" i="71"/>
  <c r="I15" i="71"/>
  <c r="J15" i="71"/>
  <c r="K15" i="71"/>
  <c r="D16" i="71"/>
  <c r="E16" i="71"/>
  <c r="F16" i="71"/>
  <c r="G16" i="71"/>
  <c r="H16" i="71"/>
  <c r="I16" i="71"/>
  <c r="J16" i="71"/>
  <c r="K16" i="71"/>
  <c r="D17" i="71"/>
  <c r="E17" i="71"/>
  <c r="F17" i="71"/>
  <c r="G17" i="71"/>
  <c r="H17" i="71"/>
  <c r="I17" i="71"/>
  <c r="J17" i="71"/>
  <c r="K17" i="71"/>
  <c r="D38" i="112"/>
  <c r="E38" i="112"/>
  <c r="F38" i="112"/>
  <c r="G38" i="112"/>
  <c r="H38" i="112"/>
  <c r="I38" i="112"/>
  <c r="J38" i="112"/>
  <c r="C38" i="112"/>
  <c r="D37" i="112"/>
  <c r="E37" i="112"/>
  <c r="F37" i="112"/>
  <c r="G37" i="112"/>
  <c r="H37" i="112"/>
  <c r="I37" i="112"/>
  <c r="J37" i="112"/>
  <c r="C37" i="112"/>
  <c r="D34" i="112"/>
  <c r="E34" i="112"/>
  <c r="F34" i="112"/>
  <c r="G34" i="112"/>
  <c r="H34" i="112"/>
  <c r="I34" i="112"/>
  <c r="J34" i="112"/>
  <c r="C34" i="112"/>
  <c r="H78" i="112"/>
  <c r="I78" i="112"/>
  <c r="J78" i="112"/>
  <c r="K78" i="112"/>
  <c r="L78" i="112"/>
  <c r="M78" i="112"/>
  <c r="N78" i="112"/>
  <c r="G78" i="112"/>
  <c r="H79" i="112"/>
  <c r="I79" i="112"/>
  <c r="J79" i="112"/>
  <c r="K79" i="112"/>
  <c r="L79" i="112"/>
  <c r="M79" i="112"/>
  <c r="N79" i="112"/>
  <c r="G79" i="112"/>
  <c r="AK101" i="100"/>
  <c r="G77" i="112"/>
  <c r="D30" i="112"/>
  <c r="E30" i="112"/>
  <c r="F30" i="112"/>
  <c r="G30" i="112"/>
  <c r="H30" i="112"/>
  <c r="I30" i="112"/>
  <c r="J30" i="112"/>
  <c r="C30" i="112"/>
  <c r="D31" i="112"/>
  <c r="E31" i="112"/>
  <c r="F31" i="112"/>
  <c r="G31" i="112"/>
  <c r="H31" i="112"/>
  <c r="I31" i="112"/>
  <c r="J31" i="112"/>
  <c r="C31" i="112"/>
  <c r="N50" i="81"/>
  <c r="N49" i="81"/>
  <c r="O46" i="79"/>
  <c r="O45" i="79"/>
  <c r="F59" i="102" l="1"/>
  <c r="F60" i="102" s="1"/>
  <c r="F61" i="102" s="1"/>
  <c r="F62" i="102" s="1"/>
  <c r="E59" i="102"/>
  <c r="E60" i="102" s="1"/>
  <c r="E61" i="102" s="1"/>
  <c r="E62" i="102" s="1"/>
  <c r="D59" i="102"/>
  <c r="D60" i="102" s="1"/>
  <c r="D61" i="102" s="1"/>
  <c r="D62" i="102" s="1"/>
  <c r="C59" i="102"/>
  <c r="C60" i="102" s="1"/>
  <c r="C61" i="102" s="1"/>
  <c r="C62" i="102" s="1"/>
  <c r="B59" i="102"/>
  <c r="B60" i="102" s="1"/>
  <c r="B61" i="102" s="1"/>
  <c r="B62" i="102" s="1"/>
  <c r="F54" i="102"/>
  <c r="F55" i="102" s="1"/>
  <c r="F56" i="102" s="1"/>
  <c r="F57" i="102" s="1"/>
  <c r="E54" i="102"/>
  <c r="E55" i="102" s="1"/>
  <c r="E56" i="102" s="1"/>
  <c r="E57" i="102" s="1"/>
  <c r="D54" i="102"/>
  <c r="D55" i="102" s="1"/>
  <c r="D56" i="102" s="1"/>
  <c r="D57" i="102" s="1"/>
  <c r="C54" i="102"/>
  <c r="C55" i="102" s="1"/>
  <c r="C56" i="102" s="1"/>
  <c r="C57" i="102" s="1"/>
  <c r="B54" i="102"/>
  <c r="B55" i="102" s="1"/>
  <c r="B56" i="102" s="1"/>
  <c r="B57" i="102" s="1"/>
  <c r="P62" i="102"/>
  <c r="O62" i="102"/>
  <c r="N62" i="102"/>
  <c r="M62" i="102"/>
  <c r="L62" i="102"/>
  <c r="P61" i="102"/>
  <c r="O61" i="102"/>
  <c r="N61" i="102"/>
  <c r="M61" i="102"/>
  <c r="L61" i="102"/>
  <c r="P60" i="102"/>
  <c r="O60" i="102"/>
  <c r="N60" i="102"/>
  <c r="M60" i="102"/>
  <c r="L60" i="102"/>
  <c r="P59" i="102"/>
  <c r="O59" i="102"/>
  <c r="N59" i="102"/>
  <c r="M59" i="102"/>
  <c r="L59" i="102"/>
  <c r="P57" i="102"/>
  <c r="O57" i="102"/>
  <c r="N57" i="102"/>
  <c r="M57" i="102"/>
  <c r="L57" i="102"/>
  <c r="P56" i="102"/>
  <c r="O56" i="102"/>
  <c r="N56" i="102"/>
  <c r="M56" i="102"/>
  <c r="L56" i="102"/>
  <c r="P55" i="102"/>
  <c r="O55" i="102"/>
  <c r="N55" i="102"/>
  <c r="M55" i="102"/>
  <c r="L55" i="102"/>
  <c r="P54" i="102"/>
  <c r="O54" i="102"/>
  <c r="N54" i="102"/>
  <c r="M54" i="102"/>
  <c r="L54" i="102"/>
  <c r="P58" i="102"/>
  <c r="O58" i="102"/>
  <c r="N58" i="102"/>
  <c r="M58" i="102"/>
  <c r="L58" i="102"/>
  <c r="P53" i="102"/>
  <c r="O53" i="102"/>
  <c r="N53" i="102"/>
  <c r="M53" i="102"/>
  <c r="L53" i="102"/>
  <c r="C63" i="102"/>
  <c r="D63" i="102"/>
  <c r="E63" i="102"/>
  <c r="F63" i="102"/>
  <c r="B63" i="102"/>
  <c r="C58" i="102"/>
  <c r="D58" i="102"/>
  <c r="E58" i="102"/>
  <c r="F58" i="102"/>
  <c r="B58" i="102"/>
  <c r="F59" i="101"/>
  <c r="F60" i="101" s="1"/>
  <c r="F61" i="101" s="1"/>
  <c r="F62" i="101" s="1"/>
  <c r="E59" i="101"/>
  <c r="E60" i="101" s="1"/>
  <c r="E61" i="101" s="1"/>
  <c r="E62" i="101" s="1"/>
  <c r="D59" i="101"/>
  <c r="D60" i="101" s="1"/>
  <c r="D61" i="101" s="1"/>
  <c r="D62" i="101" s="1"/>
  <c r="C59" i="101"/>
  <c r="C60" i="101" s="1"/>
  <c r="C61" i="101" s="1"/>
  <c r="C62" i="101" s="1"/>
  <c r="B59" i="101"/>
  <c r="B60" i="101" s="1"/>
  <c r="B61" i="101" s="1"/>
  <c r="B62" i="101" s="1"/>
  <c r="F54" i="101"/>
  <c r="F55" i="101" s="1"/>
  <c r="F56" i="101" s="1"/>
  <c r="F57" i="101" s="1"/>
  <c r="E54" i="101"/>
  <c r="E55" i="101" s="1"/>
  <c r="E56" i="101" s="1"/>
  <c r="E57" i="101" s="1"/>
  <c r="D54" i="101"/>
  <c r="D55" i="101" s="1"/>
  <c r="D56" i="101" s="1"/>
  <c r="D57" i="101" s="1"/>
  <c r="C54" i="101"/>
  <c r="C55" i="101" s="1"/>
  <c r="C56" i="101" s="1"/>
  <c r="C57" i="101" s="1"/>
  <c r="B54" i="101"/>
  <c r="B55" i="101" s="1"/>
  <c r="B56" i="101" s="1"/>
  <c r="B57" i="101" s="1"/>
  <c r="P62" i="101"/>
  <c r="O62" i="101"/>
  <c r="N62" i="101"/>
  <c r="M62" i="101"/>
  <c r="L62" i="101"/>
  <c r="P61" i="101"/>
  <c r="O61" i="101"/>
  <c r="N61" i="101"/>
  <c r="M61" i="101"/>
  <c r="L61" i="101"/>
  <c r="P60" i="101"/>
  <c r="O60" i="101"/>
  <c r="N60" i="101"/>
  <c r="M60" i="101"/>
  <c r="L60" i="101"/>
  <c r="P59" i="101"/>
  <c r="O59" i="101"/>
  <c r="N59" i="101"/>
  <c r="M59" i="101"/>
  <c r="L59" i="101"/>
  <c r="P57" i="101"/>
  <c r="O57" i="101"/>
  <c r="N57" i="101"/>
  <c r="M57" i="101"/>
  <c r="L57" i="101"/>
  <c r="P56" i="101"/>
  <c r="O56" i="101"/>
  <c r="N56" i="101"/>
  <c r="M56" i="101"/>
  <c r="L56" i="101"/>
  <c r="P55" i="101"/>
  <c r="O55" i="101"/>
  <c r="N55" i="101"/>
  <c r="M55" i="101"/>
  <c r="L55" i="101"/>
  <c r="P54" i="101"/>
  <c r="O54" i="101"/>
  <c r="N54" i="101"/>
  <c r="M54" i="101"/>
  <c r="L54" i="101"/>
  <c r="P58" i="101"/>
  <c r="O58" i="101"/>
  <c r="N58" i="101"/>
  <c r="M58" i="101"/>
  <c r="L58" i="101"/>
  <c r="P53" i="101"/>
  <c r="O53" i="101"/>
  <c r="N53" i="101"/>
  <c r="M53" i="101"/>
  <c r="L53" i="101"/>
  <c r="C63" i="101"/>
  <c r="D63" i="101"/>
  <c r="E63" i="101"/>
  <c r="F63" i="101"/>
  <c r="B63" i="101"/>
  <c r="C58" i="101"/>
  <c r="D58" i="101"/>
  <c r="E58" i="101"/>
  <c r="F58" i="101"/>
  <c r="B58" i="101"/>
  <c r="V255" i="71" l="1"/>
  <c r="V251" i="71"/>
  <c r="AM154" i="91"/>
  <c r="AN154" i="91"/>
  <c r="AO154" i="91"/>
  <c r="AP154" i="91"/>
  <c r="AQ154" i="91"/>
  <c r="AR154" i="91"/>
  <c r="AS154" i="91"/>
  <c r="AL154" i="91"/>
  <c r="I47" i="75" l="1"/>
  <c r="J47" i="75"/>
  <c r="K47" i="75"/>
  <c r="K104" i="111" l="1"/>
  <c r="L104" i="111"/>
  <c r="M104" i="111"/>
  <c r="N104" i="111"/>
  <c r="O104" i="111"/>
  <c r="P104" i="111"/>
  <c r="Q104" i="111"/>
  <c r="J104" i="111"/>
  <c r="AL62" i="108" l="1"/>
  <c r="AM62" i="108"/>
  <c r="AN62" i="108"/>
  <c r="AO62" i="108"/>
  <c r="AP62" i="108"/>
  <c r="AQ62" i="108"/>
  <c r="AR62" i="108"/>
  <c r="AK62" i="108"/>
  <c r="AL57" i="108"/>
  <c r="AM57" i="108"/>
  <c r="AN57" i="108"/>
  <c r="AO57" i="108"/>
  <c r="AP57" i="108"/>
  <c r="AQ57" i="108"/>
  <c r="AR57" i="108"/>
  <c r="AL58" i="108"/>
  <c r="AM58" i="108"/>
  <c r="AN58" i="108"/>
  <c r="AO58" i="108"/>
  <c r="AP58" i="108"/>
  <c r="AQ58" i="108"/>
  <c r="AR58" i="108"/>
  <c r="AL59" i="108"/>
  <c r="AM59" i="108"/>
  <c r="AN59" i="108"/>
  <c r="AO59" i="108"/>
  <c r="AP59" i="108"/>
  <c r="AQ59" i="108"/>
  <c r="AR59" i="108"/>
  <c r="AL60" i="108"/>
  <c r="AM60" i="108"/>
  <c r="AQ60" i="108"/>
  <c r="AL61" i="108"/>
  <c r="AM61" i="108"/>
  <c r="AN61" i="108"/>
  <c r="AN60" i="108" s="1"/>
  <c r="AO61" i="108"/>
  <c r="AO60" i="108" s="1"/>
  <c r="AP61" i="108"/>
  <c r="AP60" i="108" s="1"/>
  <c r="AQ61" i="108"/>
  <c r="AR61" i="108"/>
  <c r="AR60" i="108" s="1"/>
  <c r="AL64" i="108"/>
  <c r="AM64" i="108"/>
  <c r="AN64" i="108"/>
  <c r="AO64" i="108"/>
  <c r="AP64" i="108"/>
  <c r="AQ64" i="108"/>
  <c r="AR64" i="108"/>
  <c r="AK61" i="108"/>
  <c r="AK59" i="108"/>
  <c r="AK58" i="108"/>
  <c r="G50" i="81" l="1"/>
  <c r="H50" i="81"/>
  <c r="I50" i="81"/>
  <c r="J50" i="81"/>
  <c r="K50" i="81"/>
  <c r="L50" i="81"/>
  <c r="M50" i="81"/>
  <c r="F50" i="81"/>
  <c r="G49" i="81"/>
  <c r="H49" i="81"/>
  <c r="I49" i="81"/>
  <c r="J49" i="81"/>
  <c r="K49" i="81"/>
  <c r="L49" i="81"/>
  <c r="M49" i="81"/>
  <c r="F49" i="81"/>
  <c r="G46" i="79"/>
  <c r="H46" i="79"/>
  <c r="I46" i="79"/>
  <c r="J46" i="79"/>
  <c r="K46" i="79"/>
  <c r="L46" i="79"/>
  <c r="M46" i="79"/>
  <c r="F46" i="79"/>
  <c r="G45" i="79"/>
  <c r="H45" i="79"/>
  <c r="I45" i="79"/>
  <c r="J45" i="79"/>
  <c r="K45" i="79"/>
  <c r="L45" i="79"/>
  <c r="M45" i="79"/>
  <c r="F45" i="79"/>
  <c r="AC47" i="111"/>
  <c r="AB47" i="111"/>
  <c r="AA47" i="111"/>
  <c r="Z47" i="111"/>
  <c r="Y47" i="111"/>
  <c r="X47" i="111"/>
  <c r="W47" i="111"/>
  <c r="V47" i="111"/>
  <c r="AC46" i="111"/>
  <c r="AB46" i="111"/>
  <c r="AA46" i="111"/>
  <c r="Z46" i="111"/>
  <c r="Y46" i="111"/>
  <c r="X46" i="111"/>
  <c r="W46" i="111"/>
  <c r="V46" i="111"/>
  <c r="AC45" i="111"/>
  <c r="AB45" i="111"/>
  <c r="AA45" i="111"/>
  <c r="Z45" i="111"/>
  <c r="Y45" i="111"/>
  <c r="X45" i="111"/>
  <c r="W45" i="111"/>
  <c r="V45" i="111"/>
  <c r="AC43" i="111"/>
  <c r="AB43" i="111"/>
  <c r="AA43" i="111"/>
  <c r="Z43" i="111"/>
  <c r="Y43" i="111"/>
  <c r="X43" i="111"/>
  <c r="W43" i="111"/>
  <c r="V43" i="111"/>
  <c r="AC42" i="111"/>
  <c r="AB42" i="111"/>
  <c r="AA42" i="111"/>
  <c r="Z42" i="111"/>
  <c r="Y42" i="111"/>
  <c r="X42" i="111"/>
  <c r="W42" i="111"/>
  <c r="V42" i="111"/>
  <c r="AC38" i="111"/>
  <c r="AB38" i="111"/>
  <c r="AA38" i="111"/>
  <c r="Z38" i="111"/>
  <c r="Y38" i="111"/>
  <c r="X38" i="111"/>
  <c r="W38" i="111"/>
  <c r="V38" i="111"/>
  <c r="AC36" i="111"/>
  <c r="AB36" i="111"/>
  <c r="AA36" i="111"/>
  <c r="Z36" i="111"/>
  <c r="Y36" i="111"/>
  <c r="X36" i="111"/>
  <c r="W36" i="111"/>
  <c r="V36" i="111"/>
  <c r="AC34" i="111"/>
  <c r="AB34" i="111"/>
  <c r="AA34" i="111"/>
  <c r="Z34" i="111"/>
  <c r="Y34" i="111"/>
  <c r="X34" i="111"/>
  <c r="W34" i="111"/>
  <c r="V34" i="111"/>
  <c r="AC33" i="111"/>
  <c r="AC49" i="111" s="1"/>
  <c r="AB33" i="111"/>
  <c r="AB49" i="111" s="1"/>
  <c r="AA33" i="111"/>
  <c r="AA49" i="111" s="1"/>
  <c r="Z33" i="111"/>
  <c r="Z49" i="111" s="1"/>
  <c r="Y33" i="111"/>
  <c r="Y49" i="111" s="1"/>
  <c r="X33" i="111"/>
  <c r="X49" i="111" s="1"/>
  <c r="W33" i="111"/>
  <c r="W49" i="111" s="1"/>
  <c r="V33" i="111"/>
  <c r="V49" i="111" s="1"/>
  <c r="AJ29" i="111"/>
  <c r="AI29" i="111"/>
  <c r="AH29" i="111"/>
  <c r="AG29" i="111"/>
  <c r="AF29" i="111"/>
  <c r="AE29" i="111"/>
  <c r="AD29" i="111"/>
  <c r="AC29" i="111"/>
  <c r="C33" i="111"/>
  <c r="D33" i="111"/>
  <c r="D49" i="111" s="1"/>
  <c r="E33" i="111"/>
  <c r="F33" i="111"/>
  <c r="G33" i="111"/>
  <c r="H33" i="111"/>
  <c r="H49" i="111" s="1"/>
  <c r="I33" i="111"/>
  <c r="C34" i="111"/>
  <c r="C49" i="111" s="1"/>
  <c r="D34" i="111"/>
  <c r="E34" i="111"/>
  <c r="F34" i="111"/>
  <c r="G34" i="111"/>
  <c r="H34" i="111"/>
  <c r="I34" i="111"/>
  <c r="C36" i="111"/>
  <c r="D36" i="111"/>
  <c r="E36" i="111"/>
  <c r="F36" i="111"/>
  <c r="F49" i="111" s="1"/>
  <c r="G36" i="111"/>
  <c r="H36" i="111"/>
  <c r="I36" i="111"/>
  <c r="C38" i="111"/>
  <c r="D38" i="111"/>
  <c r="E38" i="111"/>
  <c r="E49" i="111" s="1"/>
  <c r="F38" i="111"/>
  <c r="G38" i="111"/>
  <c r="H38" i="111"/>
  <c r="I38" i="111"/>
  <c r="I49" i="111" s="1"/>
  <c r="C42" i="111"/>
  <c r="D42" i="111"/>
  <c r="E42" i="111"/>
  <c r="F42" i="111"/>
  <c r="G42" i="111"/>
  <c r="H42" i="111"/>
  <c r="I42" i="111"/>
  <c r="C43" i="111"/>
  <c r="D43" i="111"/>
  <c r="E43" i="111"/>
  <c r="F43" i="111"/>
  <c r="G43" i="111"/>
  <c r="H43" i="111"/>
  <c r="I43" i="111"/>
  <c r="C45" i="111"/>
  <c r="D45" i="111"/>
  <c r="E45" i="111"/>
  <c r="F45" i="111"/>
  <c r="G45" i="111"/>
  <c r="H45" i="111"/>
  <c r="I45" i="111"/>
  <c r="C46" i="111"/>
  <c r="D46" i="111"/>
  <c r="E46" i="111"/>
  <c r="F46" i="111"/>
  <c r="G46" i="111"/>
  <c r="H46" i="111"/>
  <c r="I46" i="111"/>
  <c r="C47" i="111"/>
  <c r="D47" i="111"/>
  <c r="E47" i="111"/>
  <c r="F47" i="111"/>
  <c r="G47" i="111"/>
  <c r="H47" i="111"/>
  <c r="I47" i="111"/>
  <c r="G49" i="111"/>
  <c r="B47" i="111"/>
  <c r="B49" i="111"/>
  <c r="B46" i="111"/>
  <c r="B45" i="111"/>
  <c r="B43" i="111"/>
  <c r="B42" i="111"/>
  <c r="B38" i="111"/>
  <c r="B36" i="111"/>
  <c r="D68" i="71"/>
  <c r="B34" i="111"/>
  <c r="B33" i="111"/>
  <c r="P29" i="111"/>
  <c r="J29" i="111"/>
  <c r="K29" i="111"/>
  <c r="L29" i="111"/>
  <c r="M29" i="111"/>
  <c r="N29" i="111"/>
  <c r="O29" i="111"/>
  <c r="I29" i="111"/>
  <c r="W27" i="110"/>
  <c r="AD38" i="110"/>
  <c r="AC38" i="110"/>
  <c r="AB38" i="110"/>
  <c r="AA38" i="110"/>
  <c r="Z38" i="110"/>
  <c r="Y38" i="110"/>
  <c r="X38" i="110"/>
  <c r="W38" i="110"/>
  <c r="AD37" i="110"/>
  <c r="AC37" i="110"/>
  <c r="AB37" i="110"/>
  <c r="AA37" i="110"/>
  <c r="Z37" i="110"/>
  <c r="Y37" i="110"/>
  <c r="X37" i="110"/>
  <c r="W37" i="110"/>
  <c r="AD36" i="110"/>
  <c r="AC36" i="110"/>
  <c r="AB36" i="110"/>
  <c r="AA36" i="110"/>
  <c r="Z36" i="110"/>
  <c r="Y36" i="110"/>
  <c r="X36" i="110"/>
  <c r="W36" i="110"/>
  <c r="AD35" i="110"/>
  <c r="AC35" i="110"/>
  <c r="AB35" i="110"/>
  <c r="AA35" i="110"/>
  <c r="Z35" i="110"/>
  <c r="Y35" i="110"/>
  <c r="X35" i="110"/>
  <c r="W35" i="110"/>
  <c r="AD34" i="110"/>
  <c r="AC34" i="110"/>
  <c r="AB34" i="110"/>
  <c r="AA34" i="110"/>
  <c r="Z34" i="110"/>
  <c r="Y34" i="110"/>
  <c r="X34" i="110"/>
  <c r="W34" i="110"/>
  <c r="AD31" i="110"/>
  <c r="AC31" i="110"/>
  <c r="AB31" i="110"/>
  <c r="AA31" i="110"/>
  <c r="Z31" i="110"/>
  <c r="Y31" i="110"/>
  <c r="X31" i="110"/>
  <c r="W31" i="110"/>
  <c r="AD30" i="110"/>
  <c r="AC30" i="110"/>
  <c r="AB30" i="110"/>
  <c r="AA30" i="110"/>
  <c r="Z30" i="110"/>
  <c r="Y30" i="110"/>
  <c r="X30" i="110"/>
  <c r="W30" i="110"/>
  <c r="AD29" i="110"/>
  <c r="AC29" i="110"/>
  <c r="AB29" i="110"/>
  <c r="AA29" i="110"/>
  <c r="Z29" i="110"/>
  <c r="Y29" i="110"/>
  <c r="X29" i="110"/>
  <c r="W29" i="110"/>
  <c r="AD28" i="110"/>
  <c r="AC28" i="110"/>
  <c r="AB28" i="110"/>
  <c r="AA28" i="110"/>
  <c r="Z28" i="110"/>
  <c r="Y28" i="110"/>
  <c r="X28" i="110"/>
  <c r="W28" i="110"/>
  <c r="AD27" i="110"/>
  <c r="AD40" i="110" s="1"/>
  <c r="AC27" i="110"/>
  <c r="AC40" i="110" s="1"/>
  <c r="AB27" i="110"/>
  <c r="AB40" i="110" s="1"/>
  <c r="AA27" i="110"/>
  <c r="AA40" i="110" s="1"/>
  <c r="Z27" i="110"/>
  <c r="Z40" i="110" s="1"/>
  <c r="Y27" i="110"/>
  <c r="X27" i="110"/>
  <c r="W40" i="110"/>
  <c r="AG24" i="110"/>
  <c r="AF24" i="110"/>
  <c r="AE24" i="110"/>
  <c r="AD24" i="110"/>
  <c r="AC24" i="110"/>
  <c r="AB24" i="110"/>
  <c r="AA24" i="110"/>
  <c r="Z24" i="110"/>
  <c r="F27" i="110"/>
  <c r="G27" i="110"/>
  <c r="H27" i="110"/>
  <c r="I27" i="110"/>
  <c r="J27" i="110"/>
  <c r="K27" i="110"/>
  <c r="L27" i="110"/>
  <c r="F28" i="110"/>
  <c r="G28" i="110"/>
  <c r="H28" i="110"/>
  <c r="I28" i="110"/>
  <c r="J28" i="110"/>
  <c r="K28" i="110"/>
  <c r="L28" i="110"/>
  <c r="F29" i="110"/>
  <c r="G29" i="110"/>
  <c r="H29" i="110"/>
  <c r="I29" i="110"/>
  <c r="J29" i="110"/>
  <c r="K29" i="110"/>
  <c r="L29" i="110"/>
  <c r="F30" i="110"/>
  <c r="G30" i="110"/>
  <c r="H30" i="110"/>
  <c r="I30" i="110"/>
  <c r="J30" i="110"/>
  <c r="K30" i="110"/>
  <c r="L30" i="110"/>
  <c r="F31" i="110"/>
  <c r="G31" i="110"/>
  <c r="H31" i="110"/>
  <c r="I31" i="110"/>
  <c r="J31" i="110"/>
  <c r="K31" i="110"/>
  <c r="L31" i="110"/>
  <c r="F34" i="110"/>
  <c r="G34" i="110"/>
  <c r="H34" i="110"/>
  <c r="I34" i="110"/>
  <c r="J34" i="110"/>
  <c r="K34" i="110"/>
  <c r="L34" i="110"/>
  <c r="F35" i="110"/>
  <c r="F40" i="110" s="1"/>
  <c r="G35" i="110"/>
  <c r="H35" i="110"/>
  <c r="I35" i="110"/>
  <c r="J35" i="110"/>
  <c r="K35" i="110"/>
  <c r="L35" i="110"/>
  <c r="F36" i="110"/>
  <c r="G36" i="110"/>
  <c r="H36" i="110"/>
  <c r="I36" i="110"/>
  <c r="J36" i="110"/>
  <c r="K36" i="110"/>
  <c r="L36" i="110"/>
  <c r="F37" i="110"/>
  <c r="G37" i="110"/>
  <c r="H37" i="110"/>
  <c r="I37" i="110"/>
  <c r="J37" i="110"/>
  <c r="K37" i="110"/>
  <c r="L37" i="110"/>
  <c r="F38" i="110"/>
  <c r="G38" i="110"/>
  <c r="H38" i="110"/>
  <c r="I38" i="110"/>
  <c r="J38" i="110"/>
  <c r="J40" i="110" s="1"/>
  <c r="K38" i="110"/>
  <c r="L38" i="110"/>
  <c r="G40" i="110"/>
  <c r="H40" i="110"/>
  <c r="I40" i="110"/>
  <c r="K40" i="110"/>
  <c r="L40" i="110"/>
  <c r="E40" i="110"/>
  <c r="E38" i="110"/>
  <c r="E37" i="110"/>
  <c r="E36" i="110"/>
  <c r="E35" i="110"/>
  <c r="E34" i="110"/>
  <c r="E31" i="110"/>
  <c r="E30" i="110"/>
  <c r="I24" i="110"/>
  <c r="J24" i="110"/>
  <c r="K24" i="110"/>
  <c r="L24" i="110"/>
  <c r="M24" i="110"/>
  <c r="N24" i="110"/>
  <c r="O24" i="110"/>
  <c r="H24" i="110"/>
  <c r="E29" i="110"/>
  <c r="E28" i="110"/>
  <c r="E27" i="110"/>
  <c r="V65" i="109"/>
  <c r="V64" i="109" s="1"/>
  <c r="AS53" i="109"/>
  <c r="AR53" i="109"/>
  <c r="AQ53" i="109"/>
  <c r="AP53" i="109"/>
  <c r="AO65" i="109" s="1"/>
  <c r="AO64" i="109" s="1"/>
  <c r="AO53" i="109"/>
  <c r="AN53" i="109"/>
  <c r="AM53" i="109"/>
  <c r="AL53" i="109"/>
  <c r="AK53" i="109"/>
  <c r="AJ53" i="109"/>
  <c r="AI53" i="109"/>
  <c r="AH53" i="109"/>
  <c r="AG53" i="109"/>
  <c r="AF53" i="109"/>
  <c r="AE53" i="109"/>
  <c r="Z53" i="109"/>
  <c r="Y53" i="109"/>
  <c r="X53" i="109"/>
  <c r="W53" i="109"/>
  <c r="V53" i="109"/>
  <c r="U53" i="109"/>
  <c r="T53" i="109"/>
  <c r="S53" i="109"/>
  <c r="R53" i="109"/>
  <c r="Q53" i="109"/>
  <c r="P53" i="109"/>
  <c r="O53" i="109"/>
  <c r="N53" i="109"/>
  <c r="M53" i="109"/>
  <c r="L53" i="109"/>
  <c r="AS52" i="109"/>
  <c r="AR65" i="109" s="1"/>
  <c r="AR64" i="109" s="1"/>
  <c r="AR52" i="109"/>
  <c r="AQ65" i="109" s="1"/>
  <c r="AQ64" i="109" s="1"/>
  <c r="AQ52" i="109"/>
  <c r="AP65" i="109" s="1"/>
  <c r="AP64" i="109" s="1"/>
  <c r="AP52" i="109"/>
  <c r="AO52" i="109"/>
  <c r="AN65" i="109" s="1"/>
  <c r="AN64" i="109" s="1"/>
  <c r="AN52" i="109"/>
  <c r="AM65" i="109" s="1"/>
  <c r="AM64" i="109" s="1"/>
  <c r="AM52" i="109"/>
  <c r="AL65" i="109" s="1"/>
  <c r="AL64" i="109" s="1"/>
  <c r="AL52" i="109"/>
  <c r="AK65" i="109" s="1"/>
  <c r="AK64" i="109" s="1"/>
  <c r="AK52" i="109"/>
  <c r="AJ52" i="109"/>
  <c r="AI52" i="109"/>
  <c r="AH52" i="109"/>
  <c r="AG52" i="109"/>
  <c r="AF52" i="109"/>
  <c r="AE52" i="109"/>
  <c r="Z52" i="109"/>
  <c r="Y65" i="109" s="1"/>
  <c r="Y64" i="109" s="1"/>
  <c r="Y52" i="109"/>
  <c r="X65" i="109" s="1"/>
  <c r="X64" i="109" s="1"/>
  <c r="X52" i="109"/>
  <c r="W65" i="109" s="1"/>
  <c r="W64" i="109" s="1"/>
  <c r="W52" i="109"/>
  <c r="V52" i="109"/>
  <c r="U65" i="109" s="1"/>
  <c r="U64" i="109" s="1"/>
  <c r="U52" i="109"/>
  <c r="T65" i="109" s="1"/>
  <c r="T64" i="109" s="1"/>
  <c r="T52" i="109"/>
  <c r="S65" i="109" s="1"/>
  <c r="S64" i="109" s="1"/>
  <c r="S52" i="109"/>
  <c r="R65" i="109" s="1"/>
  <c r="R64" i="109" s="1"/>
  <c r="R52" i="109"/>
  <c r="Q52" i="109"/>
  <c r="P52" i="109"/>
  <c r="O52" i="109"/>
  <c r="N52" i="109"/>
  <c r="M52" i="109"/>
  <c r="L52" i="109"/>
  <c r="AS51" i="109"/>
  <c r="AR51" i="109"/>
  <c r="AQ51" i="109"/>
  <c r="AP51" i="109"/>
  <c r="AO51" i="109"/>
  <c r="AN51" i="109"/>
  <c r="AM51" i="109"/>
  <c r="AL51" i="109"/>
  <c r="AK51" i="109"/>
  <c r="AJ51" i="109"/>
  <c r="AI51" i="109"/>
  <c r="AH51" i="109"/>
  <c r="AG51" i="109"/>
  <c r="AF51" i="109"/>
  <c r="AE51" i="109"/>
  <c r="Z51" i="109"/>
  <c r="Y51" i="109"/>
  <c r="X51" i="109"/>
  <c r="W51" i="109"/>
  <c r="V51" i="109"/>
  <c r="U51" i="109"/>
  <c r="T51" i="109"/>
  <c r="S51" i="109"/>
  <c r="R51" i="109"/>
  <c r="Q51" i="109"/>
  <c r="P51" i="109"/>
  <c r="O51" i="109"/>
  <c r="N51" i="109"/>
  <c r="M51" i="109"/>
  <c r="L51" i="109"/>
  <c r="AS50" i="109"/>
  <c r="AR50" i="109"/>
  <c r="AQ50" i="109"/>
  <c r="AP50" i="109"/>
  <c r="AO50" i="109"/>
  <c r="AN50" i="109"/>
  <c r="AM50" i="109"/>
  <c r="AL50" i="109"/>
  <c r="AK50" i="109"/>
  <c r="AJ50" i="109"/>
  <c r="AI50" i="109"/>
  <c r="AH50" i="109"/>
  <c r="AG50" i="109"/>
  <c r="AF50" i="109"/>
  <c r="AE50" i="109"/>
  <c r="Z50" i="109"/>
  <c r="Y50" i="109"/>
  <c r="X50" i="109"/>
  <c r="W50" i="109"/>
  <c r="V50" i="109"/>
  <c r="U50" i="109"/>
  <c r="T50" i="109"/>
  <c r="S50" i="109"/>
  <c r="R50" i="109"/>
  <c r="Q50" i="109"/>
  <c r="P50" i="109"/>
  <c r="O50" i="109"/>
  <c r="N50" i="109"/>
  <c r="M50" i="109"/>
  <c r="L50" i="109"/>
  <c r="AJ42" i="109"/>
  <c r="AI42" i="109"/>
  <c r="AH42" i="109"/>
  <c r="AG42" i="109"/>
  <c r="AF42" i="109"/>
  <c r="AE42" i="109"/>
  <c r="AJ41" i="109"/>
  <c r="AI41" i="109"/>
  <c r="AH41" i="109"/>
  <c r="AG41" i="109"/>
  <c r="AF41" i="109"/>
  <c r="AE41" i="109"/>
  <c r="Q41" i="109"/>
  <c r="P41" i="109"/>
  <c r="O41" i="109"/>
  <c r="N41" i="109"/>
  <c r="M41" i="109"/>
  <c r="L41" i="109"/>
  <c r="AJ40" i="109"/>
  <c r="AI40" i="109"/>
  <c r="AH40" i="109"/>
  <c r="AG40" i="109"/>
  <c r="AF40" i="109"/>
  <c r="AE40" i="109"/>
  <c r="Q40" i="109"/>
  <c r="P40" i="109"/>
  <c r="O40" i="109"/>
  <c r="N40" i="109"/>
  <c r="M40" i="109"/>
  <c r="L40" i="109"/>
  <c r="AJ39" i="109"/>
  <c r="AI39" i="109"/>
  <c r="AH39" i="109"/>
  <c r="AG39" i="109"/>
  <c r="AF39" i="109"/>
  <c r="AE39" i="109"/>
  <c r="Q39" i="109"/>
  <c r="P39" i="109"/>
  <c r="O39" i="109"/>
  <c r="N39" i="109"/>
  <c r="M39" i="109"/>
  <c r="L39" i="109"/>
  <c r="AJ38" i="109"/>
  <c r="AI38" i="109"/>
  <c r="AH38" i="109"/>
  <c r="AG38" i="109"/>
  <c r="AF38" i="109"/>
  <c r="AE38" i="109"/>
  <c r="Q38" i="109"/>
  <c r="P38" i="109"/>
  <c r="O38" i="109"/>
  <c r="N38" i="109"/>
  <c r="M38" i="109"/>
  <c r="L38" i="109"/>
  <c r="AJ37" i="109"/>
  <c r="AI37" i="109"/>
  <c r="AH37" i="109"/>
  <c r="AG37" i="109"/>
  <c r="AF37" i="109"/>
  <c r="AE37" i="109"/>
  <c r="Q37" i="109"/>
  <c r="P37" i="109"/>
  <c r="O37" i="109"/>
  <c r="N37" i="109"/>
  <c r="M37" i="109"/>
  <c r="L37" i="109"/>
  <c r="AU35" i="109"/>
  <c r="AT35" i="109"/>
  <c r="AS35" i="109"/>
  <c r="AR35" i="109"/>
  <c r="AQ35" i="109"/>
  <c r="AP35" i="109"/>
  <c r="AO35" i="109"/>
  <c r="AN35" i="109"/>
  <c r="AM35" i="109"/>
  <c r="AL35" i="109"/>
  <c r="AK35" i="109"/>
  <c r="AJ35" i="109"/>
  <c r="AI35" i="109"/>
  <c r="AH35" i="109"/>
  <c r="AG35" i="109"/>
  <c r="AF35" i="109"/>
  <c r="AE35" i="109"/>
  <c r="AB35" i="109"/>
  <c r="AA35" i="109"/>
  <c r="Z35" i="109"/>
  <c r="Y35" i="109"/>
  <c r="X35" i="109"/>
  <c r="W35" i="109"/>
  <c r="V35" i="109"/>
  <c r="U35" i="109"/>
  <c r="T35" i="109"/>
  <c r="S35" i="109"/>
  <c r="R35" i="109"/>
  <c r="Q35" i="109"/>
  <c r="P35" i="109"/>
  <c r="O35" i="109"/>
  <c r="N35" i="109"/>
  <c r="M35" i="109"/>
  <c r="L35" i="109"/>
  <c r="AU34" i="109"/>
  <c r="AT34" i="109"/>
  <c r="AS34" i="109"/>
  <c r="AR34" i="109"/>
  <c r="AQ34" i="109"/>
  <c r="AP34" i="109"/>
  <c r="AO34" i="109"/>
  <c r="AN34" i="109"/>
  <c r="AM34" i="109"/>
  <c r="AL34" i="109"/>
  <c r="AK34" i="109"/>
  <c r="AJ34" i="109"/>
  <c r="AI34" i="109"/>
  <c r="AH34" i="109"/>
  <c r="AG34" i="109"/>
  <c r="AF34" i="109"/>
  <c r="AE34" i="109"/>
  <c r="AB34" i="109"/>
  <c r="AA34" i="109"/>
  <c r="Z34" i="109"/>
  <c r="Y34" i="109"/>
  <c r="X34" i="109"/>
  <c r="W34" i="109"/>
  <c r="V34" i="109"/>
  <c r="U34" i="109"/>
  <c r="T34" i="109"/>
  <c r="S34" i="109"/>
  <c r="R34" i="109"/>
  <c r="Q34" i="109"/>
  <c r="P34" i="109"/>
  <c r="O34" i="109"/>
  <c r="N34" i="109"/>
  <c r="M34" i="109"/>
  <c r="L34" i="109"/>
  <c r="AU33" i="109"/>
  <c r="AT33" i="109"/>
  <c r="AS33" i="109"/>
  <c r="AR33" i="109"/>
  <c r="AQ33" i="109"/>
  <c r="AP33" i="109"/>
  <c r="AO33" i="109"/>
  <c r="AN33" i="109"/>
  <c r="AM33" i="109"/>
  <c r="AL33" i="109"/>
  <c r="AK33" i="109"/>
  <c r="AJ33" i="109"/>
  <c r="AI33" i="109"/>
  <c r="AH33" i="109"/>
  <c r="AG33" i="109"/>
  <c r="AF33" i="109"/>
  <c r="AE33" i="109"/>
  <c r="AB33" i="109"/>
  <c r="AA33" i="109"/>
  <c r="Z33" i="109"/>
  <c r="Y33" i="109"/>
  <c r="X33" i="109"/>
  <c r="W33" i="109"/>
  <c r="V33" i="109"/>
  <c r="U33" i="109"/>
  <c r="T33" i="109"/>
  <c r="S33" i="109"/>
  <c r="R33" i="109"/>
  <c r="Q33" i="109"/>
  <c r="P33" i="109"/>
  <c r="O33" i="109"/>
  <c r="N33" i="109"/>
  <c r="M33" i="109"/>
  <c r="L33" i="109"/>
  <c r="AU31" i="109"/>
  <c r="AT31" i="109"/>
  <c r="AS31" i="109"/>
  <c r="AR31" i="109"/>
  <c r="AQ31" i="109"/>
  <c r="AP31" i="109"/>
  <c r="AO31" i="109"/>
  <c r="AN31" i="109"/>
  <c r="AM31" i="109"/>
  <c r="AL31" i="109"/>
  <c r="AK31" i="109"/>
  <c r="AJ31" i="109"/>
  <c r="AI31" i="109"/>
  <c r="AH31" i="109"/>
  <c r="AG31" i="109"/>
  <c r="AF31" i="109"/>
  <c r="AE31" i="109"/>
  <c r="AB31" i="109"/>
  <c r="AA31" i="109"/>
  <c r="Z31" i="109"/>
  <c r="Y31" i="109"/>
  <c r="X31" i="109"/>
  <c r="W31" i="109"/>
  <c r="V31" i="109"/>
  <c r="U31" i="109"/>
  <c r="T31" i="109"/>
  <c r="S31" i="109"/>
  <c r="R31" i="109"/>
  <c r="Q31" i="109"/>
  <c r="P31" i="109"/>
  <c r="O31" i="109"/>
  <c r="N31" i="109"/>
  <c r="M31" i="109"/>
  <c r="L31" i="109"/>
  <c r="AU30" i="109"/>
  <c r="AT30" i="109"/>
  <c r="AS30" i="109"/>
  <c r="AR30" i="109"/>
  <c r="AQ30" i="109"/>
  <c r="AP30" i="109"/>
  <c r="AO30" i="109"/>
  <c r="AN30" i="109"/>
  <c r="AM30" i="109"/>
  <c r="AL30" i="109"/>
  <c r="AK30" i="109"/>
  <c r="AJ30" i="109"/>
  <c r="AI30" i="109"/>
  <c r="AH30" i="109"/>
  <c r="AG30" i="109"/>
  <c r="AF30" i="109"/>
  <c r="AE30" i="109"/>
  <c r="AB30" i="109"/>
  <c r="AA30" i="109"/>
  <c r="Z30" i="109"/>
  <c r="Y30" i="109"/>
  <c r="X30" i="109"/>
  <c r="W30" i="109"/>
  <c r="V30" i="109"/>
  <c r="U30" i="109"/>
  <c r="T30" i="109"/>
  <c r="S30" i="109"/>
  <c r="R30" i="109"/>
  <c r="Q30" i="109"/>
  <c r="P30" i="109"/>
  <c r="O30" i="109"/>
  <c r="N30" i="109"/>
  <c r="M30" i="109"/>
  <c r="L30" i="109"/>
  <c r="AU29" i="109"/>
  <c r="AT29" i="109"/>
  <c r="AS29" i="109"/>
  <c r="AR29" i="109"/>
  <c r="AQ29" i="109"/>
  <c r="AP29" i="109"/>
  <c r="AO29" i="109"/>
  <c r="AN29" i="109"/>
  <c r="AM29" i="109"/>
  <c r="AL29" i="109"/>
  <c r="AK29" i="109"/>
  <c r="AJ29" i="109"/>
  <c r="AI29" i="109"/>
  <c r="AH29" i="109"/>
  <c r="AG29" i="109"/>
  <c r="AF29" i="109"/>
  <c r="AE29" i="109"/>
  <c r="AB29" i="109"/>
  <c r="AA29" i="109"/>
  <c r="Z29" i="109"/>
  <c r="Y29" i="109"/>
  <c r="X29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AU28" i="109"/>
  <c r="AT28" i="109"/>
  <c r="AS28" i="109"/>
  <c r="AR28" i="109"/>
  <c r="AQ28" i="109"/>
  <c r="AP28" i="109"/>
  <c r="AO28" i="109"/>
  <c r="AN28" i="109"/>
  <c r="AM28" i="109"/>
  <c r="AL28" i="109"/>
  <c r="AK28" i="109"/>
  <c r="AJ28" i="109"/>
  <c r="AI28" i="109"/>
  <c r="AH28" i="109"/>
  <c r="AG28" i="109"/>
  <c r="AF28" i="109"/>
  <c r="AE28" i="109"/>
  <c r="AB28" i="109"/>
  <c r="AA28" i="109"/>
  <c r="Z28" i="109"/>
  <c r="Y28" i="109"/>
  <c r="X28" i="109"/>
  <c r="W28" i="109"/>
  <c r="V28" i="109"/>
  <c r="U28" i="109"/>
  <c r="T28" i="109"/>
  <c r="S28" i="109"/>
  <c r="R28" i="109"/>
  <c r="Q28" i="109"/>
  <c r="P28" i="109"/>
  <c r="O28" i="109"/>
  <c r="N28" i="109"/>
  <c r="M28" i="109"/>
  <c r="L28" i="109"/>
  <c r="AU27" i="109"/>
  <c r="AT27" i="109"/>
  <c r="AS27" i="109"/>
  <c r="AR27" i="109"/>
  <c r="AQ27" i="109"/>
  <c r="AP27" i="109"/>
  <c r="AO27" i="109"/>
  <c r="AN27" i="109"/>
  <c r="AM27" i="109"/>
  <c r="AL27" i="109"/>
  <c r="AK27" i="109"/>
  <c r="AJ27" i="109"/>
  <c r="AI27" i="109"/>
  <c r="AH27" i="109"/>
  <c r="AG27" i="109"/>
  <c r="AF27" i="109"/>
  <c r="AE27" i="109"/>
  <c r="AB27" i="109"/>
  <c r="AA27" i="109"/>
  <c r="Z27" i="109"/>
  <c r="Y27" i="109"/>
  <c r="X27" i="109"/>
  <c r="W27" i="109"/>
  <c r="V27" i="109"/>
  <c r="U27" i="109"/>
  <c r="T27" i="109"/>
  <c r="S27" i="109"/>
  <c r="R27" i="109"/>
  <c r="Q27" i="109"/>
  <c r="P27" i="109"/>
  <c r="O27" i="109"/>
  <c r="N27" i="109"/>
  <c r="M27" i="109"/>
  <c r="L27" i="109"/>
  <c r="AU26" i="109"/>
  <c r="AT26" i="109"/>
  <c r="AS26" i="109"/>
  <c r="AR26" i="109"/>
  <c r="AQ26" i="109"/>
  <c r="AP26" i="109"/>
  <c r="AO26" i="109"/>
  <c r="AN26" i="109"/>
  <c r="AM26" i="109"/>
  <c r="AL26" i="109"/>
  <c r="AK26" i="109"/>
  <c r="AJ26" i="109"/>
  <c r="AI26" i="109"/>
  <c r="AH26" i="109"/>
  <c r="AG26" i="109"/>
  <c r="AF26" i="109"/>
  <c r="AE26" i="109"/>
  <c r="AU25" i="109"/>
  <c r="AR61" i="109" s="1"/>
  <c r="AR60" i="109" s="1"/>
  <c r="AT25" i="109"/>
  <c r="AQ61" i="109" s="1"/>
  <c r="AQ60" i="109" s="1"/>
  <c r="AS25" i="109"/>
  <c r="AP61" i="109" s="1"/>
  <c r="AP60" i="109" s="1"/>
  <c r="AR25" i="109"/>
  <c r="AO61" i="109" s="1"/>
  <c r="AO60" i="109" s="1"/>
  <c r="AQ25" i="109"/>
  <c r="AN61" i="109" s="1"/>
  <c r="AN60" i="109" s="1"/>
  <c r="AP25" i="109"/>
  <c r="AM61" i="109" s="1"/>
  <c r="AM60" i="109" s="1"/>
  <c r="AO25" i="109"/>
  <c r="AL61" i="109" s="1"/>
  <c r="AL60" i="109" s="1"/>
  <c r="AN25" i="109"/>
  <c r="AK61" i="109" s="1"/>
  <c r="AK60" i="109" s="1"/>
  <c r="AM25" i="109"/>
  <c r="AL25" i="109"/>
  <c r="AK25" i="109"/>
  <c r="AJ25" i="109"/>
  <c r="AI25" i="109"/>
  <c r="AH25" i="109"/>
  <c r="AG25" i="109"/>
  <c r="AF25" i="109"/>
  <c r="AE25" i="109"/>
  <c r="AB25" i="109"/>
  <c r="AA25" i="109"/>
  <c r="Z25" i="109"/>
  <c r="Y25" i="109"/>
  <c r="X25" i="109"/>
  <c r="W25" i="109"/>
  <c r="V25" i="109"/>
  <c r="U25" i="109"/>
  <c r="T25" i="109"/>
  <c r="S25" i="109"/>
  <c r="R25" i="109"/>
  <c r="Q25" i="109"/>
  <c r="P25" i="109"/>
  <c r="O25" i="109"/>
  <c r="N25" i="109"/>
  <c r="M25" i="109"/>
  <c r="L25" i="109"/>
  <c r="AU24" i="109"/>
  <c r="AT24" i="109"/>
  <c r="AS24" i="109"/>
  <c r="AR24" i="109"/>
  <c r="AQ24" i="109"/>
  <c r="AP24" i="109"/>
  <c r="AO24" i="109"/>
  <c r="AN24" i="109"/>
  <c r="AM24" i="109"/>
  <c r="AL24" i="109"/>
  <c r="AK24" i="109"/>
  <c r="AJ24" i="109"/>
  <c r="AI24" i="109"/>
  <c r="AH24" i="109"/>
  <c r="AG24" i="109"/>
  <c r="AF24" i="109"/>
  <c r="AE24" i="109"/>
  <c r="AB24" i="109"/>
  <c r="AA24" i="109"/>
  <c r="Z24" i="109"/>
  <c r="Y24" i="109"/>
  <c r="X24" i="109"/>
  <c r="W24" i="109"/>
  <c r="V24" i="109"/>
  <c r="U24" i="109"/>
  <c r="T24" i="109"/>
  <c r="S24" i="109"/>
  <c r="R24" i="109"/>
  <c r="Q24" i="109"/>
  <c r="P24" i="109"/>
  <c r="O24" i="109"/>
  <c r="N24" i="109"/>
  <c r="M24" i="109"/>
  <c r="L24" i="109"/>
  <c r="AU22" i="109"/>
  <c r="AT22" i="109"/>
  <c r="AS22" i="109"/>
  <c r="AR22" i="109"/>
  <c r="AQ22" i="109"/>
  <c r="AP22" i="109"/>
  <c r="AO22" i="109"/>
  <c r="AN22" i="109"/>
  <c r="AM22" i="109"/>
  <c r="AL22" i="109"/>
  <c r="AK22" i="109"/>
  <c r="AJ22" i="109"/>
  <c r="AI22" i="109"/>
  <c r="AH22" i="109"/>
  <c r="AG22" i="109"/>
  <c r="AF22" i="109"/>
  <c r="AE22" i="109"/>
  <c r="AB22" i="109"/>
  <c r="AA22" i="109"/>
  <c r="Z22" i="109"/>
  <c r="Y22" i="109"/>
  <c r="X22" i="109"/>
  <c r="W22" i="109"/>
  <c r="V22" i="109"/>
  <c r="U22" i="109"/>
  <c r="T22" i="109"/>
  <c r="S22" i="109"/>
  <c r="R22" i="109"/>
  <c r="Q22" i="109"/>
  <c r="P22" i="109"/>
  <c r="O22" i="109"/>
  <c r="N22" i="109"/>
  <c r="M22" i="109"/>
  <c r="L22" i="109"/>
  <c r="AU21" i="109"/>
  <c r="AT21" i="109"/>
  <c r="AS21" i="109"/>
  <c r="AR21" i="109"/>
  <c r="AQ21" i="109"/>
  <c r="AP21" i="109"/>
  <c r="AO21" i="109"/>
  <c r="AN21" i="109"/>
  <c r="AM21" i="109"/>
  <c r="AL21" i="109"/>
  <c r="AK21" i="109"/>
  <c r="AJ21" i="109"/>
  <c r="AI21" i="109"/>
  <c r="AH21" i="109"/>
  <c r="AG21" i="109"/>
  <c r="AF21" i="109"/>
  <c r="AE21" i="109"/>
  <c r="AB21" i="109"/>
  <c r="AA21" i="109"/>
  <c r="Z21" i="109"/>
  <c r="Y21" i="109"/>
  <c r="X21" i="109"/>
  <c r="W21" i="109"/>
  <c r="V21" i="109"/>
  <c r="U21" i="109"/>
  <c r="T21" i="109"/>
  <c r="S21" i="109"/>
  <c r="R21" i="109"/>
  <c r="Q21" i="109"/>
  <c r="P21" i="109"/>
  <c r="O21" i="109"/>
  <c r="N21" i="109"/>
  <c r="M21" i="109"/>
  <c r="L21" i="109"/>
  <c r="AU20" i="109"/>
  <c r="AT20" i="109"/>
  <c r="AS20" i="109"/>
  <c r="AR20" i="109"/>
  <c r="AQ20" i="109"/>
  <c r="AP20" i="109"/>
  <c r="AO20" i="109"/>
  <c r="AN20" i="109"/>
  <c r="AM20" i="109"/>
  <c r="AL20" i="109"/>
  <c r="AK20" i="109"/>
  <c r="AJ20" i="109"/>
  <c r="AI20" i="109"/>
  <c r="AH20" i="109"/>
  <c r="AG20" i="109"/>
  <c r="AF20" i="109"/>
  <c r="AE20" i="109"/>
  <c r="AB20" i="109"/>
  <c r="AA20" i="109"/>
  <c r="Z20" i="109"/>
  <c r="Y20" i="109"/>
  <c r="X20" i="109"/>
  <c r="W20" i="109"/>
  <c r="V20" i="109"/>
  <c r="U20" i="109"/>
  <c r="T20" i="109"/>
  <c r="S20" i="109"/>
  <c r="R20" i="109"/>
  <c r="Q20" i="109"/>
  <c r="P20" i="109"/>
  <c r="O20" i="109"/>
  <c r="N20" i="109"/>
  <c r="M20" i="109"/>
  <c r="L20" i="109"/>
  <c r="AU19" i="109"/>
  <c r="AT19" i="109"/>
  <c r="AS19" i="109"/>
  <c r="AR19" i="109"/>
  <c r="AQ19" i="109"/>
  <c r="AP19" i="109"/>
  <c r="AO19" i="109"/>
  <c r="AN19" i="109"/>
  <c r="AM19" i="109"/>
  <c r="AL19" i="109"/>
  <c r="AK19" i="109"/>
  <c r="AJ19" i="109"/>
  <c r="AI19" i="109"/>
  <c r="AH19" i="109"/>
  <c r="AG19" i="109"/>
  <c r="AF19" i="109"/>
  <c r="AE19" i="109"/>
  <c r="AB19" i="109"/>
  <c r="AA19" i="109"/>
  <c r="Z19" i="109"/>
  <c r="Y19" i="109"/>
  <c r="X19" i="109"/>
  <c r="W19" i="109"/>
  <c r="V19" i="109"/>
  <c r="U19" i="109"/>
  <c r="T19" i="109"/>
  <c r="S19" i="109"/>
  <c r="R19" i="109"/>
  <c r="Q19" i="109"/>
  <c r="P19" i="109"/>
  <c r="O19" i="109"/>
  <c r="N19" i="109"/>
  <c r="M19" i="109"/>
  <c r="L19" i="109"/>
  <c r="AU18" i="109"/>
  <c r="AT18" i="109"/>
  <c r="AS18" i="109"/>
  <c r="AR18" i="109"/>
  <c r="AQ18" i="109"/>
  <c r="AP18" i="109"/>
  <c r="AO18" i="109"/>
  <c r="AN18" i="109"/>
  <c r="AM18" i="109"/>
  <c r="AL18" i="109"/>
  <c r="AK18" i="109"/>
  <c r="AJ18" i="109"/>
  <c r="AI18" i="109"/>
  <c r="AH18" i="109"/>
  <c r="AG18" i="109"/>
  <c r="AF18" i="109"/>
  <c r="AE18" i="109"/>
  <c r="AB18" i="109"/>
  <c r="AA18" i="109"/>
  <c r="Z18" i="109"/>
  <c r="Y18" i="109"/>
  <c r="X18" i="109"/>
  <c r="W18" i="109"/>
  <c r="V18" i="109"/>
  <c r="U18" i="109"/>
  <c r="T18" i="109"/>
  <c r="S18" i="109"/>
  <c r="R18" i="109"/>
  <c r="Q18" i="109"/>
  <c r="P18" i="109"/>
  <c r="O18" i="109"/>
  <c r="N18" i="109"/>
  <c r="M18" i="109"/>
  <c r="L18" i="109"/>
  <c r="AU17" i="109"/>
  <c r="AT17" i="109"/>
  <c r="AS17" i="109"/>
  <c r="AR17" i="109"/>
  <c r="AQ17" i="109"/>
  <c r="AP17" i="109"/>
  <c r="AO17" i="109"/>
  <c r="AN17" i="109"/>
  <c r="AM17" i="109"/>
  <c r="AL17" i="109"/>
  <c r="AK17" i="109"/>
  <c r="AJ17" i="109"/>
  <c r="AI17" i="109"/>
  <c r="AH17" i="109"/>
  <c r="AG17" i="109"/>
  <c r="AF17" i="109"/>
  <c r="AE17" i="109"/>
  <c r="AB17" i="109"/>
  <c r="AA17" i="109"/>
  <c r="Z17" i="109"/>
  <c r="Y17" i="109"/>
  <c r="X17" i="109"/>
  <c r="W17" i="109"/>
  <c r="V17" i="109"/>
  <c r="U17" i="109"/>
  <c r="T17" i="109"/>
  <c r="S17" i="109"/>
  <c r="R17" i="109"/>
  <c r="Q17" i="109"/>
  <c r="P17" i="109"/>
  <c r="O17" i="109"/>
  <c r="N17" i="109"/>
  <c r="M17" i="109"/>
  <c r="L17" i="109"/>
  <c r="AU16" i="109"/>
  <c r="AT16" i="109"/>
  <c r="AS16" i="109"/>
  <c r="AR16" i="109"/>
  <c r="AQ16" i="109"/>
  <c r="AP16" i="109"/>
  <c r="AO16" i="109"/>
  <c r="AN16" i="109"/>
  <c r="AM16" i="109"/>
  <c r="AL16" i="109"/>
  <c r="AK16" i="109"/>
  <c r="AJ16" i="109"/>
  <c r="AI16" i="109"/>
  <c r="AH16" i="109"/>
  <c r="AG16" i="109"/>
  <c r="AF16" i="109"/>
  <c r="AE16" i="109"/>
  <c r="AB16" i="109"/>
  <c r="AA16" i="109"/>
  <c r="Z16" i="109"/>
  <c r="Y16" i="109"/>
  <c r="X16" i="109"/>
  <c r="W16" i="109"/>
  <c r="V16" i="109"/>
  <c r="U16" i="109"/>
  <c r="T16" i="109"/>
  <c r="S16" i="109"/>
  <c r="R16" i="109"/>
  <c r="Q16" i="109"/>
  <c r="P16" i="109"/>
  <c r="O16" i="109"/>
  <c r="N16" i="109"/>
  <c r="M16" i="109"/>
  <c r="L16" i="109"/>
  <c r="AU15" i="109"/>
  <c r="AT15" i="109"/>
  <c r="AS15" i="109"/>
  <c r="AR15" i="109"/>
  <c r="AQ15" i="109"/>
  <c r="AP15" i="109"/>
  <c r="AO15" i="109"/>
  <c r="AN15" i="109"/>
  <c r="AM15" i="109"/>
  <c r="AL15" i="109"/>
  <c r="AK15" i="109"/>
  <c r="AJ15" i="109"/>
  <c r="AI15" i="109"/>
  <c r="AH15" i="109"/>
  <c r="AG15" i="109"/>
  <c r="AF15" i="109"/>
  <c r="AE15" i="109"/>
  <c r="AB15" i="109"/>
  <c r="AA15" i="109"/>
  <c r="Z15" i="109"/>
  <c r="Y15" i="109"/>
  <c r="X15" i="109"/>
  <c r="W15" i="109"/>
  <c r="V15" i="109"/>
  <c r="U15" i="109"/>
  <c r="T15" i="109"/>
  <c r="S15" i="109"/>
  <c r="R15" i="109"/>
  <c r="Q15" i="109"/>
  <c r="P15" i="109"/>
  <c r="O15" i="109"/>
  <c r="N15" i="109"/>
  <c r="M15" i="109"/>
  <c r="L15" i="109"/>
  <c r="AU14" i="109"/>
  <c r="AT14" i="109"/>
  <c r="AS14" i="109"/>
  <c r="AR14" i="109"/>
  <c r="AQ14" i="109"/>
  <c r="AP14" i="109"/>
  <c r="AO14" i="109"/>
  <c r="AN14" i="109"/>
  <c r="AM14" i="109"/>
  <c r="AL14" i="109"/>
  <c r="AK14" i="109"/>
  <c r="AJ14" i="109"/>
  <c r="AI14" i="109"/>
  <c r="AH14" i="109"/>
  <c r="AG14" i="109"/>
  <c r="AF14" i="109"/>
  <c r="AE14" i="109"/>
  <c r="AB14" i="109"/>
  <c r="AA14" i="109"/>
  <c r="Z14" i="109"/>
  <c r="Y14" i="109"/>
  <c r="X14" i="109"/>
  <c r="W14" i="109"/>
  <c r="V14" i="109"/>
  <c r="U14" i="109"/>
  <c r="T14" i="109"/>
  <c r="S14" i="109"/>
  <c r="R14" i="109"/>
  <c r="Q14" i="109"/>
  <c r="P14" i="109"/>
  <c r="O14" i="109"/>
  <c r="N14" i="109"/>
  <c r="M14" i="109"/>
  <c r="L14" i="109"/>
  <c r="AU13" i="109"/>
  <c r="AT13" i="109"/>
  <c r="AS13" i="109"/>
  <c r="AR13" i="109"/>
  <c r="AQ13" i="109"/>
  <c r="AP13" i="109"/>
  <c r="AO13" i="109"/>
  <c r="AN13" i="109"/>
  <c r="AM13" i="109"/>
  <c r="AL13" i="109"/>
  <c r="AK13" i="109"/>
  <c r="AJ13" i="109"/>
  <c r="AI13" i="109"/>
  <c r="AH13" i="109"/>
  <c r="AG13" i="109"/>
  <c r="AF13" i="109"/>
  <c r="AE13" i="109"/>
  <c r="AB13" i="109"/>
  <c r="AA13" i="109"/>
  <c r="Z13" i="109"/>
  <c r="Y13" i="109"/>
  <c r="X13" i="109"/>
  <c r="W13" i="109"/>
  <c r="V13" i="109"/>
  <c r="U13" i="109"/>
  <c r="T13" i="109"/>
  <c r="S13" i="109"/>
  <c r="R13" i="109"/>
  <c r="Q13" i="109"/>
  <c r="P13" i="109"/>
  <c r="O13" i="109"/>
  <c r="N13" i="109"/>
  <c r="M13" i="109"/>
  <c r="L13" i="109"/>
  <c r="AU12" i="109"/>
  <c r="AT12" i="109"/>
  <c r="AS12" i="109"/>
  <c r="AR12" i="109"/>
  <c r="AQ12" i="109"/>
  <c r="AP12" i="109"/>
  <c r="AO12" i="109"/>
  <c r="AN12" i="109"/>
  <c r="AM12" i="109"/>
  <c r="AL12" i="109"/>
  <c r="AK12" i="109"/>
  <c r="AJ12" i="109"/>
  <c r="AI12" i="109"/>
  <c r="AH12" i="109"/>
  <c r="AG12" i="109"/>
  <c r="AF12" i="109"/>
  <c r="AE12" i="109"/>
  <c r="AB12" i="109"/>
  <c r="AA12" i="109"/>
  <c r="Z12" i="109"/>
  <c r="Y12" i="109"/>
  <c r="X12" i="109"/>
  <c r="W12" i="109"/>
  <c r="V12" i="109"/>
  <c r="U12" i="109"/>
  <c r="T12" i="109"/>
  <c r="S12" i="109"/>
  <c r="R12" i="109"/>
  <c r="Q12" i="109"/>
  <c r="P12" i="109"/>
  <c r="O12" i="109"/>
  <c r="N12" i="109"/>
  <c r="M12" i="109"/>
  <c r="L12" i="109"/>
  <c r="AU11" i="109"/>
  <c r="AT11" i="109"/>
  <c r="AS11" i="109"/>
  <c r="AR11" i="109"/>
  <c r="AQ11" i="109"/>
  <c r="AP11" i="109"/>
  <c r="AO11" i="109"/>
  <c r="AN11" i="109"/>
  <c r="AM11" i="109"/>
  <c r="AL11" i="109"/>
  <c r="AK11" i="109"/>
  <c r="AJ11" i="109"/>
  <c r="AI11" i="109"/>
  <c r="AH11" i="109"/>
  <c r="AG11" i="109"/>
  <c r="AF11" i="109"/>
  <c r="AE11" i="109"/>
  <c r="AB11" i="109"/>
  <c r="AA11" i="109"/>
  <c r="Z11" i="109"/>
  <c r="Y11" i="109"/>
  <c r="X11" i="109"/>
  <c r="W11" i="109"/>
  <c r="V11" i="109"/>
  <c r="U11" i="109"/>
  <c r="T11" i="109"/>
  <c r="S11" i="109"/>
  <c r="R11" i="109"/>
  <c r="Q11" i="109"/>
  <c r="P11" i="109"/>
  <c r="O11" i="109"/>
  <c r="N11" i="109"/>
  <c r="M11" i="109"/>
  <c r="L11" i="109"/>
  <c r="AU9" i="109"/>
  <c r="AT9" i="109"/>
  <c r="AS9" i="109"/>
  <c r="AR9" i="109"/>
  <c r="AQ9" i="109"/>
  <c r="AP9" i="109"/>
  <c r="AO9" i="109"/>
  <c r="AN9" i="109"/>
  <c r="AM9" i="109"/>
  <c r="AL9" i="109"/>
  <c r="AK9" i="109"/>
  <c r="AJ9" i="109"/>
  <c r="AI9" i="109"/>
  <c r="AH9" i="109"/>
  <c r="AG9" i="109"/>
  <c r="AF9" i="109"/>
  <c r="AE9" i="109"/>
  <c r="AB9" i="109"/>
  <c r="AA9" i="109"/>
  <c r="Z9" i="109"/>
  <c r="Y9" i="109"/>
  <c r="X9" i="109"/>
  <c r="W9" i="109"/>
  <c r="V9" i="109"/>
  <c r="U9" i="109"/>
  <c r="T9" i="109"/>
  <c r="S9" i="109"/>
  <c r="R9" i="109"/>
  <c r="Q9" i="109"/>
  <c r="P9" i="109"/>
  <c r="O9" i="109"/>
  <c r="N9" i="109"/>
  <c r="M9" i="109"/>
  <c r="L9" i="109"/>
  <c r="AU8" i="109"/>
  <c r="AT8" i="109"/>
  <c r="AS8" i="109"/>
  <c r="AR8" i="109"/>
  <c r="AQ8" i="109"/>
  <c r="AP8" i="109"/>
  <c r="AO8" i="109"/>
  <c r="AN8" i="109"/>
  <c r="AM8" i="109"/>
  <c r="AL8" i="109"/>
  <c r="AK8" i="109"/>
  <c r="AJ8" i="109"/>
  <c r="AI8" i="109"/>
  <c r="AH8" i="109"/>
  <c r="AG8" i="109"/>
  <c r="AF8" i="109"/>
  <c r="AE8" i="109"/>
  <c r="AB8" i="109"/>
  <c r="AA8" i="109"/>
  <c r="Z8" i="109"/>
  <c r="Y8" i="109"/>
  <c r="X8" i="109"/>
  <c r="W8" i="109"/>
  <c r="V8" i="109"/>
  <c r="U8" i="109"/>
  <c r="T8" i="109"/>
  <c r="S8" i="109"/>
  <c r="R8" i="109"/>
  <c r="Q8" i="109"/>
  <c r="P8" i="109"/>
  <c r="O8" i="109"/>
  <c r="N8" i="109"/>
  <c r="M8" i="109"/>
  <c r="L8" i="109"/>
  <c r="AU7" i="109"/>
  <c r="AT7" i="109"/>
  <c r="AS7" i="109"/>
  <c r="AR7" i="109"/>
  <c r="AQ7" i="109"/>
  <c r="AP7" i="109"/>
  <c r="AO7" i="109"/>
  <c r="AN7" i="109"/>
  <c r="AM7" i="109"/>
  <c r="AL7" i="109"/>
  <c r="AK7" i="109"/>
  <c r="AJ7" i="109"/>
  <c r="AI7" i="109"/>
  <c r="AH7" i="109"/>
  <c r="AG7" i="109"/>
  <c r="AF7" i="109"/>
  <c r="AE7" i="109"/>
  <c r="AB7" i="109"/>
  <c r="AA7" i="109"/>
  <c r="Z7" i="109"/>
  <c r="Y7" i="109"/>
  <c r="X7" i="109"/>
  <c r="W7" i="109"/>
  <c r="V7" i="109"/>
  <c r="U7" i="109"/>
  <c r="T7" i="109"/>
  <c r="S7" i="109"/>
  <c r="R7" i="109"/>
  <c r="Q7" i="109"/>
  <c r="P7" i="109"/>
  <c r="O7" i="109"/>
  <c r="N7" i="109"/>
  <c r="M7" i="109"/>
  <c r="L7" i="109"/>
  <c r="AU6" i="109"/>
  <c r="AT6" i="109"/>
  <c r="AS6" i="109"/>
  <c r="AR6" i="109"/>
  <c r="AQ6" i="109"/>
  <c r="AP6" i="109"/>
  <c r="AO6" i="109"/>
  <c r="AN6" i="109"/>
  <c r="AM6" i="109"/>
  <c r="AL6" i="109"/>
  <c r="AK6" i="109"/>
  <c r="AJ6" i="109"/>
  <c r="AI6" i="109"/>
  <c r="AH6" i="109"/>
  <c r="AG6" i="109"/>
  <c r="AF6" i="109"/>
  <c r="AE6" i="109"/>
  <c r="AB6" i="109"/>
  <c r="AA6" i="109"/>
  <c r="AA46" i="109" s="1"/>
  <c r="Z6" i="109"/>
  <c r="Y6" i="109"/>
  <c r="X6" i="109"/>
  <c r="W6" i="109"/>
  <c r="V6" i="109"/>
  <c r="U6" i="109"/>
  <c r="T6" i="109"/>
  <c r="S6" i="109"/>
  <c r="S46" i="109" s="1"/>
  <c r="R6" i="109"/>
  <c r="Q6" i="109"/>
  <c r="P6" i="109"/>
  <c r="O6" i="109"/>
  <c r="N6" i="109"/>
  <c r="M6" i="109"/>
  <c r="L6" i="109"/>
  <c r="AU5" i="109"/>
  <c r="AT5" i="109"/>
  <c r="AS5" i="109"/>
  <c r="AR5" i="109"/>
  <c r="AQ5" i="109"/>
  <c r="AP5" i="109"/>
  <c r="AO5" i="109"/>
  <c r="AN5" i="109"/>
  <c r="AM5" i="109"/>
  <c r="AL5" i="109"/>
  <c r="AK5" i="109"/>
  <c r="AJ5" i="109"/>
  <c r="AI5" i="109"/>
  <c r="AH5" i="109"/>
  <c r="AG5" i="109"/>
  <c r="AF5" i="109"/>
  <c r="AE5" i="109"/>
  <c r="AB5" i="109"/>
  <c r="AA5" i="109"/>
  <c r="Z5" i="109"/>
  <c r="Y5" i="109"/>
  <c r="X5" i="109"/>
  <c r="W5" i="109"/>
  <c r="V5" i="109"/>
  <c r="U5" i="109"/>
  <c r="T5" i="109"/>
  <c r="S5" i="109"/>
  <c r="R5" i="109"/>
  <c r="Q5" i="109"/>
  <c r="P5" i="109"/>
  <c r="O5" i="109"/>
  <c r="N5" i="109"/>
  <c r="M5" i="109"/>
  <c r="L5" i="109"/>
  <c r="AU4" i="109"/>
  <c r="AT4" i="109"/>
  <c r="AS4" i="109"/>
  <c r="AR4" i="109"/>
  <c r="AQ4" i="109"/>
  <c r="AP4" i="109"/>
  <c r="AO4" i="109"/>
  <c r="AN4" i="109"/>
  <c r="AM4" i="109"/>
  <c r="AL4" i="109"/>
  <c r="AK4" i="109"/>
  <c r="AJ4" i="109"/>
  <c r="AI4" i="109"/>
  <c r="AH4" i="109"/>
  <c r="AG4" i="109"/>
  <c r="AF4" i="109"/>
  <c r="AE4" i="109"/>
  <c r="AB4" i="109"/>
  <c r="AA4" i="109"/>
  <c r="Z4" i="109"/>
  <c r="Y4" i="109"/>
  <c r="X4" i="109"/>
  <c r="W4" i="109"/>
  <c r="V4" i="109"/>
  <c r="U4" i="109"/>
  <c r="T4" i="109"/>
  <c r="S4" i="109"/>
  <c r="R4" i="109"/>
  <c r="Q4" i="109"/>
  <c r="P4" i="109"/>
  <c r="V62" i="109" s="1"/>
  <c r="O4" i="109"/>
  <c r="N4" i="109"/>
  <c r="M4" i="109"/>
  <c r="L4" i="109"/>
  <c r="AU3" i="109"/>
  <c r="AU46" i="109" s="1"/>
  <c r="AT3" i="109"/>
  <c r="AT46" i="109" s="1"/>
  <c r="AS3" i="109"/>
  <c r="AS46" i="109" s="1"/>
  <c r="AR3" i="109"/>
  <c r="AR46" i="109" s="1"/>
  <c r="AQ3" i="109"/>
  <c r="AQ46" i="109" s="1"/>
  <c r="AP3" i="109"/>
  <c r="AP46" i="109" s="1"/>
  <c r="AO3" i="109"/>
  <c r="AO46" i="109" s="1"/>
  <c r="AN3" i="109"/>
  <c r="AN46" i="109" s="1"/>
  <c r="AM3" i="109"/>
  <c r="AM46" i="109" s="1"/>
  <c r="AL3" i="109"/>
  <c r="AL46" i="109" s="1"/>
  <c r="AK3" i="109"/>
  <c r="AJ3" i="109"/>
  <c r="AI3" i="109"/>
  <c r="AR59" i="109" s="1"/>
  <c r="AH3" i="109"/>
  <c r="AG3" i="109"/>
  <c r="AF3" i="109"/>
  <c r="AE3" i="109"/>
  <c r="AB3" i="109"/>
  <c r="AB46" i="109" s="1"/>
  <c r="AA3" i="109"/>
  <c r="Z3" i="109"/>
  <c r="Z46" i="109" s="1"/>
  <c r="Y3" i="109"/>
  <c r="Y46" i="109" s="1"/>
  <c r="X3" i="109"/>
  <c r="X46" i="109" s="1"/>
  <c r="W3" i="109"/>
  <c r="W46" i="109" s="1"/>
  <c r="V3" i="109"/>
  <c r="V46" i="109" s="1"/>
  <c r="U3" i="109"/>
  <c r="U46" i="109" s="1"/>
  <c r="T3" i="109"/>
  <c r="T46" i="109" s="1"/>
  <c r="S3" i="109"/>
  <c r="R3" i="109"/>
  <c r="Q3" i="109"/>
  <c r="P3" i="109"/>
  <c r="AR62" i="109" s="1"/>
  <c r="O3" i="109"/>
  <c r="N3" i="109"/>
  <c r="M3" i="109"/>
  <c r="L3" i="109"/>
  <c r="H28" i="105"/>
  <c r="I28" i="105"/>
  <c r="J28" i="105"/>
  <c r="K28" i="105"/>
  <c r="L28" i="105"/>
  <c r="M28" i="105"/>
  <c r="N28" i="105"/>
  <c r="G28" i="105"/>
  <c r="G41" i="104"/>
  <c r="G47" i="104"/>
  <c r="G39" i="104"/>
  <c r="X40" i="110" l="1"/>
  <c r="Y40" i="110"/>
  <c r="AO59" i="109"/>
  <c r="R57" i="109"/>
  <c r="AK57" i="109"/>
  <c r="R58" i="109"/>
  <c r="AK58" i="109"/>
  <c r="R59" i="109"/>
  <c r="AK59" i="109"/>
  <c r="R60" i="109"/>
  <c r="R62" i="109"/>
  <c r="AK62" i="109"/>
  <c r="V59" i="109"/>
  <c r="S57" i="109"/>
  <c r="AL57" i="109"/>
  <c r="S58" i="109"/>
  <c r="AL58" i="109"/>
  <c r="S59" i="109"/>
  <c r="AL59" i="109"/>
  <c r="S60" i="109"/>
  <c r="S62" i="109"/>
  <c r="AL62" i="109"/>
  <c r="V58" i="109"/>
  <c r="V60" i="109"/>
  <c r="T57" i="109"/>
  <c r="T67" i="109" s="1"/>
  <c r="AM57" i="109"/>
  <c r="AM67" i="109" s="1"/>
  <c r="T58" i="109"/>
  <c r="AM58" i="109"/>
  <c r="T59" i="109"/>
  <c r="AM59" i="109"/>
  <c r="T60" i="109"/>
  <c r="T62" i="109"/>
  <c r="AM62" i="109"/>
  <c r="U57" i="109"/>
  <c r="U67" i="109" s="1"/>
  <c r="AN57" i="109"/>
  <c r="U58" i="109"/>
  <c r="AN58" i="109"/>
  <c r="U59" i="109"/>
  <c r="AN59" i="109"/>
  <c r="U60" i="109"/>
  <c r="U62" i="109"/>
  <c r="AN62" i="109"/>
  <c r="V57" i="109"/>
  <c r="AO62" i="109"/>
  <c r="W57" i="109"/>
  <c r="AP57" i="109"/>
  <c r="W58" i="109"/>
  <c r="AP58" i="109"/>
  <c r="W59" i="109"/>
  <c r="AP59" i="109"/>
  <c r="W60" i="109"/>
  <c r="W62" i="109"/>
  <c r="AP62" i="109"/>
  <c r="AO57" i="109"/>
  <c r="X57" i="109"/>
  <c r="AQ57" i="109"/>
  <c r="X58" i="109"/>
  <c r="AQ58" i="109"/>
  <c r="X59" i="109"/>
  <c r="AQ59" i="109"/>
  <c r="X60" i="109"/>
  <c r="X62" i="109"/>
  <c r="AQ62" i="109"/>
  <c r="AO58" i="109"/>
  <c r="Y57" i="109"/>
  <c r="AR57" i="109"/>
  <c r="AR67" i="109" s="1"/>
  <c r="Y58" i="109"/>
  <c r="AR58" i="109"/>
  <c r="Y59" i="109"/>
  <c r="Y60" i="109"/>
  <c r="Y62" i="109"/>
  <c r="Y67" i="109" l="1"/>
  <c r="X67" i="109"/>
  <c r="AL67" i="109"/>
  <c r="AO67" i="109"/>
  <c r="AP67" i="109"/>
  <c r="S67" i="109"/>
  <c r="W67" i="109"/>
  <c r="AK67" i="109"/>
  <c r="AQ67" i="109"/>
  <c r="R67" i="109"/>
  <c r="V67" i="109"/>
  <c r="AN67" i="109"/>
  <c r="G38" i="81" l="1"/>
  <c r="H38" i="81"/>
  <c r="I38" i="81"/>
  <c r="J38" i="81"/>
  <c r="K38" i="81"/>
  <c r="L38" i="81"/>
  <c r="M38" i="81"/>
  <c r="G39" i="81"/>
  <c r="G40" i="81"/>
  <c r="H40" i="81"/>
  <c r="H39" i="81" s="1"/>
  <c r="I40" i="81"/>
  <c r="I39" i="81" s="1"/>
  <c r="J40" i="81"/>
  <c r="J39" i="81" s="1"/>
  <c r="K40" i="81"/>
  <c r="K39" i="81" s="1"/>
  <c r="L40" i="81"/>
  <c r="L39" i="81" s="1"/>
  <c r="M40" i="81"/>
  <c r="M39" i="81" s="1"/>
  <c r="G42" i="81"/>
  <c r="H42" i="81"/>
  <c r="I42" i="81"/>
  <c r="J42" i="81"/>
  <c r="K42" i="81"/>
  <c r="L42" i="81"/>
  <c r="M42" i="81"/>
  <c r="G44" i="81"/>
  <c r="H44" i="81"/>
  <c r="I44" i="81"/>
  <c r="J44" i="81"/>
  <c r="K44" i="81"/>
  <c r="L44" i="81"/>
  <c r="M44" i="81"/>
  <c r="I45" i="81"/>
  <c r="K45" i="81"/>
  <c r="M45" i="81"/>
  <c r="G46" i="81"/>
  <c r="G45" i="81" s="1"/>
  <c r="H46" i="81"/>
  <c r="H45" i="81" s="1"/>
  <c r="I46" i="81"/>
  <c r="J46" i="81"/>
  <c r="J45" i="81" s="1"/>
  <c r="K46" i="81"/>
  <c r="L46" i="81"/>
  <c r="L45" i="81" s="1"/>
  <c r="M46" i="81"/>
  <c r="G47" i="81"/>
  <c r="H47" i="81"/>
  <c r="I47" i="81"/>
  <c r="J47" i="81"/>
  <c r="K47" i="81"/>
  <c r="L47" i="81"/>
  <c r="M47" i="81"/>
  <c r="G48" i="81"/>
  <c r="H48" i="81"/>
  <c r="I48" i="81"/>
  <c r="J48" i="81"/>
  <c r="K48" i="81"/>
  <c r="L48" i="81"/>
  <c r="M48" i="81"/>
  <c r="G43" i="79"/>
  <c r="H43" i="79"/>
  <c r="I43" i="79"/>
  <c r="J43" i="79"/>
  <c r="K43" i="79"/>
  <c r="L43" i="79"/>
  <c r="M43" i="79"/>
  <c r="G40" i="79"/>
  <c r="H40" i="79"/>
  <c r="I40" i="79"/>
  <c r="J40" i="79"/>
  <c r="K40" i="79"/>
  <c r="L40" i="79"/>
  <c r="M40" i="79"/>
  <c r="F40" i="79"/>
  <c r="G34" i="79"/>
  <c r="H34" i="79"/>
  <c r="I34" i="79"/>
  <c r="J34" i="79"/>
  <c r="K34" i="79"/>
  <c r="L34" i="79"/>
  <c r="M34" i="79"/>
  <c r="G35" i="79"/>
  <c r="H35" i="79"/>
  <c r="I35" i="79"/>
  <c r="J35" i="79"/>
  <c r="K35" i="79"/>
  <c r="L35" i="79"/>
  <c r="M35" i="79"/>
  <c r="G38" i="79"/>
  <c r="H38" i="79"/>
  <c r="I38" i="79"/>
  <c r="J38" i="79"/>
  <c r="K38" i="79"/>
  <c r="L38" i="79"/>
  <c r="M38" i="79"/>
  <c r="G41" i="79"/>
  <c r="H41" i="79"/>
  <c r="I41" i="79"/>
  <c r="J41" i="79"/>
  <c r="K41" i="79"/>
  <c r="L41" i="79"/>
  <c r="M41" i="79"/>
  <c r="G44" i="79"/>
  <c r="H44" i="79"/>
  <c r="I44" i="79"/>
  <c r="J44" i="79"/>
  <c r="K44" i="79"/>
  <c r="L44" i="79"/>
  <c r="M44" i="79"/>
  <c r="F44" i="79"/>
  <c r="AL60" i="71"/>
  <c r="AM60" i="71"/>
  <c r="AN60" i="71"/>
  <c r="AO60" i="71"/>
  <c r="AP60" i="71"/>
  <c r="AQ60" i="71"/>
  <c r="AR60" i="71"/>
  <c r="AS60" i="71"/>
  <c r="AM59" i="71"/>
  <c r="AN59" i="71"/>
  <c r="AO59" i="71"/>
  <c r="AP59" i="71"/>
  <c r="AQ59" i="71"/>
  <c r="AR59" i="71"/>
  <c r="AS59" i="71"/>
  <c r="AL59" i="71"/>
  <c r="P153" i="71"/>
  <c r="O153" i="71"/>
  <c r="N153" i="71"/>
  <c r="M153" i="71"/>
  <c r="L153" i="71"/>
  <c r="K153" i="71"/>
  <c r="J153" i="71"/>
  <c r="I153" i="71"/>
  <c r="H153" i="71"/>
  <c r="G153" i="71"/>
  <c r="F153" i="71"/>
  <c r="P152" i="71"/>
  <c r="O152" i="71"/>
  <c r="N152" i="71"/>
  <c r="M152" i="71"/>
  <c r="L152" i="71"/>
  <c r="K152" i="71"/>
  <c r="J152" i="71"/>
  <c r="I152" i="71"/>
  <c r="H152" i="71"/>
  <c r="G152" i="71"/>
  <c r="F152" i="71"/>
  <c r="P151" i="71"/>
  <c r="O151" i="71"/>
  <c r="N151" i="71"/>
  <c r="M151" i="71"/>
  <c r="L151" i="71"/>
  <c r="K151" i="71"/>
  <c r="J151" i="71"/>
  <c r="I151" i="71"/>
  <c r="D118" i="75"/>
  <c r="H250" i="71"/>
  <c r="I250" i="71"/>
  <c r="J250" i="71"/>
  <c r="K250" i="71"/>
  <c r="L250" i="71"/>
  <c r="M250" i="71"/>
  <c r="N250" i="71"/>
  <c r="G250" i="71"/>
  <c r="R243" i="71"/>
  <c r="S243" i="71"/>
  <c r="T243" i="71"/>
  <c r="U243" i="71"/>
  <c r="V243" i="71"/>
  <c r="W243" i="71"/>
  <c r="X243" i="71"/>
  <c r="Q243" i="71"/>
  <c r="R242" i="71"/>
  <c r="S242" i="71"/>
  <c r="T242" i="71"/>
  <c r="U242" i="71"/>
  <c r="V242" i="71"/>
  <c r="W242" i="71"/>
  <c r="X242" i="71"/>
  <c r="Q242" i="71"/>
  <c r="Q244" i="71" s="1"/>
  <c r="R241" i="71"/>
  <c r="S241" i="71"/>
  <c r="T241" i="71"/>
  <c r="U241" i="71"/>
  <c r="V241" i="71"/>
  <c r="W241" i="71"/>
  <c r="X241" i="71"/>
  <c r="Q241" i="71"/>
  <c r="R240" i="71"/>
  <c r="S240" i="71"/>
  <c r="T240" i="71"/>
  <c r="U240" i="71"/>
  <c r="V240" i="71"/>
  <c r="W240" i="71"/>
  <c r="X240" i="71"/>
  <c r="Q240" i="71"/>
  <c r="R239" i="71"/>
  <c r="S239" i="71"/>
  <c r="T239" i="71"/>
  <c r="U239" i="71"/>
  <c r="V239" i="71"/>
  <c r="W239" i="71"/>
  <c r="X239" i="71"/>
  <c r="X244" i="71" s="1"/>
  <c r="Q239" i="71"/>
  <c r="U244" i="71"/>
  <c r="T244" i="71"/>
  <c r="H232" i="71"/>
  <c r="I232" i="71"/>
  <c r="J232" i="71"/>
  <c r="K232" i="71"/>
  <c r="L232" i="71"/>
  <c r="M232" i="71"/>
  <c r="N232" i="71"/>
  <c r="G232" i="71"/>
  <c r="R229" i="71"/>
  <c r="S229" i="71"/>
  <c r="T229" i="71"/>
  <c r="U229" i="71"/>
  <c r="V229" i="71"/>
  <c r="W229" i="71"/>
  <c r="X229" i="71"/>
  <c r="Q229" i="71"/>
  <c r="R228" i="71"/>
  <c r="S228" i="71"/>
  <c r="T228" i="71"/>
  <c r="U228" i="71"/>
  <c r="V228" i="71"/>
  <c r="W228" i="71"/>
  <c r="X228" i="71"/>
  <c r="Q228" i="71"/>
  <c r="R226" i="71"/>
  <c r="S226" i="71"/>
  <c r="T226" i="71"/>
  <c r="U226" i="71"/>
  <c r="V226" i="71"/>
  <c r="W226" i="71"/>
  <c r="X226" i="71"/>
  <c r="Q226" i="71"/>
  <c r="R225" i="71"/>
  <c r="S225" i="71"/>
  <c r="T225" i="71"/>
  <c r="U225" i="71"/>
  <c r="V225" i="71"/>
  <c r="W225" i="71"/>
  <c r="X225" i="71"/>
  <c r="Q225" i="71"/>
  <c r="R224" i="71"/>
  <c r="S224" i="71"/>
  <c r="T224" i="71"/>
  <c r="U224" i="71"/>
  <c r="V224" i="71"/>
  <c r="W224" i="71"/>
  <c r="X224" i="71"/>
  <c r="Q224" i="71"/>
  <c r="T170" i="71"/>
  <c r="U170" i="71"/>
  <c r="V170" i="71"/>
  <c r="W170" i="71"/>
  <c r="X170" i="71"/>
  <c r="Y170" i="71"/>
  <c r="Z170" i="71"/>
  <c r="S170" i="71"/>
  <c r="T169" i="71"/>
  <c r="U169" i="71"/>
  <c r="V169" i="71"/>
  <c r="W169" i="71"/>
  <c r="X169" i="71"/>
  <c r="Y169" i="71"/>
  <c r="Z169" i="71"/>
  <c r="S169" i="71"/>
  <c r="T197" i="71"/>
  <c r="U197" i="71"/>
  <c r="V197" i="71"/>
  <c r="W197" i="71"/>
  <c r="X197" i="71"/>
  <c r="Y197" i="71"/>
  <c r="Z197" i="71"/>
  <c r="S197" i="71"/>
  <c r="T196" i="71"/>
  <c r="U196" i="71"/>
  <c r="V196" i="71"/>
  <c r="W196" i="71"/>
  <c r="X196" i="71"/>
  <c r="Y196" i="71"/>
  <c r="Z196" i="71"/>
  <c r="S196" i="71"/>
  <c r="S191" i="71"/>
  <c r="T195" i="71"/>
  <c r="U195" i="71"/>
  <c r="V195" i="71"/>
  <c r="W195" i="71"/>
  <c r="X195" i="71"/>
  <c r="Y195" i="71"/>
  <c r="Z195" i="71"/>
  <c r="S195" i="71"/>
  <c r="T194" i="71"/>
  <c r="U194" i="71"/>
  <c r="V194" i="71"/>
  <c r="W194" i="71"/>
  <c r="X194" i="71"/>
  <c r="Y194" i="71"/>
  <c r="Z194" i="71"/>
  <c r="S194" i="71"/>
  <c r="T193" i="71"/>
  <c r="U193" i="71"/>
  <c r="V193" i="71"/>
  <c r="W193" i="71"/>
  <c r="X193" i="71"/>
  <c r="Y193" i="71"/>
  <c r="Z193" i="71"/>
  <c r="S193" i="71"/>
  <c r="T192" i="71"/>
  <c r="U192" i="71"/>
  <c r="V192" i="71"/>
  <c r="W192" i="71"/>
  <c r="X192" i="71"/>
  <c r="Y192" i="71"/>
  <c r="Z192" i="71"/>
  <c r="S192" i="71"/>
  <c r="T191" i="71"/>
  <c r="U191" i="71"/>
  <c r="V191" i="71"/>
  <c r="W191" i="71"/>
  <c r="X191" i="71"/>
  <c r="Y191" i="71"/>
  <c r="Z191" i="71"/>
  <c r="T168" i="71"/>
  <c r="U168" i="71"/>
  <c r="V168" i="71"/>
  <c r="W168" i="71"/>
  <c r="X168" i="71"/>
  <c r="Y168" i="71"/>
  <c r="Z168" i="71"/>
  <c r="S168" i="71"/>
  <c r="T167" i="71"/>
  <c r="U167" i="71"/>
  <c r="V167" i="71"/>
  <c r="W167" i="71"/>
  <c r="X167" i="71"/>
  <c r="Y167" i="71"/>
  <c r="Z167" i="71"/>
  <c r="S167" i="71"/>
  <c r="T166" i="71"/>
  <c r="U166" i="71"/>
  <c r="V166" i="71"/>
  <c r="W166" i="71"/>
  <c r="X166" i="71"/>
  <c r="Y166" i="71"/>
  <c r="Z166" i="71"/>
  <c r="S166" i="71"/>
  <c r="T164" i="71"/>
  <c r="U164" i="71"/>
  <c r="V164" i="71"/>
  <c r="W164" i="71"/>
  <c r="X164" i="71"/>
  <c r="Y164" i="71"/>
  <c r="Z164" i="71"/>
  <c r="S164" i="71"/>
  <c r="AJ9" i="103"/>
  <c r="AK9" i="103"/>
  <c r="AL9" i="103"/>
  <c r="AM9" i="103"/>
  <c r="AN9" i="103"/>
  <c r="AO9" i="103"/>
  <c r="AP9" i="103"/>
  <c r="AQ9" i="103"/>
  <c r="AJ10" i="103"/>
  <c r="AK10" i="103"/>
  <c r="AL10" i="103"/>
  <c r="AM10" i="103"/>
  <c r="AN10" i="103"/>
  <c r="AO10" i="103"/>
  <c r="AP10" i="103"/>
  <c r="AQ10" i="103"/>
  <c r="AJ11" i="103"/>
  <c r="AK11" i="103"/>
  <c r="AL11" i="103"/>
  <c r="AM11" i="103"/>
  <c r="AN11" i="103"/>
  <c r="AO11" i="103"/>
  <c r="AP11" i="103"/>
  <c r="AQ11" i="103"/>
  <c r="AQ8" i="103"/>
  <c r="AK8" i="103"/>
  <c r="AL8" i="103"/>
  <c r="AM8" i="103"/>
  <c r="AN8" i="103"/>
  <c r="AO8" i="103"/>
  <c r="AP8" i="103"/>
  <c r="AJ8" i="103"/>
  <c r="AG20" i="104"/>
  <c r="AH20" i="104"/>
  <c r="AI20" i="104"/>
  <c r="AJ20" i="104"/>
  <c r="AK20" i="104"/>
  <c r="AL20" i="104"/>
  <c r="AM20" i="104"/>
  <c r="AN20" i="104"/>
  <c r="AG14" i="104"/>
  <c r="AH14" i="104"/>
  <c r="AI14" i="104"/>
  <c r="AJ14" i="104"/>
  <c r="AK14" i="104"/>
  <c r="AL14" i="104"/>
  <c r="AM14" i="104"/>
  <c r="AN14" i="104"/>
  <c r="AG15" i="104"/>
  <c r="AH15" i="104"/>
  <c r="AI15" i="104"/>
  <c r="AJ15" i="104"/>
  <c r="AK15" i="104"/>
  <c r="AL15" i="104"/>
  <c r="AM15" i="104"/>
  <c r="AN15" i="104"/>
  <c r="AG16" i="104"/>
  <c r="AH16" i="104"/>
  <c r="AI16" i="104"/>
  <c r="AJ16" i="104"/>
  <c r="AK16" i="104"/>
  <c r="AL16" i="104"/>
  <c r="AM16" i="104"/>
  <c r="AN16" i="104"/>
  <c r="AG17" i="104"/>
  <c r="AH17" i="104"/>
  <c r="AI17" i="104"/>
  <c r="AJ17" i="104"/>
  <c r="AK17" i="104"/>
  <c r="AL17" i="104"/>
  <c r="AM17" i="104"/>
  <c r="AN17" i="104"/>
  <c r="AG18" i="104"/>
  <c r="AH18" i="104"/>
  <c r="AI18" i="104"/>
  <c r="AJ18" i="104"/>
  <c r="AK18" i="104"/>
  <c r="AL18" i="104"/>
  <c r="AM18" i="104"/>
  <c r="AN18" i="104"/>
  <c r="AG19" i="104"/>
  <c r="AH19" i="104"/>
  <c r="AI19" i="104"/>
  <c r="AJ19" i="104"/>
  <c r="AK19" i="104"/>
  <c r="AL19" i="104"/>
  <c r="AM19" i="104"/>
  <c r="AN19" i="104"/>
  <c r="AM13" i="104"/>
  <c r="AN13" i="104"/>
  <c r="AH13" i="104"/>
  <c r="AI13" i="104"/>
  <c r="AJ13" i="104"/>
  <c r="AK13" i="104"/>
  <c r="AL13" i="104"/>
  <c r="AG13" i="104"/>
  <c r="AM10" i="104"/>
  <c r="AN10" i="104"/>
  <c r="AO10" i="104"/>
  <c r="AP10" i="104"/>
  <c r="AQ10" i="104"/>
  <c r="AR10" i="104"/>
  <c r="AS10" i="104"/>
  <c r="AT10" i="104"/>
  <c r="AU10" i="104"/>
  <c r="AV10" i="104"/>
  <c r="AL10" i="104"/>
  <c r="AP6" i="103"/>
  <c r="AQ6" i="103"/>
  <c r="AR6" i="103"/>
  <c r="AS6" i="103"/>
  <c r="AT6" i="103"/>
  <c r="AU6" i="103"/>
  <c r="AV6" i="103"/>
  <c r="AW6" i="103"/>
  <c r="AX6" i="103"/>
  <c r="AY6" i="103"/>
  <c r="AO6" i="103"/>
  <c r="AN153" i="91"/>
  <c r="AO153" i="91"/>
  <c r="AP153" i="91"/>
  <c r="AQ153" i="91"/>
  <c r="AR153" i="91"/>
  <c r="AS153" i="91"/>
  <c r="AL153" i="91"/>
  <c r="AM153" i="91"/>
  <c r="AM152" i="91"/>
  <c r="AN152" i="91"/>
  <c r="AO152" i="91"/>
  <c r="AP152" i="91"/>
  <c r="AQ152" i="91"/>
  <c r="AR152" i="91"/>
  <c r="AS152" i="91"/>
  <c r="AL152" i="91"/>
  <c r="AM146" i="91"/>
  <c r="AN146" i="91"/>
  <c r="AO146" i="91"/>
  <c r="AP146" i="91"/>
  <c r="AQ146" i="91"/>
  <c r="AR146" i="91"/>
  <c r="AS146" i="91"/>
  <c r="AL146" i="91"/>
  <c r="AX89" i="100"/>
  <c r="AY89" i="100"/>
  <c r="AZ89" i="100"/>
  <c r="BA89" i="100"/>
  <c r="BB89" i="100"/>
  <c r="BC89" i="100"/>
  <c r="BD89" i="100"/>
  <c r="AX88" i="100"/>
  <c r="AY88" i="100"/>
  <c r="AZ88" i="100"/>
  <c r="BA88" i="100"/>
  <c r="BB88" i="100"/>
  <c r="BC88" i="100"/>
  <c r="BD88" i="100"/>
  <c r="AW88" i="100"/>
  <c r="AX81" i="100"/>
  <c r="AY81" i="100"/>
  <c r="AZ81" i="100"/>
  <c r="BA81" i="100"/>
  <c r="BB81" i="100"/>
  <c r="BC81" i="100"/>
  <c r="BD81" i="100"/>
  <c r="AW81" i="100"/>
  <c r="AW80" i="100"/>
  <c r="L48" i="79" l="1"/>
  <c r="M48" i="79"/>
  <c r="J48" i="79"/>
  <c r="I48" i="79"/>
  <c r="H48" i="79"/>
  <c r="G48" i="79"/>
  <c r="K48" i="79"/>
  <c r="W244" i="71"/>
  <c r="R244" i="71"/>
  <c r="S244" i="71"/>
  <c r="V244" i="71"/>
  <c r="AE51" i="108" l="1"/>
  <c r="AF51" i="108"/>
  <c r="AG51" i="108"/>
  <c r="AH51" i="108"/>
  <c r="AI51" i="108"/>
  <c r="AJ51" i="108"/>
  <c r="AK51" i="108"/>
  <c r="AL51" i="108"/>
  <c r="AM51" i="108"/>
  <c r="AN51" i="108"/>
  <c r="AO51" i="108"/>
  <c r="AP51" i="108"/>
  <c r="AQ51" i="108"/>
  <c r="AR51" i="108"/>
  <c r="AS51" i="108"/>
  <c r="AE52" i="108"/>
  <c r="AF52" i="108"/>
  <c r="AG52" i="108"/>
  <c r="AH52" i="108"/>
  <c r="AI52" i="108"/>
  <c r="AJ52" i="108"/>
  <c r="AK52" i="108"/>
  <c r="AL52" i="108"/>
  <c r="AM52" i="108"/>
  <c r="AN52" i="108"/>
  <c r="AO52" i="108"/>
  <c r="AP52" i="108"/>
  <c r="AQ52" i="108"/>
  <c r="AR52" i="108"/>
  <c r="AS52" i="108"/>
  <c r="AE53" i="108"/>
  <c r="AF53" i="108"/>
  <c r="AG53" i="108"/>
  <c r="AH53" i="108"/>
  <c r="AI53" i="108"/>
  <c r="AJ53" i="108"/>
  <c r="AK53" i="108"/>
  <c r="AL53" i="108"/>
  <c r="AM53" i="108"/>
  <c r="AN53" i="108"/>
  <c r="AO53" i="108"/>
  <c r="AP53" i="108"/>
  <c r="AQ53" i="108"/>
  <c r="AR53" i="108"/>
  <c r="AS53" i="108"/>
  <c r="AF50" i="108"/>
  <c r="AG50" i="108"/>
  <c r="AH50" i="108"/>
  <c r="AI50" i="108"/>
  <c r="AJ50" i="108"/>
  <c r="AK50" i="108"/>
  <c r="AL50" i="108"/>
  <c r="AM50" i="108"/>
  <c r="AN50" i="108"/>
  <c r="AO50" i="108"/>
  <c r="AP50" i="108"/>
  <c r="AQ50" i="108"/>
  <c r="AR50" i="108"/>
  <c r="AS50" i="108"/>
  <c r="AE50" i="108"/>
  <c r="AE40" i="108" l="1"/>
  <c r="AF40" i="108"/>
  <c r="AG40" i="108"/>
  <c r="AH40" i="108"/>
  <c r="AI40" i="108"/>
  <c r="AJ40" i="108"/>
  <c r="AK40" i="108"/>
  <c r="AL40" i="108"/>
  <c r="AM40" i="108"/>
  <c r="AN40" i="108"/>
  <c r="AO40" i="108"/>
  <c r="AP40" i="108"/>
  <c r="AQ40" i="108"/>
  <c r="AR40" i="108"/>
  <c r="AS40" i="108"/>
  <c r="AT40" i="108"/>
  <c r="AU40" i="108"/>
  <c r="AE41" i="108"/>
  <c r="AF41" i="108"/>
  <c r="AG41" i="108"/>
  <c r="AH41" i="108"/>
  <c r="AI41" i="108"/>
  <c r="AJ41" i="108"/>
  <c r="AK41" i="108"/>
  <c r="AL41" i="108"/>
  <c r="AM41" i="108"/>
  <c r="AN41" i="108"/>
  <c r="AO41" i="108"/>
  <c r="AP41" i="108"/>
  <c r="AQ41" i="108"/>
  <c r="AR41" i="108"/>
  <c r="AS41" i="108"/>
  <c r="AT41" i="108"/>
  <c r="AU41" i="108"/>
  <c r="AE42" i="108"/>
  <c r="AF42" i="108"/>
  <c r="AG42" i="108"/>
  <c r="AH42" i="108"/>
  <c r="AI42" i="108"/>
  <c r="AJ42" i="108"/>
  <c r="AK42" i="108"/>
  <c r="AL42" i="108"/>
  <c r="AM42" i="108"/>
  <c r="AN42" i="108"/>
  <c r="AO42" i="108"/>
  <c r="AP42" i="108"/>
  <c r="AQ42" i="108"/>
  <c r="AR42" i="108"/>
  <c r="AS42" i="108"/>
  <c r="AT42" i="108"/>
  <c r="AU42" i="108"/>
  <c r="AF39" i="108"/>
  <c r="AG39" i="108"/>
  <c r="AH39" i="108"/>
  <c r="AI39" i="108"/>
  <c r="AJ39" i="108"/>
  <c r="AK39" i="108"/>
  <c r="AL39" i="108"/>
  <c r="AM39" i="108"/>
  <c r="AN39" i="108"/>
  <c r="AO39" i="108"/>
  <c r="AP39" i="108"/>
  <c r="AQ39" i="108"/>
  <c r="AR39" i="108"/>
  <c r="AS39" i="108"/>
  <c r="AT39" i="108"/>
  <c r="AU39" i="108"/>
  <c r="AE39" i="108"/>
  <c r="AE38" i="108"/>
  <c r="AF38" i="108"/>
  <c r="AG38" i="108"/>
  <c r="AH38" i="108"/>
  <c r="AI38" i="108"/>
  <c r="AJ38" i="108"/>
  <c r="AK38" i="108"/>
  <c r="AL38" i="108"/>
  <c r="AM38" i="108"/>
  <c r="AN38" i="108"/>
  <c r="AO38" i="108"/>
  <c r="AP38" i="108"/>
  <c r="AQ38" i="108"/>
  <c r="AR38" i="108"/>
  <c r="AS38" i="108"/>
  <c r="AT38" i="108"/>
  <c r="AU38" i="108"/>
  <c r="AF37" i="108"/>
  <c r="AG37" i="108"/>
  <c r="AH37" i="108"/>
  <c r="AI37" i="108"/>
  <c r="AJ37" i="108"/>
  <c r="AK37" i="108"/>
  <c r="AL37" i="108"/>
  <c r="AM37" i="108"/>
  <c r="AN37" i="108"/>
  <c r="AO37" i="108"/>
  <c r="AP37" i="108"/>
  <c r="AQ37" i="108"/>
  <c r="AR37" i="108"/>
  <c r="AS37" i="108"/>
  <c r="AT37" i="108"/>
  <c r="AU37" i="108"/>
  <c r="AE37" i="108"/>
  <c r="AE34" i="108"/>
  <c r="AF34" i="108"/>
  <c r="AG34" i="108"/>
  <c r="AH34" i="108"/>
  <c r="AI34" i="108"/>
  <c r="AJ34" i="108"/>
  <c r="AE35" i="108"/>
  <c r="AF35" i="108"/>
  <c r="AG35" i="108"/>
  <c r="AH35" i="108"/>
  <c r="AI35" i="108"/>
  <c r="AJ35" i="108"/>
  <c r="AF33" i="108"/>
  <c r="AG33" i="108"/>
  <c r="AH33" i="108"/>
  <c r="AI33" i="108"/>
  <c r="AJ33" i="108"/>
  <c r="AE33" i="108"/>
  <c r="AE26" i="108"/>
  <c r="AF26" i="108"/>
  <c r="AG26" i="108"/>
  <c r="AH26" i="108"/>
  <c r="AI26" i="108"/>
  <c r="AJ26" i="108"/>
  <c r="AE27" i="108"/>
  <c r="AF27" i="108"/>
  <c r="AG27" i="108"/>
  <c r="AH27" i="108"/>
  <c r="AI27" i="108"/>
  <c r="AJ27" i="108"/>
  <c r="AE28" i="108"/>
  <c r="AF28" i="108"/>
  <c r="AG28" i="108"/>
  <c r="AH28" i="108"/>
  <c r="AI28" i="108"/>
  <c r="AJ28" i="108"/>
  <c r="AE29" i="108"/>
  <c r="AF29" i="108"/>
  <c r="AG29" i="108"/>
  <c r="AH29" i="108"/>
  <c r="AI29" i="108"/>
  <c r="AJ29" i="108"/>
  <c r="AE30" i="108"/>
  <c r="AF30" i="108"/>
  <c r="AG30" i="108"/>
  <c r="AH30" i="108"/>
  <c r="AI30" i="108"/>
  <c r="AJ30" i="108"/>
  <c r="AE31" i="108"/>
  <c r="AF31" i="108"/>
  <c r="AG31" i="108"/>
  <c r="AH31" i="108"/>
  <c r="AI31" i="108"/>
  <c r="AJ31" i="108"/>
  <c r="AE25" i="108"/>
  <c r="AF25" i="108"/>
  <c r="AG25" i="108"/>
  <c r="AH25" i="108"/>
  <c r="AI25" i="108"/>
  <c r="AJ25" i="108"/>
  <c r="AF24" i="108"/>
  <c r="AG24" i="108"/>
  <c r="AH24" i="108"/>
  <c r="AI24" i="108"/>
  <c r="AJ24" i="108"/>
  <c r="AE24" i="108"/>
  <c r="AE12" i="108"/>
  <c r="AF12" i="108"/>
  <c r="AG12" i="108"/>
  <c r="AH12" i="108"/>
  <c r="AI12" i="108"/>
  <c r="AJ12" i="108"/>
  <c r="AE13" i="108"/>
  <c r="AF13" i="108"/>
  <c r="AG13" i="108"/>
  <c r="AH13" i="108"/>
  <c r="AI13" i="108"/>
  <c r="AJ13" i="108"/>
  <c r="AE14" i="108"/>
  <c r="AF14" i="108"/>
  <c r="AG14" i="108"/>
  <c r="AH14" i="108"/>
  <c r="AI14" i="108"/>
  <c r="AJ14" i="108"/>
  <c r="AE15" i="108"/>
  <c r="AF15" i="108"/>
  <c r="AG15" i="108"/>
  <c r="AH15" i="108"/>
  <c r="AI15" i="108"/>
  <c r="AJ15" i="108"/>
  <c r="AE16" i="108"/>
  <c r="AF16" i="108"/>
  <c r="AG16" i="108"/>
  <c r="AH16" i="108"/>
  <c r="AI16" i="108"/>
  <c r="AJ16" i="108"/>
  <c r="AE17" i="108"/>
  <c r="AF17" i="108"/>
  <c r="AG17" i="108"/>
  <c r="AH17" i="108"/>
  <c r="AI17" i="108"/>
  <c r="AJ17" i="108"/>
  <c r="AE18" i="108"/>
  <c r="AF18" i="108"/>
  <c r="AG18" i="108"/>
  <c r="AH18" i="108"/>
  <c r="AI18" i="108"/>
  <c r="AJ18" i="108"/>
  <c r="AE19" i="108"/>
  <c r="AF19" i="108"/>
  <c r="AG19" i="108"/>
  <c r="AH19" i="108"/>
  <c r="AI19" i="108"/>
  <c r="AJ19" i="108"/>
  <c r="AE20" i="108"/>
  <c r="AF20" i="108"/>
  <c r="AG20" i="108"/>
  <c r="AH20" i="108"/>
  <c r="AI20" i="108"/>
  <c r="AJ20" i="108"/>
  <c r="AE21" i="108"/>
  <c r="AF21" i="108"/>
  <c r="AG21" i="108"/>
  <c r="AH21" i="108"/>
  <c r="AI21" i="108"/>
  <c r="AJ21" i="108"/>
  <c r="AE22" i="108"/>
  <c r="AF22" i="108"/>
  <c r="AG22" i="108"/>
  <c r="AH22" i="108"/>
  <c r="AI22" i="108"/>
  <c r="AJ22" i="108"/>
  <c r="AF11" i="108"/>
  <c r="AG11" i="108"/>
  <c r="AH11" i="108"/>
  <c r="AI11" i="108"/>
  <c r="AJ11" i="108"/>
  <c r="AE11" i="108"/>
  <c r="AE4" i="108"/>
  <c r="AF4" i="108"/>
  <c r="AG4" i="108"/>
  <c r="AH4" i="108"/>
  <c r="AI4" i="108"/>
  <c r="AJ4" i="108"/>
  <c r="AE5" i="108"/>
  <c r="AF5" i="108"/>
  <c r="AG5" i="108"/>
  <c r="AH5" i="108"/>
  <c r="AI5" i="108"/>
  <c r="AJ5" i="108"/>
  <c r="AE6" i="108"/>
  <c r="AF6" i="108"/>
  <c r="AG6" i="108"/>
  <c r="AH6" i="108"/>
  <c r="AI6" i="108"/>
  <c r="AJ6" i="108"/>
  <c r="AE7" i="108"/>
  <c r="AF7" i="108"/>
  <c r="AG7" i="108"/>
  <c r="AH7" i="108"/>
  <c r="AI7" i="108"/>
  <c r="AJ7" i="108"/>
  <c r="AE8" i="108"/>
  <c r="AF8" i="108"/>
  <c r="AG8" i="108"/>
  <c r="AH8" i="108"/>
  <c r="AI8" i="108"/>
  <c r="AJ8" i="108"/>
  <c r="AE9" i="108"/>
  <c r="AF9" i="108"/>
  <c r="AG9" i="108"/>
  <c r="AH9" i="108"/>
  <c r="AI9" i="108"/>
  <c r="AJ9" i="108"/>
  <c r="AF3" i="108"/>
  <c r="AG3" i="108"/>
  <c r="AH3" i="108"/>
  <c r="AI3" i="108"/>
  <c r="AJ3" i="108"/>
  <c r="AR46" i="108"/>
  <c r="AE3" i="108"/>
  <c r="L51" i="108"/>
  <c r="M51" i="108"/>
  <c r="N51" i="108"/>
  <c r="O51" i="108"/>
  <c r="P51" i="108"/>
  <c r="Q51" i="108"/>
  <c r="R51" i="108"/>
  <c r="S51" i="108"/>
  <c r="T51" i="108"/>
  <c r="U51" i="108"/>
  <c r="V51" i="108"/>
  <c r="W51" i="108"/>
  <c r="X51" i="108"/>
  <c r="Y51" i="108"/>
  <c r="Z51" i="108"/>
  <c r="L52" i="108"/>
  <c r="M52" i="108"/>
  <c r="N52" i="108"/>
  <c r="O52" i="108"/>
  <c r="P52" i="108"/>
  <c r="Q52" i="108"/>
  <c r="R52" i="108"/>
  <c r="S52" i="108"/>
  <c r="T52" i="108"/>
  <c r="U52" i="108"/>
  <c r="V52" i="108"/>
  <c r="W52" i="108"/>
  <c r="X52" i="108"/>
  <c r="Y52" i="108"/>
  <c r="Z52" i="108"/>
  <c r="L53" i="108"/>
  <c r="M53" i="108"/>
  <c r="N53" i="108"/>
  <c r="O53" i="108"/>
  <c r="P53" i="108"/>
  <c r="Q53" i="108"/>
  <c r="R53" i="108"/>
  <c r="S53" i="108"/>
  <c r="T53" i="108"/>
  <c r="U53" i="108"/>
  <c r="V53" i="108"/>
  <c r="W53" i="108"/>
  <c r="X53" i="108"/>
  <c r="Y53" i="108"/>
  <c r="Z53" i="108"/>
  <c r="M50" i="108"/>
  <c r="N50" i="108"/>
  <c r="O50" i="108"/>
  <c r="P50" i="108"/>
  <c r="Q50" i="108"/>
  <c r="R50" i="108"/>
  <c r="S50" i="108"/>
  <c r="T50" i="108"/>
  <c r="U50" i="108"/>
  <c r="V50" i="108"/>
  <c r="W50" i="108"/>
  <c r="X50" i="108"/>
  <c r="Y50" i="108"/>
  <c r="Z50" i="108"/>
  <c r="L50" i="108"/>
  <c r="L39" i="108"/>
  <c r="M39" i="108"/>
  <c r="N39" i="108"/>
  <c r="O39" i="108"/>
  <c r="P39" i="108"/>
  <c r="Q39" i="108"/>
  <c r="R39" i="108"/>
  <c r="S39" i="108"/>
  <c r="T39" i="108"/>
  <c r="U39" i="108"/>
  <c r="V39" i="108"/>
  <c r="W39" i="108"/>
  <c r="X39" i="108"/>
  <c r="Y39" i="108"/>
  <c r="Z39" i="108"/>
  <c r="AA39" i="108"/>
  <c r="AB39" i="108"/>
  <c r="L40" i="108"/>
  <c r="M40" i="108"/>
  <c r="N40" i="108"/>
  <c r="O40" i="108"/>
  <c r="P40" i="108"/>
  <c r="Q40" i="108"/>
  <c r="R40" i="108"/>
  <c r="S40" i="108"/>
  <c r="T40" i="108"/>
  <c r="U40" i="108"/>
  <c r="V40" i="108"/>
  <c r="W40" i="108"/>
  <c r="X40" i="108"/>
  <c r="Y40" i="108"/>
  <c r="Z40" i="108"/>
  <c r="AA40" i="108"/>
  <c r="AB40" i="108"/>
  <c r="L41" i="108"/>
  <c r="M41" i="108"/>
  <c r="N41" i="108"/>
  <c r="O41" i="108"/>
  <c r="P41" i="108"/>
  <c r="Q41" i="108"/>
  <c r="R41" i="108"/>
  <c r="S41" i="108"/>
  <c r="T41" i="108"/>
  <c r="U41" i="108"/>
  <c r="V41" i="108"/>
  <c r="W41" i="108"/>
  <c r="X41" i="108"/>
  <c r="Y41" i="108"/>
  <c r="Z41" i="108"/>
  <c r="AA41" i="108"/>
  <c r="AB41" i="108"/>
  <c r="M38" i="108"/>
  <c r="N38" i="108"/>
  <c r="O38" i="108"/>
  <c r="P38" i="108"/>
  <c r="Q38" i="108"/>
  <c r="R38" i="108"/>
  <c r="S38" i="108"/>
  <c r="T38" i="108"/>
  <c r="U38" i="108"/>
  <c r="V38" i="108"/>
  <c r="W38" i="108"/>
  <c r="X38" i="108"/>
  <c r="Y38" i="108"/>
  <c r="Z38" i="108"/>
  <c r="AA38" i="108"/>
  <c r="AB38" i="108"/>
  <c r="L38" i="108"/>
  <c r="M37" i="108"/>
  <c r="N37" i="108"/>
  <c r="O37" i="108"/>
  <c r="P37" i="108"/>
  <c r="Q37" i="108"/>
  <c r="R37" i="108"/>
  <c r="S37" i="108"/>
  <c r="T37" i="108"/>
  <c r="U37" i="108"/>
  <c r="V37" i="108"/>
  <c r="W37" i="108"/>
  <c r="X37" i="108"/>
  <c r="Y37" i="108"/>
  <c r="Z37" i="108"/>
  <c r="AA37" i="108"/>
  <c r="AB37" i="108"/>
  <c r="L37" i="108"/>
  <c r="L34" i="108"/>
  <c r="M34" i="108"/>
  <c r="N34" i="108"/>
  <c r="O34" i="108"/>
  <c r="P34" i="108"/>
  <c r="Q34" i="108"/>
  <c r="L35" i="108"/>
  <c r="M35" i="108"/>
  <c r="N35" i="108"/>
  <c r="O35" i="108"/>
  <c r="P35" i="108"/>
  <c r="Q35" i="108"/>
  <c r="M33" i="108"/>
  <c r="N33" i="108"/>
  <c r="O33" i="108"/>
  <c r="P33" i="108"/>
  <c r="Q33" i="108"/>
  <c r="L33" i="108"/>
  <c r="L28" i="108"/>
  <c r="M28" i="108"/>
  <c r="N28" i="108"/>
  <c r="O28" i="108"/>
  <c r="P28" i="108"/>
  <c r="Q28" i="108"/>
  <c r="L29" i="108"/>
  <c r="M29" i="108"/>
  <c r="N29" i="108"/>
  <c r="O29" i="108"/>
  <c r="P29" i="108"/>
  <c r="Q29" i="108"/>
  <c r="L30" i="108"/>
  <c r="M30" i="108"/>
  <c r="N30" i="108"/>
  <c r="O30" i="108"/>
  <c r="P30" i="108"/>
  <c r="Q30" i="108"/>
  <c r="L31" i="108"/>
  <c r="M31" i="108"/>
  <c r="N31" i="108"/>
  <c r="O31" i="108"/>
  <c r="P31" i="108"/>
  <c r="Q31" i="108"/>
  <c r="M27" i="108"/>
  <c r="N27" i="108"/>
  <c r="O27" i="108"/>
  <c r="P27" i="108"/>
  <c r="Q27" i="108"/>
  <c r="L27" i="108"/>
  <c r="L25" i="108"/>
  <c r="M25" i="108"/>
  <c r="N25" i="108"/>
  <c r="O25" i="108"/>
  <c r="P25" i="108"/>
  <c r="Q25" i="108"/>
  <c r="M24" i="108"/>
  <c r="N24" i="108"/>
  <c r="O24" i="108"/>
  <c r="P24" i="108"/>
  <c r="Q24" i="108"/>
  <c r="L24" i="108"/>
  <c r="L12" i="108"/>
  <c r="M12" i="108"/>
  <c r="N12" i="108"/>
  <c r="O12" i="108"/>
  <c r="P12" i="108"/>
  <c r="Q12" i="108"/>
  <c r="L13" i="108"/>
  <c r="M13" i="108"/>
  <c r="N13" i="108"/>
  <c r="O13" i="108"/>
  <c r="P13" i="108"/>
  <c r="Q13" i="108"/>
  <c r="L14" i="108"/>
  <c r="M14" i="108"/>
  <c r="N14" i="108"/>
  <c r="O14" i="108"/>
  <c r="P14" i="108"/>
  <c r="Q14" i="108"/>
  <c r="L15" i="108"/>
  <c r="M15" i="108"/>
  <c r="N15" i="108"/>
  <c r="O15" i="108"/>
  <c r="P15" i="108"/>
  <c r="Q15" i="108"/>
  <c r="L16" i="108"/>
  <c r="M16" i="108"/>
  <c r="N16" i="108"/>
  <c r="O16" i="108"/>
  <c r="P16" i="108"/>
  <c r="Q16" i="108"/>
  <c r="L17" i="108"/>
  <c r="M17" i="108"/>
  <c r="N17" i="108"/>
  <c r="O17" i="108"/>
  <c r="P17" i="108"/>
  <c r="Q17" i="108"/>
  <c r="L18" i="108"/>
  <c r="M18" i="108"/>
  <c r="N18" i="108"/>
  <c r="O18" i="108"/>
  <c r="P18" i="108"/>
  <c r="Q18" i="108"/>
  <c r="L19" i="108"/>
  <c r="M19" i="108"/>
  <c r="N19" i="108"/>
  <c r="O19" i="108"/>
  <c r="P19" i="108"/>
  <c r="Q19" i="108"/>
  <c r="L20" i="108"/>
  <c r="M20" i="108"/>
  <c r="N20" i="108"/>
  <c r="O20" i="108"/>
  <c r="P20" i="108"/>
  <c r="Q20" i="108"/>
  <c r="L21" i="108"/>
  <c r="M21" i="108"/>
  <c r="N21" i="108"/>
  <c r="O21" i="108"/>
  <c r="P21" i="108"/>
  <c r="Q21" i="108"/>
  <c r="L22" i="108"/>
  <c r="M22" i="108"/>
  <c r="N22" i="108"/>
  <c r="O22" i="108"/>
  <c r="P22" i="108"/>
  <c r="Q22" i="108"/>
  <c r="M11" i="108"/>
  <c r="N11" i="108"/>
  <c r="O11" i="108"/>
  <c r="P11" i="108"/>
  <c r="Q11" i="108"/>
  <c r="L11" i="108"/>
  <c r="L4" i="108"/>
  <c r="M4" i="108"/>
  <c r="N4" i="108"/>
  <c r="O4" i="108"/>
  <c r="P4" i="108"/>
  <c r="Q4" i="108"/>
  <c r="L5" i="108"/>
  <c r="M5" i="108"/>
  <c r="N5" i="108"/>
  <c r="O5" i="108"/>
  <c r="P5" i="108"/>
  <c r="Q5" i="108"/>
  <c r="L6" i="108"/>
  <c r="M6" i="108"/>
  <c r="N6" i="108"/>
  <c r="O6" i="108"/>
  <c r="P6" i="108"/>
  <c r="Q6" i="108"/>
  <c r="L7" i="108"/>
  <c r="M7" i="108"/>
  <c r="N7" i="108"/>
  <c r="O7" i="108"/>
  <c r="P7" i="108"/>
  <c r="Q7" i="108"/>
  <c r="L8" i="108"/>
  <c r="M8" i="108"/>
  <c r="N8" i="108"/>
  <c r="O8" i="108"/>
  <c r="P8" i="108"/>
  <c r="Q8" i="108"/>
  <c r="L9" i="108"/>
  <c r="M9" i="108"/>
  <c r="N9" i="108"/>
  <c r="O9" i="108"/>
  <c r="P9" i="108"/>
  <c r="Q9" i="108"/>
  <c r="M3" i="108"/>
  <c r="N3" i="108"/>
  <c r="O3" i="108"/>
  <c r="P3" i="108"/>
  <c r="Q3" i="108"/>
  <c r="Z46" i="108"/>
  <c r="L3" i="108"/>
  <c r="A50" i="107"/>
  <c r="B50" i="107"/>
  <c r="C50" i="107"/>
  <c r="D50" i="107"/>
  <c r="E50" i="107"/>
  <c r="F50" i="107"/>
  <c r="G50" i="107"/>
  <c r="H50" i="107"/>
  <c r="I50" i="107"/>
  <c r="J50" i="107"/>
  <c r="K50" i="107"/>
  <c r="H60" i="107" s="1"/>
  <c r="L50" i="107"/>
  <c r="I60" i="107" s="1"/>
  <c r="M50" i="107"/>
  <c r="N50" i="107"/>
  <c r="O50" i="107"/>
  <c r="P50" i="107"/>
  <c r="Q50" i="107"/>
  <c r="A51" i="107"/>
  <c r="B51" i="107"/>
  <c r="C51" i="107"/>
  <c r="D51" i="107"/>
  <c r="E51" i="107"/>
  <c r="F51" i="107"/>
  <c r="G51" i="107"/>
  <c r="H51" i="107"/>
  <c r="I51" i="107"/>
  <c r="J51" i="107"/>
  <c r="K51" i="107"/>
  <c r="L51" i="107"/>
  <c r="M51" i="107"/>
  <c r="N51" i="107"/>
  <c r="O51" i="107"/>
  <c r="P51" i="107"/>
  <c r="Q51" i="107"/>
  <c r="A52" i="107"/>
  <c r="B52" i="107"/>
  <c r="C52" i="107"/>
  <c r="D52" i="107"/>
  <c r="E52" i="107"/>
  <c r="F52" i="107"/>
  <c r="G52" i="107"/>
  <c r="H52" i="107"/>
  <c r="I52" i="107"/>
  <c r="J52" i="107"/>
  <c r="K52" i="107"/>
  <c r="L52" i="107"/>
  <c r="M52" i="107"/>
  <c r="N52" i="107"/>
  <c r="O52" i="107"/>
  <c r="P52" i="107"/>
  <c r="Q52" i="107"/>
  <c r="A53" i="107"/>
  <c r="B53" i="107"/>
  <c r="C53" i="107"/>
  <c r="D53" i="107"/>
  <c r="E53" i="107"/>
  <c r="F53" i="107"/>
  <c r="G53" i="107"/>
  <c r="H53" i="107"/>
  <c r="I53" i="107"/>
  <c r="J53" i="107"/>
  <c r="K53" i="107"/>
  <c r="L53" i="107"/>
  <c r="M53" i="107"/>
  <c r="N53" i="107"/>
  <c r="O53" i="107"/>
  <c r="P53" i="107"/>
  <c r="Q53" i="107"/>
  <c r="A54" i="107"/>
  <c r="B54" i="107"/>
  <c r="C54" i="107"/>
  <c r="D54" i="107"/>
  <c r="E54" i="107"/>
  <c r="F54" i="107"/>
  <c r="G54" i="107"/>
  <c r="H54" i="107"/>
  <c r="I54" i="107"/>
  <c r="J54" i="107"/>
  <c r="K54" i="107"/>
  <c r="L54" i="107"/>
  <c r="M54" i="107"/>
  <c r="N54" i="107"/>
  <c r="O54" i="107"/>
  <c r="P54" i="107"/>
  <c r="Q54" i="107"/>
  <c r="B49" i="107"/>
  <c r="C49" i="107"/>
  <c r="D49" i="107"/>
  <c r="E49" i="107"/>
  <c r="F49" i="107"/>
  <c r="G49" i="107"/>
  <c r="H49" i="107"/>
  <c r="I49" i="107"/>
  <c r="J49" i="107"/>
  <c r="K49" i="107"/>
  <c r="L49" i="107"/>
  <c r="M49" i="107"/>
  <c r="N49" i="107"/>
  <c r="O49" i="107"/>
  <c r="L59" i="107" s="1"/>
  <c r="P49" i="107"/>
  <c r="Q49" i="107"/>
  <c r="A49" i="107"/>
  <c r="A43" i="107"/>
  <c r="B43" i="107"/>
  <c r="C43" i="107"/>
  <c r="D43" i="107"/>
  <c r="E43" i="107"/>
  <c r="F43" i="107"/>
  <c r="G43" i="107"/>
  <c r="H43" i="107"/>
  <c r="I43" i="107"/>
  <c r="J43" i="107"/>
  <c r="K43" i="107"/>
  <c r="L43" i="107"/>
  <c r="M43" i="107"/>
  <c r="N43" i="107"/>
  <c r="K60" i="107" s="1"/>
  <c r="O43" i="107"/>
  <c r="L60" i="107" s="1"/>
  <c r="P43" i="107"/>
  <c r="Q43" i="107"/>
  <c r="A44" i="107"/>
  <c r="B44" i="107"/>
  <c r="C44" i="107"/>
  <c r="D44" i="107"/>
  <c r="E44" i="107"/>
  <c r="F44" i="107"/>
  <c r="G44" i="107"/>
  <c r="H44" i="107"/>
  <c r="I44" i="107"/>
  <c r="J44" i="107"/>
  <c r="K44" i="107"/>
  <c r="L44" i="107"/>
  <c r="M44" i="107"/>
  <c r="N44" i="107"/>
  <c r="K61" i="107" s="1"/>
  <c r="O44" i="107"/>
  <c r="P44" i="107"/>
  <c r="Q44" i="107"/>
  <c r="A45" i="107"/>
  <c r="B45" i="107"/>
  <c r="C45" i="107"/>
  <c r="D45" i="107"/>
  <c r="E45" i="107"/>
  <c r="F45" i="107"/>
  <c r="G45" i="107"/>
  <c r="H45" i="107"/>
  <c r="I45" i="107"/>
  <c r="J45" i="107"/>
  <c r="K45" i="107"/>
  <c r="L45" i="107"/>
  <c r="I62" i="107" s="1"/>
  <c r="M45" i="107"/>
  <c r="J62" i="107" s="1"/>
  <c r="N45" i="107"/>
  <c r="O45" i="107"/>
  <c r="L62" i="107" s="1"/>
  <c r="P45" i="107"/>
  <c r="M62" i="107" s="1"/>
  <c r="Q45" i="107"/>
  <c r="A46" i="107"/>
  <c r="B46" i="107"/>
  <c r="C46" i="107"/>
  <c r="D46" i="107"/>
  <c r="E46" i="107"/>
  <c r="F46" i="107"/>
  <c r="G46" i="107"/>
  <c r="H46" i="107"/>
  <c r="I46" i="107"/>
  <c r="J46" i="107"/>
  <c r="K46" i="107"/>
  <c r="L46" i="107"/>
  <c r="M46" i="107"/>
  <c r="N46" i="107"/>
  <c r="O46" i="107"/>
  <c r="P46" i="107"/>
  <c r="Q46" i="107"/>
  <c r="A47" i="107"/>
  <c r="B47" i="107"/>
  <c r="C47" i="107"/>
  <c r="D47" i="107"/>
  <c r="E47" i="107"/>
  <c r="F47" i="107"/>
  <c r="G47" i="107"/>
  <c r="H47" i="107"/>
  <c r="I47" i="107"/>
  <c r="J47" i="107"/>
  <c r="K47" i="107"/>
  <c r="L47" i="107"/>
  <c r="M47" i="107"/>
  <c r="N47" i="107"/>
  <c r="O47" i="107"/>
  <c r="P47" i="107"/>
  <c r="Q47" i="107"/>
  <c r="B42" i="107"/>
  <c r="C42" i="107"/>
  <c r="D42" i="107"/>
  <c r="E42" i="107"/>
  <c r="F42" i="107"/>
  <c r="G42" i="107"/>
  <c r="H42" i="107"/>
  <c r="I42" i="107"/>
  <c r="J42" i="107"/>
  <c r="K42" i="107"/>
  <c r="L42" i="107"/>
  <c r="I59" i="107" s="1"/>
  <c r="M42" i="107"/>
  <c r="N42" i="107"/>
  <c r="O42" i="107"/>
  <c r="P42" i="107"/>
  <c r="Q42" i="107"/>
  <c r="N59" i="107" s="1"/>
  <c r="A42" i="107"/>
  <c r="A10" i="107"/>
  <c r="B10" i="107"/>
  <c r="C10" i="107"/>
  <c r="D10" i="107"/>
  <c r="E10" i="107"/>
  <c r="F10" i="107"/>
  <c r="G10" i="107"/>
  <c r="H10" i="107"/>
  <c r="I10" i="107"/>
  <c r="J10" i="107"/>
  <c r="K10" i="107"/>
  <c r="L10" i="107"/>
  <c r="M10" i="107"/>
  <c r="N10" i="107"/>
  <c r="K20" i="107" s="1"/>
  <c r="O10" i="107"/>
  <c r="P10" i="107"/>
  <c r="Q10" i="107"/>
  <c r="A11" i="107"/>
  <c r="B11" i="107"/>
  <c r="C11" i="107"/>
  <c r="D11" i="107"/>
  <c r="E11" i="107"/>
  <c r="F11" i="107"/>
  <c r="G11" i="107"/>
  <c r="H11" i="107"/>
  <c r="I11" i="107"/>
  <c r="J11" i="107"/>
  <c r="K11" i="107"/>
  <c r="L11" i="107"/>
  <c r="M11" i="107"/>
  <c r="N11" i="107"/>
  <c r="O11" i="107"/>
  <c r="P11" i="107"/>
  <c r="Q11" i="107"/>
  <c r="A12" i="107"/>
  <c r="B12" i="107"/>
  <c r="C12" i="107"/>
  <c r="D12" i="107"/>
  <c r="E12" i="107"/>
  <c r="F12" i="107"/>
  <c r="G12" i="107"/>
  <c r="H12" i="107"/>
  <c r="I12" i="107"/>
  <c r="J12" i="107"/>
  <c r="K12" i="107"/>
  <c r="L12" i="107"/>
  <c r="M12" i="107"/>
  <c r="N12" i="107"/>
  <c r="O12" i="107"/>
  <c r="P12" i="107"/>
  <c r="Q12" i="107"/>
  <c r="A13" i="107"/>
  <c r="B13" i="107"/>
  <c r="C13" i="107"/>
  <c r="D13" i="107"/>
  <c r="E13" i="107"/>
  <c r="F13" i="107"/>
  <c r="G13" i="107"/>
  <c r="H13" i="107"/>
  <c r="I13" i="107"/>
  <c r="J13" i="107"/>
  <c r="K13" i="107"/>
  <c r="L13" i="107"/>
  <c r="M13" i="107"/>
  <c r="N13" i="107"/>
  <c r="O13" i="107"/>
  <c r="P13" i="107"/>
  <c r="Q13" i="107"/>
  <c r="A14" i="107"/>
  <c r="B14" i="107"/>
  <c r="C14" i="107"/>
  <c r="D14" i="107"/>
  <c r="E14" i="107"/>
  <c r="F14" i="107"/>
  <c r="G14" i="107"/>
  <c r="H14" i="107"/>
  <c r="I14" i="107"/>
  <c r="J14" i="107"/>
  <c r="K14" i="107"/>
  <c r="L14" i="107"/>
  <c r="M14" i="107"/>
  <c r="N14" i="107"/>
  <c r="O14" i="107"/>
  <c r="P14" i="107"/>
  <c r="Q14" i="107"/>
  <c r="B9" i="107"/>
  <c r="C9" i="107"/>
  <c r="D9" i="107"/>
  <c r="E9" i="107"/>
  <c r="F9" i="107"/>
  <c r="G9" i="107"/>
  <c r="H9" i="107"/>
  <c r="I9" i="107"/>
  <c r="J9" i="107"/>
  <c r="K9" i="107"/>
  <c r="L9" i="107"/>
  <c r="M9" i="107"/>
  <c r="N9" i="107"/>
  <c r="O9" i="107"/>
  <c r="P9" i="107"/>
  <c r="Q9" i="107"/>
  <c r="A9" i="107"/>
  <c r="A3" i="107"/>
  <c r="B3" i="107"/>
  <c r="C3" i="107"/>
  <c r="D3" i="107"/>
  <c r="E3" i="107"/>
  <c r="F3" i="107"/>
  <c r="G3" i="107"/>
  <c r="H3" i="107"/>
  <c r="I3" i="107"/>
  <c r="J3" i="107"/>
  <c r="G20" i="107" s="1"/>
  <c r="K3" i="107"/>
  <c r="L3" i="107"/>
  <c r="M3" i="107"/>
  <c r="N3" i="107"/>
  <c r="O3" i="107"/>
  <c r="P3" i="107"/>
  <c r="Q3" i="107"/>
  <c r="A4" i="107"/>
  <c r="B4" i="107"/>
  <c r="C4" i="107"/>
  <c r="D4" i="107"/>
  <c r="E4" i="107"/>
  <c r="F4" i="107"/>
  <c r="G4" i="107"/>
  <c r="H4" i="107"/>
  <c r="I4" i="107"/>
  <c r="J4" i="107"/>
  <c r="K4" i="107"/>
  <c r="L4" i="107"/>
  <c r="M4" i="107"/>
  <c r="N4" i="107"/>
  <c r="O4" i="107"/>
  <c r="P4" i="107"/>
  <c r="Q4" i="107"/>
  <c r="N21" i="107" s="1"/>
  <c r="A5" i="107"/>
  <c r="B5" i="107"/>
  <c r="C5" i="107"/>
  <c r="D5" i="107"/>
  <c r="E5" i="107"/>
  <c r="F5" i="107"/>
  <c r="G5" i="107"/>
  <c r="H5" i="107"/>
  <c r="I5" i="107"/>
  <c r="J5" i="107"/>
  <c r="K5" i="107"/>
  <c r="L5" i="107"/>
  <c r="M5" i="107"/>
  <c r="N5" i="107"/>
  <c r="O5" i="107"/>
  <c r="P5" i="107"/>
  <c r="Q5" i="107"/>
  <c r="A6" i="107"/>
  <c r="B6" i="107"/>
  <c r="C6" i="107"/>
  <c r="D6" i="107"/>
  <c r="E6" i="107"/>
  <c r="F6" i="107"/>
  <c r="G6" i="107"/>
  <c r="H6" i="107"/>
  <c r="I6" i="107"/>
  <c r="J6" i="107"/>
  <c r="K6" i="107"/>
  <c r="L6" i="107"/>
  <c r="M6" i="107"/>
  <c r="N6" i="107"/>
  <c r="O6" i="107"/>
  <c r="P6" i="107"/>
  <c r="Q6" i="107"/>
  <c r="A7" i="107"/>
  <c r="B7" i="107"/>
  <c r="C7" i="107"/>
  <c r="D7" i="107"/>
  <c r="E7" i="107"/>
  <c r="F7" i="107"/>
  <c r="G7" i="107"/>
  <c r="H7" i="107"/>
  <c r="I7" i="107"/>
  <c r="J7" i="107"/>
  <c r="K7" i="107"/>
  <c r="L7" i="107"/>
  <c r="M7" i="107"/>
  <c r="N7" i="107"/>
  <c r="O7" i="107"/>
  <c r="P7" i="107"/>
  <c r="Q7" i="107"/>
  <c r="B2" i="107"/>
  <c r="C2" i="107"/>
  <c r="D2" i="107"/>
  <c r="E2" i="107"/>
  <c r="F2" i="107"/>
  <c r="G2" i="107"/>
  <c r="H2" i="107"/>
  <c r="I2" i="107"/>
  <c r="J2" i="107"/>
  <c r="K2" i="107"/>
  <c r="L2" i="107"/>
  <c r="M2" i="107"/>
  <c r="N2" i="107"/>
  <c r="K19" i="107" s="1"/>
  <c r="O2" i="107"/>
  <c r="P2" i="107"/>
  <c r="Q2" i="107"/>
  <c r="A2" i="107"/>
  <c r="N61" i="107"/>
  <c r="M61" i="107"/>
  <c r="H61" i="107"/>
  <c r="G61" i="107"/>
  <c r="N60" i="107"/>
  <c r="G60" i="107"/>
  <c r="K59" i="107"/>
  <c r="J59" i="107"/>
  <c r="H21" i="107"/>
  <c r="I20" i="107"/>
  <c r="M19" i="107"/>
  <c r="A20" i="106"/>
  <c r="B20" i="106"/>
  <c r="C20" i="106"/>
  <c r="D20" i="106"/>
  <c r="E20" i="106"/>
  <c r="F20" i="106"/>
  <c r="G20" i="106"/>
  <c r="H20" i="106"/>
  <c r="G37" i="106" s="1"/>
  <c r="I20" i="106"/>
  <c r="H37" i="106" s="1"/>
  <c r="J20" i="106"/>
  <c r="I37" i="106" s="1"/>
  <c r="K20" i="106"/>
  <c r="L20" i="106"/>
  <c r="M20" i="106"/>
  <c r="N20" i="106"/>
  <c r="O20" i="106"/>
  <c r="A21" i="106"/>
  <c r="B21" i="106"/>
  <c r="C21" i="106"/>
  <c r="D21" i="106"/>
  <c r="E21" i="106"/>
  <c r="F21" i="106"/>
  <c r="G21" i="106"/>
  <c r="H21" i="106"/>
  <c r="I21" i="106"/>
  <c r="J21" i="106"/>
  <c r="K21" i="106"/>
  <c r="L21" i="106"/>
  <c r="M21" i="106"/>
  <c r="N21" i="106"/>
  <c r="O21" i="106"/>
  <c r="A22" i="106"/>
  <c r="B22" i="106"/>
  <c r="C22" i="106"/>
  <c r="D22" i="106"/>
  <c r="E22" i="106"/>
  <c r="F22" i="106"/>
  <c r="G22" i="106"/>
  <c r="H22" i="106"/>
  <c r="I22" i="106"/>
  <c r="J22" i="106"/>
  <c r="K22" i="106"/>
  <c r="L22" i="106"/>
  <c r="M22" i="106"/>
  <c r="N22" i="106"/>
  <c r="O22" i="106"/>
  <c r="B19" i="106"/>
  <c r="C19" i="106"/>
  <c r="D19" i="106"/>
  <c r="E19" i="106"/>
  <c r="F19" i="106"/>
  <c r="G19" i="106"/>
  <c r="H19" i="106"/>
  <c r="I19" i="106"/>
  <c r="J19" i="106"/>
  <c r="K19" i="106"/>
  <c r="L19" i="106"/>
  <c r="M19" i="106"/>
  <c r="N19" i="106"/>
  <c r="O19" i="106"/>
  <c r="A19" i="106"/>
  <c r="A4" i="106"/>
  <c r="B4" i="106"/>
  <c r="C4" i="106"/>
  <c r="D4" i="106"/>
  <c r="E4" i="106"/>
  <c r="F4" i="106"/>
  <c r="L26" i="106" s="1"/>
  <c r="G4" i="106"/>
  <c r="H4" i="106"/>
  <c r="I4" i="106"/>
  <c r="J4" i="106"/>
  <c r="K4" i="106"/>
  <c r="L4" i="106"/>
  <c r="M4" i="106"/>
  <c r="N4" i="106"/>
  <c r="O4" i="106"/>
  <c r="P4" i="106"/>
  <c r="Q4" i="106"/>
  <c r="A5" i="106"/>
  <c r="B5" i="106"/>
  <c r="C5" i="106"/>
  <c r="D5" i="106"/>
  <c r="E5" i="106"/>
  <c r="F5" i="106"/>
  <c r="G5" i="106"/>
  <c r="H5" i="106"/>
  <c r="I5" i="106"/>
  <c r="J5" i="106"/>
  <c r="K5" i="106"/>
  <c r="L5" i="106"/>
  <c r="M5" i="106"/>
  <c r="N5" i="106"/>
  <c r="O5" i="106"/>
  <c r="P5" i="106"/>
  <c r="Q5" i="106"/>
  <c r="A6" i="106"/>
  <c r="B6" i="106"/>
  <c r="C6" i="106"/>
  <c r="D6" i="106"/>
  <c r="E6" i="106"/>
  <c r="F6" i="106"/>
  <c r="G6" i="106"/>
  <c r="H6" i="106"/>
  <c r="I6" i="106"/>
  <c r="J6" i="106"/>
  <c r="K6" i="106"/>
  <c r="L6" i="106"/>
  <c r="M6" i="106"/>
  <c r="N6" i="106"/>
  <c r="O6" i="106"/>
  <c r="P6" i="106"/>
  <c r="Q6" i="106"/>
  <c r="A7" i="106"/>
  <c r="B7" i="106"/>
  <c r="C7" i="106"/>
  <c r="D7" i="106"/>
  <c r="E7" i="106"/>
  <c r="F7" i="106"/>
  <c r="G7" i="106"/>
  <c r="H7" i="106"/>
  <c r="I7" i="106"/>
  <c r="J7" i="106"/>
  <c r="K7" i="106"/>
  <c r="L7" i="106"/>
  <c r="M7" i="106"/>
  <c r="N7" i="106"/>
  <c r="O7" i="106"/>
  <c r="P7" i="106"/>
  <c r="Q7" i="106"/>
  <c r="A8" i="106"/>
  <c r="B8" i="106"/>
  <c r="C8" i="106"/>
  <c r="D8" i="106"/>
  <c r="E8" i="106"/>
  <c r="F8" i="106"/>
  <c r="G8" i="106"/>
  <c r="H8" i="106"/>
  <c r="I8" i="106"/>
  <c r="J8" i="106"/>
  <c r="K8" i="106"/>
  <c r="L8" i="106"/>
  <c r="M8" i="106"/>
  <c r="N8" i="106"/>
  <c r="O8" i="106"/>
  <c r="P8" i="106"/>
  <c r="Q8" i="106"/>
  <c r="A9" i="106"/>
  <c r="B9" i="106"/>
  <c r="C9" i="106"/>
  <c r="D9" i="106"/>
  <c r="E9" i="106"/>
  <c r="F9" i="106"/>
  <c r="G9" i="106"/>
  <c r="H9" i="106"/>
  <c r="I9" i="106"/>
  <c r="J9" i="106"/>
  <c r="K9" i="106"/>
  <c r="L9" i="106"/>
  <c r="M9" i="106"/>
  <c r="N9" i="106"/>
  <c r="O9" i="106"/>
  <c r="P9" i="106"/>
  <c r="Q9" i="106"/>
  <c r="A10" i="106"/>
  <c r="B10" i="106"/>
  <c r="C10" i="106"/>
  <c r="D10" i="106"/>
  <c r="E10" i="106"/>
  <c r="F10" i="106"/>
  <c r="G10" i="106"/>
  <c r="H10" i="106"/>
  <c r="I10" i="106"/>
  <c r="J10" i="106"/>
  <c r="K10" i="106"/>
  <c r="L10" i="106"/>
  <c r="M10" i="106"/>
  <c r="N10" i="106"/>
  <c r="O10" i="106"/>
  <c r="P10" i="106"/>
  <c r="Q10" i="106"/>
  <c r="A11" i="106"/>
  <c r="B11" i="106"/>
  <c r="C11" i="106"/>
  <c r="D11" i="106"/>
  <c r="E11" i="106"/>
  <c r="F11" i="106"/>
  <c r="I27" i="106" s="1"/>
  <c r="G11" i="106"/>
  <c r="H11" i="106"/>
  <c r="I11" i="106"/>
  <c r="J11" i="106"/>
  <c r="K11" i="106"/>
  <c r="L11" i="106"/>
  <c r="M11" i="106"/>
  <c r="N11" i="106"/>
  <c r="O11" i="106"/>
  <c r="P11" i="106"/>
  <c r="Q11" i="106"/>
  <c r="A12" i="106"/>
  <c r="B12" i="106"/>
  <c r="C12" i="106"/>
  <c r="D12" i="106"/>
  <c r="E12" i="106"/>
  <c r="F12" i="106"/>
  <c r="J26" i="106" s="1"/>
  <c r="G12" i="106"/>
  <c r="H12" i="106"/>
  <c r="I12" i="106"/>
  <c r="J12" i="106"/>
  <c r="K12" i="106"/>
  <c r="L12" i="106"/>
  <c r="M12" i="106"/>
  <c r="N12" i="106"/>
  <c r="O12" i="106"/>
  <c r="P12" i="106"/>
  <c r="Q12" i="106"/>
  <c r="A13" i="106"/>
  <c r="B13" i="106"/>
  <c r="C13" i="106"/>
  <c r="D13" i="106"/>
  <c r="E13" i="106"/>
  <c r="F13" i="106"/>
  <c r="G13" i="106"/>
  <c r="H13" i="106"/>
  <c r="I13" i="106"/>
  <c r="J13" i="106"/>
  <c r="G34" i="106" s="1"/>
  <c r="G33" i="106" s="1"/>
  <c r="K13" i="106"/>
  <c r="H34" i="106" s="1"/>
  <c r="L13" i="106"/>
  <c r="I34" i="106" s="1"/>
  <c r="I33" i="106" s="1"/>
  <c r="M13" i="106"/>
  <c r="J34" i="106" s="1"/>
  <c r="J33" i="106" s="1"/>
  <c r="N13" i="106"/>
  <c r="K34" i="106" s="1"/>
  <c r="O13" i="106"/>
  <c r="L34" i="106" s="1"/>
  <c r="P13" i="106"/>
  <c r="M34" i="106" s="1"/>
  <c r="Q13" i="106"/>
  <c r="N34" i="106" s="1"/>
  <c r="A14" i="106"/>
  <c r="B14" i="106"/>
  <c r="C14" i="106"/>
  <c r="D14" i="106"/>
  <c r="E14" i="106"/>
  <c r="F14" i="106"/>
  <c r="G14" i="106"/>
  <c r="H14" i="106"/>
  <c r="I14" i="106"/>
  <c r="J14" i="106"/>
  <c r="K14" i="106"/>
  <c r="L14" i="106"/>
  <c r="M14" i="106"/>
  <c r="N14" i="106"/>
  <c r="O14" i="106"/>
  <c r="P14" i="106"/>
  <c r="Q14" i="106"/>
  <c r="B3" i="106"/>
  <c r="C3" i="106"/>
  <c r="D3" i="106"/>
  <c r="E3" i="106"/>
  <c r="F3" i="106"/>
  <c r="G3" i="106"/>
  <c r="H3" i="106"/>
  <c r="I3" i="106"/>
  <c r="J3" i="106"/>
  <c r="K3" i="106"/>
  <c r="L3" i="106"/>
  <c r="M3" i="106"/>
  <c r="N3" i="106"/>
  <c r="O3" i="106"/>
  <c r="P3" i="106"/>
  <c r="Q3" i="106"/>
  <c r="A3" i="106"/>
  <c r="N37" i="106"/>
  <c r="M37" i="106"/>
  <c r="L37" i="106"/>
  <c r="K37" i="106"/>
  <c r="J37" i="106"/>
  <c r="A17" i="105"/>
  <c r="B17" i="105"/>
  <c r="C17" i="105"/>
  <c r="D17" i="105"/>
  <c r="E17" i="105"/>
  <c r="F17" i="105"/>
  <c r="G17" i="105"/>
  <c r="H17" i="105"/>
  <c r="I17" i="105"/>
  <c r="J17" i="105"/>
  <c r="K17" i="105"/>
  <c r="L17" i="105"/>
  <c r="M17" i="105"/>
  <c r="N17" i="105"/>
  <c r="O17" i="105"/>
  <c r="A18" i="105"/>
  <c r="B18" i="105"/>
  <c r="C18" i="105"/>
  <c r="D18" i="105"/>
  <c r="E18" i="105"/>
  <c r="F18" i="105"/>
  <c r="G18" i="105"/>
  <c r="H18" i="105"/>
  <c r="I18" i="105"/>
  <c r="J18" i="105"/>
  <c r="K18" i="105"/>
  <c r="L18" i="105"/>
  <c r="M18" i="105"/>
  <c r="N18" i="105"/>
  <c r="O18" i="105"/>
  <c r="A19" i="105"/>
  <c r="B19" i="105"/>
  <c r="C19" i="105"/>
  <c r="D19" i="105"/>
  <c r="E19" i="105"/>
  <c r="F19" i="105"/>
  <c r="G19" i="105"/>
  <c r="H19" i="105"/>
  <c r="I19" i="105"/>
  <c r="J19" i="105"/>
  <c r="K19" i="105"/>
  <c r="L19" i="105"/>
  <c r="M19" i="105"/>
  <c r="N19" i="105"/>
  <c r="O19" i="105"/>
  <c r="B16" i="105"/>
  <c r="C16" i="105"/>
  <c r="D16" i="105"/>
  <c r="E16" i="105"/>
  <c r="F16" i="105"/>
  <c r="G16" i="105"/>
  <c r="H16" i="105"/>
  <c r="I16" i="105"/>
  <c r="J16" i="105"/>
  <c r="K16" i="105"/>
  <c r="L16" i="105"/>
  <c r="M16" i="105"/>
  <c r="N16" i="105"/>
  <c r="O16" i="105"/>
  <c r="A16" i="105"/>
  <c r="Q10" i="105"/>
  <c r="A4" i="105"/>
  <c r="B4" i="105"/>
  <c r="C4" i="105"/>
  <c r="D4" i="105"/>
  <c r="E4" i="105"/>
  <c r="F4" i="105"/>
  <c r="G4" i="105"/>
  <c r="H4" i="105"/>
  <c r="I4" i="105"/>
  <c r="J4" i="105"/>
  <c r="K4" i="105"/>
  <c r="L4" i="105"/>
  <c r="M4" i="105"/>
  <c r="N4" i="105"/>
  <c r="O4" i="105"/>
  <c r="P4" i="105"/>
  <c r="Q4" i="105"/>
  <c r="A5" i="105"/>
  <c r="B5" i="105"/>
  <c r="C5" i="105"/>
  <c r="D5" i="105"/>
  <c r="E5" i="105"/>
  <c r="F5" i="105"/>
  <c r="G5" i="105"/>
  <c r="H5" i="105"/>
  <c r="I5" i="105"/>
  <c r="J5" i="105"/>
  <c r="K5" i="105"/>
  <c r="L5" i="105"/>
  <c r="M5" i="105"/>
  <c r="N5" i="105"/>
  <c r="O5" i="105"/>
  <c r="P5" i="105"/>
  <c r="Q5" i="105"/>
  <c r="A6" i="105"/>
  <c r="B6" i="105"/>
  <c r="C6" i="105"/>
  <c r="D6" i="105"/>
  <c r="E6" i="105"/>
  <c r="F6" i="105"/>
  <c r="G6" i="105"/>
  <c r="H6" i="105"/>
  <c r="I6" i="105"/>
  <c r="J6" i="105"/>
  <c r="K6" i="105"/>
  <c r="L6" i="105"/>
  <c r="M6" i="105"/>
  <c r="N6" i="105"/>
  <c r="O6" i="105"/>
  <c r="P6" i="105"/>
  <c r="Q6" i="105"/>
  <c r="A7" i="105"/>
  <c r="B7" i="105"/>
  <c r="C7" i="105"/>
  <c r="D7" i="105"/>
  <c r="E7" i="105"/>
  <c r="F7" i="105"/>
  <c r="G7" i="105"/>
  <c r="H7" i="105"/>
  <c r="I7" i="105"/>
  <c r="J7" i="105"/>
  <c r="K7" i="105"/>
  <c r="L7" i="105"/>
  <c r="M7" i="105"/>
  <c r="N7" i="105"/>
  <c r="O7" i="105"/>
  <c r="P7" i="105"/>
  <c r="Q7" i="105"/>
  <c r="A8" i="105"/>
  <c r="B8" i="105"/>
  <c r="C8" i="105"/>
  <c r="D8" i="105"/>
  <c r="E8" i="105"/>
  <c r="F8" i="105"/>
  <c r="G8" i="105"/>
  <c r="H8" i="105"/>
  <c r="I8" i="105"/>
  <c r="J8" i="105"/>
  <c r="K8" i="105"/>
  <c r="L8" i="105"/>
  <c r="M8" i="105"/>
  <c r="N8" i="105"/>
  <c r="O8" i="105"/>
  <c r="P8" i="105"/>
  <c r="Q8" i="105"/>
  <c r="A9" i="105"/>
  <c r="B9" i="105"/>
  <c r="C9" i="105"/>
  <c r="D9" i="105"/>
  <c r="E9" i="105"/>
  <c r="F9" i="105"/>
  <c r="G9" i="105"/>
  <c r="H9" i="105"/>
  <c r="I9" i="105"/>
  <c r="J9" i="105"/>
  <c r="K9" i="105"/>
  <c r="L9" i="105"/>
  <c r="M9" i="105"/>
  <c r="N9" i="105"/>
  <c r="O9" i="105"/>
  <c r="P9" i="105"/>
  <c r="Q9" i="105"/>
  <c r="A10" i="105"/>
  <c r="B10" i="105"/>
  <c r="C10" i="105"/>
  <c r="D10" i="105"/>
  <c r="E10" i="105"/>
  <c r="F10" i="105"/>
  <c r="G10" i="105"/>
  <c r="H10" i="105"/>
  <c r="I10" i="105"/>
  <c r="J10" i="105"/>
  <c r="K10" i="105"/>
  <c r="L10" i="105"/>
  <c r="M10" i="105"/>
  <c r="N10" i="105"/>
  <c r="O10" i="105"/>
  <c r="P10" i="105"/>
  <c r="B3" i="105"/>
  <c r="C3" i="105"/>
  <c r="D3" i="105"/>
  <c r="E3" i="105"/>
  <c r="F3" i="105"/>
  <c r="G3" i="105"/>
  <c r="H3" i="105"/>
  <c r="I3" i="105"/>
  <c r="J3" i="105"/>
  <c r="K3" i="105"/>
  <c r="L3" i="105"/>
  <c r="M3" i="105"/>
  <c r="N3" i="105"/>
  <c r="O3" i="105"/>
  <c r="P3" i="105"/>
  <c r="Q3" i="105"/>
  <c r="A3" i="105"/>
  <c r="A4" i="104"/>
  <c r="B4" i="104"/>
  <c r="C4" i="104"/>
  <c r="D4" i="104"/>
  <c r="E4" i="104"/>
  <c r="F4" i="104"/>
  <c r="G4" i="104"/>
  <c r="H4" i="104"/>
  <c r="I4" i="104"/>
  <c r="J4" i="104"/>
  <c r="K4" i="104"/>
  <c r="L4" i="104"/>
  <c r="M4" i="104"/>
  <c r="N4" i="104"/>
  <c r="O4" i="104"/>
  <c r="P4" i="104"/>
  <c r="Q4" i="104"/>
  <c r="A5" i="104"/>
  <c r="B5" i="104"/>
  <c r="C5" i="104"/>
  <c r="D5" i="104"/>
  <c r="E5" i="104"/>
  <c r="G48" i="104" s="1"/>
  <c r="F5" i="104"/>
  <c r="G5" i="104"/>
  <c r="H5" i="104"/>
  <c r="I5" i="104"/>
  <c r="J5" i="104"/>
  <c r="K5" i="104"/>
  <c r="L5" i="104"/>
  <c r="I44" i="104" s="1"/>
  <c r="M5" i="104"/>
  <c r="J44" i="104" s="1"/>
  <c r="N5" i="104"/>
  <c r="O5" i="104"/>
  <c r="P5" i="104"/>
  <c r="Q5" i="104"/>
  <c r="A6" i="104"/>
  <c r="B6" i="104"/>
  <c r="C6" i="104"/>
  <c r="D6" i="104"/>
  <c r="E6" i="104"/>
  <c r="F6" i="104"/>
  <c r="G6" i="104"/>
  <c r="H6" i="104"/>
  <c r="I6" i="104"/>
  <c r="J6" i="104"/>
  <c r="K6" i="104"/>
  <c r="L6" i="104"/>
  <c r="M6" i="104"/>
  <c r="N6" i="104"/>
  <c r="O6" i="104"/>
  <c r="P6" i="104"/>
  <c r="Q6" i="104"/>
  <c r="A7" i="104"/>
  <c r="B7" i="104"/>
  <c r="C7" i="104"/>
  <c r="D7" i="104"/>
  <c r="E7" i="104"/>
  <c r="F7" i="104"/>
  <c r="G7" i="104"/>
  <c r="H7" i="104"/>
  <c r="I7" i="104"/>
  <c r="J7" i="104"/>
  <c r="K7" i="104"/>
  <c r="L7" i="104"/>
  <c r="M7" i="104"/>
  <c r="N7" i="104"/>
  <c r="O7" i="104"/>
  <c r="P7" i="104"/>
  <c r="Q7" i="104"/>
  <c r="A8" i="104"/>
  <c r="B8" i="104"/>
  <c r="C8" i="104"/>
  <c r="D8" i="104"/>
  <c r="E8" i="104"/>
  <c r="F8" i="104"/>
  <c r="G8" i="104"/>
  <c r="H8" i="104"/>
  <c r="I8" i="104"/>
  <c r="J8" i="104"/>
  <c r="K8" i="104"/>
  <c r="L8" i="104"/>
  <c r="M8" i="104"/>
  <c r="N8" i="104"/>
  <c r="O8" i="104"/>
  <c r="P8" i="104"/>
  <c r="Q8" i="104"/>
  <c r="A9" i="104"/>
  <c r="B9" i="104"/>
  <c r="C9" i="104"/>
  <c r="D9" i="104"/>
  <c r="E9" i="104"/>
  <c r="F9" i="104"/>
  <c r="G9" i="104"/>
  <c r="H9" i="104"/>
  <c r="I9" i="104"/>
  <c r="J9" i="104"/>
  <c r="K9" i="104"/>
  <c r="L9" i="104"/>
  <c r="M9" i="104"/>
  <c r="N9" i="104"/>
  <c r="O9" i="104"/>
  <c r="P9" i="104"/>
  <c r="Q9" i="104"/>
  <c r="A10" i="104"/>
  <c r="B10" i="104"/>
  <c r="C10" i="104"/>
  <c r="D10" i="104"/>
  <c r="E10" i="104"/>
  <c r="F10" i="104"/>
  <c r="G10" i="104"/>
  <c r="H10" i="104"/>
  <c r="I10" i="104"/>
  <c r="J10" i="104"/>
  <c r="K10" i="104"/>
  <c r="L10" i="104"/>
  <c r="M10" i="104"/>
  <c r="N10" i="104"/>
  <c r="O10" i="104"/>
  <c r="P10" i="104"/>
  <c r="Q10" i="104"/>
  <c r="A11" i="104"/>
  <c r="B11" i="104"/>
  <c r="C11" i="104"/>
  <c r="D11" i="104"/>
  <c r="E11" i="104"/>
  <c r="F11" i="104"/>
  <c r="G11" i="104"/>
  <c r="H11" i="104"/>
  <c r="I11" i="104"/>
  <c r="J11" i="104"/>
  <c r="K11" i="104"/>
  <c r="L11" i="104"/>
  <c r="M11" i="104"/>
  <c r="N11" i="104"/>
  <c r="O11" i="104"/>
  <c r="P11" i="104"/>
  <c r="Q11" i="104"/>
  <c r="A12" i="104"/>
  <c r="B12" i="104"/>
  <c r="C12" i="104"/>
  <c r="D12" i="104"/>
  <c r="E12" i="104"/>
  <c r="F12" i="104"/>
  <c r="G12" i="104"/>
  <c r="H12" i="104"/>
  <c r="I12" i="104"/>
  <c r="J12" i="104"/>
  <c r="K12" i="104"/>
  <c r="L12" i="104"/>
  <c r="M12" i="104"/>
  <c r="N12" i="104"/>
  <c r="O12" i="104"/>
  <c r="P12" i="104"/>
  <c r="Q12" i="104"/>
  <c r="A13" i="104"/>
  <c r="B13" i="104"/>
  <c r="C13" i="104"/>
  <c r="D13" i="104"/>
  <c r="E13" i="104"/>
  <c r="F13" i="104"/>
  <c r="G13" i="104"/>
  <c r="H13" i="104"/>
  <c r="I13" i="104"/>
  <c r="J13" i="104"/>
  <c r="K13" i="104"/>
  <c r="L13" i="104"/>
  <c r="M13" i="104"/>
  <c r="N13" i="104"/>
  <c r="O13" i="104"/>
  <c r="P13" i="104"/>
  <c r="Q13" i="104"/>
  <c r="A14" i="104"/>
  <c r="B14" i="104"/>
  <c r="C14" i="104"/>
  <c r="D14" i="104"/>
  <c r="E14" i="104"/>
  <c r="F14" i="104"/>
  <c r="G14" i="104"/>
  <c r="H14" i="104"/>
  <c r="I14" i="104"/>
  <c r="J14" i="104"/>
  <c r="K14" i="104"/>
  <c r="L14" i="104"/>
  <c r="M14" i="104"/>
  <c r="J42" i="104" s="1"/>
  <c r="N14" i="104"/>
  <c r="O14" i="104"/>
  <c r="P14" i="104"/>
  <c r="Q14" i="104"/>
  <c r="A15" i="104"/>
  <c r="B15" i="104"/>
  <c r="C15" i="104"/>
  <c r="D15" i="104"/>
  <c r="E15" i="104"/>
  <c r="F15" i="104"/>
  <c r="G15" i="104"/>
  <c r="H15" i="104"/>
  <c r="I15" i="104"/>
  <c r="J15" i="104"/>
  <c r="K15" i="104"/>
  <c r="L15" i="104"/>
  <c r="M15" i="104"/>
  <c r="N15" i="104"/>
  <c r="O15" i="104"/>
  <c r="P15" i="104"/>
  <c r="Q15" i="104"/>
  <c r="A16" i="104"/>
  <c r="B16" i="104"/>
  <c r="C16" i="104"/>
  <c r="D16" i="104"/>
  <c r="E16" i="104"/>
  <c r="F16" i="104"/>
  <c r="G16" i="104"/>
  <c r="H16" i="104"/>
  <c r="I16" i="104"/>
  <c r="J16" i="104"/>
  <c r="K16" i="104"/>
  <c r="L16" i="104"/>
  <c r="M16" i="104"/>
  <c r="N16" i="104"/>
  <c r="O16" i="104"/>
  <c r="P16" i="104"/>
  <c r="Q16" i="104"/>
  <c r="A17" i="104"/>
  <c r="B17" i="104"/>
  <c r="C17" i="104"/>
  <c r="D17" i="104"/>
  <c r="E17" i="104"/>
  <c r="F17" i="104"/>
  <c r="G17" i="104"/>
  <c r="H17" i="104"/>
  <c r="I17" i="104"/>
  <c r="J17" i="104"/>
  <c r="K17" i="104"/>
  <c r="L17" i="104"/>
  <c r="M17" i="104"/>
  <c r="N17" i="104"/>
  <c r="O17" i="104"/>
  <c r="P17" i="104"/>
  <c r="Q17" i="104"/>
  <c r="A18" i="104"/>
  <c r="B18" i="104"/>
  <c r="C18" i="104"/>
  <c r="D18" i="104"/>
  <c r="E18" i="104"/>
  <c r="F18" i="104"/>
  <c r="G18" i="104"/>
  <c r="H18" i="104"/>
  <c r="I18" i="104"/>
  <c r="J18" i="104"/>
  <c r="G44" i="104" s="1"/>
  <c r="K18" i="104"/>
  <c r="H44" i="104" s="1"/>
  <c r="L18" i="104"/>
  <c r="M18" i="104"/>
  <c r="N18" i="104"/>
  <c r="O18" i="104"/>
  <c r="P18" i="104"/>
  <c r="Q18" i="104"/>
  <c r="N44" i="104" s="1"/>
  <c r="A19" i="104"/>
  <c r="B19" i="104"/>
  <c r="C19" i="104"/>
  <c r="D19" i="104"/>
  <c r="E19" i="104"/>
  <c r="F19" i="104"/>
  <c r="G19" i="104"/>
  <c r="H19" i="104"/>
  <c r="I19" i="104"/>
  <c r="J19" i="104"/>
  <c r="K19" i="104"/>
  <c r="L19" i="104"/>
  <c r="M19" i="104"/>
  <c r="N19" i="104"/>
  <c r="O19" i="104"/>
  <c r="P19" i="104"/>
  <c r="Q19" i="104"/>
  <c r="A20" i="104"/>
  <c r="B20" i="104"/>
  <c r="C20" i="104"/>
  <c r="D20" i="104"/>
  <c r="E20" i="104"/>
  <c r="F20" i="104"/>
  <c r="G20" i="104"/>
  <c r="H20" i="104"/>
  <c r="I20" i="104"/>
  <c r="J20" i="104"/>
  <c r="K20" i="104"/>
  <c r="L20" i="104"/>
  <c r="M20" i="104"/>
  <c r="N20" i="104"/>
  <c r="O20" i="104"/>
  <c r="P20" i="104"/>
  <c r="Q20" i="104"/>
  <c r="A21" i="104"/>
  <c r="B21" i="104"/>
  <c r="C21" i="104"/>
  <c r="D21" i="104"/>
  <c r="E21" i="104"/>
  <c r="F21" i="104"/>
  <c r="G21" i="104"/>
  <c r="H21" i="104"/>
  <c r="I21" i="104"/>
  <c r="J21" i="104"/>
  <c r="K21" i="104"/>
  <c r="L21" i="104"/>
  <c r="M21" i="104"/>
  <c r="N21" i="104"/>
  <c r="O21" i="104"/>
  <c r="P21" i="104"/>
  <c r="Q21" i="104"/>
  <c r="A22" i="104"/>
  <c r="B22" i="104"/>
  <c r="C22" i="104"/>
  <c r="D22" i="104"/>
  <c r="E22" i="104"/>
  <c r="F22" i="104"/>
  <c r="G22" i="104"/>
  <c r="H22" i="104"/>
  <c r="I22" i="104"/>
  <c r="J22" i="104"/>
  <c r="K22" i="104"/>
  <c r="L22" i="104"/>
  <c r="M22" i="104"/>
  <c r="N22" i="104"/>
  <c r="O22" i="104"/>
  <c r="P22" i="104"/>
  <c r="Q22" i="104"/>
  <c r="A23" i="104"/>
  <c r="B23" i="104"/>
  <c r="C23" i="104"/>
  <c r="D23" i="104"/>
  <c r="E23" i="104"/>
  <c r="F23" i="104"/>
  <c r="G23" i="104"/>
  <c r="H23" i="104"/>
  <c r="I23" i="104"/>
  <c r="J23" i="104"/>
  <c r="K23" i="104"/>
  <c r="L23" i="104"/>
  <c r="M23" i="104"/>
  <c r="N23" i="104"/>
  <c r="O23" i="104"/>
  <c r="P23" i="104"/>
  <c r="Q23" i="104"/>
  <c r="A24" i="104"/>
  <c r="B24" i="104"/>
  <c r="C24" i="104"/>
  <c r="D24" i="104"/>
  <c r="E24" i="104"/>
  <c r="F24" i="104"/>
  <c r="G24" i="104"/>
  <c r="H24" i="104"/>
  <c r="I24" i="104"/>
  <c r="J24" i="104"/>
  <c r="K24" i="104"/>
  <c r="L24" i="104"/>
  <c r="M24" i="104"/>
  <c r="N24" i="104"/>
  <c r="O24" i="104"/>
  <c r="P24" i="104"/>
  <c r="Q24" i="104"/>
  <c r="A25" i="104"/>
  <c r="B25" i="104"/>
  <c r="C25" i="104"/>
  <c r="D25" i="104"/>
  <c r="E25" i="104"/>
  <c r="F25" i="104"/>
  <c r="G25" i="104"/>
  <c r="H25" i="104"/>
  <c r="I25" i="104"/>
  <c r="J25" i="104"/>
  <c r="K25" i="104"/>
  <c r="L25" i="104"/>
  <c r="M25" i="104"/>
  <c r="N25" i="104"/>
  <c r="O25" i="104"/>
  <c r="P25" i="104"/>
  <c r="M42" i="104" s="1"/>
  <c r="Q25" i="104"/>
  <c r="N42" i="104" s="1"/>
  <c r="A26" i="104"/>
  <c r="B26" i="104"/>
  <c r="C26" i="104"/>
  <c r="D26" i="104"/>
  <c r="E26" i="104"/>
  <c r="F26" i="104"/>
  <c r="G26" i="104"/>
  <c r="H26" i="104"/>
  <c r="I26" i="104"/>
  <c r="J26" i="104"/>
  <c r="K26" i="104"/>
  <c r="L26" i="104"/>
  <c r="M26" i="104"/>
  <c r="N26" i="104"/>
  <c r="O26" i="104"/>
  <c r="P26" i="104"/>
  <c r="Q26" i="104"/>
  <c r="A27" i="104"/>
  <c r="B27" i="104"/>
  <c r="C27" i="104"/>
  <c r="D27" i="104"/>
  <c r="E27" i="104"/>
  <c r="F27" i="104"/>
  <c r="G27" i="104"/>
  <c r="H27" i="104"/>
  <c r="I27" i="104"/>
  <c r="J27" i="104"/>
  <c r="K27" i="104"/>
  <c r="L27" i="104"/>
  <c r="M27" i="104"/>
  <c r="N27" i="104"/>
  <c r="O27" i="104"/>
  <c r="P27" i="104"/>
  <c r="Q27" i="104"/>
  <c r="B3" i="104"/>
  <c r="C3" i="104"/>
  <c r="D3" i="104"/>
  <c r="E3" i="104"/>
  <c r="F3" i="104"/>
  <c r="X5" i="104" s="1"/>
  <c r="G3" i="104"/>
  <c r="H3" i="104"/>
  <c r="I3" i="104"/>
  <c r="J3" i="104"/>
  <c r="K3" i="104"/>
  <c r="L3" i="104"/>
  <c r="M3" i="104"/>
  <c r="N3" i="104"/>
  <c r="O3" i="104"/>
  <c r="P3" i="104"/>
  <c r="Q3" i="104"/>
  <c r="A3" i="104"/>
  <c r="G42" i="104"/>
  <c r="A4" i="103"/>
  <c r="B4" i="103"/>
  <c r="C4" i="103"/>
  <c r="D4" i="103"/>
  <c r="E4" i="103"/>
  <c r="F4" i="103"/>
  <c r="G4" i="103"/>
  <c r="H4" i="103"/>
  <c r="I4" i="103"/>
  <c r="J4" i="103"/>
  <c r="K4" i="103"/>
  <c r="L4" i="103"/>
  <c r="M4" i="103"/>
  <c r="N4" i="103"/>
  <c r="O4" i="103"/>
  <c r="P4" i="103"/>
  <c r="Q4" i="103"/>
  <c r="A5" i="103"/>
  <c r="B5" i="103"/>
  <c r="C5" i="103"/>
  <c r="D5" i="103"/>
  <c r="E5" i="103"/>
  <c r="F5" i="103"/>
  <c r="G5" i="103"/>
  <c r="H5" i="103"/>
  <c r="I5" i="103"/>
  <c r="J5" i="103"/>
  <c r="K5" i="103"/>
  <c r="L5" i="103"/>
  <c r="M5" i="103"/>
  <c r="N5" i="103"/>
  <c r="O5" i="103"/>
  <c r="P5" i="103"/>
  <c r="Q5" i="103"/>
  <c r="A6" i="103"/>
  <c r="B6" i="103"/>
  <c r="C6" i="103"/>
  <c r="D6" i="103"/>
  <c r="E6" i="103"/>
  <c r="F6" i="103"/>
  <c r="G6" i="103"/>
  <c r="H6" i="103"/>
  <c r="I6" i="103"/>
  <c r="J6" i="103"/>
  <c r="K6" i="103"/>
  <c r="L6" i="103"/>
  <c r="M6" i="103"/>
  <c r="N6" i="103"/>
  <c r="O6" i="103"/>
  <c r="P6" i="103"/>
  <c r="Q6" i="103"/>
  <c r="A7" i="103"/>
  <c r="B7" i="103"/>
  <c r="C7" i="103"/>
  <c r="D7" i="103"/>
  <c r="E7" i="103"/>
  <c r="F7" i="103"/>
  <c r="G7" i="103"/>
  <c r="H7" i="103"/>
  <c r="I7" i="103"/>
  <c r="J7" i="103"/>
  <c r="K7" i="103"/>
  <c r="L7" i="103"/>
  <c r="M7" i="103"/>
  <c r="N7" i="103"/>
  <c r="O7" i="103"/>
  <c r="P7" i="103"/>
  <c r="Q7" i="103"/>
  <c r="A8" i="103"/>
  <c r="B8" i="103"/>
  <c r="C8" i="103"/>
  <c r="D8" i="103"/>
  <c r="E8" i="103"/>
  <c r="F8" i="103"/>
  <c r="G8" i="103"/>
  <c r="H8" i="103"/>
  <c r="I8" i="103"/>
  <c r="J8" i="103"/>
  <c r="K8" i="103"/>
  <c r="L8" i="103"/>
  <c r="M8" i="103"/>
  <c r="N8" i="103"/>
  <c r="O8" i="103"/>
  <c r="P8" i="103"/>
  <c r="Q8" i="103"/>
  <c r="A9" i="103"/>
  <c r="B9" i="103"/>
  <c r="C9" i="103"/>
  <c r="D9" i="103"/>
  <c r="E9" i="103"/>
  <c r="F9" i="103"/>
  <c r="G9" i="103"/>
  <c r="H9" i="103"/>
  <c r="I9" i="103"/>
  <c r="J9" i="103"/>
  <c r="K9" i="103"/>
  <c r="L9" i="103"/>
  <c r="M9" i="103"/>
  <c r="N9" i="103"/>
  <c r="O9" i="103"/>
  <c r="P9" i="103"/>
  <c r="Q9" i="103"/>
  <c r="A10" i="103"/>
  <c r="B10" i="103"/>
  <c r="C10" i="103"/>
  <c r="D10" i="103"/>
  <c r="E10" i="103"/>
  <c r="F10" i="103"/>
  <c r="G10" i="103"/>
  <c r="H10" i="103"/>
  <c r="I10" i="103"/>
  <c r="J10" i="103"/>
  <c r="K10" i="103"/>
  <c r="L10" i="103"/>
  <c r="M10" i="103"/>
  <c r="N10" i="103"/>
  <c r="O10" i="103"/>
  <c r="P10" i="103"/>
  <c r="Q10" i="103"/>
  <c r="A11" i="103"/>
  <c r="B11" i="103"/>
  <c r="C11" i="103"/>
  <c r="D11" i="103"/>
  <c r="E11" i="103"/>
  <c r="F11" i="103"/>
  <c r="G11" i="103"/>
  <c r="H11" i="103"/>
  <c r="I11" i="103"/>
  <c r="J11" i="103"/>
  <c r="K11" i="103"/>
  <c r="L11" i="103"/>
  <c r="M11" i="103"/>
  <c r="N11" i="103"/>
  <c r="O11" i="103"/>
  <c r="P11" i="103"/>
  <c r="Q11" i="103"/>
  <c r="A12" i="103"/>
  <c r="B12" i="103"/>
  <c r="C12" i="103"/>
  <c r="D12" i="103"/>
  <c r="E12" i="103"/>
  <c r="F12" i="103"/>
  <c r="G12" i="103"/>
  <c r="H12" i="103"/>
  <c r="I12" i="103"/>
  <c r="J12" i="103"/>
  <c r="K12" i="103"/>
  <c r="L12" i="103"/>
  <c r="M12" i="103"/>
  <c r="N12" i="103"/>
  <c r="O12" i="103"/>
  <c r="P12" i="103"/>
  <c r="Q12" i="103"/>
  <c r="B3" i="103"/>
  <c r="C3" i="103"/>
  <c r="D3" i="103"/>
  <c r="E3" i="103"/>
  <c r="F3" i="103"/>
  <c r="G3" i="103"/>
  <c r="H3" i="103"/>
  <c r="I3" i="103"/>
  <c r="J3" i="103"/>
  <c r="K3" i="103"/>
  <c r="L3" i="103"/>
  <c r="M3" i="103"/>
  <c r="N3" i="103"/>
  <c r="O3" i="103"/>
  <c r="P3" i="103"/>
  <c r="Q3" i="103"/>
  <c r="A3" i="103"/>
  <c r="D18" i="102"/>
  <c r="E18" i="102"/>
  <c r="N19" i="102" s="1"/>
  <c r="I43" i="102" s="1"/>
  <c r="F18" i="102"/>
  <c r="N20" i="102" s="1"/>
  <c r="I48" i="102" s="1"/>
  <c r="G18" i="102"/>
  <c r="N21" i="102" s="1"/>
  <c r="I53" i="102" s="1"/>
  <c r="H18" i="102"/>
  <c r="N22" i="102" s="1"/>
  <c r="I58" i="102" s="1"/>
  <c r="I18" i="102"/>
  <c r="N23" i="102" s="1"/>
  <c r="I63" i="102" s="1"/>
  <c r="C18" i="102"/>
  <c r="N17" i="102" s="1"/>
  <c r="I33" i="102" s="1"/>
  <c r="D17" i="102"/>
  <c r="M18" i="102" s="1"/>
  <c r="H38" i="102" s="1"/>
  <c r="E17" i="102"/>
  <c r="F17" i="102"/>
  <c r="G17" i="102"/>
  <c r="H17" i="102"/>
  <c r="I17" i="102"/>
  <c r="M23" i="102" s="1"/>
  <c r="H63" i="102" s="1"/>
  <c r="C17" i="102"/>
  <c r="M17" i="102" s="1"/>
  <c r="H33" i="102" s="1"/>
  <c r="D16" i="102"/>
  <c r="E16" i="102"/>
  <c r="L19" i="102" s="1"/>
  <c r="G43" i="102" s="1"/>
  <c r="F16" i="102"/>
  <c r="G16" i="102"/>
  <c r="L21" i="102" s="1"/>
  <c r="G53" i="102" s="1"/>
  <c r="H16" i="102"/>
  <c r="I16" i="102"/>
  <c r="L23" i="102" s="1"/>
  <c r="G63" i="102" s="1"/>
  <c r="C16" i="102"/>
  <c r="L17" i="102" s="1"/>
  <c r="G33" i="102" s="1"/>
  <c r="D6" i="102"/>
  <c r="N6" i="102" s="1"/>
  <c r="D38" i="102" s="1"/>
  <c r="E6" i="102"/>
  <c r="F6" i="102"/>
  <c r="N8" i="102" s="1"/>
  <c r="D48" i="102" s="1"/>
  <c r="G6" i="102"/>
  <c r="H6" i="102"/>
  <c r="N10" i="102" s="1"/>
  <c r="I6" i="102"/>
  <c r="N11" i="102" s="1"/>
  <c r="C6" i="102"/>
  <c r="N5" i="102" s="1"/>
  <c r="D33" i="102" s="1"/>
  <c r="D5" i="102"/>
  <c r="M6" i="102" s="1"/>
  <c r="C38" i="102" s="1"/>
  <c r="E5" i="102"/>
  <c r="M7" i="102" s="1"/>
  <c r="C43" i="102" s="1"/>
  <c r="F5" i="102"/>
  <c r="G5" i="102"/>
  <c r="M9" i="102" s="1"/>
  <c r="C53" i="102" s="1"/>
  <c r="H5" i="102"/>
  <c r="M10" i="102" s="1"/>
  <c r="I5" i="102"/>
  <c r="C5" i="102"/>
  <c r="M5" i="102" s="1"/>
  <c r="C33" i="102" s="1"/>
  <c r="D4" i="102"/>
  <c r="E4" i="102"/>
  <c r="L7" i="102" s="1"/>
  <c r="B43" i="102" s="1"/>
  <c r="F4" i="102"/>
  <c r="G4" i="102"/>
  <c r="H4" i="102"/>
  <c r="I4" i="102"/>
  <c r="L11" i="102" s="1"/>
  <c r="C4" i="102"/>
  <c r="L5" i="102" s="1"/>
  <c r="B33" i="102" s="1"/>
  <c r="I19" i="102"/>
  <c r="O23" i="102" s="1"/>
  <c r="J63" i="102" s="1"/>
  <c r="H19" i="102"/>
  <c r="O22" i="102" s="1"/>
  <c r="J58" i="102" s="1"/>
  <c r="G19" i="102"/>
  <c r="O21" i="102" s="1"/>
  <c r="J53" i="102" s="1"/>
  <c r="F19" i="102"/>
  <c r="O20" i="102" s="1"/>
  <c r="J48" i="102" s="1"/>
  <c r="E19" i="102"/>
  <c r="O19" i="102" s="1"/>
  <c r="J43" i="102" s="1"/>
  <c r="D19" i="102"/>
  <c r="O18" i="102" s="1"/>
  <c r="J38" i="102" s="1"/>
  <c r="C19" i="102"/>
  <c r="O17" i="102" s="1"/>
  <c r="J33" i="102" s="1"/>
  <c r="B19" i="102"/>
  <c r="O16" i="102" s="1"/>
  <c r="J28" i="102" s="1"/>
  <c r="B18" i="102"/>
  <c r="N16" i="102" s="1"/>
  <c r="I28" i="102" s="1"/>
  <c r="B17" i="102"/>
  <c r="M16" i="102" s="1"/>
  <c r="H28" i="102" s="1"/>
  <c r="B16" i="102"/>
  <c r="L9" i="102"/>
  <c r="B53" i="102" s="1"/>
  <c r="N7" i="102"/>
  <c r="D43" i="102" s="1"/>
  <c r="I7" i="102"/>
  <c r="O11" i="102" s="1"/>
  <c r="H7" i="102"/>
  <c r="O10" i="102" s="1"/>
  <c r="G7" i="102"/>
  <c r="O9" i="102" s="1"/>
  <c r="E53" i="102" s="1"/>
  <c r="F7" i="102"/>
  <c r="O8" i="102" s="1"/>
  <c r="E48" i="102" s="1"/>
  <c r="E7" i="102"/>
  <c r="O7" i="102" s="1"/>
  <c r="E43" i="102" s="1"/>
  <c r="D7" i="102"/>
  <c r="O6" i="102" s="1"/>
  <c r="E38" i="102" s="1"/>
  <c r="B7" i="102"/>
  <c r="O4" i="102" s="1"/>
  <c r="E28" i="102" s="1"/>
  <c r="N9" i="102"/>
  <c r="D53" i="102" s="1"/>
  <c r="B6" i="102"/>
  <c r="N4" i="102" s="1"/>
  <c r="D28" i="102" s="1"/>
  <c r="B4" i="102"/>
  <c r="T53" i="102" l="1"/>
  <c r="T58" i="102"/>
  <c r="S53" i="102"/>
  <c r="J54" i="102"/>
  <c r="S58" i="102"/>
  <c r="I59" i="102" s="1"/>
  <c r="T28" i="102"/>
  <c r="T31" i="102" s="1"/>
  <c r="H20" i="102"/>
  <c r="P22" i="102" s="1"/>
  <c r="K58" i="102" s="1"/>
  <c r="D21" i="102"/>
  <c r="N18" i="102"/>
  <c r="I38" i="102" s="1"/>
  <c r="G20" i="102"/>
  <c r="P21" i="102" s="1"/>
  <c r="K53" i="102" s="1"/>
  <c r="F20" i="102"/>
  <c r="P20" i="102" s="1"/>
  <c r="K48" i="102" s="1"/>
  <c r="E20" i="102"/>
  <c r="P19" i="102" s="1"/>
  <c r="K43" i="102" s="1"/>
  <c r="U43" i="102" s="1"/>
  <c r="K44" i="102" s="1"/>
  <c r="C20" i="102"/>
  <c r="P17" i="102" s="1"/>
  <c r="K33" i="102" s="1"/>
  <c r="M22" i="102"/>
  <c r="H58" i="102" s="1"/>
  <c r="R58" i="102" s="1"/>
  <c r="B21" i="102"/>
  <c r="I20" i="102"/>
  <c r="P23" i="102" s="1"/>
  <c r="K63" i="102" s="1"/>
  <c r="H8" i="102"/>
  <c r="P10" i="102" s="1"/>
  <c r="E8" i="102"/>
  <c r="P7" i="102" s="1"/>
  <c r="F43" i="102" s="1"/>
  <c r="G9" i="102"/>
  <c r="I8" i="102"/>
  <c r="P11" i="102" s="1"/>
  <c r="F9" i="102"/>
  <c r="H33" i="106"/>
  <c r="D20" i="102"/>
  <c r="P18" i="102" s="1"/>
  <c r="K38" i="102" s="1"/>
  <c r="L32" i="106"/>
  <c r="I42" i="104"/>
  <c r="I43" i="104" s="1"/>
  <c r="Z9" i="104"/>
  <c r="H45" i="104"/>
  <c r="Z3" i="104"/>
  <c r="L42" i="104"/>
  <c r="M44" i="104"/>
  <c r="M45" i="104" s="1"/>
  <c r="M33" i="106"/>
  <c r="I21" i="102"/>
  <c r="Q28" i="104"/>
  <c r="H42" i="104"/>
  <c r="G45" i="104"/>
  <c r="K42" i="104"/>
  <c r="X6" i="104"/>
  <c r="L44" i="104"/>
  <c r="L33" i="106"/>
  <c r="K62" i="107"/>
  <c r="G59" i="107"/>
  <c r="J61" i="107"/>
  <c r="M19" i="102"/>
  <c r="H43" i="102" s="1"/>
  <c r="R38" i="102" s="1"/>
  <c r="H39" i="102" s="1"/>
  <c r="M20" i="102"/>
  <c r="H48" i="102" s="1"/>
  <c r="R43" i="102" s="1"/>
  <c r="K44" i="104"/>
  <c r="X7" i="104"/>
  <c r="K33" i="106"/>
  <c r="Q55" i="107"/>
  <c r="I61" i="107"/>
  <c r="J60" i="107"/>
  <c r="Z4" i="104"/>
  <c r="M15" i="106"/>
  <c r="H62" i="107"/>
  <c r="L36" i="106"/>
  <c r="G15" i="106"/>
  <c r="L15" i="106"/>
  <c r="G62" i="107"/>
  <c r="L30" i="106"/>
  <c r="L31" i="106"/>
  <c r="N62" i="107"/>
  <c r="J27" i="106"/>
  <c r="N33" i="106"/>
  <c r="AP46" i="108"/>
  <c r="AK64" i="108"/>
  <c r="N47" i="104"/>
  <c r="K40" i="104"/>
  <c r="G43" i="104"/>
  <c r="L35" i="106"/>
  <c r="W3" i="104"/>
  <c r="X8" i="104"/>
  <c r="L27" i="106"/>
  <c r="AO46" i="108"/>
  <c r="L43" i="104"/>
  <c r="J28" i="104"/>
  <c r="K28" i="104"/>
  <c r="AA3" i="104"/>
  <c r="N48" i="104"/>
  <c r="M55" i="107"/>
  <c r="Y3" i="104"/>
  <c r="X9" i="104"/>
  <c r="G46" i="104"/>
  <c r="L28" i="106"/>
  <c r="AN46" i="108"/>
  <c r="Z5" i="104"/>
  <c r="M21" i="102"/>
  <c r="H53" i="102" s="1"/>
  <c r="F21" i="102"/>
  <c r="N55" i="107"/>
  <c r="J55" i="107"/>
  <c r="AQ46" i="108"/>
  <c r="X4" i="104"/>
  <c r="O15" i="106"/>
  <c r="L29" i="106"/>
  <c r="AU46" i="108"/>
  <c r="AM46" i="108"/>
  <c r="AK57" i="108"/>
  <c r="G40" i="104"/>
  <c r="I26" i="106"/>
  <c r="P15" i="106"/>
  <c r="H15" i="106"/>
  <c r="Q15" i="106"/>
  <c r="I15" i="106"/>
  <c r="J15" i="106"/>
  <c r="K15" i="106"/>
  <c r="N15" i="106"/>
  <c r="J36" i="106"/>
  <c r="AT46" i="108"/>
  <c r="AL46" i="108"/>
  <c r="W9" i="104"/>
  <c r="AC4" i="104"/>
  <c r="AS46" i="108"/>
  <c r="AK60" i="108"/>
  <c r="F8" i="102"/>
  <c r="P8" i="102" s="1"/>
  <c r="F48" i="102" s="1"/>
  <c r="L27" i="105"/>
  <c r="M22" i="107"/>
  <c r="I19" i="107"/>
  <c r="L21" i="107"/>
  <c r="M20" i="107"/>
  <c r="H36" i="103"/>
  <c r="AA5" i="103"/>
  <c r="I27" i="105"/>
  <c r="J19" i="107"/>
  <c r="M21" i="107"/>
  <c r="N20" i="107"/>
  <c r="M8" i="102"/>
  <c r="C48" i="102" s="1"/>
  <c r="M48" i="102" s="1"/>
  <c r="M27" i="105"/>
  <c r="M24" i="105"/>
  <c r="N30" i="105"/>
  <c r="I30" i="105"/>
  <c r="I31" i="103"/>
  <c r="Y3" i="103"/>
  <c r="N27" i="105"/>
  <c r="N22" i="107"/>
  <c r="G21" i="107"/>
  <c r="H20" i="107"/>
  <c r="I9" i="102"/>
  <c r="G8" i="102"/>
  <c r="P9" i="102" s="1"/>
  <c r="F53" i="102" s="1"/>
  <c r="AA4" i="103"/>
  <c r="J35" i="103"/>
  <c r="L22" i="107"/>
  <c r="Y46" i="108"/>
  <c r="N25" i="105"/>
  <c r="K27" i="105"/>
  <c r="M30" i="105"/>
  <c r="M29" i="105" s="1"/>
  <c r="K22" i="107"/>
  <c r="I28" i="103"/>
  <c r="M23" i="105"/>
  <c r="J27" i="105"/>
  <c r="J22" i="107"/>
  <c r="I21" i="107"/>
  <c r="J20" i="107"/>
  <c r="W46" i="108"/>
  <c r="X46" i="108"/>
  <c r="AA46" i="108"/>
  <c r="I29" i="103"/>
  <c r="K30" i="105"/>
  <c r="H18" i="107"/>
  <c r="H22" i="107"/>
  <c r="I22" i="107"/>
  <c r="V46" i="108"/>
  <c r="H27" i="105"/>
  <c r="U46" i="108"/>
  <c r="J36" i="103"/>
  <c r="M11" i="102"/>
  <c r="G22" i="107"/>
  <c r="AB46" i="108"/>
  <c r="T46" i="108"/>
  <c r="L24" i="105"/>
  <c r="Q11" i="105"/>
  <c r="G18" i="107"/>
  <c r="G23" i="107" s="1"/>
  <c r="G26" i="105"/>
  <c r="L23" i="105"/>
  <c r="G19" i="107"/>
  <c r="W64" i="108"/>
  <c r="D9" i="102"/>
  <c r="I27" i="103"/>
  <c r="N26" i="105"/>
  <c r="I11" i="105"/>
  <c r="J11" i="105"/>
  <c r="K11" i="105"/>
  <c r="L11" i="105"/>
  <c r="M11" i="105"/>
  <c r="N11" i="105"/>
  <c r="K23" i="105"/>
  <c r="J15" i="107"/>
  <c r="H19" i="107"/>
  <c r="H23" i="107" s="1"/>
  <c r="N18" i="107"/>
  <c r="V64" i="108"/>
  <c r="H30" i="105"/>
  <c r="J23" i="105"/>
  <c r="J21" i="107"/>
  <c r="M18" i="107"/>
  <c r="S62" i="108"/>
  <c r="T62" i="108"/>
  <c r="U62" i="108"/>
  <c r="U60" i="108"/>
  <c r="U59" i="108"/>
  <c r="U58" i="108"/>
  <c r="U57" i="108"/>
  <c r="T58" i="108"/>
  <c r="V62" i="108"/>
  <c r="V60" i="108"/>
  <c r="V59" i="108"/>
  <c r="V58" i="108"/>
  <c r="V57" i="108"/>
  <c r="S57" i="108"/>
  <c r="T59" i="108"/>
  <c r="W62" i="108"/>
  <c r="W60" i="108"/>
  <c r="W59" i="108"/>
  <c r="W58" i="108"/>
  <c r="W57" i="108"/>
  <c r="S58" i="108"/>
  <c r="T57" i="108"/>
  <c r="X62" i="108"/>
  <c r="X60" i="108"/>
  <c r="X59" i="108"/>
  <c r="X58" i="108"/>
  <c r="X57" i="108"/>
  <c r="T60" i="108"/>
  <c r="Y62" i="108"/>
  <c r="Y60" i="108"/>
  <c r="Y59" i="108"/>
  <c r="Y58" i="108"/>
  <c r="Y57" i="108"/>
  <c r="S59" i="108"/>
  <c r="R62" i="108"/>
  <c r="R60" i="108"/>
  <c r="R59" i="108"/>
  <c r="R58" i="108"/>
  <c r="R57" i="108"/>
  <c r="S60" i="108"/>
  <c r="U64" i="108"/>
  <c r="I23" i="105"/>
  <c r="L18" i="107"/>
  <c r="T64" i="108"/>
  <c r="J13" i="103"/>
  <c r="K13" i="103"/>
  <c r="K35" i="103"/>
  <c r="Y5" i="103"/>
  <c r="L28" i="103"/>
  <c r="J30" i="105"/>
  <c r="H23" i="105"/>
  <c r="K18" i="107"/>
  <c r="S64" i="108"/>
  <c r="G30" i="105"/>
  <c r="G29" i="105" s="1"/>
  <c r="G23" i="105"/>
  <c r="G27" i="105"/>
  <c r="J18" i="107"/>
  <c r="R64" i="108"/>
  <c r="I33" i="103"/>
  <c r="D8" i="102"/>
  <c r="P6" i="102" s="1"/>
  <c r="F38" i="102" s="1"/>
  <c r="J34" i="103"/>
  <c r="O11" i="105"/>
  <c r="L30" i="105"/>
  <c r="L29" i="105" s="1"/>
  <c r="N23" i="105"/>
  <c r="I18" i="107"/>
  <c r="Y64" i="108"/>
  <c r="AA3" i="103"/>
  <c r="AA6" i="103" s="1"/>
  <c r="S46" i="108"/>
  <c r="X64" i="108"/>
  <c r="L61" i="107"/>
  <c r="L63" i="107" s="1"/>
  <c r="M60" i="107"/>
  <c r="G63" i="107"/>
  <c r="H59" i="107"/>
  <c r="H63" i="107" s="1"/>
  <c r="M59" i="107"/>
  <c r="M63" i="107" s="1"/>
  <c r="N63" i="107"/>
  <c r="O55" i="107"/>
  <c r="J63" i="107"/>
  <c r="K63" i="107"/>
  <c r="K55" i="107"/>
  <c r="L55" i="107"/>
  <c r="I63" i="107"/>
  <c r="P55" i="107"/>
  <c r="L15" i="107"/>
  <c r="K21" i="107"/>
  <c r="I23" i="107"/>
  <c r="O15" i="107"/>
  <c r="K15" i="107"/>
  <c r="M15" i="107"/>
  <c r="L20" i="107"/>
  <c r="N19" i="107"/>
  <c r="N23" i="107" s="1"/>
  <c r="L19" i="107"/>
  <c r="M23" i="107"/>
  <c r="P15" i="107"/>
  <c r="N15" i="107"/>
  <c r="Q15" i="107"/>
  <c r="K26" i="106"/>
  <c r="K27" i="106"/>
  <c r="K28" i="106"/>
  <c r="K29" i="106"/>
  <c r="K30" i="106"/>
  <c r="K31" i="106"/>
  <c r="K32" i="106"/>
  <c r="K35" i="106"/>
  <c r="K36" i="106"/>
  <c r="M26" i="106"/>
  <c r="M27" i="106"/>
  <c r="M28" i="106"/>
  <c r="M29" i="106"/>
  <c r="M30" i="106"/>
  <c r="M31" i="106"/>
  <c r="M32" i="106"/>
  <c r="M35" i="106"/>
  <c r="M36" i="106"/>
  <c r="N26" i="106"/>
  <c r="N27" i="106"/>
  <c r="N28" i="106"/>
  <c r="N29" i="106"/>
  <c r="N30" i="106"/>
  <c r="N31" i="106"/>
  <c r="N32" i="106"/>
  <c r="N35" i="106"/>
  <c r="N36" i="106"/>
  <c r="G26" i="106"/>
  <c r="G27" i="106"/>
  <c r="G28" i="106"/>
  <c r="G29" i="106"/>
  <c r="G30" i="106"/>
  <c r="G31" i="106"/>
  <c r="G32" i="106"/>
  <c r="G35" i="106"/>
  <c r="G36" i="106"/>
  <c r="H26" i="106"/>
  <c r="H27" i="106"/>
  <c r="H28" i="106"/>
  <c r="H29" i="106"/>
  <c r="H30" i="106"/>
  <c r="H31" i="106"/>
  <c r="H32" i="106"/>
  <c r="H35" i="106"/>
  <c r="H36" i="106"/>
  <c r="I28" i="106"/>
  <c r="I29" i="106"/>
  <c r="I30" i="106"/>
  <c r="I31" i="106"/>
  <c r="I32" i="106"/>
  <c r="I35" i="106"/>
  <c r="I36" i="106"/>
  <c r="J28" i="106"/>
  <c r="J29" i="106"/>
  <c r="J30" i="106"/>
  <c r="J31" i="106"/>
  <c r="J32" i="106"/>
  <c r="J35" i="106"/>
  <c r="N29" i="105"/>
  <c r="H29" i="105"/>
  <c r="G24" i="105"/>
  <c r="G25" i="105"/>
  <c r="H26" i="105"/>
  <c r="I29" i="105"/>
  <c r="M25" i="105"/>
  <c r="H11" i="105"/>
  <c r="H24" i="105"/>
  <c r="H25" i="105"/>
  <c r="I26" i="105"/>
  <c r="J29" i="105"/>
  <c r="I24" i="105"/>
  <c r="I25" i="105"/>
  <c r="J26" i="105"/>
  <c r="K29" i="105"/>
  <c r="J24" i="105"/>
  <c r="J25" i="105"/>
  <c r="K26" i="105"/>
  <c r="N24" i="105"/>
  <c r="K24" i="105"/>
  <c r="K25" i="105"/>
  <c r="L26" i="105"/>
  <c r="L25" i="105"/>
  <c r="M26" i="105"/>
  <c r="P11" i="105"/>
  <c r="X3" i="104"/>
  <c r="Y4" i="104"/>
  <c r="Y5" i="104"/>
  <c r="Y6" i="104"/>
  <c r="Y7" i="104"/>
  <c r="Y8" i="104"/>
  <c r="Y9" i="104"/>
  <c r="H40" i="104"/>
  <c r="H41" i="104"/>
  <c r="H43" i="104"/>
  <c r="H46" i="104"/>
  <c r="H47" i="104"/>
  <c r="H48" i="104"/>
  <c r="H39" i="104"/>
  <c r="I40" i="104"/>
  <c r="I41" i="104"/>
  <c r="I45" i="104"/>
  <c r="I46" i="104"/>
  <c r="I47" i="104"/>
  <c r="I48" i="104"/>
  <c r="M39" i="104"/>
  <c r="Z6" i="104"/>
  <c r="AA4" i="104"/>
  <c r="AA5" i="104"/>
  <c r="AA6" i="104"/>
  <c r="AA7" i="104"/>
  <c r="AA8" i="104"/>
  <c r="AA9" i="104"/>
  <c r="I39" i="104"/>
  <c r="J40" i="104"/>
  <c r="J41" i="104"/>
  <c r="J43" i="104"/>
  <c r="J45" i="104"/>
  <c r="J46" i="104"/>
  <c r="J47" i="104"/>
  <c r="J48" i="104"/>
  <c r="AB4" i="104"/>
  <c r="AB5" i="104"/>
  <c r="AB6" i="104"/>
  <c r="AB7" i="104"/>
  <c r="AB8" i="104"/>
  <c r="AB9" i="104"/>
  <c r="J39" i="104"/>
  <c r="K41" i="104"/>
  <c r="K43" i="104"/>
  <c r="K45" i="104"/>
  <c r="K46" i="104"/>
  <c r="K47" i="104"/>
  <c r="K48" i="104"/>
  <c r="Z7" i="104"/>
  <c r="AC3" i="104"/>
  <c r="AC5" i="104"/>
  <c r="AC6" i="104"/>
  <c r="AC7" i="104"/>
  <c r="AC8" i="104"/>
  <c r="AC9" i="104"/>
  <c r="K39" i="104"/>
  <c r="L40" i="104"/>
  <c r="L41" i="104"/>
  <c r="L45" i="104"/>
  <c r="L46" i="104"/>
  <c r="L47" i="104"/>
  <c r="L48" i="104"/>
  <c r="Z8" i="104"/>
  <c r="V4" i="104"/>
  <c r="V5" i="104"/>
  <c r="V6" i="104"/>
  <c r="V7" i="104"/>
  <c r="V8" i="104"/>
  <c r="V9" i="104"/>
  <c r="L39" i="104"/>
  <c r="M40" i="104"/>
  <c r="M41" i="104"/>
  <c r="M43" i="104"/>
  <c r="M46" i="104"/>
  <c r="M47" i="104"/>
  <c r="M48" i="104"/>
  <c r="V3" i="104"/>
  <c r="W4" i="104"/>
  <c r="W5" i="104"/>
  <c r="W6" i="104"/>
  <c r="W7" i="104"/>
  <c r="W8" i="104"/>
  <c r="N39" i="104"/>
  <c r="N40" i="104"/>
  <c r="N41" i="104"/>
  <c r="N43" i="104"/>
  <c r="N45" i="104"/>
  <c r="N46" i="104"/>
  <c r="AB3" i="104"/>
  <c r="G49" i="104"/>
  <c r="Z3" i="103"/>
  <c r="Z4" i="103"/>
  <c r="Z5" i="103"/>
  <c r="H27" i="103"/>
  <c r="H28" i="103"/>
  <c r="H29" i="103"/>
  <c r="H31" i="103"/>
  <c r="H33" i="103"/>
  <c r="I34" i="103"/>
  <c r="I35" i="103"/>
  <c r="I36" i="103"/>
  <c r="AB3" i="103"/>
  <c r="AB4" i="103"/>
  <c r="AB5" i="103"/>
  <c r="J27" i="103"/>
  <c r="J28" i="103"/>
  <c r="J29" i="103"/>
  <c r="J31" i="103"/>
  <c r="J33" i="103"/>
  <c r="K34" i="103"/>
  <c r="K36" i="103"/>
  <c r="AC3" i="103"/>
  <c r="AC4" i="103"/>
  <c r="AC5" i="103"/>
  <c r="K27" i="103"/>
  <c r="K28" i="103"/>
  <c r="K29" i="103"/>
  <c r="K31" i="103"/>
  <c r="K33" i="103"/>
  <c r="L34" i="103"/>
  <c r="L35" i="103"/>
  <c r="L36" i="103"/>
  <c r="AD3" i="103"/>
  <c r="AD4" i="103"/>
  <c r="AD5" i="103"/>
  <c r="L27" i="103"/>
  <c r="L29" i="103"/>
  <c r="L31" i="103"/>
  <c r="L33" i="103"/>
  <c r="M34" i="103"/>
  <c r="M35" i="103"/>
  <c r="M36" i="103"/>
  <c r="W3" i="103"/>
  <c r="W4" i="103"/>
  <c r="W5" i="103"/>
  <c r="M27" i="103"/>
  <c r="M28" i="103"/>
  <c r="M29" i="103"/>
  <c r="M31" i="103"/>
  <c r="M33" i="103"/>
  <c r="N34" i="103"/>
  <c r="N35" i="103"/>
  <c r="N36" i="103"/>
  <c r="X3" i="103"/>
  <c r="X4" i="103"/>
  <c r="X5" i="103"/>
  <c r="N27" i="103"/>
  <c r="N28" i="103"/>
  <c r="N29" i="103"/>
  <c r="N31" i="103"/>
  <c r="G34" i="103"/>
  <c r="G35" i="103"/>
  <c r="G36" i="103"/>
  <c r="Y4" i="103"/>
  <c r="Y6" i="103" s="1"/>
  <c r="G27" i="103"/>
  <c r="G28" i="103"/>
  <c r="G29" i="103"/>
  <c r="G31" i="103"/>
  <c r="G33" i="103"/>
  <c r="H34" i="103"/>
  <c r="H35" i="103"/>
  <c r="N33" i="103"/>
  <c r="G21" i="102"/>
  <c r="H21" i="102"/>
  <c r="N48" i="102"/>
  <c r="D49" i="102" s="1"/>
  <c r="N33" i="102"/>
  <c r="N34" i="102" s="1"/>
  <c r="H9" i="102"/>
  <c r="T33" i="102"/>
  <c r="J34" i="102" s="1"/>
  <c r="O48" i="102"/>
  <c r="E49" i="102" s="1"/>
  <c r="S28" i="102"/>
  <c r="I29" i="102" s="1"/>
  <c r="S48" i="102"/>
  <c r="I49" i="102" s="1"/>
  <c r="T43" i="102"/>
  <c r="T38" i="102"/>
  <c r="T48" i="102"/>
  <c r="N28" i="102"/>
  <c r="D29" i="102" s="1"/>
  <c r="S43" i="102"/>
  <c r="I44" i="102" s="1"/>
  <c r="M33" i="102"/>
  <c r="C34" i="102" s="1"/>
  <c r="L4" i="102"/>
  <c r="B28" i="102" s="1"/>
  <c r="L28" i="102" s="1"/>
  <c r="R33" i="102"/>
  <c r="H34" i="102" s="1"/>
  <c r="L16" i="102"/>
  <c r="G28" i="102" s="1"/>
  <c r="Q28" i="102" s="1"/>
  <c r="N38" i="102"/>
  <c r="D39" i="102" s="1"/>
  <c r="S33" i="102"/>
  <c r="S38" i="102"/>
  <c r="O43" i="102"/>
  <c r="E44" i="102" s="1"/>
  <c r="M38" i="102"/>
  <c r="N43" i="102"/>
  <c r="O38" i="102"/>
  <c r="R28" i="102"/>
  <c r="H29" i="102" s="1"/>
  <c r="L6" i="102"/>
  <c r="B38" i="102" s="1"/>
  <c r="L38" i="102" s="1"/>
  <c r="L18" i="102"/>
  <c r="G38" i="102" s="1"/>
  <c r="C21" i="102"/>
  <c r="L8" i="102"/>
  <c r="B48" i="102" s="1"/>
  <c r="L48" i="102" s="1"/>
  <c r="E9" i="102"/>
  <c r="L20" i="102"/>
  <c r="G48" i="102" s="1"/>
  <c r="Q48" i="102" s="1"/>
  <c r="E21" i="102"/>
  <c r="L10" i="102"/>
  <c r="L22" i="102"/>
  <c r="G58" i="102" s="1"/>
  <c r="Q58" i="102" s="1"/>
  <c r="J29" i="102" l="1"/>
  <c r="R60" i="102"/>
  <c r="R59" i="102"/>
  <c r="R62" i="102"/>
  <c r="R61" i="102"/>
  <c r="Q60" i="102"/>
  <c r="Q59" i="102"/>
  <c r="Q62" i="102"/>
  <c r="Q61" i="102"/>
  <c r="S54" i="102"/>
  <c r="S57" i="102"/>
  <c r="S56" i="102"/>
  <c r="S55" i="102"/>
  <c r="U58" i="102"/>
  <c r="K59" i="102"/>
  <c r="U53" i="102"/>
  <c r="T59" i="102"/>
  <c r="T62" i="102"/>
  <c r="T61" i="102"/>
  <c r="T60" i="102"/>
  <c r="H59" i="102"/>
  <c r="H60" i="102" s="1"/>
  <c r="H61" i="102" s="1"/>
  <c r="H62" i="102" s="1"/>
  <c r="R53" i="102"/>
  <c r="I54" i="102"/>
  <c r="I55" i="102" s="1"/>
  <c r="I56" i="102" s="1"/>
  <c r="I57" i="102" s="1"/>
  <c r="H54" i="102"/>
  <c r="S59" i="102"/>
  <c r="I60" i="102" s="1"/>
  <c r="S62" i="102"/>
  <c r="S61" i="102"/>
  <c r="S60" i="102"/>
  <c r="G59" i="102"/>
  <c r="Q53" i="102"/>
  <c r="T54" i="102"/>
  <c r="J55" i="102" s="1"/>
  <c r="J56" i="102" s="1"/>
  <c r="J57" i="102" s="1"/>
  <c r="T57" i="102"/>
  <c r="T56" i="102"/>
  <c r="T55" i="102"/>
  <c r="J59" i="102"/>
  <c r="J60" i="102" s="1"/>
  <c r="J61" i="102" s="1"/>
  <c r="J62" i="102" s="1"/>
  <c r="T30" i="102"/>
  <c r="T32" i="102"/>
  <c r="R48" i="102"/>
  <c r="R51" i="102" s="1"/>
  <c r="U48" i="102"/>
  <c r="K49" i="102" s="1"/>
  <c r="P48" i="102"/>
  <c r="P51" i="102" s="1"/>
  <c r="U38" i="102"/>
  <c r="U41" i="102" s="1"/>
  <c r="U33" i="102"/>
  <c r="K34" i="102" s="1"/>
  <c r="T29" i="102"/>
  <c r="J30" i="102" s="1"/>
  <c r="J31" i="102" s="1"/>
  <c r="J32" i="102" s="1"/>
  <c r="P43" i="102"/>
  <c r="F44" i="102" s="1"/>
  <c r="N36" i="102"/>
  <c r="D34" i="102"/>
  <c r="D35" i="102" s="1"/>
  <c r="N35" i="102"/>
  <c r="N50" i="102"/>
  <c r="N52" i="102"/>
  <c r="M43" i="102"/>
  <c r="M47" i="102" s="1"/>
  <c r="N51" i="102"/>
  <c r="N49" i="102"/>
  <c r="D50" i="102" s="1"/>
  <c r="N37" i="102"/>
  <c r="N38" i="106"/>
  <c r="Z10" i="104"/>
  <c r="AB10" i="104"/>
  <c r="W10" i="104"/>
  <c r="L38" i="106"/>
  <c r="AC10" i="104"/>
  <c r="AA10" i="104"/>
  <c r="L49" i="104"/>
  <c r="X10" i="104"/>
  <c r="J38" i="106"/>
  <c r="I49" i="104"/>
  <c r="Y10" i="104"/>
  <c r="K31" i="105"/>
  <c r="L37" i="103"/>
  <c r="K23" i="107"/>
  <c r="I37" i="103"/>
  <c r="Z6" i="103"/>
  <c r="J23" i="107"/>
  <c r="P38" i="102"/>
  <c r="N37" i="103"/>
  <c r="I31" i="105"/>
  <c r="J37" i="103"/>
  <c r="H37" i="103"/>
  <c r="H38" i="103" s="1"/>
  <c r="H31" i="105"/>
  <c r="L23" i="107"/>
  <c r="AC6" i="103"/>
  <c r="X67" i="108"/>
  <c r="AL67" i="108"/>
  <c r="Y67" i="108"/>
  <c r="S67" i="108"/>
  <c r="AR67" i="108"/>
  <c r="U67" i="108"/>
  <c r="W67" i="108"/>
  <c r="AQ67" i="108"/>
  <c r="AK67" i="108"/>
  <c r="AO67" i="108"/>
  <c r="AM67" i="108"/>
  <c r="R67" i="108"/>
  <c r="V67" i="108"/>
  <c r="T67" i="108"/>
  <c r="AP67" i="108"/>
  <c r="AN67" i="108"/>
  <c r="I38" i="106"/>
  <c r="H38" i="106"/>
  <c r="M38" i="106"/>
  <c r="G38" i="106"/>
  <c r="O28" i="106"/>
  <c r="O39" i="106" s="1"/>
  <c r="K38" i="106"/>
  <c r="M31" i="105"/>
  <c r="L31" i="105"/>
  <c r="G31" i="105"/>
  <c r="J31" i="105"/>
  <c r="N31" i="105"/>
  <c r="V10" i="104"/>
  <c r="H49" i="104"/>
  <c r="J49" i="104"/>
  <c r="N49" i="104"/>
  <c r="K49" i="104"/>
  <c r="M49" i="104"/>
  <c r="W6" i="103"/>
  <c r="AB6" i="103"/>
  <c r="X6" i="103"/>
  <c r="M37" i="103"/>
  <c r="G37" i="103"/>
  <c r="AD6" i="103"/>
  <c r="K37" i="103"/>
  <c r="Q52" i="102"/>
  <c r="Q50" i="102"/>
  <c r="Q51" i="102"/>
  <c r="Q49" i="102"/>
  <c r="L31" i="102"/>
  <c r="L29" i="102"/>
  <c r="L32" i="102"/>
  <c r="L30" i="102"/>
  <c r="L41" i="102"/>
  <c r="L39" i="102"/>
  <c r="L42" i="102"/>
  <c r="L40" i="102"/>
  <c r="L51" i="102"/>
  <c r="L49" i="102"/>
  <c r="L52" i="102"/>
  <c r="L50" i="102"/>
  <c r="O42" i="102"/>
  <c r="O40" i="102"/>
  <c r="O41" i="102"/>
  <c r="O39" i="102"/>
  <c r="O46" i="102"/>
  <c r="O44" i="102"/>
  <c r="E45" i="102" s="1"/>
  <c r="O47" i="102"/>
  <c r="O45" i="102"/>
  <c r="M51" i="102"/>
  <c r="M49" i="102"/>
  <c r="M52" i="102"/>
  <c r="M50" i="102"/>
  <c r="B29" i="102"/>
  <c r="O52" i="102"/>
  <c r="O50" i="102"/>
  <c r="O51" i="102"/>
  <c r="O49" i="102"/>
  <c r="E50" i="102" s="1"/>
  <c r="U47" i="102"/>
  <c r="U45" i="102"/>
  <c r="U46" i="102"/>
  <c r="U44" i="102"/>
  <c r="K45" i="102" s="1"/>
  <c r="Q33" i="102"/>
  <c r="N47" i="102"/>
  <c r="N46" i="102"/>
  <c r="N44" i="102"/>
  <c r="N45" i="102"/>
  <c r="R46" i="102"/>
  <c r="R44" i="102"/>
  <c r="R47" i="102"/>
  <c r="R45" i="102"/>
  <c r="T51" i="102"/>
  <c r="T49" i="102"/>
  <c r="T52" i="102"/>
  <c r="T50" i="102"/>
  <c r="R42" i="102"/>
  <c r="R40" i="102"/>
  <c r="R41" i="102"/>
  <c r="R39" i="102"/>
  <c r="H40" i="102" s="1"/>
  <c r="L33" i="102"/>
  <c r="B39" i="102"/>
  <c r="S47" i="102"/>
  <c r="S45" i="102"/>
  <c r="S46" i="102"/>
  <c r="S44" i="102"/>
  <c r="I45" i="102" s="1"/>
  <c r="J49" i="102"/>
  <c r="H44" i="102"/>
  <c r="S41" i="102"/>
  <c r="S39" i="102"/>
  <c r="S42" i="102"/>
  <c r="S40" i="102"/>
  <c r="R37" i="102"/>
  <c r="R35" i="102"/>
  <c r="R34" i="102"/>
  <c r="H35" i="102" s="1"/>
  <c r="R36" i="102"/>
  <c r="T41" i="102"/>
  <c r="T39" i="102"/>
  <c r="T42" i="102"/>
  <c r="T40" i="102"/>
  <c r="T47" i="102"/>
  <c r="T45" i="102"/>
  <c r="T46" i="102"/>
  <c r="T44" i="102"/>
  <c r="J39" i="102"/>
  <c r="Q43" i="102"/>
  <c r="G49" i="102"/>
  <c r="R31" i="102"/>
  <c r="R29" i="102"/>
  <c r="H30" i="102" s="1"/>
  <c r="R30" i="102"/>
  <c r="R32" i="102"/>
  <c r="Q32" i="102"/>
  <c r="Q30" i="102"/>
  <c r="Q31" i="102"/>
  <c r="Q29" i="102"/>
  <c r="G29" i="102"/>
  <c r="N32" i="102"/>
  <c r="N30" i="102"/>
  <c r="N31" i="102"/>
  <c r="N29" i="102"/>
  <c r="D30" i="102" s="1"/>
  <c r="J44" i="102"/>
  <c r="S51" i="102"/>
  <c r="S49" i="102"/>
  <c r="I50" i="102" s="1"/>
  <c r="S52" i="102"/>
  <c r="S50" i="102"/>
  <c r="T37" i="102"/>
  <c r="T35" i="102"/>
  <c r="T36" i="102"/>
  <c r="T34" i="102"/>
  <c r="J35" i="102" s="1"/>
  <c r="M41" i="102"/>
  <c r="M39" i="102"/>
  <c r="M42" i="102"/>
  <c r="M40" i="102"/>
  <c r="I39" i="102"/>
  <c r="E39" i="102"/>
  <c r="D44" i="102"/>
  <c r="P50" i="102"/>
  <c r="C39" i="102"/>
  <c r="S31" i="102"/>
  <c r="S29" i="102"/>
  <c r="I30" i="102" s="1"/>
  <c r="S32" i="102"/>
  <c r="S30" i="102"/>
  <c r="P46" i="102"/>
  <c r="L43" i="102"/>
  <c r="B49" i="102"/>
  <c r="Q38" i="102"/>
  <c r="G39" i="102" s="1"/>
  <c r="C49" i="102"/>
  <c r="S37" i="102"/>
  <c r="S35" i="102"/>
  <c r="S36" i="102"/>
  <c r="S34" i="102"/>
  <c r="N42" i="102"/>
  <c r="N40" i="102"/>
  <c r="N39" i="102"/>
  <c r="D40" i="102" s="1"/>
  <c r="N41" i="102"/>
  <c r="M37" i="102"/>
  <c r="M35" i="102"/>
  <c r="M36" i="102"/>
  <c r="M34" i="102"/>
  <c r="C35" i="102" s="1"/>
  <c r="I34" i="102"/>
  <c r="F49" i="102"/>
  <c r="U52" i="102" l="1"/>
  <c r="U51" i="102"/>
  <c r="I61" i="102"/>
  <c r="I62" i="102" s="1"/>
  <c r="U54" i="102"/>
  <c r="U57" i="102"/>
  <c r="U56" i="102"/>
  <c r="U55" i="102"/>
  <c r="K60" i="102"/>
  <c r="K61" i="102" s="1"/>
  <c r="Q55" i="102"/>
  <c r="Q54" i="102"/>
  <c r="Q57" i="102"/>
  <c r="Q56" i="102"/>
  <c r="G54" i="102"/>
  <c r="R55" i="102"/>
  <c r="R54" i="102"/>
  <c r="H55" i="102" s="1"/>
  <c r="H56" i="102" s="1"/>
  <c r="H57" i="102" s="1"/>
  <c r="R57" i="102"/>
  <c r="R56" i="102"/>
  <c r="U62" i="102"/>
  <c r="U61" i="102"/>
  <c r="U60" i="102"/>
  <c r="U59" i="102"/>
  <c r="G60" i="102"/>
  <c r="G61" i="102" s="1"/>
  <c r="G62" i="102" s="1"/>
  <c r="R52" i="102"/>
  <c r="K54" i="102"/>
  <c r="K55" i="102" s="1"/>
  <c r="K56" i="102" s="1"/>
  <c r="K57" i="102" s="1"/>
  <c r="H49" i="102"/>
  <c r="H66" i="102" s="1"/>
  <c r="R50" i="102"/>
  <c r="U49" i="102"/>
  <c r="K50" i="102" s="1"/>
  <c r="R49" i="102"/>
  <c r="P52" i="102"/>
  <c r="P45" i="102"/>
  <c r="P49" i="102"/>
  <c r="P44" i="102"/>
  <c r="F45" i="102" s="1"/>
  <c r="P47" i="102"/>
  <c r="U50" i="102"/>
  <c r="K39" i="102"/>
  <c r="U40" i="102"/>
  <c r="U35" i="102"/>
  <c r="U42" i="102"/>
  <c r="U39" i="102"/>
  <c r="M44" i="102"/>
  <c r="U34" i="102"/>
  <c r="K35" i="102" s="1"/>
  <c r="K66" i="102" s="1"/>
  <c r="K46" i="102"/>
  <c r="C40" i="102"/>
  <c r="C41" i="102" s="1"/>
  <c r="C42" i="102" s="1"/>
  <c r="H45" i="102"/>
  <c r="H46" i="102" s="1"/>
  <c r="H47" i="102" s="1"/>
  <c r="U36" i="102"/>
  <c r="M46" i="102"/>
  <c r="U37" i="102"/>
  <c r="G30" i="102"/>
  <c r="G31" i="102" s="1"/>
  <c r="G32" i="102" s="1"/>
  <c r="K47" i="102"/>
  <c r="I51" i="102"/>
  <c r="I52" i="102" s="1"/>
  <c r="D36" i="102"/>
  <c r="D37" i="102" s="1"/>
  <c r="I46" i="102"/>
  <c r="I47" i="102" s="1"/>
  <c r="D51" i="102"/>
  <c r="D52" i="102" s="1"/>
  <c r="J36" i="102"/>
  <c r="J37" i="102" s="1"/>
  <c r="J45" i="102"/>
  <c r="J46" i="102" s="1"/>
  <c r="J47" i="102" s="1"/>
  <c r="M45" i="102"/>
  <c r="C44" i="102"/>
  <c r="B40" i="102"/>
  <c r="B41" i="102" s="1"/>
  <c r="B42" i="102" s="1"/>
  <c r="D41" i="102"/>
  <c r="D42" i="102" s="1"/>
  <c r="D66" i="102"/>
  <c r="D31" i="102"/>
  <c r="D32" i="102" s="1"/>
  <c r="E51" i="102"/>
  <c r="E52" i="102" s="1"/>
  <c r="H31" i="102"/>
  <c r="H32" i="102" s="1"/>
  <c r="P42" i="102"/>
  <c r="P41" i="102"/>
  <c r="P40" i="102"/>
  <c r="P39" i="102"/>
  <c r="F39" i="102"/>
  <c r="P47" i="104"/>
  <c r="Q29" i="104"/>
  <c r="I40" i="102"/>
  <c r="I41" i="102" s="1"/>
  <c r="I42" i="102" s="1"/>
  <c r="I31" i="102"/>
  <c r="I32" i="102" s="1"/>
  <c r="F46" i="102"/>
  <c r="F47" i="102" s="1"/>
  <c r="D45" i="102"/>
  <c r="D46" i="102" s="1"/>
  <c r="D47" i="102" s="1"/>
  <c r="C36" i="102"/>
  <c r="C37" i="102" s="1"/>
  <c r="B30" i="102"/>
  <c r="B31" i="102" s="1"/>
  <c r="B32" i="102" s="1"/>
  <c r="H36" i="102"/>
  <c r="H37" i="102" s="1"/>
  <c r="B50" i="102"/>
  <c r="B51" i="102" s="1"/>
  <c r="B52" i="102" s="1"/>
  <c r="J66" i="102"/>
  <c r="J50" i="102"/>
  <c r="J51" i="102" s="1"/>
  <c r="J52" i="102" s="1"/>
  <c r="I35" i="102"/>
  <c r="L47" i="102"/>
  <c r="L45" i="102"/>
  <c r="L46" i="102"/>
  <c r="L44" i="102"/>
  <c r="B44" i="102"/>
  <c r="E40" i="102"/>
  <c r="E41" i="102" s="1"/>
  <c r="E42" i="102" s="1"/>
  <c r="F50" i="102"/>
  <c r="F51" i="102" s="1"/>
  <c r="F52" i="102" s="1"/>
  <c r="G50" i="102"/>
  <c r="G51" i="102" s="1"/>
  <c r="G52" i="102" s="1"/>
  <c r="L37" i="102"/>
  <c r="L35" i="102"/>
  <c r="L36" i="102"/>
  <c r="L34" i="102"/>
  <c r="B34" i="102"/>
  <c r="Q36" i="102"/>
  <c r="Q34" i="102"/>
  <c r="Q37" i="102"/>
  <c r="Q35" i="102"/>
  <c r="G34" i="102"/>
  <c r="E46" i="102"/>
  <c r="E47" i="102" s="1"/>
  <c r="Q46" i="102"/>
  <c r="Q44" i="102"/>
  <c r="Q47" i="102"/>
  <c r="Q45" i="102"/>
  <c r="G44" i="102"/>
  <c r="J40" i="102"/>
  <c r="J41" i="102" s="1"/>
  <c r="J42" i="102" s="1"/>
  <c r="H41" i="102"/>
  <c r="H42" i="102" s="1"/>
  <c r="C66" i="102"/>
  <c r="C50" i="102"/>
  <c r="C51" i="102" s="1"/>
  <c r="C52" i="102" s="1"/>
  <c r="Q42" i="102"/>
  <c r="Q40" i="102"/>
  <c r="Q41" i="102"/>
  <c r="Q39" i="102"/>
  <c r="G40" i="102" s="1"/>
  <c r="K51" i="102" l="1"/>
  <c r="K52" i="102" s="1"/>
  <c r="K62" i="102"/>
  <c r="H50" i="102"/>
  <c r="H51" i="102" s="1"/>
  <c r="H52" i="102" s="1"/>
  <c r="G55" i="102"/>
  <c r="G56" i="102" s="1"/>
  <c r="G57" i="102" s="1"/>
  <c r="K40" i="102"/>
  <c r="K41" i="102" s="1"/>
  <c r="K42" i="102" s="1"/>
  <c r="K36" i="102"/>
  <c r="K37" i="102" s="1"/>
  <c r="C45" i="102"/>
  <c r="C46" i="102" s="1"/>
  <c r="C47" i="102" s="1"/>
  <c r="G41" i="102"/>
  <c r="G42" i="102" s="1"/>
  <c r="B45" i="102"/>
  <c r="B46" i="102" s="1"/>
  <c r="B47" i="102" s="1"/>
  <c r="F40" i="102"/>
  <c r="F41" i="102" s="1"/>
  <c r="F42" i="102" s="1"/>
  <c r="G45" i="102"/>
  <c r="G46" i="102" s="1"/>
  <c r="G47" i="102" s="1"/>
  <c r="G35" i="102"/>
  <c r="G36" i="102" s="1"/>
  <c r="G37" i="102" s="1"/>
  <c r="I36" i="102"/>
  <c r="I37" i="102" s="1"/>
  <c r="I66" i="102"/>
  <c r="B35" i="102"/>
  <c r="G66" i="102" l="1"/>
  <c r="B36" i="102"/>
  <c r="B37" i="102" s="1"/>
  <c r="B66" i="102"/>
  <c r="C19" i="101" l="1"/>
  <c r="O17" i="101" s="1"/>
  <c r="J33" i="101" s="1"/>
  <c r="D19" i="101"/>
  <c r="O18" i="101" s="1"/>
  <c r="J38" i="101" s="1"/>
  <c r="E19" i="101"/>
  <c r="O19" i="101" s="1"/>
  <c r="J43" i="101" s="1"/>
  <c r="F19" i="101"/>
  <c r="O20" i="101" s="1"/>
  <c r="J48" i="101" s="1"/>
  <c r="G19" i="101"/>
  <c r="O21" i="101" s="1"/>
  <c r="J53" i="101" s="1"/>
  <c r="H19" i="101"/>
  <c r="O22" i="101" s="1"/>
  <c r="J58" i="101" s="1"/>
  <c r="I19" i="101"/>
  <c r="O23" i="101" s="1"/>
  <c r="J63" i="101" s="1"/>
  <c r="T58" i="101" s="1"/>
  <c r="B19" i="101"/>
  <c r="O16" i="101" s="1"/>
  <c r="J28" i="101" s="1"/>
  <c r="C18" i="101"/>
  <c r="N17" i="101" s="1"/>
  <c r="I33" i="101" s="1"/>
  <c r="D18" i="101"/>
  <c r="N18" i="101" s="1"/>
  <c r="I38" i="101" s="1"/>
  <c r="E18" i="101"/>
  <c r="N19" i="101" s="1"/>
  <c r="I43" i="101" s="1"/>
  <c r="S38" i="101" s="1"/>
  <c r="F18" i="101"/>
  <c r="N20" i="101" s="1"/>
  <c r="I48" i="101" s="1"/>
  <c r="G18" i="101"/>
  <c r="N21" i="101" s="1"/>
  <c r="I53" i="101" s="1"/>
  <c r="H18" i="101"/>
  <c r="N22" i="101" s="1"/>
  <c r="I58" i="101" s="1"/>
  <c r="I18" i="101"/>
  <c r="N23" i="101" s="1"/>
  <c r="I63" i="101" s="1"/>
  <c r="S58" i="101" s="1"/>
  <c r="B18" i="101"/>
  <c r="N16" i="101" s="1"/>
  <c r="I28" i="101" s="1"/>
  <c r="C17" i="101"/>
  <c r="M17" i="101" s="1"/>
  <c r="H33" i="101" s="1"/>
  <c r="D17" i="101"/>
  <c r="M18" i="101" s="1"/>
  <c r="H38" i="101" s="1"/>
  <c r="E17" i="101"/>
  <c r="M19" i="101" s="1"/>
  <c r="H43" i="101" s="1"/>
  <c r="F17" i="101"/>
  <c r="G17" i="101"/>
  <c r="M21" i="101" s="1"/>
  <c r="H53" i="101" s="1"/>
  <c r="H17" i="101"/>
  <c r="M22" i="101" s="1"/>
  <c r="H58" i="101" s="1"/>
  <c r="I17" i="101"/>
  <c r="M23" i="101" s="1"/>
  <c r="H63" i="101" s="1"/>
  <c r="R58" i="101" s="1"/>
  <c r="B17" i="101"/>
  <c r="M16" i="101" s="1"/>
  <c r="H28" i="101" s="1"/>
  <c r="I16" i="101"/>
  <c r="L23" i="101" s="1"/>
  <c r="G63" i="101" s="1"/>
  <c r="C16" i="101"/>
  <c r="L17" i="101" s="1"/>
  <c r="G33" i="101" s="1"/>
  <c r="D16" i="101"/>
  <c r="L18" i="101" s="1"/>
  <c r="G38" i="101" s="1"/>
  <c r="E16" i="101"/>
  <c r="L19" i="101" s="1"/>
  <c r="G43" i="101" s="1"/>
  <c r="F16" i="101"/>
  <c r="L20" i="101" s="1"/>
  <c r="G48" i="101" s="1"/>
  <c r="G16" i="101"/>
  <c r="L21" i="101" s="1"/>
  <c r="G53" i="101" s="1"/>
  <c r="H16" i="101"/>
  <c r="L22" i="101" s="1"/>
  <c r="G58" i="101" s="1"/>
  <c r="B16" i="101"/>
  <c r="L16" i="101" s="1"/>
  <c r="G28" i="101" s="1"/>
  <c r="D7" i="101"/>
  <c r="O6" i="101" s="1"/>
  <c r="E38" i="101" s="1"/>
  <c r="E7" i="101"/>
  <c r="O7" i="101" s="1"/>
  <c r="E43" i="101" s="1"/>
  <c r="F7" i="101"/>
  <c r="O8" i="101" s="1"/>
  <c r="E48" i="101" s="1"/>
  <c r="G7" i="101"/>
  <c r="O9" i="101" s="1"/>
  <c r="E53" i="101" s="1"/>
  <c r="H7" i="101"/>
  <c r="O10" i="101" s="1"/>
  <c r="I7" i="101"/>
  <c r="O11" i="101" s="1"/>
  <c r="B7" i="101"/>
  <c r="O4" i="101" s="1"/>
  <c r="E28" i="101" s="1"/>
  <c r="C6" i="101"/>
  <c r="N5" i="101" s="1"/>
  <c r="D33" i="101" s="1"/>
  <c r="D6" i="101"/>
  <c r="N6" i="101" s="1"/>
  <c r="D38" i="101" s="1"/>
  <c r="E6" i="101"/>
  <c r="N7" i="101" s="1"/>
  <c r="D43" i="101" s="1"/>
  <c r="F6" i="101"/>
  <c r="N8" i="101" s="1"/>
  <c r="D48" i="101" s="1"/>
  <c r="G6" i="101"/>
  <c r="N9" i="101" s="1"/>
  <c r="D53" i="101" s="1"/>
  <c r="H6" i="101"/>
  <c r="N10" i="101" s="1"/>
  <c r="I6" i="101"/>
  <c r="N11" i="101" s="1"/>
  <c r="B6" i="101"/>
  <c r="N4" i="101" s="1"/>
  <c r="D28" i="101" s="1"/>
  <c r="C5" i="101"/>
  <c r="M5" i="101" s="1"/>
  <c r="C33" i="101" s="1"/>
  <c r="D5" i="101"/>
  <c r="E5" i="101"/>
  <c r="F5" i="101"/>
  <c r="M8" i="101" s="1"/>
  <c r="C48" i="101" s="1"/>
  <c r="G5" i="101"/>
  <c r="M9" i="101" s="1"/>
  <c r="C53" i="101" s="1"/>
  <c r="H5" i="101"/>
  <c r="M10" i="101" s="1"/>
  <c r="I5" i="101"/>
  <c r="C4" i="101"/>
  <c r="L5" i="101" s="1"/>
  <c r="B33" i="101" s="1"/>
  <c r="D4" i="101"/>
  <c r="L6" i="101" s="1"/>
  <c r="B38" i="101" s="1"/>
  <c r="E4" i="101"/>
  <c r="L7" i="101" s="1"/>
  <c r="B43" i="101" s="1"/>
  <c r="F4" i="101"/>
  <c r="L8" i="101" s="1"/>
  <c r="B48" i="101" s="1"/>
  <c r="G4" i="101"/>
  <c r="L9" i="101" s="1"/>
  <c r="B53" i="101" s="1"/>
  <c r="H4" i="101"/>
  <c r="L10" i="101" s="1"/>
  <c r="I4" i="101"/>
  <c r="L11" i="101" s="1"/>
  <c r="B4" i="101"/>
  <c r="L4" i="101" s="1"/>
  <c r="B28" i="101" s="1"/>
  <c r="AI205" i="75"/>
  <c r="AJ205" i="75"/>
  <c r="AK205" i="75"/>
  <c r="AL205" i="75"/>
  <c r="AM205" i="75"/>
  <c r="AN205" i="75"/>
  <c r="AO205" i="75"/>
  <c r="AH205" i="75"/>
  <c r="AI204" i="75"/>
  <c r="AJ204" i="75"/>
  <c r="AK204" i="75"/>
  <c r="AL204" i="75"/>
  <c r="AM204" i="75"/>
  <c r="AN204" i="75"/>
  <c r="AO204" i="75"/>
  <c r="AH204" i="75"/>
  <c r="Q53" i="101" l="1"/>
  <c r="G54" i="101" s="1"/>
  <c r="T59" i="101"/>
  <c r="T62" i="101"/>
  <c r="T61" i="101"/>
  <c r="T60" i="101"/>
  <c r="J59" i="101"/>
  <c r="T53" i="101"/>
  <c r="J54" i="101" s="1"/>
  <c r="I59" i="101"/>
  <c r="S53" i="101"/>
  <c r="S59" i="101"/>
  <c r="S62" i="101"/>
  <c r="S61" i="101"/>
  <c r="S60" i="101"/>
  <c r="H59" i="101"/>
  <c r="R53" i="101"/>
  <c r="H54" i="101" s="1"/>
  <c r="R60" i="101"/>
  <c r="R59" i="101"/>
  <c r="R62" i="101"/>
  <c r="R61" i="101"/>
  <c r="I54" i="101"/>
  <c r="Q58" i="101"/>
  <c r="Q48" i="101"/>
  <c r="Q50" i="101" s="1"/>
  <c r="F21" i="101"/>
  <c r="T43" i="101"/>
  <c r="T47" i="101" s="1"/>
  <c r="Q43" i="101"/>
  <c r="G44" i="101" s="1"/>
  <c r="S43" i="101"/>
  <c r="T44" i="101"/>
  <c r="Q28" i="101"/>
  <c r="G29" i="101" s="1"/>
  <c r="Q33" i="101"/>
  <c r="S41" i="101"/>
  <c r="S39" i="101"/>
  <c r="S40" i="101"/>
  <c r="S42" i="101"/>
  <c r="I39" i="101"/>
  <c r="T33" i="101"/>
  <c r="T28" i="101"/>
  <c r="Q38" i="101"/>
  <c r="G39" i="101" s="1"/>
  <c r="T48" i="101"/>
  <c r="T38" i="101"/>
  <c r="J39" i="101" s="1"/>
  <c r="S33" i="101"/>
  <c r="I34" i="101" s="1"/>
  <c r="S28" i="101"/>
  <c r="I29" i="101" s="1"/>
  <c r="S48" i="101"/>
  <c r="N48" i="101"/>
  <c r="D49" i="101" s="1"/>
  <c r="O48" i="101"/>
  <c r="O51" i="101" s="1"/>
  <c r="E9" i="101"/>
  <c r="I9" i="101"/>
  <c r="O43" i="101"/>
  <c r="L48" i="101"/>
  <c r="B49" i="101" s="1"/>
  <c r="L43" i="101"/>
  <c r="B44" i="101" s="1"/>
  <c r="N43" i="101"/>
  <c r="N38" i="101"/>
  <c r="D39" i="101" s="1"/>
  <c r="N33" i="101"/>
  <c r="D34" i="101" s="1"/>
  <c r="N28" i="101"/>
  <c r="D29" i="101" s="1"/>
  <c r="O38" i="101"/>
  <c r="E39" i="101" s="1"/>
  <c r="L28" i="101"/>
  <c r="L38" i="101"/>
  <c r="D9" i="101"/>
  <c r="L33" i="101"/>
  <c r="R28" i="101"/>
  <c r="H29" i="101" s="1"/>
  <c r="R38" i="101"/>
  <c r="H39" i="101" s="1"/>
  <c r="R33" i="101"/>
  <c r="H21" i="101"/>
  <c r="B21" i="101"/>
  <c r="M20" i="101"/>
  <c r="H48" i="101" s="1"/>
  <c r="I21" i="101"/>
  <c r="M6" i="101"/>
  <c r="C38" i="101" s="1"/>
  <c r="M33" i="101" s="1"/>
  <c r="C34" i="101" s="1"/>
  <c r="M48" i="101"/>
  <c r="C49" i="101" s="1"/>
  <c r="H9" i="101"/>
  <c r="G9" i="101"/>
  <c r="M7" i="101"/>
  <c r="C43" i="101" s="1"/>
  <c r="M43" i="101" s="1"/>
  <c r="F9" i="101"/>
  <c r="M11" i="101"/>
  <c r="D21" i="101"/>
  <c r="G21" i="101"/>
  <c r="C21" i="101"/>
  <c r="E21" i="101"/>
  <c r="Q51" i="101" l="1"/>
  <c r="G49" i="101"/>
  <c r="Q52" i="101"/>
  <c r="Q49" i="101"/>
  <c r="S54" i="101"/>
  <c r="I55" i="101" s="1"/>
  <c r="I56" i="101" s="1"/>
  <c r="S55" i="101"/>
  <c r="S57" i="101"/>
  <c r="S56" i="101"/>
  <c r="I60" i="101"/>
  <c r="I61" i="101" s="1"/>
  <c r="I62" i="101" s="1"/>
  <c r="R55" i="101"/>
  <c r="R54" i="101"/>
  <c r="H55" i="101" s="1"/>
  <c r="H56" i="101" s="1"/>
  <c r="R57" i="101"/>
  <c r="R56" i="101"/>
  <c r="T54" i="101"/>
  <c r="J55" i="101" s="1"/>
  <c r="J56" i="101" s="1"/>
  <c r="J57" i="101" s="1"/>
  <c r="T57" i="101"/>
  <c r="T56" i="101"/>
  <c r="T55" i="101"/>
  <c r="J44" i="101"/>
  <c r="H60" i="101"/>
  <c r="H61" i="101" s="1"/>
  <c r="H62" i="101" s="1"/>
  <c r="J60" i="101"/>
  <c r="J61" i="101" s="1"/>
  <c r="J62" i="101" s="1"/>
  <c r="Q55" i="101"/>
  <c r="Q54" i="101"/>
  <c r="G55" i="101" s="1"/>
  <c r="G56" i="101" s="1"/>
  <c r="G57" i="101" s="1"/>
  <c r="Q57" i="101"/>
  <c r="Q56" i="101"/>
  <c r="T45" i="101"/>
  <c r="Q60" i="101"/>
  <c r="Q59" i="101"/>
  <c r="Q62" i="101"/>
  <c r="Q61" i="101"/>
  <c r="G59" i="101"/>
  <c r="G60" i="101" s="1"/>
  <c r="G61" i="101" s="1"/>
  <c r="G62" i="101" s="1"/>
  <c r="I40" i="101"/>
  <c r="I41" i="101" s="1"/>
  <c r="I42" i="101" s="1"/>
  <c r="T46" i="101"/>
  <c r="E49" i="101"/>
  <c r="N51" i="101"/>
  <c r="J45" i="101"/>
  <c r="J46" i="101" s="1"/>
  <c r="J49" i="101"/>
  <c r="T51" i="101"/>
  <c r="T50" i="101"/>
  <c r="T49" i="101"/>
  <c r="T52" i="101"/>
  <c r="S51" i="101"/>
  <c r="S49" i="101"/>
  <c r="S52" i="101"/>
  <c r="S50" i="101"/>
  <c r="I49" i="101"/>
  <c r="Q37" i="101"/>
  <c r="Q34" i="101"/>
  <c r="Q36" i="101"/>
  <c r="Q35" i="101"/>
  <c r="N49" i="101"/>
  <c r="D50" i="101" s="1"/>
  <c r="O49" i="101"/>
  <c r="Q42" i="101"/>
  <c r="Q40" i="101"/>
  <c r="Q39" i="101"/>
  <c r="G40" i="101" s="1"/>
  <c r="Q41" i="101"/>
  <c r="I44" i="101"/>
  <c r="S44" i="101"/>
  <c r="S46" i="101"/>
  <c r="S45" i="101"/>
  <c r="S47" i="101"/>
  <c r="T37" i="101"/>
  <c r="T34" i="101"/>
  <c r="T36" i="101"/>
  <c r="T35" i="101"/>
  <c r="N50" i="101"/>
  <c r="O52" i="101"/>
  <c r="S32" i="101"/>
  <c r="S30" i="101"/>
  <c r="S31" i="101"/>
  <c r="S29" i="101"/>
  <c r="I30" i="101" s="1"/>
  <c r="J29" i="101"/>
  <c r="T32" i="101"/>
  <c r="T31" i="101"/>
  <c r="T29" i="101"/>
  <c r="T30" i="101"/>
  <c r="G50" i="101"/>
  <c r="G51" i="101" s="1"/>
  <c r="G52" i="101" s="1"/>
  <c r="T41" i="101"/>
  <c r="T40" i="101"/>
  <c r="T39" i="101"/>
  <c r="J40" i="101" s="1"/>
  <c r="T42" i="101"/>
  <c r="O50" i="101"/>
  <c r="N52" i="101"/>
  <c r="S35" i="101"/>
  <c r="S34" i="101"/>
  <c r="I35" i="101" s="1"/>
  <c r="S37" i="101"/>
  <c r="S36" i="101"/>
  <c r="J34" i="101"/>
  <c r="G34" i="101"/>
  <c r="Q30" i="101"/>
  <c r="Q32" i="101"/>
  <c r="Q29" i="101"/>
  <c r="G30" i="101" s="1"/>
  <c r="Q31" i="101"/>
  <c r="Q46" i="101"/>
  <c r="Q47" i="101"/>
  <c r="Q44" i="101"/>
  <c r="G45" i="101" s="1"/>
  <c r="Q45" i="101"/>
  <c r="L37" i="101"/>
  <c r="L34" i="101"/>
  <c r="L36" i="101"/>
  <c r="L35" i="101"/>
  <c r="L41" i="101"/>
  <c r="L42" i="101"/>
  <c r="L39" i="101"/>
  <c r="L40" i="101"/>
  <c r="O47" i="101"/>
  <c r="O44" i="101"/>
  <c r="O46" i="101"/>
  <c r="O45" i="101"/>
  <c r="L52" i="101"/>
  <c r="L51" i="101"/>
  <c r="L49" i="101"/>
  <c r="B50" i="101" s="1"/>
  <c r="L50" i="101"/>
  <c r="D44" i="101"/>
  <c r="N44" i="101"/>
  <c r="N45" i="101"/>
  <c r="N46" i="101"/>
  <c r="N47" i="101"/>
  <c r="B34" i="101"/>
  <c r="B29" i="101"/>
  <c r="L29" i="101"/>
  <c r="L31" i="101"/>
  <c r="L30" i="101"/>
  <c r="L32" i="101"/>
  <c r="N36" i="101"/>
  <c r="N35" i="101"/>
  <c r="N34" i="101"/>
  <c r="D35" i="101" s="1"/>
  <c r="N37" i="101"/>
  <c r="E44" i="101"/>
  <c r="N41" i="101"/>
  <c r="N40" i="101"/>
  <c r="N42" i="101"/>
  <c r="N39" i="101"/>
  <c r="D40" i="101" s="1"/>
  <c r="N32" i="101"/>
  <c r="N29" i="101"/>
  <c r="D30" i="101" s="1"/>
  <c r="N30" i="101"/>
  <c r="N31" i="101"/>
  <c r="B39" i="101"/>
  <c r="O42" i="101"/>
  <c r="O39" i="101"/>
  <c r="E40" i="101" s="1"/>
  <c r="O40" i="101"/>
  <c r="O41" i="101"/>
  <c r="L46" i="101"/>
  <c r="L44" i="101"/>
  <c r="B45" i="101" s="1"/>
  <c r="L45" i="101"/>
  <c r="L47" i="101"/>
  <c r="R42" i="101"/>
  <c r="R40" i="101"/>
  <c r="R41" i="101"/>
  <c r="R39" i="101"/>
  <c r="H40" i="101" s="1"/>
  <c r="H34" i="101"/>
  <c r="R37" i="101"/>
  <c r="R34" i="101"/>
  <c r="R36" i="101"/>
  <c r="R35" i="101"/>
  <c r="R31" i="101"/>
  <c r="R29" i="101"/>
  <c r="H30" i="101" s="1"/>
  <c r="R30" i="101"/>
  <c r="R32" i="101"/>
  <c r="R43" i="101"/>
  <c r="R48" i="101"/>
  <c r="M36" i="101"/>
  <c r="M35" i="101"/>
  <c r="M37" i="101"/>
  <c r="M34" i="101"/>
  <c r="C35" i="101" s="1"/>
  <c r="M52" i="101"/>
  <c r="M51" i="101"/>
  <c r="M50" i="101"/>
  <c r="M49" i="101"/>
  <c r="C50" i="101" s="1"/>
  <c r="M47" i="101"/>
  <c r="M44" i="101"/>
  <c r="M46" i="101"/>
  <c r="M45" i="101"/>
  <c r="M38" i="101"/>
  <c r="C44" i="101"/>
  <c r="AL143" i="91"/>
  <c r="I57" i="101" l="1"/>
  <c r="H57" i="101"/>
  <c r="G41" i="101"/>
  <c r="J47" i="101"/>
  <c r="G31" i="101"/>
  <c r="G32" i="101" s="1"/>
  <c r="E50" i="101"/>
  <c r="E51" i="101" s="1"/>
  <c r="E52" i="101" s="1"/>
  <c r="G35" i="101"/>
  <c r="G67" i="101" s="1"/>
  <c r="I31" i="101"/>
  <c r="I32" i="101" s="1"/>
  <c r="G42" i="101"/>
  <c r="G46" i="101"/>
  <c r="G47" i="101" s="1"/>
  <c r="J41" i="101"/>
  <c r="J42" i="101" s="1"/>
  <c r="I50" i="101"/>
  <c r="I51" i="101" s="1"/>
  <c r="I52" i="101" s="1"/>
  <c r="D51" i="101"/>
  <c r="D52" i="101" s="1"/>
  <c r="H41" i="101"/>
  <c r="H42" i="101" s="1"/>
  <c r="J30" i="101"/>
  <c r="J31" i="101" s="1"/>
  <c r="J32" i="101" s="1"/>
  <c r="I67" i="101"/>
  <c r="I36" i="101"/>
  <c r="I37" i="101" s="1"/>
  <c r="J50" i="101"/>
  <c r="J51" i="101" s="1"/>
  <c r="J52" i="101" s="1"/>
  <c r="B51" i="101"/>
  <c r="B52" i="101" s="1"/>
  <c r="J35" i="101"/>
  <c r="J36" i="101" s="1"/>
  <c r="J37" i="101" s="1"/>
  <c r="I45" i="101"/>
  <c r="I46" i="101" s="1"/>
  <c r="I47" i="101" s="1"/>
  <c r="H35" i="101"/>
  <c r="H36" i="101" s="1"/>
  <c r="H37" i="101" s="1"/>
  <c r="D36" i="101"/>
  <c r="D37" i="101" s="1"/>
  <c r="B35" i="101"/>
  <c r="B36" i="101" s="1"/>
  <c r="B37" i="101" s="1"/>
  <c r="D45" i="101"/>
  <c r="D46" i="101" s="1"/>
  <c r="D47" i="101" s="1"/>
  <c r="D31" i="101"/>
  <c r="D32" i="101" s="1"/>
  <c r="B46" i="101"/>
  <c r="B47" i="101" s="1"/>
  <c r="D41" i="101"/>
  <c r="D42" i="101" s="1"/>
  <c r="E45" i="101"/>
  <c r="E46" i="101" s="1"/>
  <c r="E47" i="101" s="1"/>
  <c r="B30" i="101"/>
  <c r="B31" i="101" s="1"/>
  <c r="B32" i="101" s="1"/>
  <c r="B40" i="101"/>
  <c r="B41" i="101" s="1"/>
  <c r="B42" i="101" s="1"/>
  <c r="E41" i="101"/>
  <c r="E42" i="101" s="1"/>
  <c r="D67" i="101"/>
  <c r="H31" i="101"/>
  <c r="H32" i="101" s="1"/>
  <c r="R51" i="101"/>
  <c r="R52" i="101"/>
  <c r="R49" i="101"/>
  <c r="R50" i="101"/>
  <c r="H49" i="101"/>
  <c r="R46" i="101"/>
  <c r="R45" i="101"/>
  <c r="R44" i="101"/>
  <c r="R47" i="101"/>
  <c r="H44" i="101"/>
  <c r="C36" i="101"/>
  <c r="C37" i="101" s="1"/>
  <c r="C67" i="101"/>
  <c r="C39" i="101"/>
  <c r="M39" i="101"/>
  <c r="M42" i="101"/>
  <c r="M40" i="101"/>
  <c r="M41" i="101"/>
  <c r="C51" i="101"/>
  <c r="C52" i="101" s="1"/>
  <c r="C45" i="101"/>
  <c r="C46" i="101" s="1"/>
  <c r="C47" i="101" s="1"/>
  <c r="AM145" i="91"/>
  <c r="AM151" i="91" s="1"/>
  <c r="AN145" i="91"/>
  <c r="AN151" i="91" s="1"/>
  <c r="AO145" i="91"/>
  <c r="AO151" i="91" s="1"/>
  <c r="AP145" i="91"/>
  <c r="AP151" i="91" s="1"/>
  <c r="AQ145" i="91"/>
  <c r="AQ151" i="91" s="1"/>
  <c r="AR145" i="91"/>
  <c r="AR151" i="91" s="1"/>
  <c r="AS145" i="91"/>
  <c r="AS151" i="91" s="1"/>
  <c r="AL145" i="91"/>
  <c r="AL151" i="91" s="1"/>
  <c r="AM144" i="91"/>
  <c r="AM150" i="91" s="1"/>
  <c r="AN144" i="91"/>
  <c r="AN150" i="91" s="1"/>
  <c r="AO144" i="91"/>
  <c r="AO150" i="91" s="1"/>
  <c r="AP144" i="91"/>
  <c r="AP150" i="91" s="1"/>
  <c r="AQ144" i="91"/>
  <c r="AQ150" i="91" s="1"/>
  <c r="AR144" i="91"/>
  <c r="AR150" i="91" s="1"/>
  <c r="AS144" i="91"/>
  <c r="AS150" i="91" s="1"/>
  <c r="AL144" i="91"/>
  <c r="AL150" i="91" s="1"/>
  <c r="AM143" i="91"/>
  <c r="AM149" i="91" s="1"/>
  <c r="AN143" i="91"/>
  <c r="AN149" i="91" s="1"/>
  <c r="AO143" i="91"/>
  <c r="AO149" i="91" s="1"/>
  <c r="AP143" i="91"/>
  <c r="AP149" i="91" s="1"/>
  <c r="AQ143" i="91"/>
  <c r="AQ149" i="91" s="1"/>
  <c r="AR143" i="91"/>
  <c r="AR149" i="91" s="1"/>
  <c r="AS143" i="91"/>
  <c r="AS149" i="91" s="1"/>
  <c r="AL149" i="91"/>
  <c r="AY86" i="100"/>
  <c r="AZ86" i="100"/>
  <c r="BB86" i="100"/>
  <c r="AX87" i="100"/>
  <c r="AY87" i="100"/>
  <c r="AZ87" i="100"/>
  <c r="BA87" i="100"/>
  <c r="BB87" i="100"/>
  <c r="BC87" i="100"/>
  <c r="AX80" i="100"/>
  <c r="AY80" i="100"/>
  <c r="AZ80" i="100"/>
  <c r="BA80" i="100"/>
  <c r="BB80" i="100"/>
  <c r="BC80" i="100"/>
  <c r="BD80" i="100"/>
  <c r="BD87" i="100" s="1"/>
  <c r="AW87" i="100"/>
  <c r="AX79" i="100"/>
  <c r="AX86" i="100" s="1"/>
  <c r="AY79" i="100"/>
  <c r="AZ79" i="100"/>
  <c r="BA79" i="100"/>
  <c r="BA86" i="100" s="1"/>
  <c r="BB79" i="100"/>
  <c r="BC79" i="100"/>
  <c r="BC86" i="100" s="1"/>
  <c r="BD79" i="100"/>
  <c r="BD86" i="100" s="1"/>
  <c r="AW79" i="100"/>
  <c r="AW86" i="100" s="1"/>
  <c r="AX78" i="100"/>
  <c r="AX85" i="100" s="1"/>
  <c r="AY78" i="100"/>
  <c r="AY85" i="100" s="1"/>
  <c r="AZ78" i="100"/>
  <c r="AZ85" i="100" s="1"/>
  <c r="BA78" i="100"/>
  <c r="BA85" i="100" s="1"/>
  <c r="BB78" i="100"/>
  <c r="BB85" i="100" s="1"/>
  <c r="BC78" i="100"/>
  <c r="BC85" i="100" s="1"/>
  <c r="BD78" i="100"/>
  <c r="BD85" i="100" s="1"/>
  <c r="AW78" i="100"/>
  <c r="AW85" i="100" s="1"/>
  <c r="G36" i="101" l="1"/>
  <c r="G37" i="101" s="1"/>
  <c r="H45" i="101"/>
  <c r="H46" i="101" s="1"/>
  <c r="H47" i="101" s="1"/>
  <c r="C40" i="101"/>
  <c r="C41" i="101" s="1"/>
  <c r="C42" i="101" s="1"/>
  <c r="J67" i="101"/>
  <c r="B67" i="101"/>
  <c r="H67" i="101"/>
  <c r="H50" i="101"/>
  <c r="H51" i="101" s="1"/>
  <c r="H52" i="101" s="1"/>
  <c r="E46" i="75"/>
  <c r="E42" i="71"/>
  <c r="E81" i="100" l="1"/>
  <c r="H112" i="91" l="1"/>
  <c r="I112" i="91"/>
  <c r="J112" i="91"/>
  <c r="K112" i="91"/>
  <c r="L112" i="91"/>
  <c r="M112" i="91"/>
  <c r="N112" i="91"/>
  <c r="D80" i="100"/>
  <c r="M92" i="91" l="1"/>
  <c r="N92" i="91"/>
  <c r="O92" i="91"/>
  <c r="P92" i="91"/>
  <c r="Q92" i="91"/>
  <c r="T69" i="100"/>
  <c r="U69" i="100"/>
  <c r="V69" i="100"/>
  <c r="W69" i="100"/>
  <c r="X69" i="100"/>
  <c r="Y69" i="100"/>
  <c r="Z69" i="100"/>
  <c r="AA69" i="100"/>
  <c r="AB69" i="100"/>
  <c r="AC69" i="100"/>
  <c r="AD69" i="100"/>
  <c r="AE69" i="100"/>
  <c r="G68" i="100"/>
  <c r="H68" i="100"/>
  <c r="I68" i="100"/>
  <c r="J68" i="100"/>
  <c r="K68" i="100"/>
  <c r="L68" i="100"/>
  <c r="M68" i="100"/>
  <c r="N68" i="100"/>
  <c r="O68" i="100"/>
  <c r="P68" i="100"/>
  <c r="Q68" i="100"/>
  <c r="D79" i="100"/>
  <c r="E79" i="100"/>
  <c r="F79" i="100"/>
  <c r="G79" i="100"/>
  <c r="H79" i="100"/>
  <c r="I79" i="100"/>
  <c r="J79" i="100"/>
  <c r="K79" i="100"/>
  <c r="P80" i="100"/>
  <c r="D81" i="100"/>
  <c r="F81" i="100"/>
  <c r="G81" i="100"/>
  <c r="H81" i="100"/>
  <c r="I81" i="100"/>
  <c r="J81" i="100"/>
  <c r="K81" i="100"/>
  <c r="D82" i="100"/>
  <c r="E82" i="100"/>
  <c r="F82" i="100"/>
  <c r="G82" i="100"/>
  <c r="H82" i="100"/>
  <c r="I82" i="100"/>
  <c r="J82" i="100"/>
  <c r="K82" i="100"/>
  <c r="D83" i="100"/>
  <c r="E83" i="100"/>
  <c r="F83" i="100"/>
  <c r="G83" i="100"/>
  <c r="H83" i="100"/>
  <c r="I83" i="100"/>
  <c r="J83" i="100"/>
  <c r="K83" i="100"/>
  <c r="D84" i="100"/>
  <c r="E84" i="100"/>
  <c r="F84" i="100"/>
  <c r="G84" i="100"/>
  <c r="H84" i="100"/>
  <c r="I84" i="100"/>
  <c r="J84" i="100"/>
  <c r="K84" i="100"/>
  <c r="E85" i="100"/>
  <c r="D86" i="100"/>
  <c r="D85" i="100" s="1"/>
  <c r="E86" i="100"/>
  <c r="F86" i="100"/>
  <c r="F85" i="100" s="1"/>
  <c r="G86" i="100"/>
  <c r="G85" i="100" s="1"/>
  <c r="H86" i="100"/>
  <c r="H85" i="100" s="1"/>
  <c r="I86" i="100"/>
  <c r="I85" i="100" s="1"/>
  <c r="J86" i="100"/>
  <c r="J85" i="100" s="1"/>
  <c r="K86" i="100"/>
  <c r="K85" i="100" s="1"/>
  <c r="AW89" i="100" l="1"/>
  <c r="B5" i="102"/>
  <c r="B5" i="101"/>
  <c r="D87" i="100"/>
  <c r="M4" i="101" l="1"/>
  <c r="C28" i="101" s="1"/>
  <c r="B9" i="101"/>
  <c r="M4" i="102"/>
  <c r="C28" i="102" s="1"/>
  <c r="B9" i="102"/>
  <c r="T123" i="100"/>
  <c r="U123" i="100"/>
  <c r="V123" i="100"/>
  <c r="W123" i="100"/>
  <c r="X123" i="100"/>
  <c r="Y123" i="100"/>
  <c r="Z123" i="100"/>
  <c r="AA123" i="100"/>
  <c r="AB123" i="100"/>
  <c r="AC123" i="100"/>
  <c r="AD123" i="100"/>
  <c r="AE123" i="100"/>
  <c r="AF123" i="100"/>
  <c r="AG123" i="100"/>
  <c r="AH123" i="100"/>
  <c r="AI123" i="100"/>
  <c r="AJ123" i="100"/>
  <c r="S123" i="100"/>
  <c r="T119" i="100"/>
  <c r="U119" i="100"/>
  <c r="V119" i="100"/>
  <c r="W119" i="100"/>
  <c r="X119" i="100"/>
  <c r="Y119" i="100"/>
  <c r="Z119" i="100"/>
  <c r="AA119" i="100"/>
  <c r="AB119" i="100"/>
  <c r="AC119" i="100"/>
  <c r="AD119" i="100"/>
  <c r="AE119" i="100"/>
  <c r="AF119" i="100"/>
  <c r="AH119" i="100"/>
  <c r="S119" i="100"/>
  <c r="T128" i="100"/>
  <c r="U128" i="100"/>
  <c r="AI119" i="100" s="1"/>
  <c r="V128" i="100"/>
  <c r="AJ119" i="100" s="1"/>
  <c r="W128" i="100"/>
  <c r="X128" i="100"/>
  <c r="Y128" i="100"/>
  <c r="Z128" i="100"/>
  <c r="AA128" i="100"/>
  <c r="AB128" i="100"/>
  <c r="AC128" i="100"/>
  <c r="AD128" i="100"/>
  <c r="AE128" i="100"/>
  <c r="AF128" i="100"/>
  <c r="AG128" i="100"/>
  <c r="AH128" i="100"/>
  <c r="AI128" i="100"/>
  <c r="AJ128" i="100"/>
  <c r="S128" i="100"/>
  <c r="AG119" i="100" s="1"/>
  <c r="M28" i="102" l="1"/>
  <c r="C29" i="102"/>
  <c r="M28" i="101"/>
  <c r="C29" i="101" s="1"/>
  <c r="L116" i="71"/>
  <c r="M116" i="71"/>
  <c r="N116" i="71"/>
  <c r="O116" i="71"/>
  <c r="P116" i="71"/>
  <c r="Q116" i="71"/>
  <c r="M32" i="101" l="1"/>
  <c r="M29" i="101"/>
  <c r="C30" i="101" s="1"/>
  <c r="M31" i="101"/>
  <c r="M30" i="101"/>
  <c r="C30" i="102"/>
  <c r="M32" i="102"/>
  <c r="M30" i="102"/>
  <c r="M31" i="102"/>
  <c r="M29" i="102"/>
  <c r="AL101" i="100"/>
  <c r="E80" i="100" s="1"/>
  <c r="AM101" i="100"/>
  <c r="F80" i="100" s="1"/>
  <c r="F87" i="100" s="1"/>
  <c r="AN101" i="100"/>
  <c r="G80" i="100" s="1"/>
  <c r="AO101" i="100"/>
  <c r="H80" i="100" s="1"/>
  <c r="AP101" i="100"/>
  <c r="I80" i="100" s="1"/>
  <c r="AQ101" i="100"/>
  <c r="J80" i="100" s="1"/>
  <c r="AR101" i="100"/>
  <c r="K80" i="100" s="1"/>
  <c r="X174" i="91"/>
  <c r="Y174" i="91"/>
  <c r="Z174" i="91"/>
  <c r="AA174" i="91"/>
  <c r="AB174" i="91"/>
  <c r="AC174" i="91"/>
  <c r="J111" i="91" s="1"/>
  <c r="AD174" i="91"/>
  <c r="K111" i="91" s="1"/>
  <c r="AE174" i="91"/>
  <c r="L111" i="91" s="1"/>
  <c r="AF174" i="91"/>
  <c r="M111" i="91" s="1"/>
  <c r="AG174" i="91"/>
  <c r="N111" i="91" s="1"/>
  <c r="W174" i="91"/>
  <c r="C31" i="101" l="1"/>
  <c r="C32" i="101" s="1"/>
  <c r="C31" i="102"/>
  <c r="C32" i="102" s="1"/>
  <c r="W80" i="100"/>
  <c r="K87" i="100"/>
  <c r="V80" i="100"/>
  <c r="J87" i="100"/>
  <c r="T80" i="100"/>
  <c r="H87" i="100"/>
  <c r="S80" i="100"/>
  <c r="G87" i="100"/>
  <c r="U80" i="100"/>
  <c r="I87" i="100"/>
  <c r="Q80" i="100"/>
  <c r="E87" i="100"/>
  <c r="F111" i="91"/>
  <c r="I111" i="91"/>
  <c r="E111" i="91"/>
  <c r="H111" i="91"/>
  <c r="D111" i="91"/>
  <c r="G111" i="91"/>
  <c r="O227" i="75"/>
  <c r="O230" i="75" s="1"/>
  <c r="AB208" i="75"/>
  <c r="AB209" i="75" s="1"/>
  <c r="AA208" i="75"/>
  <c r="Z208" i="75"/>
  <c r="Y208" i="75"/>
  <c r="X208" i="75"/>
  <c r="X209" i="75" s="1"/>
  <c r="W208" i="75"/>
  <c r="V208" i="75"/>
  <c r="U208" i="75"/>
  <c r="T208" i="75"/>
  <c r="S208" i="75"/>
  <c r="R208" i="75"/>
  <c r="S214" i="75"/>
  <c r="T214" i="75"/>
  <c r="U214" i="75"/>
  <c r="V214" i="75"/>
  <c r="W214" i="75"/>
  <c r="X214" i="75"/>
  <c r="X217" i="75" s="1"/>
  <c r="Y214" i="75"/>
  <c r="Z214" i="75"/>
  <c r="AA214" i="75"/>
  <c r="AB214" i="75"/>
  <c r="AB217" i="75" s="1"/>
  <c r="R214" i="75"/>
  <c r="J190" i="75"/>
  <c r="E118" i="75" s="1"/>
  <c r="K190" i="75"/>
  <c r="F118" i="75" s="1"/>
  <c r="L190" i="75"/>
  <c r="G118" i="75" s="1"/>
  <c r="M190" i="75"/>
  <c r="H118" i="75" s="1"/>
  <c r="N190" i="75"/>
  <c r="I118" i="75" s="1"/>
  <c r="O190" i="75"/>
  <c r="J118" i="75" s="1"/>
  <c r="P190" i="75"/>
  <c r="K118" i="75" s="1"/>
  <c r="I190" i="75"/>
  <c r="I191" i="75"/>
  <c r="D119" i="75" s="1"/>
  <c r="J191" i="75"/>
  <c r="E119" i="75" s="1"/>
  <c r="W169" i="75"/>
  <c r="AA171" i="75"/>
  <c r="Z171" i="75"/>
  <c r="Y171" i="75"/>
  <c r="X170" i="75"/>
  <c r="W170" i="75"/>
  <c r="U125" i="71"/>
  <c r="D69" i="71"/>
  <c r="AC59" i="71" s="1"/>
  <c r="E69" i="71"/>
  <c r="F69" i="71"/>
  <c r="AE59" i="71" s="1"/>
  <c r="G69" i="71"/>
  <c r="AF59" i="71" s="1"/>
  <c r="H69" i="71"/>
  <c r="AG59" i="71" s="1"/>
  <c r="I69" i="71"/>
  <c r="AH59" i="71" s="1"/>
  <c r="J69" i="71"/>
  <c r="AI59" i="71" s="1"/>
  <c r="K69" i="71"/>
  <c r="AJ59" i="71" s="1"/>
  <c r="Y127" i="71"/>
  <c r="X127" i="71"/>
  <c r="W127" i="71"/>
  <c r="V126" i="71"/>
  <c r="U126" i="71"/>
  <c r="D126" i="75" l="1"/>
  <c r="E126" i="75"/>
  <c r="AD59" i="71"/>
  <c r="X220" i="75"/>
  <c r="Y220" i="75"/>
  <c r="R80" i="100"/>
  <c r="L191" i="75" l="1"/>
  <c r="G119" i="75" s="1"/>
  <c r="G126" i="75" s="1"/>
  <c r="M191" i="75"/>
  <c r="H119" i="75" s="1"/>
  <c r="H126" i="75" s="1"/>
  <c r="N191" i="75"/>
  <c r="I119" i="75" s="1"/>
  <c r="I126" i="75" s="1"/>
  <c r="O191" i="75"/>
  <c r="J119" i="75" s="1"/>
  <c r="J126" i="75" s="1"/>
  <c r="P191" i="75"/>
  <c r="K119" i="75" s="1"/>
  <c r="K126" i="75" s="1"/>
  <c r="K191" i="75"/>
  <c r="F119" i="75" s="1"/>
  <c r="F126" i="75" s="1"/>
  <c r="F191" i="75"/>
  <c r="G191" i="75"/>
  <c r="H191" i="75"/>
  <c r="G192" i="75"/>
  <c r="H192" i="75"/>
  <c r="I192" i="75"/>
  <c r="J192" i="75"/>
  <c r="K192" i="75"/>
  <c r="L192" i="75"/>
  <c r="M192" i="75"/>
  <c r="N192" i="75"/>
  <c r="O192" i="75"/>
  <c r="P192" i="75"/>
  <c r="F192" i="75"/>
  <c r="O137" i="71" l="1"/>
  <c r="L137" i="71"/>
  <c r="M137" i="71"/>
  <c r="N137" i="71"/>
  <c r="P137" i="71"/>
  <c r="Q137" i="71"/>
  <c r="J137" i="71"/>
  <c r="I137" i="71"/>
  <c r="H137" i="71"/>
  <c r="G137" i="71"/>
  <c r="G116" i="71"/>
  <c r="F116" i="71"/>
  <c r="Q102" i="71"/>
  <c r="P102" i="71"/>
  <c r="O102" i="71"/>
  <c r="N102" i="71"/>
  <c r="M102" i="71"/>
  <c r="L102" i="71"/>
  <c r="K102" i="71"/>
  <c r="J102" i="71"/>
  <c r="I102" i="71"/>
  <c r="H102" i="71"/>
  <c r="G102" i="71"/>
  <c r="H175" i="75"/>
  <c r="I175" i="75"/>
  <c r="J175" i="75"/>
  <c r="K175" i="75"/>
  <c r="L175" i="75"/>
  <c r="M175" i="75"/>
  <c r="N175" i="75"/>
  <c r="O175" i="75"/>
  <c r="P175" i="75"/>
  <c r="Q175" i="75"/>
  <c r="G175" i="75"/>
  <c r="G154" i="75"/>
  <c r="K154" i="75"/>
  <c r="K176" i="75" s="1"/>
  <c r="L154" i="75"/>
  <c r="M154" i="75"/>
  <c r="M176" i="75" s="1"/>
  <c r="N154" i="75"/>
  <c r="O154" i="75"/>
  <c r="O176" i="75" s="1"/>
  <c r="P154" i="75"/>
  <c r="Q154" i="75"/>
  <c r="F154" i="75"/>
  <c r="H140" i="75"/>
  <c r="I140" i="75"/>
  <c r="J140" i="75"/>
  <c r="K140" i="75"/>
  <c r="L140" i="75"/>
  <c r="M140" i="75"/>
  <c r="N140" i="75"/>
  <c r="O140" i="75"/>
  <c r="P140" i="75"/>
  <c r="Q140" i="75"/>
  <c r="G140" i="75"/>
  <c r="Q176" i="75" l="1"/>
  <c r="Q177" i="75"/>
  <c r="AD169" i="75" s="1"/>
  <c r="L176" i="75"/>
  <c r="N176" i="75"/>
  <c r="O177" i="75"/>
  <c r="AB169" i="75" s="1"/>
  <c r="N177" i="75"/>
  <c r="AA169" i="75" s="1"/>
  <c r="L177" i="75"/>
  <c r="Y169" i="75" s="1"/>
  <c r="P138" i="71"/>
  <c r="O138" i="71"/>
  <c r="N138" i="71"/>
  <c r="M138" i="71"/>
  <c r="P176" i="75"/>
  <c r="K177" i="75"/>
  <c r="X169" i="75" s="1"/>
  <c r="P177" i="75"/>
  <c r="AC169" i="75" s="1"/>
  <c r="M177" i="75"/>
  <c r="Z169" i="75" s="1"/>
  <c r="L138" i="71"/>
  <c r="Q138" i="71"/>
  <c r="O139" i="71"/>
  <c r="Q139" i="71"/>
  <c r="AB125" i="71" s="1"/>
  <c r="P139" i="71"/>
  <c r="AA125" i="71" s="1"/>
  <c r="N139" i="71"/>
  <c r="Y125" i="71" s="1"/>
  <c r="M139" i="71"/>
  <c r="X125" i="71" s="1"/>
  <c r="L139" i="71"/>
  <c r="W125" i="71" s="1"/>
  <c r="V125" i="71" l="1"/>
  <c r="AC3" i="71"/>
  <c r="Z125" i="71"/>
  <c r="F48" i="81"/>
  <c r="C7" i="102" l="1"/>
  <c r="C7" i="101"/>
  <c r="I122" i="75"/>
  <c r="H122" i="75"/>
  <c r="G122" i="75"/>
  <c r="F122" i="75"/>
  <c r="AP5" i="75"/>
  <c r="AO5" i="75"/>
  <c r="AV5" i="75"/>
  <c r="AU5" i="75"/>
  <c r="AT5" i="75"/>
  <c r="AS5" i="75"/>
  <c r="AR5" i="75"/>
  <c r="AQ5" i="75"/>
  <c r="AN5" i="71"/>
  <c r="AO5" i="71"/>
  <c r="AP5" i="71"/>
  <c r="AQ5" i="71"/>
  <c r="AR5" i="71"/>
  <c r="AS5" i="71"/>
  <c r="AT5" i="71"/>
  <c r="AM5" i="71"/>
  <c r="O5" i="101" l="1"/>
  <c r="E33" i="101" s="1"/>
  <c r="C9" i="101"/>
  <c r="O5" i="102"/>
  <c r="E33" i="102" s="1"/>
  <c r="C8" i="102"/>
  <c r="P5" i="102" s="1"/>
  <c r="F33" i="102" s="1"/>
  <c r="C9" i="102"/>
  <c r="T112" i="91"/>
  <c r="U112" i="91"/>
  <c r="V112" i="91"/>
  <c r="S111" i="91"/>
  <c r="R111" i="91"/>
  <c r="AE61" i="71"/>
  <c r="AF61" i="71"/>
  <c r="AG61" i="71"/>
  <c r="AD60" i="71"/>
  <c r="AC60" i="71"/>
  <c r="P33" i="102" l="1"/>
  <c r="F34" i="102" s="1"/>
  <c r="O33" i="102"/>
  <c r="O28" i="102"/>
  <c r="O28" i="101"/>
  <c r="O33" i="101"/>
  <c r="E34" i="101"/>
  <c r="AD113" i="91"/>
  <c r="AD114" i="91" s="1"/>
  <c r="AE113" i="91"/>
  <c r="AE114" i="91" s="1"/>
  <c r="AF113" i="91"/>
  <c r="AF114" i="91" s="1"/>
  <c r="AG113" i="91"/>
  <c r="AG114" i="91" s="1"/>
  <c r="AH113" i="91"/>
  <c r="AH114" i="91" s="1"/>
  <c r="AI113" i="91"/>
  <c r="AI114" i="91" s="1"/>
  <c r="AJ113" i="91"/>
  <c r="AJ114" i="91" s="1"/>
  <c r="AC113" i="91"/>
  <c r="AC114" i="91" s="1"/>
  <c r="O34" i="101" l="1"/>
  <c r="O36" i="101"/>
  <c r="O37" i="101"/>
  <c r="O35" i="101"/>
  <c r="E34" i="102"/>
  <c r="O36" i="102"/>
  <c r="O34" i="102"/>
  <c r="E35" i="102" s="1"/>
  <c r="O37" i="102"/>
  <c r="O35" i="102"/>
  <c r="E35" i="101"/>
  <c r="E29" i="101"/>
  <c r="O32" i="101"/>
  <c r="O29" i="101"/>
  <c r="O30" i="101"/>
  <c r="O31" i="101"/>
  <c r="E29" i="102"/>
  <c r="O31" i="102"/>
  <c r="O32" i="102"/>
  <c r="O30" i="102"/>
  <c r="O29" i="102"/>
  <c r="P35" i="102"/>
  <c r="P36" i="102"/>
  <c r="P37" i="102"/>
  <c r="P34" i="102"/>
  <c r="F35" i="102" s="1"/>
  <c r="E52" i="71"/>
  <c r="F52" i="71"/>
  <c r="G52" i="71"/>
  <c r="H52" i="71"/>
  <c r="D52" i="71"/>
  <c r="AB9" i="71"/>
  <c r="AC9" i="71"/>
  <c r="AD10" i="71"/>
  <c r="AE10" i="71"/>
  <c r="AF10" i="71"/>
  <c r="G29" i="79"/>
  <c r="F29" i="79"/>
  <c r="E30" i="102" l="1"/>
  <c r="E31" i="102" s="1"/>
  <c r="E32" i="102" s="1"/>
  <c r="F36" i="102"/>
  <c r="F37" i="102" s="1"/>
  <c r="F66" i="102"/>
  <c r="E66" i="102"/>
  <c r="E36" i="102"/>
  <c r="E37" i="102" s="1"/>
  <c r="E30" i="101"/>
  <c r="E31" i="101" s="1"/>
  <c r="E32" i="101" s="1"/>
  <c r="E36" i="101"/>
  <c r="E37" i="101" s="1"/>
  <c r="E67" i="101"/>
  <c r="AP33" i="71"/>
  <c r="AP34" i="71"/>
  <c r="AP35" i="71"/>
  <c r="AP36" i="71"/>
  <c r="AP37" i="71"/>
  <c r="AP32" i="71"/>
  <c r="AN40" i="71"/>
  <c r="AN38" i="71"/>
  <c r="AN39" i="71"/>
  <c r="AN41" i="71"/>
  <c r="AN42" i="71"/>
  <c r="AN45" i="71"/>
  <c r="AN46" i="71"/>
  <c r="AN37" i="71"/>
  <c r="AN36" i="71"/>
  <c r="AN35" i="71"/>
  <c r="AN34" i="71"/>
  <c r="AN33" i="71"/>
  <c r="AN32" i="71"/>
  <c r="I36" i="71" l="1"/>
  <c r="I168" i="67" l="1"/>
  <c r="H115" i="91" l="1"/>
  <c r="I115" i="91"/>
  <c r="J115" i="91"/>
  <c r="K115" i="91"/>
  <c r="L115" i="91"/>
  <c r="M115" i="91"/>
  <c r="N115" i="91"/>
  <c r="G115" i="91"/>
  <c r="H113" i="91"/>
  <c r="H114" i="91" s="1"/>
  <c r="I113" i="91"/>
  <c r="I114" i="91" s="1"/>
  <c r="J113" i="91"/>
  <c r="J114" i="91" s="1"/>
  <c r="K113" i="91"/>
  <c r="K114" i="91" s="1"/>
  <c r="L113" i="91"/>
  <c r="L114" i="91" s="1"/>
  <c r="M113" i="91"/>
  <c r="M114" i="91" s="1"/>
  <c r="N113" i="91"/>
  <c r="N114" i="91" s="1"/>
  <c r="G113" i="91"/>
  <c r="G114" i="91" s="1"/>
  <c r="S110" i="91"/>
  <c r="T110" i="91"/>
  <c r="U110" i="91"/>
  <c r="V110" i="91"/>
  <c r="W110" i="91"/>
  <c r="X110" i="91"/>
  <c r="Y110" i="91"/>
  <c r="R110" i="91"/>
  <c r="H120" i="91"/>
  <c r="I120" i="91"/>
  <c r="J120" i="91"/>
  <c r="K120" i="91"/>
  <c r="L120" i="91"/>
  <c r="M120" i="91"/>
  <c r="N120" i="91"/>
  <c r="G120" i="91"/>
  <c r="R92" i="91"/>
  <c r="S92" i="91"/>
  <c r="T92" i="91"/>
  <c r="H119" i="91"/>
  <c r="H118" i="91" s="1"/>
  <c r="I119" i="91"/>
  <c r="I118" i="91" s="1"/>
  <c r="J119" i="91"/>
  <c r="J118" i="91" s="1"/>
  <c r="K119" i="91"/>
  <c r="K118" i="91" s="1"/>
  <c r="L119" i="91"/>
  <c r="L118" i="91" s="1"/>
  <c r="M119" i="91"/>
  <c r="M118" i="91" s="1"/>
  <c r="N119" i="91"/>
  <c r="N118" i="91" s="1"/>
  <c r="G119" i="91"/>
  <c r="G118" i="91" s="1"/>
  <c r="F34" i="79" l="1"/>
  <c r="F25" i="79" l="1"/>
  <c r="G25" i="79"/>
  <c r="H25" i="79"/>
  <c r="H113" i="75" l="1"/>
  <c r="E74" i="75" s="1"/>
  <c r="I113" i="75"/>
  <c r="F74" i="75" s="1"/>
  <c r="J113" i="75"/>
  <c r="G74" i="75" s="1"/>
  <c r="K113" i="75"/>
  <c r="H74" i="75" s="1"/>
  <c r="H73" i="75" s="1"/>
  <c r="L113" i="75"/>
  <c r="M113" i="75"/>
  <c r="N113" i="75"/>
  <c r="O113" i="75"/>
  <c r="P113" i="75"/>
  <c r="Q113" i="75"/>
  <c r="G113" i="75"/>
  <c r="H91" i="71"/>
  <c r="I91" i="71"/>
  <c r="J91" i="71"/>
  <c r="K91" i="71"/>
  <c r="L91" i="71"/>
  <c r="M91" i="71"/>
  <c r="N91" i="71"/>
  <c r="O91" i="71"/>
  <c r="P91" i="71"/>
  <c r="Q91" i="71"/>
  <c r="G91" i="71"/>
  <c r="E73" i="75" l="1"/>
  <c r="N70" i="75"/>
  <c r="M70" i="75"/>
  <c r="L70" i="75"/>
  <c r="K70" i="75"/>
  <c r="J70" i="75"/>
  <c r="I70" i="75"/>
  <c r="E88" i="75" l="1"/>
  <c r="F88" i="75"/>
  <c r="G88" i="75"/>
  <c r="H88" i="75"/>
  <c r="I88" i="75"/>
  <c r="J88" i="75"/>
  <c r="K88" i="75"/>
  <c r="D88" i="75"/>
  <c r="E87" i="75"/>
  <c r="AB3" i="75" s="1"/>
  <c r="C20" i="101" s="1"/>
  <c r="P17" i="101" s="1"/>
  <c r="K33" i="101" s="1"/>
  <c r="F87" i="75"/>
  <c r="G87" i="75"/>
  <c r="H87" i="75"/>
  <c r="I87" i="75"/>
  <c r="J87" i="75"/>
  <c r="K87" i="75"/>
  <c r="D87" i="75"/>
  <c r="E85" i="75"/>
  <c r="F85" i="75"/>
  <c r="G85" i="75"/>
  <c r="H85" i="75"/>
  <c r="I85" i="75"/>
  <c r="J85" i="75"/>
  <c r="K85" i="75"/>
  <c r="D85" i="75"/>
  <c r="E84" i="75"/>
  <c r="F84" i="75"/>
  <c r="G84" i="75"/>
  <c r="H84" i="75"/>
  <c r="I84" i="75"/>
  <c r="J84" i="75"/>
  <c r="K84" i="75"/>
  <c r="D84" i="75"/>
  <c r="G106" i="75"/>
  <c r="G107" i="75" s="1"/>
  <c r="H106" i="75"/>
  <c r="H107" i="75" s="1"/>
  <c r="E70" i="75" s="1"/>
  <c r="I106" i="75"/>
  <c r="I107" i="75" s="1"/>
  <c r="F70" i="75" s="1"/>
  <c r="J106" i="75"/>
  <c r="J107" i="75" s="1"/>
  <c r="K106" i="75"/>
  <c r="K107" i="75" s="1"/>
  <c r="L106" i="75"/>
  <c r="L107" i="75" s="1"/>
  <c r="F86" i="75" s="1"/>
  <c r="F83" i="75" s="1"/>
  <c r="M106" i="75"/>
  <c r="M107" i="75" s="1"/>
  <c r="G86" i="75" s="1"/>
  <c r="G83" i="75" s="1"/>
  <c r="N106" i="75"/>
  <c r="N107" i="75" s="1"/>
  <c r="H86" i="75" s="1"/>
  <c r="H83" i="75" s="1"/>
  <c r="O106" i="75"/>
  <c r="O107" i="75" s="1"/>
  <c r="I86" i="75" s="1"/>
  <c r="I83" i="75" s="1"/>
  <c r="P106" i="75"/>
  <c r="P107" i="75" s="1"/>
  <c r="J86" i="75" s="1"/>
  <c r="J83" i="75" s="1"/>
  <c r="Q106" i="75"/>
  <c r="Q107" i="75" s="1"/>
  <c r="K86" i="75" s="1"/>
  <c r="K83" i="75" s="1"/>
  <c r="H81" i="75"/>
  <c r="G81" i="75"/>
  <c r="F81" i="75"/>
  <c r="E81" i="75"/>
  <c r="D81" i="75"/>
  <c r="G73" i="75"/>
  <c r="F73" i="75"/>
  <c r="F56" i="71"/>
  <c r="F55" i="71" s="1"/>
  <c r="G56" i="71"/>
  <c r="G55" i="71" s="1"/>
  <c r="H56" i="71"/>
  <c r="H55" i="71" s="1"/>
  <c r="E56" i="71"/>
  <c r="E55" i="71" s="1"/>
  <c r="D70" i="71"/>
  <c r="E70" i="71"/>
  <c r="F70" i="71"/>
  <c r="G70" i="71"/>
  <c r="H70" i="71"/>
  <c r="I70" i="71"/>
  <c r="J70" i="71"/>
  <c r="K70" i="71"/>
  <c r="H84" i="71"/>
  <c r="H85" i="71" s="1"/>
  <c r="I84" i="71"/>
  <c r="I85" i="71" s="1"/>
  <c r="J84" i="71"/>
  <c r="J85" i="71" s="1"/>
  <c r="D65" i="71" s="1"/>
  <c r="K84" i="71"/>
  <c r="K85" i="71" s="1"/>
  <c r="E68" i="71" s="1"/>
  <c r="E65" i="71" s="1"/>
  <c r="L84" i="71"/>
  <c r="L85" i="71" s="1"/>
  <c r="F68" i="71" s="1"/>
  <c r="F65" i="71" s="1"/>
  <c r="M84" i="71"/>
  <c r="M85" i="71" s="1"/>
  <c r="G68" i="71" s="1"/>
  <c r="G65" i="71" s="1"/>
  <c r="N84" i="71"/>
  <c r="N85" i="71" s="1"/>
  <c r="H68" i="71" s="1"/>
  <c r="H65" i="71" s="1"/>
  <c r="O84" i="71"/>
  <c r="O85" i="71" s="1"/>
  <c r="I68" i="71" s="1"/>
  <c r="I65" i="71" s="1"/>
  <c r="P84" i="71"/>
  <c r="P85" i="71" s="1"/>
  <c r="J68" i="71" s="1"/>
  <c r="J65" i="71" s="1"/>
  <c r="Q84" i="71"/>
  <c r="Q85" i="71" s="1"/>
  <c r="K68" i="71" s="1"/>
  <c r="K65" i="71" s="1"/>
  <c r="G84" i="71"/>
  <c r="G85" i="71" s="1"/>
  <c r="D67" i="71"/>
  <c r="D66" i="71"/>
  <c r="E66" i="71"/>
  <c r="F66" i="71"/>
  <c r="G66" i="71"/>
  <c r="H66" i="71"/>
  <c r="I66" i="71"/>
  <c r="J66" i="71"/>
  <c r="K66" i="71"/>
  <c r="E67" i="71"/>
  <c r="F67" i="71"/>
  <c r="G67" i="71"/>
  <c r="H67" i="71"/>
  <c r="I67" i="71"/>
  <c r="J67" i="71"/>
  <c r="K67" i="71"/>
  <c r="D38" i="71"/>
  <c r="G27" i="81"/>
  <c r="G28" i="81" s="1"/>
  <c r="H27" i="81"/>
  <c r="H28" i="81" s="1"/>
  <c r="I27" i="81"/>
  <c r="I28" i="81" s="1"/>
  <c r="J27" i="81"/>
  <c r="J28" i="81" s="1"/>
  <c r="K27" i="81"/>
  <c r="K28" i="81" s="1"/>
  <c r="L27" i="81"/>
  <c r="L28" i="81" s="1"/>
  <c r="M27" i="81"/>
  <c r="M28" i="81" s="1"/>
  <c r="N27" i="81"/>
  <c r="N28" i="81" s="1"/>
  <c r="O27" i="81"/>
  <c r="O28" i="81" s="1"/>
  <c r="P27" i="81"/>
  <c r="P28" i="81" s="1"/>
  <c r="F27" i="81"/>
  <c r="F28" i="81" s="1"/>
  <c r="F44" i="81"/>
  <c r="F47" i="81"/>
  <c r="F38" i="81"/>
  <c r="F42" i="81"/>
  <c r="F40" i="81"/>
  <c r="F39" i="81" s="1"/>
  <c r="F46" i="81"/>
  <c r="F45" i="81" s="1"/>
  <c r="F41" i="79"/>
  <c r="F48" i="79"/>
  <c r="J25" i="79"/>
  <c r="J26" i="79" s="1"/>
  <c r="K25" i="79"/>
  <c r="K26" i="79" s="1"/>
  <c r="L25" i="79"/>
  <c r="L26" i="79" s="1"/>
  <c r="M25" i="79"/>
  <c r="M26" i="79" s="1"/>
  <c r="N25" i="79"/>
  <c r="N26" i="79" s="1"/>
  <c r="O25" i="79"/>
  <c r="O26" i="79" s="1"/>
  <c r="P25" i="79"/>
  <c r="P26" i="79" s="1"/>
  <c r="I25" i="79"/>
  <c r="I26" i="79" s="1"/>
  <c r="E63" i="71"/>
  <c r="F63" i="71"/>
  <c r="G63" i="71"/>
  <c r="H63" i="71"/>
  <c r="D63" i="71"/>
  <c r="E36" i="71"/>
  <c r="F36" i="71"/>
  <c r="G36" i="71"/>
  <c r="H36" i="71"/>
  <c r="D36" i="71"/>
  <c r="I87" i="79"/>
  <c r="J87" i="79"/>
  <c r="H87" i="79"/>
  <c r="H86" i="79"/>
  <c r="H81" i="79"/>
  <c r="H80" i="79"/>
  <c r="H75" i="79"/>
  <c r="H71" i="79"/>
  <c r="I71" i="79"/>
  <c r="J71" i="79"/>
  <c r="H72" i="79"/>
  <c r="I72" i="79"/>
  <c r="J72" i="79"/>
  <c r="H73" i="79"/>
  <c r="I73" i="79"/>
  <c r="J73" i="79"/>
  <c r="H74" i="79"/>
  <c r="I74" i="79"/>
  <c r="J74" i="79"/>
  <c r="I75" i="79"/>
  <c r="J75" i="79"/>
  <c r="H76" i="79"/>
  <c r="I76" i="79"/>
  <c r="J76" i="79"/>
  <c r="H77" i="79"/>
  <c r="I77" i="79"/>
  <c r="J77" i="79"/>
  <c r="J57" i="79"/>
  <c r="J55" i="79"/>
  <c r="J52" i="79"/>
  <c r="J51" i="79"/>
  <c r="H78" i="79"/>
  <c r="H57" i="79"/>
  <c r="H55" i="79"/>
  <c r="H52" i="79"/>
  <c r="H51" i="79"/>
  <c r="G66" i="79"/>
  <c r="H85" i="79"/>
  <c r="I85" i="79"/>
  <c r="J85" i="79"/>
  <c r="H84" i="79"/>
  <c r="I84" i="79"/>
  <c r="J84" i="79"/>
  <c r="I78" i="79"/>
  <c r="J78" i="79"/>
  <c r="H79" i="79"/>
  <c r="I79" i="79"/>
  <c r="J79" i="79"/>
  <c r="I80" i="79"/>
  <c r="J80" i="79"/>
  <c r="I81" i="79"/>
  <c r="J81" i="79"/>
  <c r="H82" i="79"/>
  <c r="I82" i="79"/>
  <c r="J82" i="79"/>
  <c r="H83" i="79"/>
  <c r="I83" i="79"/>
  <c r="J83" i="79"/>
  <c r="P30" i="81" l="1"/>
  <c r="H70" i="75"/>
  <c r="E86" i="75"/>
  <c r="E83" i="75" s="1"/>
  <c r="G70" i="75"/>
  <c r="D86" i="75"/>
  <c r="D83" i="75" s="1"/>
  <c r="D73" i="71"/>
  <c r="H73" i="71"/>
  <c r="G73" i="71"/>
  <c r="F73" i="71"/>
  <c r="E73" i="71"/>
  <c r="J86" i="79"/>
  <c r="I86" i="79"/>
  <c r="F71" i="79" l="1"/>
  <c r="G86" i="79"/>
  <c r="F85" i="79"/>
  <c r="F68" i="79"/>
  <c r="F65" i="79" s="1"/>
  <c r="F66" i="79" s="1"/>
  <c r="F86" i="79" s="1"/>
  <c r="G68" i="79"/>
  <c r="F72" i="79"/>
  <c r="G72" i="79"/>
  <c r="F73" i="79"/>
  <c r="G73" i="79"/>
  <c r="F74" i="79"/>
  <c r="G74" i="79"/>
  <c r="F75" i="79"/>
  <c r="G75" i="79"/>
  <c r="F76" i="79"/>
  <c r="G76" i="79"/>
  <c r="F77" i="79"/>
  <c r="G77" i="79"/>
  <c r="F78" i="79"/>
  <c r="G78" i="79"/>
  <c r="F79" i="79"/>
  <c r="G79" i="79"/>
  <c r="F80" i="79"/>
  <c r="G80" i="79"/>
  <c r="F81" i="79"/>
  <c r="G81" i="79"/>
  <c r="F82" i="79"/>
  <c r="G82" i="79"/>
  <c r="F83" i="79"/>
  <c r="G83" i="79"/>
  <c r="F84" i="79"/>
  <c r="G84" i="79"/>
  <c r="F87" i="79"/>
  <c r="G87" i="79"/>
  <c r="G71" i="79"/>
  <c r="G65" i="79"/>
  <c r="G85" i="79" l="1"/>
  <c r="F4" i="97" l="1"/>
  <c r="D33" i="70" l="1"/>
  <c r="D19" i="70"/>
  <c r="E33" i="70"/>
  <c r="F33" i="70"/>
  <c r="G33" i="70"/>
  <c r="H33" i="70"/>
  <c r="I33" i="70"/>
  <c r="J33" i="70"/>
  <c r="K33" i="70"/>
  <c r="L33" i="70"/>
  <c r="M33" i="70"/>
  <c r="N33" i="70"/>
  <c r="O33" i="70"/>
  <c r="D20" i="70"/>
  <c r="E19" i="70"/>
  <c r="F19" i="70"/>
  <c r="G19" i="70"/>
  <c r="H19" i="70"/>
  <c r="I19" i="70"/>
  <c r="J19" i="70"/>
  <c r="K19" i="70"/>
  <c r="L19" i="70"/>
  <c r="M19" i="70"/>
  <c r="N19" i="70"/>
  <c r="O19" i="70"/>
  <c r="D467" i="69"/>
  <c r="F467" i="69"/>
  <c r="G467" i="69" s="1"/>
  <c r="D449" i="69"/>
  <c r="F449" i="69"/>
  <c r="G449" i="69" s="1"/>
  <c r="D330" i="69"/>
  <c r="F330" i="69"/>
  <c r="G330" i="69" s="1"/>
  <c r="F224" i="69"/>
  <c r="H224" i="69" s="1"/>
  <c r="D224" i="69"/>
  <c r="F439" i="67"/>
  <c r="G439" i="67" s="1"/>
  <c r="D439" i="67"/>
  <c r="F453" i="67"/>
  <c r="G453" i="67" s="1"/>
  <c r="D453" i="67"/>
  <c r="E419" i="67"/>
  <c r="F325" i="67"/>
  <c r="G325" i="67" s="1"/>
  <c r="D325" i="67"/>
  <c r="F223" i="67"/>
  <c r="G223" i="67" s="1"/>
  <c r="D223" i="67"/>
  <c r="N467" i="69" l="1"/>
  <c r="M467" i="69"/>
  <c r="L467" i="69"/>
  <c r="K467" i="69"/>
  <c r="J467" i="69"/>
  <c r="Q467" i="69"/>
  <c r="I467" i="69"/>
  <c r="P467" i="69"/>
  <c r="H467" i="69"/>
  <c r="O467" i="69"/>
  <c r="L449" i="69"/>
  <c r="K449" i="69"/>
  <c r="J449" i="69"/>
  <c r="M449" i="69"/>
  <c r="Q449" i="69"/>
  <c r="I449" i="69"/>
  <c r="N449" i="69"/>
  <c r="P449" i="69"/>
  <c r="H449" i="69"/>
  <c r="O449" i="69"/>
  <c r="N330" i="69"/>
  <c r="X526" i="69" s="1"/>
  <c r="L330" i="69"/>
  <c r="V526" i="69" s="1"/>
  <c r="K330" i="69"/>
  <c r="Q330" i="69"/>
  <c r="I330" i="69"/>
  <c r="J330" i="69"/>
  <c r="P330" i="69"/>
  <c r="H330" i="69"/>
  <c r="M330" i="69"/>
  <c r="W526" i="69" s="1"/>
  <c r="O330" i="69"/>
  <c r="Y526" i="69" s="1"/>
  <c r="M224" i="69"/>
  <c r="W527" i="69" s="1"/>
  <c r="L224" i="69"/>
  <c r="V527" i="69" s="1"/>
  <c r="O224" i="69"/>
  <c r="G224" i="69"/>
  <c r="N224" i="69"/>
  <c r="X527" i="69" s="1"/>
  <c r="J224" i="69"/>
  <c r="Q224" i="69"/>
  <c r="I224" i="69"/>
  <c r="K224" i="69"/>
  <c r="U527" i="69" s="1"/>
  <c r="P224" i="69"/>
  <c r="Z527" i="69" s="1"/>
  <c r="M439" i="67"/>
  <c r="N439" i="67"/>
  <c r="L439" i="67"/>
  <c r="K439" i="67"/>
  <c r="J439" i="67"/>
  <c r="Q439" i="67"/>
  <c r="I439" i="67"/>
  <c r="P439" i="67"/>
  <c r="H439" i="67"/>
  <c r="O439" i="67"/>
  <c r="N453" i="67"/>
  <c r="M453" i="67"/>
  <c r="K453" i="67"/>
  <c r="J453" i="67"/>
  <c r="L453" i="67"/>
  <c r="Q453" i="67"/>
  <c r="I453" i="67"/>
  <c r="P453" i="67"/>
  <c r="H453" i="67"/>
  <c r="O453" i="67"/>
  <c r="L325" i="67"/>
  <c r="N325" i="67"/>
  <c r="X499" i="67" s="1"/>
  <c r="J325" i="67"/>
  <c r="T499" i="67" s="1"/>
  <c r="I325" i="67"/>
  <c r="P325" i="67"/>
  <c r="Z499" i="67" s="1"/>
  <c r="H325" i="67"/>
  <c r="M325" i="67"/>
  <c r="W499" i="67" s="1"/>
  <c r="K325" i="67"/>
  <c r="Q325" i="67"/>
  <c r="O325" i="67"/>
  <c r="Y499" i="67" s="1"/>
  <c r="N223" i="67"/>
  <c r="X500" i="67" s="1"/>
  <c r="M223" i="67"/>
  <c r="W500" i="67" s="1"/>
  <c r="L223" i="67"/>
  <c r="V500" i="67" s="1"/>
  <c r="J223" i="67"/>
  <c r="Q223" i="67"/>
  <c r="AA500" i="67" s="1"/>
  <c r="I223" i="67"/>
  <c r="K223" i="67"/>
  <c r="U500" i="67" s="1"/>
  <c r="P223" i="67"/>
  <c r="Z500" i="67" s="1"/>
  <c r="H223" i="67"/>
  <c r="O223" i="67"/>
  <c r="Y500" i="67" s="1"/>
  <c r="AG63" i="95"/>
  <c r="Z526" i="69" l="1"/>
  <c r="AA499" i="67"/>
  <c r="V499" i="67"/>
  <c r="U499" i="67"/>
  <c r="T500" i="67"/>
  <c r="U526" i="69"/>
  <c r="Y527" i="69"/>
  <c r="T527" i="69"/>
  <c r="AA527" i="69"/>
  <c r="T526" i="69"/>
  <c r="AA526" i="69"/>
  <c r="K37" i="96"/>
  <c r="F51" i="95"/>
  <c r="F68" i="95" s="1"/>
  <c r="F50" i="95"/>
  <c r="F67" i="95" s="1"/>
  <c r="F49" i="95"/>
  <c r="F66" i="95" s="1"/>
  <c r="F48" i="95"/>
  <c r="F65" i="95" s="1"/>
  <c r="F47" i="95"/>
  <c r="F46" i="95"/>
  <c r="F45" i="95"/>
  <c r="F62" i="95" s="1"/>
  <c r="F44" i="95"/>
  <c r="F61" i="95" s="1"/>
  <c r="F43" i="95"/>
  <c r="F60" i="95" s="1"/>
  <c r="F42" i="95"/>
  <c r="F59" i="95" s="1"/>
  <c r="F41" i="95"/>
  <c r="F40" i="95"/>
  <c r="K37" i="95"/>
  <c r="F40" i="96"/>
  <c r="F52" i="95" l="1"/>
  <c r="D3" i="99"/>
  <c r="D6" i="99" s="1"/>
  <c r="E3" i="99"/>
  <c r="E6" i="99" s="1"/>
  <c r="F3" i="99"/>
  <c r="F6" i="99" s="1"/>
  <c r="G3" i="99"/>
  <c r="G6" i="99" s="1"/>
  <c r="H3" i="99"/>
  <c r="I3" i="99"/>
  <c r="J3" i="99"/>
  <c r="K3" i="99"/>
  <c r="K6" i="99" s="1"/>
  <c r="L3" i="99"/>
  <c r="L6" i="99" s="1"/>
  <c r="M3" i="99"/>
  <c r="N3" i="99"/>
  <c r="N6" i="99" s="1"/>
  <c r="H6" i="99"/>
  <c r="D3" i="98"/>
  <c r="E3" i="98"/>
  <c r="F3" i="98"/>
  <c r="G3" i="98"/>
  <c r="H3" i="98"/>
  <c r="I3" i="98"/>
  <c r="J3" i="98"/>
  <c r="K3" i="98"/>
  <c r="L3" i="98"/>
  <c r="M3" i="98"/>
  <c r="N3" i="98"/>
  <c r="D4" i="98"/>
  <c r="E4" i="98"/>
  <c r="F4" i="98"/>
  <c r="G4" i="98"/>
  <c r="H4" i="98"/>
  <c r="I4" i="98"/>
  <c r="J4" i="98"/>
  <c r="K4" i="98"/>
  <c r="L4" i="98"/>
  <c r="M4" i="98"/>
  <c r="N4" i="98"/>
  <c r="D6" i="98"/>
  <c r="D3" i="97"/>
  <c r="E3" i="97"/>
  <c r="F3" i="97"/>
  <c r="G3" i="97"/>
  <c r="H3" i="97"/>
  <c r="I3" i="97"/>
  <c r="J3" i="97"/>
  <c r="K3" i="97"/>
  <c r="L3" i="97"/>
  <c r="M3" i="97"/>
  <c r="N3" i="97"/>
  <c r="D4" i="97"/>
  <c r="E4" i="97"/>
  <c r="G4" i="97"/>
  <c r="H4" i="97"/>
  <c r="I4" i="97"/>
  <c r="J4" i="97"/>
  <c r="K4" i="97"/>
  <c r="L4" i="97"/>
  <c r="M4" i="97"/>
  <c r="N4" i="97"/>
  <c r="E3" i="70"/>
  <c r="D6" i="97" l="1"/>
  <c r="N6" i="98"/>
  <c r="J6" i="97"/>
  <c r="G6" i="97"/>
  <c r="F6" i="98"/>
  <c r="F6" i="97"/>
  <c r="M6" i="98"/>
  <c r="E6" i="98"/>
  <c r="L6" i="98"/>
  <c r="I6" i="97"/>
  <c r="H6" i="98"/>
  <c r="L6" i="97"/>
  <c r="K6" i="97"/>
  <c r="M6" i="97"/>
  <c r="E6" i="97"/>
  <c r="K6" i="98"/>
  <c r="J6" i="98"/>
  <c r="H6" i="97"/>
  <c r="N6" i="97"/>
  <c r="J6" i="99"/>
  <c r="I6" i="99"/>
  <c r="M6" i="99"/>
  <c r="G6" i="98"/>
  <c r="I6" i="98"/>
  <c r="K51" i="96"/>
  <c r="J51" i="96"/>
  <c r="I51" i="96"/>
  <c r="H51" i="96"/>
  <c r="G51" i="96"/>
  <c r="F51" i="96"/>
  <c r="K50" i="96"/>
  <c r="J50" i="96"/>
  <c r="I50" i="96"/>
  <c r="H50" i="96"/>
  <c r="G50" i="96"/>
  <c r="F50" i="96"/>
  <c r="K49" i="96"/>
  <c r="J49" i="96"/>
  <c r="I49" i="96"/>
  <c r="H49" i="96"/>
  <c r="G49" i="96"/>
  <c r="F49" i="96"/>
  <c r="K48" i="96"/>
  <c r="J48" i="96"/>
  <c r="I48" i="96"/>
  <c r="H48" i="96"/>
  <c r="G48" i="96"/>
  <c r="F48" i="96"/>
  <c r="K47" i="96"/>
  <c r="J47" i="96"/>
  <c r="I47" i="96"/>
  <c r="H47" i="96"/>
  <c r="G47" i="96"/>
  <c r="F47" i="96"/>
  <c r="K46" i="96"/>
  <c r="J46" i="96"/>
  <c r="I46" i="96"/>
  <c r="H46" i="96"/>
  <c r="G46" i="96"/>
  <c r="F46" i="96"/>
  <c r="K45" i="96"/>
  <c r="J45" i="96"/>
  <c r="I45" i="96"/>
  <c r="H45" i="96"/>
  <c r="G45" i="96"/>
  <c r="F45" i="96"/>
  <c r="K44" i="96"/>
  <c r="J44" i="96"/>
  <c r="I44" i="96"/>
  <c r="H44" i="96"/>
  <c r="G44" i="96"/>
  <c r="F44" i="96"/>
  <c r="K43" i="96"/>
  <c r="J43" i="96"/>
  <c r="I43" i="96"/>
  <c r="H43" i="96"/>
  <c r="G43" i="96"/>
  <c r="F43" i="96"/>
  <c r="K42" i="96"/>
  <c r="J42" i="96"/>
  <c r="I42" i="96"/>
  <c r="H42" i="96"/>
  <c r="G42" i="96"/>
  <c r="F42" i="96"/>
  <c r="K41" i="96"/>
  <c r="J41" i="96"/>
  <c r="I41" i="96"/>
  <c r="H41" i="96"/>
  <c r="G41" i="96"/>
  <c r="F41" i="96"/>
  <c r="K40" i="96"/>
  <c r="J40" i="96"/>
  <c r="I40" i="96"/>
  <c r="H40" i="96"/>
  <c r="G40" i="96"/>
  <c r="G51" i="95"/>
  <c r="H51" i="95"/>
  <c r="I51" i="95"/>
  <c r="J51" i="95"/>
  <c r="K51" i="95"/>
  <c r="G50" i="95"/>
  <c r="H50" i="95"/>
  <c r="I50" i="95"/>
  <c r="J50" i="95"/>
  <c r="K50" i="95"/>
  <c r="G47" i="95"/>
  <c r="G48" i="95"/>
  <c r="H48" i="95"/>
  <c r="I48" i="95"/>
  <c r="J48" i="95"/>
  <c r="K48" i="95"/>
  <c r="H47" i="95"/>
  <c r="I47" i="95"/>
  <c r="J47" i="95"/>
  <c r="K47" i="95"/>
  <c r="G46" i="95"/>
  <c r="H46" i="95"/>
  <c r="I46" i="95"/>
  <c r="J46" i="95"/>
  <c r="K46" i="95"/>
  <c r="G45" i="95"/>
  <c r="H45" i="95"/>
  <c r="I45" i="95"/>
  <c r="J45" i="95"/>
  <c r="K45" i="95"/>
  <c r="G44" i="95"/>
  <c r="H44" i="95"/>
  <c r="I44" i="95"/>
  <c r="J44" i="95"/>
  <c r="K44" i="95"/>
  <c r="G43" i="95"/>
  <c r="H43" i="95"/>
  <c r="I43" i="95"/>
  <c r="J43" i="95"/>
  <c r="K43" i="95"/>
  <c r="G42" i="95"/>
  <c r="H42" i="95"/>
  <c r="I42" i="95"/>
  <c r="J42" i="95"/>
  <c r="K42" i="95"/>
  <c r="G41" i="95"/>
  <c r="H41" i="95"/>
  <c r="I41" i="95"/>
  <c r="J41" i="95"/>
  <c r="K41" i="95"/>
  <c r="G49" i="95"/>
  <c r="H49" i="95"/>
  <c r="I49" i="95"/>
  <c r="J49" i="95"/>
  <c r="K49" i="95"/>
  <c r="G40" i="95"/>
  <c r="H40" i="95"/>
  <c r="I40" i="95"/>
  <c r="J40" i="95"/>
  <c r="K40" i="95"/>
  <c r="F52" i="96" l="1"/>
  <c r="K54" i="96"/>
  <c r="K55" i="96"/>
  <c r="K54" i="95"/>
  <c r="E19" i="73" l="1"/>
  <c r="E15" i="73" s="1"/>
  <c r="F19" i="73"/>
  <c r="F15" i="73" s="1"/>
  <c r="G19" i="73"/>
  <c r="G15" i="73" s="1"/>
  <c r="H19" i="73"/>
  <c r="H15" i="73" s="1"/>
  <c r="I19" i="73"/>
  <c r="I15" i="73" s="1"/>
  <c r="J19" i="73"/>
  <c r="J15" i="73" s="1"/>
  <c r="K19" i="73"/>
  <c r="K15" i="73" s="1"/>
  <c r="D57" i="73"/>
  <c r="J16" i="92" l="1"/>
  <c r="J20" i="92"/>
  <c r="G17" i="87"/>
  <c r="H17" i="87"/>
  <c r="I17" i="87"/>
  <c r="J17" i="87"/>
  <c r="K17" i="87"/>
  <c r="L17" i="87"/>
  <c r="G18" i="87"/>
  <c r="H18" i="87"/>
  <c r="I18" i="87"/>
  <c r="J18" i="87"/>
  <c r="K18" i="87"/>
  <c r="L18" i="87"/>
  <c r="G19" i="87"/>
  <c r="H19" i="87"/>
  <c r="I19" i="87"/>
  <c r="J19" i="87"/>
  <c r="K19" i="87"/>
  <c r="L19" i="87"/>
  <c r="F19" i="87"/>
  <c r="F18" i="87"/>
  <c r="F17" i="87"/>
  <c r="H15" i="57"/>
  <c r="I15" i="57"/>
  <c r="J15" i="57"/>
  <c r="K15" i="57"/>
  <c r="L15" i="57"/>
  <c r="M15" i="57"/>
  <c r="N15" i="57"/>
  <c r="O15" i="57"/>
  <c r="P15" i="57"/>
  <c r="Q15" i="57"/>
  <c r="G41" i="57"/>
  <c r="H41" i="57"/>
  <c r="I41" i="57"/>
  <c r="J41" i="57"/>
  <c r="K41" i="57"/>
  <c r="L41" i="57"/>
  <c r="M41" i="57"/>
  <c r="N41" i="57"/>
  <c r="G42" i="57"/>
  <c r="H42" i="57"/>
  <c r="I42" i="57"/>
  <c r="J42" i="57"/>
  <c r="K42" i="57"/>
  <c r="L42" i="57"/>
  <c r="M42" i="57"/>
  <c r="N42" i="57"/>
  <c r="G43" i="57"/>
  <c r="H43" i="57"/>
  <c r="I43" i="57"/>
  <c r="J43" i="57"/>
  <c r="K43" i="57"/>
  <c r="L43" i="57"/>
  <c r="M43" i="57"/>
  <c r="N43" i="57"/>
  <c r="G44" i="57"/>
  <c r="H44" i="57"/>
  <c r="I44" i="57"/>
  <c r="J44" i="57"/>
  <c r="K44" i="57"/>
  <c r="L44" i="57"/>
  <c r="M44" i="57"/>
  <c r="N44" i="57"/>
  <c r="G45" i="57"/>
  <c r="H45" i="57"/>
  <c r="I45" i="57"/>
  <c r="J45" i="57"/>
  <c r="K45" i="57"/>
  <c r="L45" i="57"/>
  <c r="M45" i="57"/>
  <c r="N45" i="57"/>
  <c r="G46" i="57"/>
  <c r="H46" i="57"/>
  <c r="I46" i="57"/>
  <c r="J46" i="57"/>
  <c r="K46" i="57"/>
  <c r="L46" i="57"/>
  <c r="M46" i="57"/>
  <c r="N46" i="57"/>
  <c r="G48" i="57"/>
  <c r="G47" i="57" s="1"/>
  <c r="G49" i="57" s="1"/>
  <c r="H48" i="57"/>
  <c r="H47" i="57"/>
  <c r="H49" i="57" s="1"/>
  <c r="I48" i="57"/>
  <c r="I47" i="57"/>
  <c r="I49" i="57" s="1"/>
  <c r="J48" i="57"/>
  <c r="J47" i="57" s="1"/>
  <c r="J49" i="57" s="1"/>
  <c r="K48" i="57"/>
  <c r="K47" i="57" s="1"/>
  <c r="K49" i="57" s="1"/>
  <c r="L48" i="57"/>
  <c r="L47" i="57"/>
  <c r="L49" i="57" s="1"/>
  <c r="M48" i="57"/>
  <c r="M47" i="57"/>
  <c r="M49" i="57" s="1"/>
  <c r="N48" i="57"/>
  <c r="N47" i="57" s="1"/>
  <c r="N49" i="57" s="1"/>
  <c r="H15" i="50"/>
  <c r="I15" i="50"/>
  <c r="J15" i="50"/>
  <c r="K15" i="50"/>
  <c r="L15" i="50"/>
  <c r="M15" i="50"/>
  <c r="N15" i="50"/>
  <c r="O15" i="50"/>
  <c r="P15" i="50"/>
  <c r="Q15" i="50"/>
  <c r="G41" i="50"/>
  <c r="H41" i="50"/>
  <c r="I41" i="50"/>
  <c r="J41" i="50"/>
  <c r="K41" i="50"/>
  <c r="L41" i="50"/>
  <c r="M41" i="50"/>
  <c r="N41" i="50"/>
  <c r="G42" i="50"/>
  <c r="H42" i="50"/>
  <c r="I42" i="50"/>
  <c r="J42" i="50"/>
  <c r="K42" i="50"/>
  <c r="L42" i="50"/>
  <c r="M42" i="50"/>
  <c r="N42" i="50"/>
  <c r="G43" i="50"/>
  <c r="H43" i="50"/>
  <c r="I43" i="50"/>
  <c r="J43" i="50"/>
  <c r="K43" i="50"/>
  <c r="L43" i="50"/>
  <c r="M43" i="50"/>
  <c r="N43" i="50"/>
  <c r="G44" i="50"/>
  <c r="H44" i="50"/>
  <c r="I44" i="50"/>
  <c r="J44" i="50"/>
  <c r="K44" i="50"/>
  <c r="L44" i="50"/>
  <c r="M44" i="50"/>
  <c r="N44" i="50"/>
  <c r="G45" i="50"/>
  <c r="H45" i="50"/>
  <c r="I45" i="50"/>
  <c r="J45" i="50"/>
  <c r="K45" i="50"/>
  <c r="L45" i="50"/>
  <c r="M45" i="50"/>
  <c r="N45" i="50"/>
  <c r="G46" i="50"/>
  <c r="H46" i="50"/>
  <c r="I46" i="50"/>
  <c r="J46" i="50"/>
  <c r="K46" i="50"/>
  <c r="L46" i="50"/>
  <c r="M46" i="50"/>
  <c r="N46" i="50"/>
  <c r="G48" i="50"/>
  <c r="G47" i="50"/>
  <c r="G49" i="50" s="1"/>
  <c r="H48" i="50"/>
  <c r="H47" i="50"/>
  <c r="I48" i="50"/>
  <c r="I47" i="50" s="1"/>
  <c r="I49" i="50" s="1"/>
  <c r="J48" i="50"/>
  <c r="J47" i="50" s="1"/>
  <c r="J49" i="50" s="1"/>
  <c r="K48" i="50"/>
  <c r="K47" i="50"/>
  <c r="K49" i="50" s="1"/>
  <c r="L48" i="50"/>
  <c r="L47" i="50"/>
  <c r="L49" i="50" s="1"/>
  <c r="M48" i="50"/>
  <c r="M47" i="50" s="1"/>
  <c r="M49" i="50" s="1"/>
  <c r="N48" i="50"/>
  <c r="N47" i="50" s="1"/>
  <c r="N49" i="50" s="1"/>
  <c r="H49" i="50"/>
  <c r="H15" i="43"/>
  <c r="I15" i="43"/>
  <c r="J15" i="43"/>
  <c r="K15" i="43"/>
  <c r="L15" i="43"/>
  <c r="M15" i="43"/>
  <c r="N15" i="43"/>
  <c r="O15" i="43"/>
  <c r="P15" i="43"/>
  <c r="Q15" i="43"/>
  <c r="G41" i="43"/>
  <c r="H41" i="43"/>
  <c r="I41" i="43"/>
  <c r="J41" i="43"/>
  <c r="K41" i="43"/>
  <c r="L41" i="43"/>
  <c r="M41" i="43"/>
  <c r="N41" i="43"/>
  <c r="G42" i="43"/>
  <c r="H42" i="43"/>
  <c r="I42" i="43"/>
  <c r="J42" i="43"/>
  <c r="K42" i="43"/>
  <c r="L42" i="43"/>
  <c r="M42" i="43"/>
  <c r="N42" i="43"/>
  <c r="G43" i="43"/>
  <c r="H43" i="43"/>
  <c r="I43" i="43"/>
  <c r="J43" i="43"/>
  <c r="K43" i="43"/>
  <c r="L43" i="43"/>
  <c r="M43" i="43"/>
  <c r="N43" i="43"/>
  <c r="G44" i="43"/>
  <c r="H44" i="43"/>
  <c r="I44" i="43"/>
  <c r="J44" i="43"/>
  <c r="K44" i="43"/>
  <c r="L44" i="43"/>
  <c r="M44" i="43"/>
  <c r="N44" i="43"/>
  <c r="G45" i="43"/>
  <c r="H45" i="43"/>
  <c r="I45" i="43"/>
  <c r="J45" i="43"/>
  <c r="K45" i="43"/>
  <c r="L45" i="43"/>
  <c r="M45" i="43"/>
  <c r="N45" i="43"/>
  <c r="G46" i="43"/>
  <c r="H46" i="43"/>
  <c r="I46" i="43"/>
  <c r="J46" i="43"/>
  <c r="K46" i="43"/>
  <c r="L46" i="43"/>
  <c r="M46" i="43"/>
  <c r="N46" i="43"/>
  <c r="G48" i="43"/>
  <c r="G47" i="43"/>
  <c r="G49" i="43" s="1"/>
  <c r="H48" i="43"/>
  <c r="H47" i="43" s="1"/>
  <c r="H49" i="43" s="1"/>
  <c r="I48" i="43"/>
  <c r="I47" i="43" s="1"/>
  <c r="I49" i="43" s="1"/>
  <c r="J48" i="43"/>
  <c r="J47" i="43"/>
  <c r="J49" i="43" s="1"/>
  <c r="K48" i="43"/>
  <c r="K47" i="43"/>
  <c r="K49" i="43" s="1"/>
  <c r="L48" i="43"/>
  <c r="L47" i="43" s="1"/>
  <c r="L49" i="43" s="1"/>
  <c r="M48" i="43"/>
  <c r="M47" i="43" s="1"/>
  <c r="M49" i="43" s="1"/>
  <c r="N48" i="43"/>
  <c r="N47" i="43"/>
  <c r="N49" i="43"/>
  <c r="H10" i="56"/>
  <c r="I10" i="56"/>
  <c r="J10" i="56"/>
  <c r="K10" i="56"/>
  <c r="L10" i="56"/>
  <c r="M10" i="56"/>
  <c r="N10" i="56"/>
  <c r="O10" i="56"/>
  <c r="P10" i="56"/>
  <c r="Q10" i="56"/>
  <c r="G41" i="56"/>
  <c r="H41" i="56"/>
  <c r="I41" i="56"/>
  <c r="J41" i="56"/>
  <c r="K41" i="56"/>
  <c r="L41" i="56"/>
  <c r="M41" i="56"/>
  <c r="N41" i="56"/>
  <c r="G42" i="56"/>
  <c r="H42" i="56"/>
  <c r="I42" i="56"/>
  <c r="J42" i="56"/>
  <c r="K42" i="56"/>
  <c r="L42" i="56"/>
  <c r="M42" i="56"/>
  <c r="N42" i="56"/>
  <c r="G43" i="56"/>
  <c r="H43" i="56"/>
  <c r="I43" i="56"/>
  <c r="J43" i="56"/>
  <c r="K43" i="56"/>
  <c r="L43" i="56"/>
  <c r="M43" i="56"/>
  <c r="N43" i="56"/>
  <c r="G44" i="56"/>
  <c r="H44" i="56"/>
  <c r="I44" i="56"/>
  <c r="J44" i="56"/>
  <c r="K44" i="56"/>
  <c r="L44" i="56"/>
  <c r="M44" i="56"/>
  <c r="N44" i="56"/>
  <c r="G45" i="56"/>
  <c r="H45" i="56"/>
  <c r="I45" i="56"/>
  <c r="J45" i="56"/>
  <c r="K45" i="56"/>
  <c r="L45" i="56"/>
  <c r="M45" i="56"/>
  <c r="N45" i="56"/>
  <c r="G46" i="56"/>
  <c r="H46" i="56"/>
  <c r="I46" i="56"/>
  <c r="J46" i="56"/>
  <c r="K46" i="56"/>
  <c r="L46" i="56"/>
  <c r="M46" i="56"/>
  <c r="N46" i="56"/>
  <c r="G48" i="56"/>
  <c r="G47" i="56" s="1"/>
  <c r="G49" i="56" s="1"/>
  <c r="H48" i="56"/>
  <c r="H47" i="56"/>
  <c r="H49" i="56" s="1"/>
  <c r="I48" i="56"/>
  <c r="I47" i="56"/>
  <c r="J48" i="56"/>
  <c r="J47" i="56" s="1"/>
  <c r="J49" i="56" s="1"/>
  <c r="K48" i="56"/>
  <c r="K47" i="56" s="1"/>
  <c r="K49" i="56" s="1"/>
  <c r="L48" i="56"/>
  <c r="L47" i="56"/>
  <c r="L49" i="56" s="1"/>
  <c r="M48" i="56"/>
  <c r="M47" i="56"/>
  <c r="N48" i="56"/>
  <c r="N47" i="56" s="1"/>
  <c r="N49" i="56" s="1"/>
  <c r="I49" i="56"/>
  <c r="M49" i="56"/>
  <c r="H10" i="49"/>
  <c r="I10" i="49"/>
  <c r="J10" i="49"/>
  <c r="K10" i="49"/>
  <c r="L10" i="49"/>
  <c r="M10" i="49"/>
  <c r="N10" i="49"/>
  <c r="O10" i="49"/>
  <c r="P10" i="49"/>
  <c r="Q10" i="49"/>
  <c r="G41" i="49"/>
  <c r="H41" i="49"/>
  <c r="I41" i="49"/>
  <c r="J41" i="49"/>
  <c r="K41" i="49"/>
  <c r="L41" i="49"/>
  <c r="M41" i="49"/>
  <c r="N41" i="49"/>
  <c r="G42" i="49"/>
  <c r="H42" i="49"/>
  <c r="I42" i="49"/>
  <c r="J42" i="49"/>
  <c r="K42" i="49"/>
  <c r="L42" i="49"/>
  <c r="M42" i="49"/>
  <c r="N42" i="49"/>
  <c r="G43" i="49"/>
  <c r="H43" i="49"/>
  <c r="I43" i="49"/>
  <c r="J43" i="49"/>
  <c r="K43" i="49"/>
  <c r="L43" i="49"/>
  <c r="M43" i="49"/>
  <c r="N43" i="49"/>
  <c r="G44" i="49"/>
  <c r="H44" i="49"/>
  <c r="I44" i="49"/>
  <c r="J44" i="49"/>
  <c r="K44" i="49"/>
  <c r="L44" i="49"/>
  <c r="M44" i="49"/>
  <c r="N44" i="49"/>
  <c r="G45" i="49"/>
  <c r="H45" i="49"/>
  <c r="I45" i="49"/>
  <c r="J45" i="49"/>
  <c r="K45" i="49"/>
  <c r="L45" i="49"/>
  <c r="M45" i="49"/>
  <c r="N45" i="49"/>
  <c r="G46" i="49"/>
  <c r="H46" i="49"/>
  <c r="I46" i="49"/>
  <c r="J46" i="49"/>
  <c r="K46" i="49"/>
  <c r="L46" i="49"/>
  <c r="M46" i="49"/>
  <c r="N46" i="49"/>
  <c r="G48" i="49"/>
  <c r="G47" i="49"/>
  <c r="G49" i="49" s="1"/>
  <c r="H48" i="49"/>
  <c r="H47" i="49"/>
  <c r="I48" i="49"/>
  <c r="I47" i="49" s="1"/>
  <c r="I49" i="49" s="1"/>
  <c r="J48" i="49"/>
  <c r="J47" i="49" s="1"/>
  <c r="J49" i="49" s="1"/>
  <c r="K48" i="49"/>
  <c r="K47" i="49"/>
  <c r="K49" i="49" s="1"/>
  <c r="L48" i="49"/>
  <c r="L47" i="49"/>
  <c r="L49" i="49" s="1"/>
  <c r="M48" i="49"/>
  <c r="M47" i="49" s="1"/>
  <c r="M49" i="49" s="1"/>
  <c r="N48" i="49"/>
  <c r="N47" i="49" s="1"/>
  <c r="N49" i="49" s="1"/>
  <c r="H49" i="49"/>
  <c r="H10" i="42"/>
  <c r="I10" i="42"/>
  <c r="J10" i="42"/>
  <c r="K10" i="42"/>
  <c r="L10" i="42"/>
  <c r="M10" i="42"/>
  <c r="N10" i="42"/>
  <c r="O10" i="42"/>
  <c r="P10" i="42"/>
  <c r="Q10" i="42"/>
  <c r="G41" i="42"/>
  <c r="H41" i="42"/>
  <c r="I41" i="42"/>
  <c r="J41" i="42"/>
  <c r="K41" i="42"/>
  <c r="L41" i="42"/>
  <c r="M41" i="42"/>
  <c r="N41" i="42"/>
  <c r="G42" i="42"/>
  <c r="H42" i="42"/>
  <c r="I42" i="42"/>
  <c r="J42" i="42"/>
  <c r="K42" i="42"/>
  <c r="L42" i="42"/>
  <c r="M42" i="42"/>
  <c r="N42" i="42"/>
  <c r="G43" i="42"/>
  <c r="H43" i="42"/>
  <c r="I43" i="42"/>
  <c r="J43" i="42"/>
  <c r="K43" i="42"/>
  <c r="L43" i="42"/>
  <c r="M43" i="42"/>
  <c r="N43" i="42"/>
  <c r="G44" i="42"/>
  <c r="H44" i="42"/>
  <c r="I44" i="42"/>
  <c r="J44" i="42"/>
  <c r="K44" i="42"/>
  <c r="L44" i="42"/>
  <c r="M44" i="42"/>
  <c r="N44" i="42"/>
  <c r="G45" i="42"/>
  <c r="H45" i="42"/>
  <c r="I45" i="42"/>
  <c r="J45" i="42"/>
  <c r="K45" i="42"/>
  <c r="L45" i="42"/>
  <c r="M45" i="42"/>
  <c r="N45" i="42"/>
  <c r="G46" i="42"/>
  <c r="H46" i="42"/>
  <c r="I46" i="42"/>
  <c r="J46" i="42"/>
  <c r="K46" i="42"/>
  <c r="L46" i="42"/>
  <c r="M46" i="42"/>
  <c r="N46" i="42"/>
  <c r="G48" i="42"/>
  <c r="G47" i="42"/>
  <c r="G49" i="42" s="1"/>
  <c r="H48" i="42"/>
  <c r="H47" i="42" s="1"/>
  <c r="H49" i="42" s="1"/>
  <c r="I48" i="42"/>
  <c r="I47" i="42" s="1"/>
  <c r="I49" i="42" s="1"/>
  <c r="J48" i="42"/>
  <c r="J47" i="42"/>
  <c r="J49" i="42" s="1"/>
  <c r="K48" i="42"/>
  <c r="K47" i="42"/>
  <c r="L48" i="42"/>
  <c r="L47" i="42" s="1"/>
  <c r="L49" i="42" s="1"/>
  <c r="M48" i="42"/>
  <c r="M47" i="42" s="1"/>
  <c r="M49" i="42" s="1"/>
  <c r="N48" i="42"/>
  <c r="N47" i="42"/>
  <c r="K49" i="42"/>
  <c r="N49" i="42"/>
  <c r="H10" i="48"/>
  <c r="I10" i="48"/>
  <c r="J10" i="48"/>
  <c r="K10" i="48"/>
  <c r="L10" i="48"/>
  <c r="M10" i="48"/>
  <c r="N10" i="48"/>
  <c r="O10" i="48"/>
  <c r="P10" i="48"/>
  <c r="Q10" i="48"/>
  <c r="G41" i="48"/>
  <c r="H41" i="48"/>
  <c r="I41" i="48"/>
  <c r="J41" i="48"/>
  <c r="K41" i="48"/>
  <c r="L41" i="48"/>
  <c r="M41" i="48"/>
  <c r="N41" i="48"/>
  <c r="G42" i="48"/>
  <c r="H42" i="48"/>
  <c r="I42" i="48"/>
  <c r="J42" i="48"/>
  <c r="K42" i="48"/>
  <c r="L42" i="48"/>
  <c r="M42" i="48"/>
  <c r="N42" i="48"/>
  <c r="G43" i="48"/>
  <c r="H43" i="48"/>
  <c r="I43" i="48"/>
  <c r="J43" i="48"/>
  <c r="K43" i="48"/>
  <c r="L43" i="48"/>
  <c r="M43" i="48"/>
  <c r="N43" i="48"/>
  <c r="G44" i="48"/>
  <c r="H44" i="48"/>
  <c r="I44" i="48"/>
  <c r="J44" i="48"/>
  <c r="K44" i="48"/>
  <c r="L44" i="48"/>
  <c r="M44" i="48"/>
  <c r="N44" i="48"/>
  <c r="G45" i="48"/>
  <c r="H45" i="48"/>
  <c r="I45" i="48"/>
  <c r="J45" i="48"/>
  <c r="K45" i="48"/>
  <c r="L45" i="48"/>
  <c r="M45" i="48"/>
  <c r="N45" i="48"/>
  <c r="G47" i="48"/>
  <c r="H47" i="48"/>
  <c r="I47" i="48"/>
  <c r="J47" i="48"/>
  <c r="K47" i="48"/>
  <c r="L47" i="48"/>
  <c r="M47" i="48"/>
  <c r="N47" i="48"/>
  <c r="G49" i="48"/>
  <c r="H49" i="48"/>
  <c r="I49" i="48"/>
  <c r="J49" i="48"/>
  <c r="K49" i="48"/>
  <c r="L49" i="48"/>
  <c r="M49" i="48"/>
  <c r="N49" i="48"/>
  <c r="H10" i="41"/>
  <c r="I10" i="41"/>
  <c r="J10" i="41"/>
  <c r="K10" i="41"/>
  <c r="L10" i="41"/>
  <c r="M10" i="41"/>
  <c r="N10" i="41"/>
  <c r="O10" i="41"/>
  <c r="P10" i="41"/>
  <c r="Q10" i="41"/>
  <c r="G41" i="41"/>
  <c r="H41" i="41"/>
  <c r="I41" i="41"/>
  <c r="J41" i="41"/>
  <c r="K41" i="41"/>
  <c r="L41" i="41"/>
  <c r="M41" i="41"/>
  <c r="N41" i="41"/>
  <c r="G42" i="41"/>
  <c r="H42" i="41"/>
  <c r="I42" i="41"/>
  <c r="J42" i="41"/>
  <c r="K42" i="41"/>
  <c r="L42" i="41"/>
  <c r="M42" i="41"/>
  <c r="N42" i="41"/>
  <c r="G43" i="41"/>
  <c r="H43" i="41"/>
  <c r="I43" i="41"/>
  <c r="J43" i="41"/>
  <c r="K43" i="41"/>
  <c r="L43" i="41"/>
  <c r="M43" i="41"/>
  <c r="N43" i="41"/>
  <c r="G44" i="41"/>
  <c r="H44" i="41"/>
  <c r="I44" i="41"/>
  <c r="J44" i="41"/>
  <c r="K44" i="41"/>
  <c r="L44" i="41"/>
  <c r="M44" i="41"/>
  <c r="N44" i="41"/>
  <c r="G45" i="41"/>
  <c r="H45" i="41"/>
  <c r="I45" i="41"/>
  <c r="J45" i="41"/>
  <c r="K45" i="41"/>
  <c r="L45" i="41"/>
  <c r="M45" i="41"/>
  <c r="N45" i="41"/>
  <c r="G47" i="41"/>
  <c r="H47" i="41"/>
  <c r="I47" i="41"/>
  <c r="J47" i="41"/>
  <c r="K47" i="41"/>
  <c r="L47" i="41"/>
  <c r="M47" i="41"/>
  <c r="N47" i="41"/>
  <c r="G49" i="41"/>
  <c r="H49" i="41"/>
  <c r="I49" i="41"/>
  <c r="J49" i="41"/>
  <c r="K49" i="41"/>
  <c r="L49" i="41"/>
  <c r="M49" i="41"/>
  <c r="N49" i="41"/>
  <c r="H10" i="47"/>
  <c r="I10" i="47"/>
  <c r="J10" i="47"/>
  <c r="K10" i="47"/>
  <c r="L10" i="47"/>
  <c r="M10" i="47"/>
  <c r="N10" i="47"/>
  <c r="O10" i="47"/>
  <c r="P10" i="47"/>
  <c r="Q10" i="47"/>
  <c r="G41" i="47"/>
  <c r="H41" i="47"/>
  <c r="I41" i="47"/>
  <c r="J41" i="47"/>
  <c r="K41" i="47"/>
  <c r="L41" i="47"/>
  <c r="M41" i="47"/>
  <c r="N41" i="47"/>
  <c r="G42" i="47"/>
  <c r="H42" i="47"/>
  <c r="I42" i="47"/>
  <c r="J42" i="47"/>
  <c r="K42" i="47"/>
  <c r="L42" i="47"/>
  <c r="M42" i="47"/>
  <c r="N42" i="47"/>
  <c r="G43" i="47"/>
  <c r="H43" i="47"/>
  <c r="I43" i="47"/>
  <c r="J43" i="47"/>
  <c r="K43" i="47"/>
  <c r="L43" i="47"/>
  <c r="M43" i="47"/>
  <c r="N43" i="47"/>
  <c r="G44" i="47"/>
  <c r="H44" i="47"/>
  <c r="I44" i="47"/>
  <c r="J44" i="47"/>
  <c r="K44" i="47"/>
  <c r="L44" i="47"/>
  <c r="M44" i="47"/>
  <c r="N44" i="47"/>
  <c r="G45" i="47"/>
  <c r="H45" i="47"/>
  <c r="I45" i="47"/>
  <c r="J45" i="47"/>
  <c r="K45" i="47"/>
  <c r="L45" i="47"/>
  <c r="M45" i="47"/>
  <c r="N45" i="47"/>
  <c r="G47" i="47"/>
  <c r="H47" i="47"/>
  <c r="I47" i="47"/>
  <c r="J47" i="47"/>
  <c r="K47" i="47"/>
  <c r="L47" i="47"/>
  <c r="M47" i="47"/>
  <c r="N47" i="47"/>
  <c r="G49" i="47"/>
  <c r="H49" i="47"/>
  <c r="I49" i="47"/>
  <c r="J49" i="47"/>
  <c r="K49" i="47"/>
  <c r="L49" i="47"/>
  <c r="M49" i="47"/>
  <c r="N49" i="47"/>
  <c r="H10" i="40"/>
  <c r="I10" i="40"/>
  <c r="J10" i="40"/>
  <c r="K10" i="40"/>
  <c r="L10" i="40"/>
  <c r="M10" i="40"/>
  <c r="N10" i="40"/>
  <c r="O10" i="40"/>
  <c r="P10" i="40"/>
  <c r="Q10" i="40"/>
  <c r="G41" i="40"/>
  <c r="H41" i="40"/>
  <c r="I41" i="40"/>
  <c r="J41" i="40"/>
  <c r="K41" i="40"/>
  <c r="L41" i="40"/>
  <c r="M41" i="40"/>
  <c r="N41" i="40"/>
  <c r="G42" i="40"/>
  <c r="H42" i="40"/>
  <c r="I42" i="40"/>
  <c r="J42" i="40"/>
  <c r="K42" i="40"/>
  <c r="L42" i="40"/>
  <c r="M42" i="40"/>
  <c r="N42" i="40"/>
  <c r="G43" i="40"/>
  <c r="H43" i="40"/>
  <c r="I43" i="40"/>
  <c r="J43" i="40"/>
  <c r="K43" i="40"/>
  <c r="L43" i="40"/>
  <c r="M43" i="40"/>
  <c r="N43" i="40"/>
  <c r="G44" i="40"/>
  <c r="H44" i="40"/>
  <c r="I44" i="40"/>
  <c r="J44" i="40"/>
  <c r="K44" i="40"/>
  <c r="L44" i="40"/>
  <c r="M44" i="40"/>
  <c r="N44" i="40"/>
  <c r="G45" i="40"/>
  <c r="H45" i="40"/>
  <c r="I45" i="40"/>
  <c r="J45" i="40"/>
  <c r="K45" i="40"/>
  <c r="L45" i="40"/>
  <c r="M45" i="40"/>
  <c r="N45" i="40"/>
  <c r="G47" i="40"/>
  <c r="H47" i="40"/>
  <c r="I47" i="40"/>
  <c r="J47" i="40"/>
  <c r="K47" i="40"/>
  <c r="L47" i="40"/>
  <c r="M47" i="40"/>
  <c r="N47" i="40"/>
  <c r="G49" i="40"/>
  <c r="H49" i="40"/>
  <c r="I49" i="40"/>
  <c r="J49" i="40"/>
  <c r="K49" i="40"/>
  <c r="L49" i="40"/>
  <c r="M49" i="40"/>
  <c r="N49" i="40"/>
  <c r="H10" i="46"/>
  <c r="I10" i="46"/>
  <c r="J10" i="46"/>
  <c r="K10" i="46"/>
  <c r="L10" i="46"/>
  <c r="M10" i="46"/>
  <c r="N10" i="46"/>
  <c r="O10" i="46"/>
  <c r="P10" i="46"/>
  <c r="Q10" i="46"/>
  <c r="G41" i="46"/>
  <c r="H41" i="46"/>
  <c r="I41" i="46"/>
  <c r="J41" i="46"/>
  <c r="K41" i="46"/>
  <c r="L41" i="46"/>
  <c r="M41" i="46"/>
  <c r="N41" i="46"/>
  <c r="G42" i="46"/>
  <c r="H42" i="46"/>
  <c r="I42" i="46"/>
  <c r="J42" i="46"/>
  <c r="K42" i="46"/>
  <c r="L42" i="46"/>
  <c r="M42" i="46"/>
  <c r="N42" i="46"/>
  <c r="G43" i="46"/>
  <c r="H43" i="46"/>
  <c r="I43" i="46"/>
  <c r="J43" i="46"/>
  <c r="K43" i="46"/>
  <c r="L43" i="46"/>
  <c r="M43" i="46"/>
  <c r="N43" i="46"/>
  <c r="G44" i="46"/>
  <c r="H44" i="46"/>
  <c r="I44" i="46"/>
  <c r="J44" i="46"/>
  <c r="K44" i="46"/>
  <c r="L44" i="46"/>
  <c r="M44" i="46"/>
  <c r="N44" i="46"/>
  <c r="G45" i="46"/>
  <c r="H45" i="46"/>
  <c r="I45" i="46"/>
  <c r="J45" i="46"/>
  <c r="K45" i="46"/>
  <c r="L45" i="46"/>
  <c r="M45" i="46"/>
  <c r="N45" i="46"/>
  <c r="G46" i="46"/>
  <c r="H46" i="46"/>
  <c r="I46" i="46"/>
  <c r="J46" i="46"/>
  <c r="K46" i="46"/>
  <c r="L46" i="46"/>
  <c r="M46" i="46"/>
  <c r="N46" i="46"/>
  <c r="G47" i="46"/>
  <c r="H47" i="46"/>
  <c r="I47" i="46"/>
  <c r="J47" i="46"/>
  <c r="K47" i="46"/>
  <c r="L47" i="46"/>
  <c r="M47" i="46"/>
  <c r="N47" i="46"/>
  <c r="G48" i="46"/>
  <c r="H48" i="46"/>
  <c r="I48" i="46"/>
  <c r="J48" i="46"/>
  <c r="K48" i="46"/>
  <c r="L48" i="46"/>
  <c r="M48" i="46"/>
  <c r="N48" i="46"/>
  <c r="G49" i="46"/>
  <c r="H49" i="46"/>
  <c r="I49" i="46"/>
  <c r="J49" i="46"/>
  <c r="K49" i="46"/>
  <c r="L49" i="46"/>
  <c r="M49" i="46"/>
  <c r="N49" i="46"/>
  <c r="G50" i="46"/>
  <c r="H50" i="46"/>
  <c r="I50" i="46"/>
  <c r="J50" i="46"/>
  <c r="K50" i="46"/>
  <c r="L50" i="46"/>
  <c r="M50" i="46"/>
  <c r="N50" i="46"/>
  <c r="H10" i="39"/>
  <c r="I10" i="39"/>
  <c r="J10" i="39"/>
  <c r="K10" i="39"/>
  <c r="L10" i="39"/>
  <c r="M10" i="39"/>
  <c r="N10" i="39"/>
  <c r="O10" i="39"/>
  <c r="P10" i="39"/>
  <c r="Q10" i="39"/>
  <c r="G41" i="39"/>
  <c r="H41" i="39"/>
  <c r="I41" i="39"/>
  <c r="J41" i="39"/>
  <c r="K41" i="39"/>
  <c r="L41" i="39"/>
  <c r="M41" i="39"/>
  <c r="N41" i="39"/>
  <c r="G42" i="39"/>
  <c r="H42" i="39"/>
  <c r="I42" i="39"/>
  <c r="J42" i="39"/>
  <c r="K42" i="39"/>
  <c r="L42" i="39"/>
  <c r="M42" i="39"/>
  <c r="N42" i="39"/>
  <c r="G43" i="39"/>
  <c r="H43" i="39"/>
  <c r="I43" i="39"/>
  <c r="J43" i="39"/>
  <c r="K43" i="39"/>
  <c r="L43" i="39"/>
  <c r="M43" i="39"/>
  <c r="N43" i="39"/>
  <c r="G44" i="39"/>
  <c r="H44" i="39"/>
  <c r="I44" i="39"/>
  <c r="J44" i="39"/>
  <c r="K44" i="39"/>
  <c r="L44" i="39"/>
  <c r="M44" i="39"/>
  <c r="N44" i="39"/>
  <c r="G45" i="39"/>
  <c r="H45" i="39"/>
  <c r="I45" i="39"/>
  <c r="J45" i="39"/>
  <c r="K45" i="39"/>
  <c r="L45" i="39"/>
  <c r="M45" i="39"/>
  <c r="N45" i="39"/>
  <c r="G46" i="39"/>
  <c r="H46" i="39"/>
  <c r="I46" i="39"/>
  <c r="J46" i="39"/>
  <c r="K46" i="39"/>
  <c r="L46" i="39"/>
  <c r="M46" i="39"/>
  <c r="N46" i="39"/>
  <c r="G47" i="39"/>
  <c r="H47" i="39"/>
  <c r="I47" i="39"/>
  <c r="J47" i="39"/>
  <c r="K47" i="39"/>
  <c r="L47" i="39"/>
  <c r="M47" i="39"/>
  <c r="N47" i="39"/>
  <c r="G48" i="39"/>
  <c r="H48" i="39"/>
  <c r="I48" i="39"/>
  <c r="J48" i="39"/>
  <c r="K48" i="39"/>
  <c r="L48" i="39"/>
  <c r="M48" i="39"/>
  <c r="N48" i="39"/>
  <c r="G49" i="39"/>
  <c r="H49" i="39"/>
  <c r="I49" i="39"/>
  <c r="J49" i="39"/>
  <c r="K49" i="39"/>
  <c r="L49" i="39"/>
  <c r="M49" i="39"/>
  <c r="N49" i="39"/>
  <c r="G50" i="39"/>
  <c r="H50" i="39"/>
  <c r="I50" i="39"/>
  <c r="J50" i="39"/>
  <c r="K50" i="39"/>
  <c r="L50" i="39"/>
  <c r="M50" i="39"/>
  <c r="N50" i="39"/>
  <c r="G10" i="52"/>
  <c r="H10" i="52"/>
  <c r="I10" i="52"/>
  <c r="J10" i="52"/>
  <c r="K10" i="52"/>
  <c r="L10" i="52"/>
  <c r="M10" i="52"/>
  <c r="N10" i="52"/>
  <c r="O10" i="52"/>
  <c r="P10" i="52"/>
  <c r="Q10" i="52"/>
  <c r="G40" i="52"/>
  <c r="H40" i="52"/>
  <c r="I40" i="52"/>
  <c r="J40" i="52"/>
  <c r="K40" i="52"/>
  <c r="L40" i="52"/>
  <c r="M40" i="52"/>
  <c r="N40" i="52"/>
  <c r="G41" i="52"/>
  <c r="H41" i="52"/>
  <c r="I41" i="52"/>
  <c r="J41" i="52"/>
  <c r="K41" i="52"/>
  <c r="L41" i="52"/>
  <c r="M41" i="52"/>
  <c r="N41" i="52"/>
  <c r="G42" i="52"/>
  <c r="H42" i="52"/>
  <c r="I42" i="52"/>
  <c r="J42" i="52"/>
  <c r="K42" i="52"/>
  <c r="L42" i="52"/>
  <c r="M42" i="52"/>
  <c r="N42" i="52"/>
  <c r="G43" i="52"/>
  <c r="H43" i="52"/>
  <c r="I43" i="52"/>
  <c r="J43" i="52"/>
  <c r="K43" i="52"/>
  <c r="L43" i="52"/>
  <c r="M43" i="52"/>
  <c r="N43" i="52"/>
  <c r="G44" i="52"/>
  <c r="H44" i="52"/>
  <c r="I44" i="52"/>
  <c r="J44" i="52"/>
  <c r="K44" i="52"/>
  <c r="L44" i="52"/>
  <c r="M44" i="52"/>
  <c r="N44" i="52"/>
  <c r="G45" i="52"/>
  <c r="H45" i="52"/>
  <c r="I45" i="52"/>
  <c r="J45" i="52"/>
  <c r="K45" i="52"/>
  <c r="L45" i="52"/>
  <c r="M45" i="52"/>
  <c r="N45" i="52"/>
  <c r="G47" i="52"/>
  <c r="H47" i="52"/>
  <c r="I47" i="52"/>
  <c r="I49" i="52" s="1"/>
  <c r="J47" i="52"/>
  <c r="K47" i="52"/>
  <c r="L47" i="52"/>
  <c r="M47" i="52"/>
  <c r="M49" i="52" s="1"/>
  <c r="N47" i="52"/>
  <c r="H49" i="52"/>
  <c r="G35" i="30"/>
  <c r="H35" i="30"/>
  <c r="I35" i="30"/>
  <c r="J35" i="30"/>
  <c r="K35" i="30"/>
  <c r="L35" i="30"/>
  <c r="M35" i="30"/>
  <c r="N35" i="30"/>
  <c r="G36" i="30"/>
  <c r="H36" i="30"/>
  <c r="I36" i="30"/>
  <c r="J36" i="30"/>
  <c r="K36" i="30"/>
  <c r="L36" i="30"/>
  <c r="M36" i="30"/>
  <c r="N36" i="30"/>
  <c r="G37" i="30"/>
  <c r="H37" i="30"/>
  <c r="I37" i="30"/>
  <c r="J37" i="30"/>
  <c r="K37" i="30"/>
  <c r="L37" i="30"/>
  <c r="M37" i="30"/>
  <c r="N37" i="30"/>
  <c r="G38" i="30"/>
  <c r="H38" i="30"/>
  <c r="I38" i="30"/>
  <c r="J38" i="30"/>
  <c r="K38" i="30"/>
  <c r="L38" i="30"/>
  <c r="M38" i="30"/>
  <c r="N38" i="30"/>
  <c r="G39" i="30"/>
  <c r="H39" i="30"/>
  <c r="I39" i="30"/>
  <c r="J39" i="30"/>
  <c r="K39" i="30"/>
  <c r="L39" i="30"/>
  <c r="M39" i="30"/>
  <c r="N39" i="30"/>
  <c r="G40" i="30"/>
  <c r="H40" i="30"/>
  <c r="I40" i="30"/>
  <c r="J40" i="30"/>
  <c r="K40" i="30"/>
  <c r="L40" i="30"/>
  <c r="M40" i="30"/>
  <c r="N40" i="30"/>
  <c r="G41" i="30"/>
  <c r="H41" i="30"/>
  <c r="I41" i="30"/>
  <c r="J41" i="30"/>
  <c r="K41" i="30"/>
  <c r="L41" i="30"/>
  <c r="M41" i="30"/>
  <c r="N41" i="30"/>
  <c r="G42" i="30"/>
  <c r="H42" i="30"/>
  <c r="I42" i="30"/>
  <c r="J42" i="30"/>
  <c r="K42" i="30"/>
  <c r="L42" i="30"/>
  <c r="M42" i="30"/>
  <c r="N42" i="30"/>
  <c r="G43" i="30"/>
  <c r="H43" i="30"/>
  <c r="I43" i="30"/>
  <c r="J43" i="30"/>
  <c r="K43" i="30"/>
  <c r="L43" i="30"/>
  <c r="M43" i="30"/>
  <c r="N43" i="30"/>
  <c r="G35" i="16"/>
  <c r="H35" i="16"/>
  <c r="I35" i="16"/>
  <c r="J35" i="16"/>
  <c r="K35" i="16"/>
  <c r="L35" i="16"/>
  <c r="M35" i="16"/>
  <c r="N35" i="16"/>
  <c r="G36" i="16"/>
  <c r="H36" i="16"/>
  <c r="I36" i="16"/>
  <c r="J36" i="16"/>
  <c r="K36" i="16"/>
  <c r="L36" i="16"/>
  <c r="M36" i="16"/>
  <c r="N36" i="16"/>
  <c r="G37" i="16"/>
  <c r="H37" i="16"/>
  <c r="I37" i="16"/>
  <c r="J37" i="16"/>
  <c r="K37" i="16"/>
  <c r="L37" i="16"/>
  <c r="M37" i="16"/>
  <c r="N37" i="16"/>
  <c r="G38" i="16"/>
  <c r="H38" i="16"/>
  <c r="I38" i="16"/>
  <c r="J38" i="16"/>
  <c r="K38" i="16"/>
  <c r="L38" i="16"/>
  <c r="M38" i="16"/>
  <c r="N38" i="16"/>
  <c r="G39" i="16"/>
  <c r="H39" i="16"/>
  <c r="I39" i="16"/>
  <c r="J39" i="16"/>
  <c r="K39" i="16"/>
  <c r="L39" i="16"/>
  <c r="M39" i="16"/>
  <c r="N39" i="16"/>
  <c r="G40" i="16"/>
  <c r="H40" i="16"/>
  <c r="I40" i="16"/>
  <c r="J40" i="16"/>
  <c r="K40" i="16"/>
  <c r="L40" i="16"/>
  <c r="M40" i="16"/>
  <c r="N40" i="16"/>
  <c r="G41" i="16"/>
  <c r="H41" i="16"/>
  <c r="I41" i="16"/>
  <c r="J41" i="16"/>
  <c r="K41" i="16"/>
  <c r="L41" i="16"/>
  <c r="M41" i="16"/>
  <c r="N41" i="16"/>
  <c r="G42" i="16"/>
  <c r="H42" i="16"/>
  <c r="I42" i="16"/>
  <c r="J42" i="16"/>
  <c r="K42" i="16"/>
  <c r="L42" i="16"/>
  <c r="M42" i="16"/>
  <c r="N42" i="16"/>
  <c r="G43" i="16"/>
  <c r="H43" i="16"/>
  <c r="I43" i="16"/>
  <c r="J43" i="16"/>
  <c r="K43" i="16"/>
  <c r="L43" i="16"/>
  <c r="M43" i="16"/>
  <c r="N43" i="16"/>
  <c r="G27" i="15"/>
  <c r="H27" i="15"/>
  <c r="I27" i="15"/>
  <c r="J27" i="15"/>
  <c r="K27" i="15"/>
  <c r="L27" i="15"/>
  <c r="M27" i="15"/>
  <c r="N27" i="15"/>
  <c r="G28" i="15"/>
  <c r="H28" i="15"/>
  <c r="I28" i="15"/>
  <c r="J28" i="15"/>
  <c r="K28" i="15"/>
  <c r="L28" i="15"/>
  <c r="M28" i="15"/>
  <c r="N28" i="15"/>
  <c r="G29" i="15"/>
  <c r="H29" i="15"/>
  <c r="I29" i="15"/>
  <c r="J29" i="15"/>
  <c r="K29" i="15"/>
  <c r="L29" i="15"/>
  <c r="M29" i="15"/>
  <c r="N29" i="15"/>
  <c r="G30" i="15"/>
  <c r="H30" i="15"/>
  <c r="I30" i="15"/>
  <c r="J30" i="15"/>
  <c r="K30" i="15"/>
  <c r="L30" i="15"/>
  <c r="M30" i="15"/>
  <c r="N30" i="15"/>
  <c r="G31" i="15"/>
  <c r="H31" i="15"/>
  <c r="I31" i="15"/>
  <c r="J31" i="15"/>
  <c r="K31" i="15"/>
  <c r="L31" i="15"/>
  <c r="M31" i="15"/>
  <c r="N31" i="15"/>
  <c r="G32" i="15"/>
  <c r="H32" i="15"/>
  <c r="I32" i="15"/>
  <c r="J32" i="15"/>
  <c r="K32" i="15"/>
  <c r="L32" i="15"/>
  <c r="M32" i="15"/>
  <c r="N32" i="15"/>
  <c r="G33" i="15"/>
  <c r="H33" i="15"/>
  <c r="I33" i="15"/>
  <c r="J33" i="15"/>
  <c r="K33" i="15"/>
  <c r="L33" i="15"/>
  <c r="M33" i="15"/>
  <c r="N33" i="15"/>
  <c r="G34" i="15"/>
  <c r="H34" i="15"/>
  <c r="I34" i="15"/>
  <c r="J34" i="15"/>
  <c r="K34" i="15"/>
  <c r="L34" i="15"/>
  <c r="M34" i="15"/>
  <c r="N34" i="15"/>
  <c r="G35" i="15"/>
  <c r="H35" i="15"/>
  <c r="I35" i="15"/>
  <c r="J35" i="15"/>
  <c r="K35" i="15"/>
  <c r="L35" i="15"/>
  <c r="M35" i="15"/>
  <c r="N35" i="15"/>
  <c r="Q28" i="13"/>
  <c r="G39" i="13"/>
  <c r="H39" i="13"/>
  <c r="I39" i="13"/>
  <c r="J39" i="13"/>
  <c r="K39" i="13"/>
  <c r="L39" i="13"/>
  <c r="M39" i="13"/>
  <c r="N39" i="13"/>
  <c r="G40" i="13"/>
  <c r="G49" i="13" s="1"/>
  <c r="H40" i="13"/>
  <c r="I40" i="13"/>
  <c r="J40" i="13"/>
  <c r="K40" i="13"/>
  <c r="L40" i="13"/>
  <c r="M40" i="13"/>
  <c r="N40" i="13"/>
  <c r="G41" i="13"/>
  <c r="H41" i="13"/>
  <c r="I41" i="13"/>
  <c r="J41" i="13"/>
  <c r="K41" i="13"/>
  <c r="L41" i="13"/>
  <c r="M41" i="13"/>
  <c r="N41" i="13"/>
  <c r="G42" i="13"/>
  <c r="H42" i="13"/>
  <c r="I42" i="13"/>
  <c r="J42" i="13"/>
  <c r="K42" i="13"/>
  <c r="L42" i="13"/>
  <c r="M42" i="13"/>
  <c r="N42" i="13"/>
  <c r="G43" i="13"/>
  <c r="H43" i="13"/>
  <c r="I43" i="13"/>
  <c r="J43" i="13"/>
  <c r="K43" i="13"/>
  <c r="L43" i="13"/>
  <c r="M43" i="13"/>
  <c r="N43" i="13"/>
  <c r="G44" i="13"/>
  <c r="H44" i="13"/>
  <c r="I44" i="13"/>
  <c r="J44" i="13"/>
  <c r="K44" i="13"/>
  <c r="L44" i="13"/>
  <c r="M44" i="13"/>
  <c r="N44" i="13"/>
  <c r="G45" i="13"/>
  <c r="H45" i="13"/>
  <c r="I45" i="13"/>
  <c r="J45" i="13"/>
  <c r="K45" i="13"/>
  <c r="L45" i="13"/>
  <c r="M45" i="13"/>
  <c r="N45" i="13"/>
  <c r="G46" i="13"/>
  <c r="H46" i="13"/>
  <c r="I46" i="13"/>
  <c r="J46" i="13"/>
  <c r="K46" i="13"/>
  <c r="L46" i="13"/>
  <c r="M46" i="13"/>
  <c r="N46" i="13"/>
  <c r="G47" i="13"/>
  <c r="H47" i="13"/>
  <c r="I47" i="13"/>
  <c r="J47" i="13"/>
  <c r="K47" i="13"/>
  <c r="L47" i="13"/>
  <c r="M47" i="13"/>
  <c r="N47" i="13"/>
  <c r="G48" i="13"/>
  <c r="H48" i="13"/>
  <c r="I48" i="13"/>
  <c r="J48" i="13"/>
  <c r="K48" i="13"/>
  <c r="L48" i="13"/>
  <c r="M48" i="13"/>
  <c r="N48" i="13"/>
  <c r="H49" i="13"/>
  <c r="I49" i="13"/>
  <c r="J49" i="13"/>
  <c r="K49" i="13"/>
  <c r="L49" i="13"/>
  <c r="M49" i="13"/>
  <c r="N49" i="13"/>
  <c r="Q10" i="14"/>
  <c r="T8" i="14" s="1"/>
  <c r="T3" i="14"/>
  <c r="T4" i="14"/>
  <c r="T6" i="14"/>
  <c r="T7" i="14"/>
  <c r="G10" i="14"/>
  <c r="H10" i="14"/>
  <c r="I10" i="14"/>
  <c r="J10" i="14"/>
  <c r="K10" i="14"/>
  <c r="L10" i="14"/>
  <c r="M10" i="14"/>
  <c r="N10" i="14"/>
  <c r="O10" i="14"/>
  <c r="P10" i="14"/>
  <c r="U10" i="14"/>
  <c r="D20" i="14"/>
  <c r="E20" i="14"/>
  <c r="F20" i="14"/>
  <c r="G20" i="14"/>
  <c r="H20" i="14"/>
  <c r="I20" i="14"/>
  <c r="J20" i="14"/>
  <c r="K20" i="14"/>
  <c r="D21" i="14"/>
  <c r="E21" i="14"/>
  <c r="F21" i="14"/>
  <c r="G21" i="14"/>
  <c r="H21" i="14"/>
  <c r="I21" i="14"/>
  <c r="J21" i="14"/>
  <c r="K21" i="14"/>
  <c r="D22" i="14"/>
  <c r="E22" i="14"/>
  <c r="F22" i="14"/>
  <c r="G22" i="14"/>
  <c r="H22" i="14"/>
  <c r="I22" i="14"/>
  <c r="J22" i="14"/>
  <c r="K22" i="14"/>
  <c r="D23" i="14"/>
  <c r="E23" i="14"/>
  <c r="F23" i="14"/>
  <c r="G23" i="14"/>
  <c r="H23" i="14"/>
  <c r="I23" i="14"/>
  <c r="J23" i="14"/>
  <c r="K23" i="14"/>
  <c r="D24" i="14"/>
  <c r="E24" i="14"/>
  <c r="F24" i="14"/>
  <c r="G24" i="14"/>
  <c r="H24" i="14"/>
  <c r="I24" i="14"/>
  <c r="J24" i="14"/>
  <c r="K24" i="14"/>
  <c r="D25" i="14"/>
  <c r="E25" i="14"/>
  <c r="F25" i="14"/>
  <c r="G25" i="14"/>
  <c r="H25" i="14"/>
  <c r="I25" i="14"/>
  <c r="J25" i="14"/>
  <c r="K25" i="14"/>
  <c r="D26" i="14"/>
  <c r="E26" i="14"/>
  <c r="F26" i="14"/>
  <c r="G26" i="14"/>
  <c r="H26" i="14"/>
  <c r="I26" i="14"/>
  <c r="J26" i="14"/>
  <c r="K26" i="14"/>
  <c r="D27" i="14"/>
  <c r="E27" i="14"/>
  <c r="F27" i="14"/>
  <c r="G27" i="14"/>
  <c r="H27" i="14"/>
  <c r="I27" i="14"/>
  <c r="J27" i="14"/>
  <c r="K27" i="14"/>
  <c r="D28" i="14"/>
  <c r="E28" i="14"/>
  <c r="F28" i="14"/>
  <c r="G28" i="14"/>
  <c r="H28" i="14"/>
  <c r="I28" i="14"/>
  <c r="J28" i="14"/>
  <c r="K28" i="14"/>
  <c r="G23" i="61"/>
  <c r="H23" i="61"/>
  <c r="I23" i="61"/>
  <c r="J23" i="61"/>
  <c r="K23" i="61"/>
  <c r="L23" i="61"/>
  <c r="M23" i="61"/>
  <c r="N23" i="61"/>
  <c r="O23" i="61"/>
  <c r="P23" i="61"/>
  <c r="Q23" i="61"/>
  <c r="G24" i="61"/>
  <c r="H24" i="61"/>
  <c r="L24" i="61"/>
  <c r="M24" i="61"/>
  <c r="N24" i="61"/>
  <c r="O24" i="61"/>
  <c r="P24" i="61"/>
  <c r="Q24" i="61"/>
  <c r="G25" i="61"/>
  <c r="H25" i="61"/>
  <c r="I25" i="61"/>
  <c r="J25" i="61"/>
  <c r="K25" i="61"/>
  <c r="L25" i="61"/>
  <c r="M25" i="61"/>
  <c r="N25" i="61"/>
  <c r="O25" i="61"/>
  <c r="P25" i="61"/>
  <c r="Q25" i="61"/>
  <c r="G26" i="61"/>
  <c r="H26" i="61"/>
  <c r="I26" i="61"/>
  <c r="J26" i="61"/>
  <c r="K26" i="61"/>
  <c r="L26" i="61"/>
  <c r="M26" i="61"/>
  <c r="N26" i="61"/>
  <c r="O26" i="61"/>
  <c r="P26" i="61"/>
  <c r="Q26" i="61"/>
  <c r="G27" i="61"/>
  <c r="H27" i="61"/>
  <c r="I27" i="61"/>
  <c r="J27" i="61"/>
  <c r="K27" i="61"/>
  <c r="L27" i="61"/>
  <c r="M27" i="61"/>
  <c r="N27" i="61"/>
  <c r="O27" i="61"/>
  <c r="P27" i="61"/>
  <c r="Q27" i="61"/>
  <c r="G28" i="61"/>
  <c r="H28" i="61"/>
  <c r="L28" i="61"/>
  <c r="M28" i="61"/>
  <c r="N28" i="61"/>
  <c r="O28" i="61"/>
  <c r="P28" i="61"/>
  <c r="Q28" i="61"/>
  <c r="G29" i="61"/>
  <c r="H29" i="61"/>
  <c r="L29" i="61"/>
  <c r="M29" i="61"/>
  <c r="N29" i="61"/>
  <c r="O29" i="61"/>
  <c r="P29" i="61"/>
  <c r="Q29" i="61"/>
  <c r="G30" i="61"/>
  <c r="H30" i="61"/>
  <c r="I30" i="61"/>
  <c r="J30" i="61"/>
  <c r="K30" i="61"/>
  <c r="L30" i="61"/>
  <c r="M30" i="61"/>
  <c r="N30" i="61"/>
  <c r="O30" i="61"/>
  <c r="P30" i="61"/>
  <c r="Q30" i="61"/>
  <c r="G31" i="61"/>
  <c r="H31" i="61"/>
  <c r="I31" i="61"/>
  <c r="J31" i="61"/>
  <c r="K31" i="61"/>
  <c r="L31" i="61"/>
  <c r="M31" i="61"/>
  <c r="N31" i="61"/>
  <c r="O31" i="61"/>
  <c r="P31" i="61"/>
  <c r="Q31" i="61"/>
  <c r="E56" i="61"/>
  <c r="F56" i="61"/>
  <c r="G56" i="61"/>
  <c r="H56" i="61"/>
  <c r="I56" i="61"/>
  <c r="J56" i="61"/>
  <c r="K56" i="61"/>
  <c r="L56" i="61"/>
  <c r="M56" i="61"/>
  <c r="N56" i="61"/>
  <c r="O56" i="61"/>
  <c r="E57" i="61"/>
  <c r="F57" i="61"/>
  <c r="G57" i="61"/>
  <c r="H57" i="61"/>
  <c r="I57" i="61"/>
  <c r="J57" i="61"/>
  <c r="K57" i="61"/>
  <c r="L57" i="61"/>
  <c r="M57" i="61"/>
  <c r="N57" i="61"/>
  <c r="O57" i="61"/>
  <c r="E58" i="61"/>
  <c r="F58" i="61"/>
  <c r="G58" i="61"/>
  <c r="H58" i="61"/>
  <c r="I58" i="61"/>
  <c r="J58" i="61"/>
  <c r="K58" i="61"/>
  <c r="L58" i="61"/>
  <c r="M58" i="61"/>
  <c r="N58" i="61"/>
  <c r="O58" i="61"/>
  <c r="E60" i="61"/>
  <c r="F60" i="61"/>
  <c r="G60" i="61"/>
  <c r="H60" i="61"/>
  <c r="I60" i="61"/>
  <c r="J60" i="61"/>
  <c r="K60" i="61"/>
  <c r="L60" i="61"/>
  <c r="M60" i="61"/>
  <c r="N60" i="61"/>
  <c r="O60" i="61"/>
  <c r="E61" i="61"/>
  <c r="F61" i="61"/>
  <c r="G61" i="61"/>
  <c r="H61" i="61"/>
  <c r="I61" i="61"/>
  <c r="J61" i="61"/>
  <c r="K61" i="61"/>
  <c r="L61" i="61"/>
  <c r="M61" i="61"/>
  <c r="N61" i="61"/>
  <c r="O61" i="61"/>
  <c r="E62" i="61"/>
  <c r="F62" i="61"/>
  <c r="G62" i="61"/>
  <c r="H62" i="61"/>
  <c r="I62" i="61"/>
  <c r="J62" i="61"/>
  <c r="K62" i="61"/>
  <c r="L62" i="61"/>
  <c r="M62" i="61"/>
  <c r="N62" i="61"/>
  <c r="O62" i="61"/>
  <c r="E64" i="61"/>
  <c r="F64" i="61"/>
  <c r="G64" i="61"/>
  <c r="H64" i="61"/>
  <c r="I64" i="61"/>
  <c r="J64" i="61"/>
  <c r="K64" i="61"/>
  <c r="L64" i="61"/>
  <c r="M64" i="61"/>
  <c r="N64" i="61"/>
  <c r="O64" i="61"/>
  <c r="E35" i="59"/>
  <c r="F35" i="59"/>
  <c r="G35" i="59"/>
  <c r="H35" i="59"/>
  <c r="I35" i="59"/>
  <c r="J35" i="59"/>
  <c r="K35" i="59"/>
  <c r="L35" i="59"/>
  <c r="M35" i="59"/>
  <c r="N35" i="59"/>
  <c r="O35" i="59"/>
  <c r="E39" i="59"/>
  <c r="F39" i="59"/>
  <c r="G39" i="59"/>
  <c r="H39" i="59"/>
  <c r="I39" i="59"/>
  <c r="J39" i="59"/>
  <c r="K39" i="59"/>
  <c r="L39" i="59"/>
  <c r="M39" i="59"/>
  <c r="N39" i="59"/>
  <c r="O39" i="59"/>
  <c r="E43" i="59"/>
  <c r="F43" i="59"/>
  <c r="G43" i="59"/>
  <c r="H43" i="59"/>
  <c r="I43" i="59"/>
  <c r="J43" i="59"/>
  <c r="K43" i="59"/>
  <c r="L43" i="59"/>
  <c r="M43" i="59"/>
  <c r="N43" i="59"/>
  <c r="O43" i="59"/>
  <c r="D9" i="32"/>
  <c r="E9" i="32"/>
  <c r="F9" i="32"/>
  <c r="G9" i="32"/>
  <c r="H9" i="32"/>
  <c r="I9" i="32"/>
  <c r="J9" i="32"/>
  <c r="K9" i="32"/>
  <c r="L9" i="32"/>
  <c r="M9" i="32"/>
  <c r="N9" i="32"/>
  <c r="D20" i="32"/>
  <c r="E20" i="32"/>
  <c r="F20" i="32"/>
  <c r="G20" i="32"/>
  <c r="H20" i="32"/>
  <c r="I20" i="32"/>
  <c r="J20" i="32"/>
  <c r="K20" i="32"/>
  <c r="D21" i="32"/>
  <c r="E21" i="32"/>
  <c r="F21" i="32"/>
  <c r="G21" i="32"/>
  <c r="H21" i="32"/>
  <c r="I21" i="32"/>
  <c r="J21" i="32"/>
  <c r="K21" i="32"/>
  <c r="D22" i="32"/>
  <c r="E22" i="32"/>
  <c r="F22" i="32"/>
  <c r="G22" i="32"/>
  <c r="H22" i="32"/>
  <c r="I22" i="32"/>
  <c r="J22" i="32"/>
  <c r="K22" i="32"/>
  <c r="D23" i="32"/>
  <c r="E23" i="32"/>
  <c r="F23" i="32"/>
  <c r="G23" i="32"/>
  <c r="H23" i="32"/>
  <c r="I23" i="32"/>
  <c r="J23" i="32"/>
  <c r="K23" i="32"/>
  <c r="D25" i="32"/>
  <c r="D24" i="32"/>
  <c r="D28" i="32" s="1"/>
  <c r="E25" i="32"/>
  <c r="E24" i="32"/>
  <c r="E28" i="32" s="1"/>
  <c r="F25" i="32"/>
  <c r="F24" i="32"/>
  <c r="G25" i="32"/>
  <c r="G24" i="32" s="1"/>
  <c r="H25" i="32"/>
  <c r="H24" i="32"/>
  <c r="H28" i="32" s="1"/>
  <c r="I25" i="32"/>
  <c r="I24" i="32"/>
  <c r="I28" i="32" s="1"/>
  <c r="J25" i="32"/>
  <c r="J24" i="32"/>
  <c r="K25" i="32"/>
  <c r="K24" i="32" s="1"/>
  <c r="K28" i="32" s="1"/>
  <c r="D27" i="32"/>
  <c r="D26" i="32"/>
  <c r="E27" i="32"/>
  <c r="E26" i="32"/>
  <c r="F27" i="32"/>
  <c r="F26" i="32"/>
  <c r="G27" i="32"/>
  <c r="G26" i="32" s="1"/>
  <c r="H27" i="32"/>
  <c r="H26" i="32"/>
  <c r="I27" i="32"/>
  <c r="I26" i="32"/>
  <c r="J27" i="32"/>
  <c r="J26" i="32"/>
  <c r="K27" i="32"/>
  <c r="K26" i="32" s="1"/>
  <c r="F28" i="32"/>
  <c r="J28" i="32"/>
  <c r="D9" i="18"/>
  <c r="E9" i="18"/>
  <c r="F9" i="18"/>
  <c r="G9" i="18"/>
  <c r="H9" i="18"/>
  <c r="I9" i="18"/>
  <c r="J9" i="18"/>
  <c r="K9" i="18"/>
  <c r="L9" i="18"/>
  <c r="M9" i="18"/>
  <c r="N9" i="18"/>
  <c r="D20" i="18"/>
  <c r="E20" i="18"/>
  <c r="F20" i="18"/>
  <c r="G20" i="18"/>
  <c r="H20" i="18"/>
  <c r="I20" i="18"/>
  <c r="J20" i="18"/>
  <c r="K20" i="18"/>
  <c r="L20" i="18"/>
  <c r="M20" i="18"/>
  <c r="D21" i="18"/>
  <c r="E21" i="18"/>
  <c r="E28" i="18" s="1"/>
  <c r="F21" i="18"/>
  <c r="G21" i="18"/>
  <c r="H21" i="18"/>
  <c r="H28" i="18" s="1"/>
  <c r="I21" i="18"/>
  <c r="I28" i="18" s="1"/>
  <c r="J21" i="18"/>
  <c r="K21" i="18"/>
  <c r="L21" i="18"/>
  <c r="M21" i="18"/>
  <c r="M28" i="18" s="1"/>
  <c r="D22" i="18"/>
  <c r="E22" i="18"/>
  <c r="F22" i="18"/>
  <c r="G22" i="18"/>
  <c r="G28" i="18" s="1"/>
  <c r="H22" i="18"/>
  <c r="I22" i="18"/>
  <c r="J22" i="18"/>
  <c r="K22" i="18"/>
  <c r="L22" i="18"/>
  <c r="M22" i="18"/>
  <c r="D23" i="18"/>
  <c r="E23" i="18"/>
  <c r="F23" i="18"/>
  <c r="G23" i="18"/>
  <c r="H23" i="18"/>
  <c r="I23" i="18"/>
  <c r="J23" i="18"/>
  <c r="K23" i="18"/>
  <c r="L23" i="18"/>
  <c r="M23" i="18"/>
  <c r="D25" i="18"/>
  <c r="D24" i="18" s="1"/>
  <c r="D28" i="18" s="1"/>
  <c r="E25" i="18"/>
  <c r="E24" i="18"/>
  <c r="F25" i="18"/>
  <c r="F24" i="18"/>
  <c r="G25" i="18"/>
  <c r="G24" i="18"/>
  <c r="H25" i="18"/>
  <c r="H24" i="18" s="1"/>
  <c r="I25" i="18"/>
  <c r="I24" i="18"/>
  <c r="J25" i="18"/>
  <c r="J24" i="18"/>
  <c r="K25" i="18"/>
  <c r="K24" i="18"/>
  <c r="L25" i="18"/>
  <c r="L24" i="18" s="1"/>
  <c r="L28" i="18" s="1"/>
  <c r="M25" i="18"/>
  <c r="M24" i="18"/>
  <c r="D27" i="18"/>
  <c r="D26" i="18"/>
  <c r="E27" i="18"/>
  <c r="E26" i="18"/>
  <c r="F27" i="18"/>
  <c r="F26" i="18" s="1"/>
  <c r="G27" i="18"/>
  <c r="G26" i="18"/>
  <c r="H27" i="18"/>
  <c r="H26" i="18"/>
  <c r="I27" i="18"/>
  <c r="I26" i="18"/>
  <c r="J27" i="18"/>
  <c r="J26" i="18" s="1"/>
  <c r="K27" i="18"/>
  <c r="K26" i="18"/>
  <c r="L27" i="18"/>
  <c r="L26" i="18"/>
  <c r="M27" i="18"/>
  <c r="M26" i="18"/>
  <c r="K28" i="18"/>
  <c r="J78" i="90"/>
  <c r="K78" i="90"/>
  <c r="L78" i="90"/>
  <c r="M78" i="90"/>
  <c r="N78" i="90"/>
  <c r="O78" i="90"/>
  <c r="P78" i="90"/>
  <c r="Q78" i="90"/>
  <c r="D96" i="90"/>
  <c r="E96" i="90"/>
  <c r="F96" i="90"/>
  <c r="G96" i="90"/>
  <c r="H96" i="90"/>
  <c r="I96" i="90"/>
  <c r="J96" i="90"/>
  <c r="K96" i="90"/>
  <c r="D97" i="90"/>
  <c r="E97" i="90"/>
  <c r="F97" i="90"/>
  <c r="G97" i="90"/>
  <c r="H97" i="90"/>
  <c r="I97" i="90"/>
  <c r="J97" i="90"/>
  <c r="K97" i="90"/>
  <c r="D98" i="90"/>
  <c r="E98" i="90"/>
  <c r="F98" i="90"/>
  <c r="G98" i="90"/>
  <c r="H98" i="90"/>
  <c r="I98" i="90"/>
  <c r="J98" i="90"/>
  <c r="K98" i="90"/>
  <c r="D99" i="90"/>
  <c r="E99" i="90"/>
  <c r="F99" i="90"/>
  <c r="G99" i="90"/>
  <c r="G100" i="90" s="1"/>
  <c r="H99" i="90"/>
  <c r="I99" i="90"/>
  <c r="I100" i="90" s="1"/>
  <c r="J99" i="90"/>
  <c r="J100" i="90" s="1"/>
  <c r="K99" i="90"/>
  <c r="K100" i="90" s="1"/>
  <c r="D100" i="90"/>
  <c r="E100" i="90"/>
  <c r="F100" i="90"/>
  <c r="H100" i="90"/>
  <c r="D101" i="90"/>
  <c r="D102" i="90" s="1"/>
  <c r="E101" i="90"/>
  <c r="E102" i="90" s="1"/>
  <c r="F101" i="90"/>
  <c r="F102" i="90" s="1"/>
  <c r="G101" i="90"/>
  <c r="G102" i="90" s="1"/>
  <c r="H101" i="90"/>
  <c r="H102" i="90" s="1"/>
  <c r="I101" i="90"/>
  <c r="I102" i="90" s="1"/>
  <c r="J101" i="90"/>
  <c r="K101" i="90"/>
  <c r="K102" i="90" s="1"/>
  <c r="D104" i="90"/>
  <c r="E104" i="90"/>
  <c r="F104" i="90"/>
  <c r="G104" i="90"/>
  <c r="H104" i="90"/>
  <c r="I104" i="90"/>
  <c r="J104" i="90"/>
  <c r="K104" i="90"/>
  <c r="G110" i="91"/>
  <c r="H110" i="91"/>
  <c r="I110" i="91"/>
  <c r="J110" i="91"/>
  <c r="K110" i="91"/>
  <c r="L110" i="91"/>
  <c r="M110" i="91"/>
  <c r="N110" i="91"/>
  <c r="G112" i="91"/>
  <c r="J14" i="73"/>
  <c r="J13" i="73" s="1"/>
  <c r="K14" i="73"/>
  <c r="K13" i="73" s="1"/>
  <c r="N10" i="75"/>
  <c r="D42" i="75"/>
  <c r="E42" i="75"/>
  <c r="F42" i="75"/>
  <c r="G42" i="75"/>
  <c r="H42" i="75"/>
  <c r="I42" i="75"/>
  <c r="J42" i="75"/>
  <c r="K42" i="75"/>
  <c r="D43" i="75"/>
  <c r="E43" i="75"/>
  <c r="F43" i="75"/>
  <c r="G43" i="75"/>
  <c r="H43" i="75"/>
  <c r="I43" i="75"/>
  <c r="J43" i="75"/>
  <c r="K43" i="75"/>
  <c r="D44" i="75"/>
  <c r="E44" i="75"/>
  <c r="F44" i="75"/>
  <c r="G44" i="75"/>
  <c r="H44" i="75"/>
  <c r="I44" i="75"/>
  <c r="J44" i="75"/>
  <c r="K44" i="75"/>
  <c r="D45" i="75"/>
  <c r="E45" i="75"/>
  <c r="F45" i="75"/>
  <c r="G45" i="75"/>
  <c r="H45" i="75"/>
  <c r="I45" i="75"/>
  <c r="J45" i="75"/>
  <c r="K45" i="75"/>
  <c r="D46" i="75"/>
  <c r="F46" i="75"/>
  <c r="AC3" i="75" s="1"/>
  <c r="D20" i="101" s="1"/>
  <c r="P18" i="101" s="1"/>
  <c r="K38" i="101" s="1"/>
  <c r="G46" i="75"/>
  <c r="AD3" i="75" s="1"/>
  <c r="E20" i="101" s="1"/>
  <c r="P19" i="101" s="1"/>
  <c r="K43" i="101" s="1"/>
  <c r="H46" i="75"/>
  <c r="AE3" i="75" s="1"/>
  <c r="F20" i="101" s="1"/>
  <c r="P20" i="101" s="1"/>
  <c r="K48" i="101" s="1"/>
  <c r="I46" i="75"/>
  <c r="J46" i="75"/>
  <c r="K46" i="75"/>
  <c r="N10" i="73"/>
  <c r="D12" i="73"/>
  <c r="E12" i="73"/>
  <c r="F12" i="73"/>
  <c r="G12" i="73"/>
  <c r="H12" i="73"/>
  <c r="I12" i="73"/>
  <c r="J12" i="73"/>
  <c r="K12" i="73"/>
  <c r="D16" i="73"/>
  <c r="E16" i="73"/>
  <c r="F16" i="73"/>
  <c r="G16" i="73"/>
  <c r="H16" i="73"/>
  <c r="I16" i="73"/>
  <c r="J16" i="73"/>
  <c r="K16" i="73"/>
  <c r="D17" i="73"/>
  <c r="E17" i="73"/>
  <c r="F17" i="73"/>
  <c r="G17" i="73"/>
  <c r="H17" i="73"/>
  <c r="I17" i="73"/>
  <c r="J17" i="73"/>
  <c r="K17" i="73"/>
  <c r="D18" i="73"/>
  <c r="E18" i="73"/>
  <c r="F18" i="73"/>
  <c r="G18" i="73"/>
  <c r="H18" i="73"/>
  <c r="I18" i="73"/>
  <c r="J18" i="73"/>
  <c r="K18" i="73"/>
  <c r="D19" i="73"/>
  <c r="D15" i="73" s="1"/>
  <c r="D31" i="73"/>
  <c r="E31" i="73"/>
  <c r="F31" i="73"/>
  <c r="G31" i="73"/>
  <c r="H31" i="73"/>
  <c r="I31" i="73"/>
  <c r="J31" i="73"/>
  <c r="K31" i="73"/>
  <c r="D32" i="73"/>
  <c r="E32" i="73"/>
  <c r="F32" i="73"/>
  <c r="G32" i="73"/>
  <c r="H32" i="73"/>
  <c r="I32" i="73"/>
  <c r="J32" i="73"/>
  <c r="K32" i="73"/>
  <c r="D33" i="73"/>
  <c r="E33" i="73"/>
  <c r="F33" i="73"/>
  <c r="G33" i="73"/>
  <c r="H33" i="73"/>
  <c r="I33" i="73"/>
  <c r="J33" i="73"/>
  <c r="K33" i="73"/>
  <c r="D34" i="73"/>
  <c r="E34" i="73"/>
  <c r="F34" i="73"/>
  <c r="G34" i="73"/>
  <c r="H34" i="73"/>
  <c r="I34" i="73"/>
  <c r="J34" i="73"/>
  <c r="K34" i="73"/>
  <c r="D35" i="73"/>
  <c r="E35" i="73"/>
  <c r="F35" i="73"/>
  <c r="G35" i="73"/>
  <c r="H35" i="73"/>
  <c r="I35" i="73"/>
  <c r="J35" i="73"/>
  <c r="K35" i="73"/>
  <c r="E38" i="71"/>
  <c r="F38" i="71"/>
  <c r="G38" i="71"/>
  <c r="H38" i="71"/>
  <c r="I38" i="71"/>
  <c r="J38" i="71"/>
  <c r="K38" i="71"/>
  <c r="D39" i="71"/>
  <c r="E39" i="71"/>
  <c r="F39" i="71"/>
  <c r="G39" i="71"/>
  <c r="H39" i="71"/>
  <c r="I39" i="71"/>
  <c r="J39" i="71"/>
  <c r="K39" i="71"/>
  <c r="D40" i="71"/>
  <c r="E40" i="71"/>
  <c r="F40" i="71"/>
  <c r="G40" i="71"/>
  <c r="H40" i="71"/>
  <c r="I40" i="71"/>
  <c r="J40" i="71"/>
  <c r="K40" i="71"/>
  <c r="D41" i="71"/>
  <c r="E41" i="71"/>
  <c r="F41" i="71"/>
  <c r="G41" i="71"/>
  <c r="H41" i="71"/>
  <c r="I41" i="71"/>
  <c r="J41" i="71"/>
  <c r="K41" i="71"/>
  <c r="D42" i="71"/>
  <c r="F42" i="71"/>
  <c r="G42" i="71"/>
  <c r="H42" i="71"/>
  <c r="I42" i="71"/>
  <c r="AG3" i="71" s="1"/>
  <c r="J42" i="71"/>
  <c r="K42" i="71"/>
  <c r="F31" i="83"/>
  <c r="G31" i="83"/>
  <c r="H31" i="83"/>
  <c r="I31" i="83"/>
  <c r="J31" i="83"/>
  <c r="K31" i="83"/>
  <c r="L31" i="83"/>
  <c r="M31" i="83"/>
  <c r="F33" i="83"/>
  <c r="F32" i="83"/>
  <c r="G33" i="83"/>
  <c r="G32" i="83"/>
  <c r="H33" i="83"/>
  <c r="H32" i="83"/>
  <c r="I33" i="83"/>
  <c r="I32" i="83" s="1"/>
  <c r="J33" i="83"/>
  <c r="J32" i="83"/>
  <c r="K33" i="83"/>
  <c r="K32" i="83" s="1"/>
  <c r="L33" i="83"/>
  <c r="L32" i="83"/>
  <c r="M33" i="83"/>
  <c r="M32" i="83" s="1"/>
  <c r="F34" i="83"/>
  <c r="G34" i="83"/>
  <c r="H34" i="83"/>
  <c r="I34" i="83"/>
  <c r="J34" i="83"/>
  <c r="K34" i="83"/>
  <c r="L34" i="83"/>
  <c r="M34" i="83"/>
  <c r="F35" i="83"/>
  <c r="G35" i="83"/>
  <c r="H35" i="83"/>
  <c r="I35" i="83"/>
  <c r="J35" i="83"/>
  <c r="K35" i="83"/>
  <c r="L35" i="83"/>
  <c r="M35" i="83"/>
  <c r="F37" i="83"/>
  <c r="G37" i="83"/>
  <c r="H37" i="83"/>
  <c r="I37" i="83"/>
  <c r="J37" i="83"/>
  <c r="K37" i="83"/>
  <c r="L37" i="83"/>
  <c r="M37" i="83"/>
  <c r="F39" i="83"/>
  <c r="F38" i="83" s="1"/>
  <c r="G39" i="83"/>
  <c r="G38" i="83"/>
  <c r="H39" i="83"/>
  <c r="H38" i="83" s="1"/>
  <c r="I39" i="83"/>
  <c r="I38" i="83" s="1"/>
  <c r="J39" i="83"/>
  <c r="J38" i="83" s="1"/>
  <c r="K39" i="83"/>
  <c r="K38" i="83"/>
  <c r="L39" i="83"/>
  <c r="L38" i="83" s="1"/>
  <c r="M39" i="83"/>
  <c r="M38" i="83" s="1"/>
  <c r="F40" i="83"/>
  <c r="G40" i="83"/>
  <c r="H40" i="83"/>
  <c r="I40" i="83"/>
  <c r="J40" i="83"/>
  <c r="K40" i="83"/>
  <c r="L40" i="83"/>
  <c r="M40" i="83"/>
  <c r="F42" i="83"/>
  <c r="G42" i="83"/>
  <c r="H42" i="83"/>
  <c r="I42" i="83"/>
  <c r="J42" i="83"/>
  <c r="K42" i="83"/>
  <c r="L42" i="83"/>
  <c r="M42" i="83"/>
  <c r="F43" i="83"/>
  <c r="G43" i="83"/>
  <c r="H43" i="83"/>
  <c r="I43" i="83"/>
  <c r="J43" i="83"/>
  <c r="K43" i="83"/>
  <c r="L43" i="83"/>
  <c r="M43" i="83"/>
  <c r="D30" i="82"/>
  <c r="E30" i="82"/>
  <c r="F30" i="82"/>
  <c r="G30" i="82"/>
  <c r="H30" i="82"/>
  <c r="I30" i="82"/>
  <c r="J30" i="82"/>
  <c r="K30" i="82"/>
  <c r="D31" i="82"/>
  <c r="E31" i="82"/>
  <c r="F31" i="82"/>
  <c r="G31" i="82"/>
  <c r="H31" i="82"/>
  <c r="I31" i="82"/>
  <c r="J31" i="82"/>
  <c r="K31" i="82"/>
  <c r="D42" i="82"/>
  <c r="D32" i="82" s="1"/>
  <c r="E42" i="82"/>
  <c r="E32" i="82" s="1"/>
  <c r="F42" i="82"/>
  <c r="F32" i="82"/>
  <c r="G42" i="82"/>
  <c r="G32" i="82"/>
  <c r="H42" i="82"/>
  <c r="H32" i="82" s="1"/>
  <c r="I42" i="82"/>
  <c r="I32" i="82" s="1"/>
  <c r="J42" i="82"/>
  <c r="J32" i="82" s="1"/>
  <c r="K42" i="82"/>
  <c r="K32" i="82"/>
  <c r="D33" i="82"/>
  <c r="E33" i="82"/>
  <c r="F33" i="82"/>
  <c r="G33" i="82"/>
  <c r="H33" i="82"/>
  <c r="I33" i="82"/>
  <c r="J33" i="82"/>
  <c r="K33" i="82"/>
  <c r="D34" i="82"/>
  <c r="E34" i="82"/>
  <c r="F34" i="82"/>
  <c r="G34" i="82"/>
  <c r="H34" i="82"/>
  <c r="I34" i="82"/>
  <c r="J34" i="82"/>
  <c r="K34" i="82"/>
  <c r="D35" i="82"/>
  <c r="E35" i="82"/>
  <c r="F35" i="82"/>
  <c r="G35" i="82"/>
  <c r="H35" i="82"/>
  <c r="I35" i="82"/>
  <c r="J35" i="82"/>
  <c r="K35" i="82"/>
  <c r="D36" i="82"/>
  <c r="E36" i="82"/>
  <c r="F36" i="82"/>
  <c r="G36" i="82"/>
  <c r="H36" i="82"/>
  <c r="I36" i="82"/>
  <c r="J36" i="82"/>
  <c r="K36" i="82"/>
  <c r="D37" i="82"/>
  <c r="E37" i="82"/>
  <c r="F37" i="82"/>
  <c r="G37" i="82"/>
  <c r="H37" i="82"/>
  <c r="I37" i="82"/>
  <c r="J37" i="82"/>
  <c r="K37" i="82"/>
  <c r="D38" i="82"/>
  <c r="E38" i="82"/>
  <c r="F38" i="82"/>
  <c r="G38" i="82"/>
  <c r="H38" i="82"/>
  <c r="I38" i="82"/>
  <c r="J38" i="82"/>
  <c r="K38" i="82"/>
  <c r="D39" i="82"/>
  <c r="E39" i="82"/>
  <c r="F39" i="82"/>
  <c r="G39" i="82"/>
  <c r="H39" i="82"/>
  <c r="I39" i="82"/>
  <c r="J39" i="82"/>
  <c r="K39" i="82"/>
  <c r="D40" i="82"/>
  <c r="E40" i="82"/>
  <c r="F40" i="82"/>
  <c r="G40" i="82"/>
  <c r="H40" i="82"/>
  <c r="I40" i="82"/>
  <c r="J40" i="82"/>
  <c r="K40" i="82"/>
  <c r="D41" i="82"/>
  <c r="E41" i="82"/>
  <c r="F41" i="82"/>
  <c r="G41" i="82"/>
  <c r="H41" i="82"/>
  <c r="I41" i="82"/>
  <c r="J41" i="82"/>
  <c r="K41" i="82"/>
  <c r="V5" i="17"/>
  <c r="H15" i="17"/>
  <c r="I15" i="17"/>
  <c r="J15" i="17"/>
  <c r="K15" i="17"/>
  <c r="P15" i="17"/>
  <c r="G16" i="17"/>
  <c r="H16" i="17"/>
  <c r="O16" i="17"/>
  <c r="P16" i="17"/>
  <c r="G17" i="17"/>
  <c r="H17" i="17"/>
  <c r="N17" i="17"/>
  <c r="O17" i="17"/>
  <c r="P17" i="17"/>
  <c r="G18" i="17"/>
  <c r="H18" i="17"/>
  <c r="M18" i="17"/>
  <c r="N18" i="17"/>
  <c r="O18" i="17"/>
  <c r="P18" i="17"/>
  <c r="H19" i="17"/>
  <c r="L19" i="17"/>
  <c r="M19" i="17"/>
  <c r="N19" i="17"/>
  <c r="P19" i="17"/>
  <c r="G20" i="17"/>
  <c r="K20" i="17"/>
  <c r="L20" i="17"/>
  <c r="N20" i="17"/>
  <c r="O20" i="17"/>
  <c r="P20" i="17"/>
  <c r="L21" i="17"/>
  <c r="M21" i="17"/>
  <c r="N21" i="17"/>
  <c r="O21" i="17"/>
  <c r="J22" i="17"/>
  <c r="K22" i="17"/>
  <c r="L22" i="17"/>
  <c r="M22" i="17"/>
  <c r="N22" i="17"/>
  <c r="K23" i="17"/>
  <c r="L23" i="17"/>
  <c r="M23" i="17"/>
  <c r="V5" i="92"/>
  <c r="G15" i="92"/>
  <c r="H15" i="92"/>
  <c r="I15" i="92"/>
  <c r="J15" i="92"/>
  <c r="K15" i="92"/>
  <c r="O15" i="92"/>
  <c r="P15" i="92"/>
  <c r="G16" i="92"/>
  <c r="H16" i="92"/>
  <c r="I16" i="92"/>
  <c r="K16" i="92"/>
  <c r="N16" i="92"/>
  <c r="O16" i="92"/>
  <c r="P16" i="92"/>
  <c r="G17" i="92"/>
  <c r="I17" i="92"/>
  <c r="J17" i="92"/>
  <c r="M17" i="92"/>
  <c r="N17" i="92"/>
  <c r="O17" i="92"/>
  <c r="G18" i="92"/>
  <c r="H18" i="92"/>
  <c r="I18" i="92"/>
  <c r="L18" i="92"/>
  <c r="M18" i="92"/>
  <c r="O18" i="92"/>
  <c r="P18" i="92"/>
  <c r="G19" i="92"/>
  <c r="H19" i="92"/>
  <c r="K19" i="92"/>
  <c r="M19" i="92"/>
  <c r="N19" i="92"/>
  <c r="O19" i="92"/>
  <c r="P19" i="92"/>
  <c r="G20" i="92"/>
  <c r="K20" i="92"/>
  <c r="L20" i="92"/>
  <c r="M20" i="92"/>
  <c r="N20" i="92"/>
  <c r="O20" i="92"/>
  <c r="H21" i="92"/>
  <c r="I21" i="92"/>
  <c r="J21" i="92"/>
  <c r="K21" i="92"/>
  <c r="L21" i="92"/>
  <c r="M21" i="92"/>
  <c r="P21" i="92"/>
  <c r="G22" i="92"/>
  <c r="H22" i="92"/>
  <c r="I22" i="92"/>
  <c r="J22" i="92"/>
  <c r="K22" i="92"/>
  <c r="N22" i="92"/>
  <c r="O22" i="92"/>
  <c r="P22" i="92"/>
  <c r="G23" i="92"/>
  <c r="H23" i="92"/>
  <c r="I23" i="92"/>
  <c r="L23" i="92"/>
  <c r="M23" i="92"/>
  <c r="N23" i="92"/>
  <c r="O23" i="92"/>
  <c r="P23" i="92"/>
  <c r="V5" i="93"/>
  <c r="N19" i="93" s="1"/>
  <c r="K15" i="93"/>
  <c r="M19" i="93"/>
  <c r="K23" i="93"/>
  <c r="H14" i="87"/>
  <c r="P18" i="87"/>
  <c r="P19" i="87" s="1"/>
  <c r="P17" i="87"/>
  <c r="Q18" i="87"/>
  <c r="Q19" i="87"/>
  <c r="D3" i="66"/>
  <c r="E3" i="66"/>
  <c r="F3" i="66"/>
  <c r="G3" i="66"/>
  <c r="H3" i="66"/>
  <c r="I3" i="66"/>
  <c r="J3" i="66"/>
  <c r="K3" i="66"/>
  <c r="L3" i="66"/>
  <c r="M3" i="66"/>
  <c r="N3" i="66"/>
  <c r="O3" i="66"/>
  <c r="D4" i="66"/>
  <c r="E4" i="66"/>
  <c r="F4" i="66"/>
  <c r="G4" i="66"/>
  <c r="H4" i="66"/>
  <c r="I4" i="66"/>
  <c r="J4" i="66"/>
  <c r="K4" i="66"/>
  <c r="L4" i="66"/>
  <c r="M4" i="66"/>
  <c r="N4" i="66"/>
  <c r="O4" i="66"/>
  <c r="D5" i="66"/>
  <c r="E5" i="66"/>
  <c r="F5" i="66"/>
  <c r="G5" i="66"/>
  <c r="H5" i="66"/>
  <c r="I5" i="66"/>
  <c r="J5" i="66"/>
  <c r="K5" i="66"/>
  <c r="L5" i="66"/>
  <c r="M5" i="66"/>
  <c r="N5" i="66"/>
  <c r="O5" i="66"/>
  <c r="D6" i="66"/>
  <c r="E6" i="66"/>
  <c r="F6" i="66"/>
  <c r="G6" i="66"/>
  <c r="H6" i="66"/>
  <c r="I6" i="66"/>
  <c r="J6" i="66"/>
  <c r="K6" i="66"/>
  <c r="L6" i="66"/>
  <c r="M6" i="66"/>
  <c r="N6" i="66"/>
  <c r="O6" i="66"/>
  <c r="D7" i="66"/>
  <c r="E7" i="66"/>
  <c r="F7" i="66"/>
  <c r="G7" i="66"/>
  <c r="H7" i="66"/>
  <c r="I7" i="66"/>
  <c r="J7" i="66"/>
  <c r="K7" i="66"/>
  <c r="L7" i="66"/>
  <c r="M7" i="66"/>
  <c r="N7" i="66"/>
  <c r="O7" i="66"/>
  <c r="D8" i="66"/>
  <c r="E8" i="66"/>
  <c r="F8" i="66"/>
  <c r="G8" i="66"/>
  <c r="H8" i="66"/>
  <c r="I8" i="66"/>
  <c r="J8" i="66"/>
  <c r="K8" i="66"/>
  <c r="L8" i="66"/>
  <c r="M8" i="66"/>
  <c r="N8" i="66"/>
  <c r="O8" i="66"/>
  <c r="D9" i="66"/>
  <c r="E9" i="66"/>
  <c r="F9" i="66"/>
  <c r="G9" i="66"/>
  <c r="H9" i="66"/>
  <c r="I9" i="66"/>
  <c r="J9" i="66"/>
  <c r="K9" i="66"/>
  <c r="L9" i="66"/>
  <c r="M9" i="66"/>
  <c r="N9" i="66"/>
  <c r="O9" i="66"/>
  <c r="D10" i="66"/>
  <c r="E10" i="66"/>
  <c r="F10" i="66"/>
  <c r="G10" i="66"/>
  <c r="H10" i="66"/>
  <c r="I10" i="66"/>
  <c r="J10" i="66"/>
  <c r="K10" i="66"/>
  <c r="L10" i="66"/>
  <c r="M10" i="66"/>
  <c r="N10" i="66"/>
  <c r="O10" i="66"/>
  <c r="D11" i="66"/>
  <c r="E11" i="66"/>
  <c r="F11" i="66"/>
  <c r="G11" i="66"/>
  <c r="H11" i="66"/>
  <c r="I11" i="66"/>
  <c r="J11" i="66"/>
  <c r="K11" i="66"/>
  <c r="L11" i="66"/>
  <c r="M11" i="66"/>
  <c r="N11" i="66"/>
  <c r="O11" i="66"/>
  <c r="D12" i="66"/>
  <c r="E12" i="66"/>
  <c r="F12" i="66"/>
  <c r="G12" i="66"/>
  <c r="H12" i="66"/>
  <c r="I12" i="66"/>
  <c r="J12" i="66"/>
  <c r="K12" i="66"/>
  <c r="L12" i="66"/>
  <c r="M12" i="66"/>
  <c r="N12" i="66"/>
  <c r="O12" i="66"/>
  <c r="D13" i="66"/>
  <c r="E13" i="66"/>
  <c r="F13" i="66"/>
  <c r="G13" i="66"/>
  <c r="H13" i="66"/>
  <c r="I13" i="66"/>
  <c r="J13" i="66"/>
  <c r="K13" i="66"/>
  <c r="L13" i="66"/>
  <c r="M13" i="66"/>
  <c r="N13" i="66"/>
  <c r="O13" i="66"/>
  <c r="D14" i="66"/>
  <c r="E14" i="66"/>
  <c r="F14" i="66"/>
  <c r="G14" i="66"/>
  <c r="H14" i="66"/>
  <c r="I14" i="66"/>
  <c r="J14" i="66"/>
  <c r="K14" i="66"/>
  <c r="L14" i="66"/>
  <c r="M14" i="66"/>
  <c r="N14" i="66"/>
  <c r="O14" i="66"/>
  <c r="D15" i="66"/>
  <c r="E15" i="66"/>
  <c r="F15" i="66"/>
  <c r="G15" i="66"/>
  <c r="H15" i="66"/>
  <c r="I15" i="66"/>
  <c r="J15" i="66"/>
  <c r="K15" i="66"/>
  <c r="L15" i="66"/>
  <c r="M15" i="66"/>
  <c r="N15" i="66"/>
  <c r="O15" i="66"/>
  <c r="D16" i="66"/>
  <c r="E16" i="66"/>
  <c r="F16" i="66"/>
  <c r="G16" i="66"/>
  <c r="H16" i="66"/>
  <c r="I16" i="66"/>
  <c r="J16" i="66"/>
  <c r="K16" i="66"/>
  <c r="L16" i="66"/>
  <c r="M16" i="66"/>
  <c r="N16" i="66"/>
  <c r="O16" i="66"/>
  <c r="D17" i="66"/>
  <c r="E17" i="66"/>
  <c r="F17" i="66"/>
  <c r="G17" i="66"/>
  <c r="H17" i="66"/>
  <c r="I17" i="66"/>
  <c r="J17" i="66"/>
  <c r="K17" i="66"/>
  <c r="L17" i="66"/>
  <c r="M17" i="66"/>
  <c r="N17" i="66"/>
  <c r="O17" i="66"/>
  <c r="D18" i="66"/>
  <c r="E18" i="66"/>
  <c r="F18" i="66"/>
  <c r="G18" i="66"/>
  <c r="H18" i="66"/>
  <c r="I18" i="66"/>
  <c r="J18" i="66"/>
  <c r="K18" i="66"/>
  <c r="L18" i="66"/>
  <c r="M18" i="66"/>
  <c r="N18" i="66"/>
  <c r="O18" i="66"/>
  <c r="D19" i="66"/>
  <c r="E19" i="66"/>
  <c r="F19" i="66"/>
  <c r="G19" i="66"/>
  <c r="H19" i="66"/>
  <c r="I19" i="66"/>
  <c r="J19" i="66"/>
  <c r="K19" i="66"/>
  <c r="L19" i="66"/>
  <c r="M19" i="66"/>
  <c r="N19" i="66"/>
  <c r="O19" i="66"/>
  <c r="D20" i="66"/>
  <c r="E20" i="66"/>
  <c r="F20" i="66"/>
  <c r="G20" i="66"/>
  <c r="H20" i="66"/>
  <c r="I20" i="66"/>
  <c r="J20" i="66"/>
  <c r="K20" i="66"/>
  <c r="L20" i="66"/>
  <c r="M20" i="66"/>
  <c r="N20" i="66"/>
  <c r="O20" i="66"/>
  <c r="D21" i="66"/>
  <c r="E21" i="66"/>
  <c r="F21" i="66"/>
  <c r="G21" i="66"/>
  <c r="H21" i="66"/>
  <c r="I21" i="66"/>
  <c r="J21" i="66"/>
  <c r="K21" i="66"/>
  <c r="L21" i="66"/>
  <c r="M21" i="66"/>
  <c r="N21" i="66"/>
  <c r="O21" i="66"/>
  <c r="D22" i="66"/>
  <c r="E22" i="66"/>
  <c r="F22" i="66"/>
  <c r="G22" i="66"/>
  <c r="H22" i="66"/>
  <c r="I22" i="66"/>
  <c r="J22" i="66"/>
  <c r="K22" i="66"/>
  <c r="L22" i="66"/>
  <c r="M22" i="66"/>
  <c r="N22" i="66"/>
  <c r="O22" i="66"/>
  <c r="D23" i="66"/>
  <c r="E23" i="66"/>
  <c r="F23" i="66"/>
  <c r="G23" i="66"/>
  <c r="H23" i="66"/>
  <c r="I23" i="66"/>
  <c r="J23" i="66"/>
  <c r="K23" i="66"/>
  <c r="L23" i="66"/>
  <c r="M23" i="66"/>
  <c r="N23" i="66"/>
  <c r="O23" i="66"/>
  <c r="D24" i="66"/>
  <c r="E24" i="66"/>
  <c r="F24" i="66"/>
  <c r="G24" i="66"/>
  <c r="H24" i="66"/>
  <c r="I24" i="66"/>
  <c r="J24" i="66"/>
  <c r="K24" i="66"/>
  <c r="L24" i="66"/>
  <c r="M24" i="66"/>
  <c r="N24" i="66"/>
  <c r="O24" i="66"/>
  <c r="D25" i="66"/>
  <c r="E25" i="66"/>
  <c r="F25" i="66"/>
  <c r="G25" i="66"/>
  <c r="H25" i="66"/>
  <c r="I25" i="66"/>
  <c r="J25" i="66"/>
  <c r="K25" i="66"/>
  <c r="L25" i="66"/>
  <c r="M25" i="66"/>
  <c r="N25" i="66"/>
  <c r="O25" i="66"/>
  <c r="D26" i="66"/>
  <c r="E26" i="66"/>
  <c r="F26" i="66"/>
  <c r="G26" i="66"/>
  <c r="H26" i="66"/>
  <c r="E114" i="66" s="1"/>
  <c r="I26" i="66"/>
  <c r="F114" i="66" s="1"/>
  <c r="J26" i="66"/>
  <c r="G114" i="66" s="1"/>
  <c r="K26" i="66"/>
  <c r="H114" i="66" s="1"/>
  <c r="L26" i="66"/>
  <c r="I114" i="66" s="1"/>
  <c r="M26" i="66"/>
  <c r="J114" i="66" s="1"/>
  <c r="N26" i="66"/>
  <c r="K114" i="66" s="1"/>
  <c r="O26" i="66"/>
  <c r="D27" i="66"/>
  <c r="E27" i="66"/>
  <c r="F27" i="66"/>
  <c r="G27" i="66"/>
  <c r="H27" i="66"/>
  <c r="I27" i="66"/>
  <c r="J27" i="66"/>
  <c r="K27" i="66"/>
  <c r="L27" i="66"/>
  <c r="M27" i="66"/>
  <c r="N27" i="66"/>
  <c r="O27" i="66"/>
  <c r="D28" i="66"/>
  <c r="E28" i="66"/>
  <c r="F28" i="66"/>
  <c r="G28" i="66"/>
  <c r="H28" i="66"/>
  <c r="I28" i="66"/>
  <c r="J28" i="66"/>
  <c r="K28" i="66"/>
  <c r="L28" i="66"/>
  <c r="M28" i="66"/>
  <c r="N28" i="66"/>
  <c r="O28" i="66"/>
  <c r="D29" i="66"/>
  <c r="E29" i="66"/>
  <c r="F29" i="66"/>
  <c r="G29" i="66"/>
  <c r="H29" i="66"/>
  <c r="I29" i="66"/>
  <c r="J29" i="66"/>
  <c r="K29" i="66"/>
  <c r="L29" i="66"/>
  <c r="M29" i="66"/>
  <c r="N29" i="66"/>
  <c r="O29" i="66"/>
  <c r="D30" i="66"/>
  <c r="E30" i="66"/>
  <c r="F30" i="66"/>
  <c r="G30" i="66"/>
  <c r="H30" i="66"/>
  <c r="I30" i="66"/>
  <c r="J30" i="66"/>
  <c r="K30" i="66"/>
  <c r="L30" i="66"/>
  <c r="M30" i="66"/>
  <c r="N30" i="66"/>
  <c r="O30" i="66"/>
  <c r="D31" i="66"/>
  <c r="E31" i="66"/>
  <c r="F31" i="66"/>
  <c r="G31" i="66"/>
  <c r="H31" i="66"/>
  <c r="I31" i="66"/>
  <c r="J31" i="66"/>
  <c r="K31" i="66"/>
  <c r="L31" i="66"/>
  <c r="M31" i="66"/>
  <c r="N31" i="66"/>
  <c r="O31" i="66"/>
  <c r="D32" i="66"/>
  <c r="E32" i="66"/>
  <c r="F32" i="66"/>
  <c r="G32" i="66"/>
  <c r="H32" i="66"/>
  <c r="I32" i="66"/>
  <c r="J32" i="66"/>
  <c r="K32" i="66"/>
  <c r="L32" i="66"/>
  <c r="M32" i="66"/>
  <c r="N32" i="66"/>
  <c r="O32" i="66"/>
  <c r="D33" i="66"/>
  <c r="E33" i="66"/>
  <c r="F33" i="66"/>
  <c r="G33" i="66"/>
  <c r="H33" i="66"/>
  <c r="I33" i="66"/>
  <c r="J33" i="66"/>
  <c r="K33" i="66"/>
  <c r="L33" i="66"/>
  <c r="M33" i="66"/>
  <c r="N33" i="66"/>
  <c r="O33" i="66"/>
  <c r="D34" i="66"/>
  <c r="E34" i="66"/>
  <c r="F34" i="66"/>
  <c r="G34" i="66"/>
  <c r="H34" i="66"/>
  <c r="I34" i="66"/>
  <c r="J34" i="66"/>
  <c r="K34" i="66"/>
  <c r="L34" i="66"/>
  <c r="M34" i="66"/>
  <c r="N34" i="66"/>
  <c r="O34" i="66"/>
  <c r="D35" i="66"/>
  <c r="E35" i="66"/>
  <c r="F35" i="66"/>
  <c r="G35" i="66"/>
  <c r="H35" i="66"/>
  <c r="I35" i="66"/>
  <c r="J35" i="66"/>
  <c r="K35" i="66"/>
  <c r="L35" i="66"/>
  <c r="M35" i="66"/>
  <c r="N35" i="66"/>
  <c r="O35" i="66"/>
  <c r="D36" i="66"/>
  <c r="E36" i="66"/>
  <c r="F36" i="66"/>
  <c r="G36" i="66"/>
  <c r="H36" i="66"/>
  <c r="I36" i="66"/>
  <c r="J36" i="66"/>
  <c r="K36" i="66"/>
  <c r="L36" i="66"/>
  <c r="M36" i="66"/>
  <c r="N36" i="66"/>
  <c r="O36" i="66"/>
  <c r="D37" i="66"/>
  <c r="E37" i="66"/>
  <c r="F37" i="66"/>
  <c r="G37" i="66"/>
  <c r="H37" i="66"/>
  <c r="I37" i="66"/>
  <c r="J37" i="66"/>
  <c r="K37" i="66"/>
  <c r="L37" i="66"/>
  <c r="M37" i="66"/>
  <c r="N37" i="66"/>
  <c r="O37" i="66"/>
  <c r="D38" i="66"/>
  <c r="E38" i="66"/>
  <c r="F38" i="66"/>
  <c r="G38" i="66"/>
  <c r="H38" i="66"/>
  <c r="I38" i="66"/>
  <c r="J38" i="66"/>
  <c r="K38" i="66"/>
  <c r="L38" i="66"/>
  <c r="M38" i="66"/>
  <c r="N38" i="66"/>
  <c r="O38" i="66"/>
  <c r="D39" i="66"/>
  <c r="E39" i="66"/>
  <c r="F39" i="66"/>
  <c r="G39" i="66"/>
  <c r="H39" i="66"/>
  <c r="I39" i="66"/>
  <c r="J39" i="66"/>
  <c r="K39" i="66"/>
  <c r="L39" i="66"/>
  <c r="M39" i="66"/>
  <c r="N39" i="66"/>
  <c r="O39" i="66"/>
  <c r="D40" i="66"/>
  <c r="E40" i="66"/>
  <c r="F40" i="66"/>
  <c r="G40" i="66"/>
  <c r="H40" i="66"/>
  <c r="I40" i="66"/>
  <c r="J40" i="66"/>
  <c r="K40" i="66"/>
  <c r="L40" i="66"/>
  <c r="M40" i="66"/>
  <c r="N40" i="66"/>
  <c r="O40" i="66"/>
  <c r="D41" i="66"/>
  <c r="E41" i="66"/>
  <c r="F41" i="66"/>
  <c r="G41" i="66"/>
  <c r="H41" i="66"/>
  <c r="I41" i="66"/>
  <c r="J41" i="66"/>
  <c r="K41" i="66"/>
  <c r="L41" i="66"/>
  <c r="M41" i="66"/>
  <c r="N41" i="66"/>
  <c r="O41" i="66"/>
  <c r="D42" i="66"/>
  <c r="E42" i="66"/>
  <c r="F42" i="66"/>
  <c r="G42" i="66"/>
  <c r="H42" i="66"/>
  <c r="I42" i="66"/>
  <c r="J42" i="66"/>
  <c r="K42" i="66"/>
  <c r="L42" i="66"/>
  <c r="M42" i="66"/>
  <c r="N42" i="66"/>
  <c r="O42" i="66"/>
  <c r="D43" i="66"/>
  <c r="E43" i="66"/>
  <c r="F43" i="66"/>
  <c r="G43" i="66"/>
  <c r="H43" i="66"/>
  <c r="I43" i="66"/>
  <c r="J43" i="66"/>
  <c r="K43" i="66"/>
  <c r="L43" i="66"/>
  <c r="M43" i="66"/>
  <c r="N43" i="66"/>
  <c r="O43" i="66"/>
  <c r="D44" i="66"/>
  <c r="E44" i="66"/>
  <c r="F44" i="66"/>
  <c r="G44" i="66"/>
  <c r="H44" i="66"/>
  <c r="I44" i="66"/>
  <c r="J44" i="66"/>
  <c r="K44" i="66"/>
  <c r="L44" i="66"/>
  <c r="M44" i="66"/>
  <c r="N44" i="66"/>
  <c r="O44" i="66"/>
  <c r="D45" i="66"/>
  <c r="E45" i="66"/>
  <c r="F45" i="66"/>
  <c r="G45" i="66"/>
  <c r="H45" i="66"/>
  <c r="I45" i="66"/>
  <c r="J45" i="66"/>
  <c r="K45" i="66"/>
  <c r="L45" i="66"/>
  <c r="M45" i="66"/>
  <c r="N45" i="66"/>
  <c r="O45" i="66"/>
  <c r="E106" i="66"/>
  <c r="F106" i="66"/>
  <c r="G106" i="66"/>
  <c r="H106" i="66"/>
  <c r="I106" i="66"/>
  <c r="J106" i="66"/>
  <c r="K106" i="66"/>
  <c r="L106" i="66"/>
  <c r="M106" i="66"/>
  <c r="N106" i="66"/>
  <c r="O106" i="66"/>
  <c r="E107" i="66"/>
  <c r="F107" i="66"/>
  <c r="G107" i="66"/>
  <c r="H107" i="66"/>
  <c r="I107" i="66"/>
  <c r="J107" i="66"/>
  <c r="K107" i="66"/>
  <c r="L107" i="66"/>
  <c r="M107" i="66"/>
  <c r="N107" i="66"/>
  <c r="O107" i="66"/>
  <c r="L114" i="66"/>
  <c r="D3" i="65"/>
  <c r="E3" i="65"/>
  <c r="F3" i="65"/>
  <c r="G3" i="65"/>
  <c r="H3" i="65"/>
  <c r="I3" i="65"/>
  <c r="J3" i="65"/>
  <c r="K3" i="65"/>
  <c r="L3" i="65"/>
  <c r="M3" i="65"/>
  <c r="N3" i="65"/>
  <c r="O3" i="65"/>
  <c r="D4" i="65"/>
  <c r="E4" i="65"/>
  <c r="E110" i="65" s="1"/>
  <c r="F4" i="65"/>
  <c r="G4" i="65"/>
  <c r="H4" i="65"/>
  <c r="I4" i="65"/>
  <c r="J4" i="65"/>
  <c r="K4" i="65"/>
  <c r="L4" i="65"/>
  <c r="M4" i="65"/>
  <c r="M110" i="65" s="1"/>
  <c r="J116" i="65" s="1"/>
  <c r="N4" i="65"/>
  <c r="O4" i="65"/>
  <c r="D5" i="65"/>
  <c r="E5" i="65"/>
  <c r="F5" i="65"/>
  <c r="G5" i="65"/>
  <c r="H5" i="65"/>
  <c r="I5" i="65"/>
  <c r="J5" i="65"/>
  <c r="K5" i="65"/>
  <c r="L5" i="65"/>
  <c r="M5" i="65"/>
  <c r="N5" i="65"/>
  <c r="O5" i="65"/>
  <c r="D6" i="65"/>
  <c r="E6" i="65"/>
  <c r="F6" i="65"/>
  <c r="G6" i="65"/>
  <c r="H6" i="65"/>
  <c r="I6" i="65"/>
  <c r="J6" i="65"/>
  <c r="K6" i="65"/>
  <c r="L6" i="65"/>
  <c r="M6" i="65"/>
  <c r="N6" i="65"/>
  <c r="O6" i="65"/>
  <c r="D7" i="65"/>
  <c r="E7" i="65"/>
  <c r="F7" i="65"/>
  <c r="G7" i="65"/>
  <c r="H7" i="65"/>
  <c r="I7" i="65"/>
  <c r="J7" i="65"/>
  <c r="K7" i="65"/>
  <c r="L7" i="65"/>
  <c r="M7" i="65"/>
  <c r="N7" i="65"/>
  <c r="O7" i="65"/>
  <c r="D8" i="65"/>
  <c r="E8" i="65"/>
  <c r="F8" i="65"/>
  <c r="G8" i="65"/>
  <c r="H8" i="65"/>
  <c r="I8" i="65"/>
  <c r="J8" i="65"/>
  <c r="K8" i="65"/>
  <c r="L8" i="65"/>
  <c r="M8" i="65"/>
  <c r="N8" i="65"/>
  <c r="O8" i="65"/>
  <c r="D9" i="65"/>
  <c r="E9" i="65"/>
  <c r="F9" i="65"/>
  <c r="G9" i="65"/>
  <c r="H9" i="65"/>
  <c r="I9" i="65"/>
  <c r="J9" i="65"/>
  <c r="K9" i="65"/>
  <c r="L9" i="65"/>
  <c r="M9" i="65"/>
  <c r="N9" i="65"/>
  <c r="O9" i="65"/>
  <c r="D10" i="65"/>
  <c r="E10" i="65"/>
  <c r="F10" i="65"/>
  <c r="G10" i="65"/>
  <c r="H10" i="65"/>
  <c r="I10" i="65"/>
  <c r="J10" i="65"/>
  <c r="K10" i="65"/>
  <c r="L10" i="65"/>
  <c r="M10" i="65"/>
  <c r="N10" i="65"/>
  <c r="O10" i="65"/>
  <c r="D11" i="65"/>
  <c r="E11" i="65"/>
  <c r="F11" i="65"/>
  <c r="G11" i="65"/>
  <c r="H11" i="65"/>
  <c r="I11" i="65"/>
  <c r="J11" i="65"/>
  <c r="K11" i="65"/>
  <c r="L11" i="65"/>
  <c r="M11" i="65"/>
  <c r="N11" i="65"/>
  <c r="O11" i="65"/>
  <c r="D12" i="65"/>
  <c r="E12" i="65"/>
  <c r="F12" i="65"/>
  <c r="G12" i="65"/>
  <c r="H12" i="65"/>
  <c r="I12" i="65"/>
  <c r="J12" i="65"/>
  <c r="K12" i="65"/>
  <c r="L12" i="65"/>
  <c r="M12" i="65"/>
  <c r="N12" i="65"/>
  <c r="O12" i="65"/>
  <c r="D13" i="65"/>
  <c r="E13" i="65"/>
  <c r="F13" i="65"/>
  <c r="G13" i="65"/>
  <c r="H13" i="65"/>
  <c r="I13" i="65"/>
  <c r="J13" i="65"/>
  <c r="K13" i="65"/>
  <c r="L13" i="65"/>
  <c r="M13" i="65"/>
  <c r="N13" i="65"/>
  <c r="O13" i="65"/>
  <c r="D14" i="65"/>
  <c r="E14" i="65"/>
  <c r="F14" i="65"/>
  <c r="G14" i="65"/>
  <c r="H14" i="65"/>
  <c r="I14" i="65"/>
  <c r="J14" i="65"/>
  <c r="K14" i="65"/>
  <c r="L14" i="65"/>
  <c r="M14" i="65"/>
  <c r="N14" i="65"/>
  <c r="O14" i="65"/>
  <c r="D15" i="65"/>
  <c r="E15" i="65"/>
  <c r="F15" i="65"/>
  <c r="G15" i="65"/>
  <c r="H15" i="65"/>
  <c r="I15" i="65"/>
  <c r="J15" i="65"/>
  <c r="K15" i="65"/>
  <c r="L15" i="65"/>
  <c r="M15" i="65"/>
  <c r="N15" i="65"/>
  <c r="O15" i="65"/>
  <c r="D16" i="65"/>
  <c r="E16" i="65"/>
  <c r="F16" i="65"/>
  <c r="G16" i="65"/>
  <c r="H16" i="65"/>
  <c r="I16" i="65"/>
  <c r="J16" i="65"/>
  <c r="K16" i="65"/>
  <c r="L16" i="65"/>
  <c r="M16" i="65"/>
  <c r="N16" i="65"/>
  <c r="O16" i="65"/>
  <c r="D17" i="65"/>
  <c r="E17" i="65"/>
  <c r="F17" i="65"/>
  <c r="G17" i="65"/>
  <c r="H17" i="65"/>
  <c r="I17" i="65"/>
  <c r="J17" i="65"/>
  <c r="K17" i="65"/>
  <c r="L17" i="65"/>
  <c r="M17" i="65"/>
  <c r="N17" i="65"/>
  <c r="O17" i="65"/>
  <c r="D18" i="65"/>
  <c r="E18" i="65"/>
  <c r="F18" i="65"/>
  <c r="G18" i="65"/>
  <c r="H18" i="65"/>
  <c r="I18" i="65"/>
  <c r="J18" i="65"/>
  <c r="K18" i="65"/>
  <c r="L18" i="65"/>
  <c r="M18" i="65"/>
  <c r="N18" i="65"/>
  <c r="O18" i="65"/>
  <c r="D19" i="65"/>
  <c r="E19" i="65"/>
  <c r="F19" i="65"/>
  <c r="G19" i="65"/>
  <c r="H19" i="65"/>
  <c r="I19" i="65"/>
  <c r="J19" i="65"/>
  <c r="K19" i="65"/>
  <c r="L19" i="65"/>
  <c r="M19" i="65"/>
  <c r="N19" i="65"/>
  <c r="O19" i="65"/>
  <c r="D20" i="65"/>
  <c r="E20" i="65"/>
  <c r="F20" i="65"/>
  <c r="G20" i="65"/>
  <c r="H20" i="65"/>
  <c r="I20" i="65"/>
  <c r="J20" i="65"/>
  <c r="K20" i="65"/>
  <c r="L20" i="65"/>
  <c r="M20" i="65"/>
  <c r="N20" i="65"/>
  <c r="O20" i="65"/>
  <c r="D21" i="65"/>
  <c r="E21" i="65"/>
  <c r="F21" i="65"/>
  <c r="G21" i="65"/>
  <c r="H21" i="65"/>
  <c r="I21" i="65"/>
  <c r="J21" i="65"/>
  <c r="K21" i="65"/>
  <c r="L21" i="65"/>
  <c r="M21" i="65"/>
  <c r="N21" i="65"/>
  <c r="O21" i="65"/>
  <c r="D22" i="65"/>
  <c r="E22" i="65"/>
  <c r="F22" i="65"/>
  <c r="G22" i="65"/>
  <c r="H22" i="65"/>
  <c r="I22" i="65"/>
  <c r="J22" i="65"/>
  <c r="K22" i="65"/>
  <c r="L22" i="65"/>
  <c r="M22" i="65"/>
  <c r="N22" i="65"/>
  <c r="O22" i="65"/>
  <c r="D23" i="65"/>
  <c r="E23" i="65"/>
  <c r="F23" i="65"/>
  <c r="G23" i="65"/>
  <c r="H23" i="65"/>
  <c r="I23" i="65"/>
  <c r="J23" i="65"/>
  <c r="K23" i="65"/>
  <c r="L23" i="65"/>
  <c r="M23" i="65"/>
  <c r="N23" i="65"/>
  <c r="O23" i="65"/>
  <c r="D24" i="65"/>
  <c r="E24" i="65"/>
  <c r="F24" i="65"/>
  <c r="G24" i="65"/>
  <c r="H24" i="65"/>
  <c r="I24" i="65"/>
  <c r="J24" i="65"/>
  <c r="K24" i="65"/>
  <c r="L24" i="65"/>
  <c r="M24" i="65"/>
  <c r="N24" i="65"/>
  <c r="O24" i="65"/>
  <c r="D25" i="65"/>
  <c r="E25" i="65"/>
  <c r="F25" i="65"/>
  <c r="G25" i="65"/>
  <c r="H25" i="65"/>
  <c r="I25" i="65"/>
  <c r="J25" i="65"/>
  <c r="K25" i="65"/>
  <c r="L25" i="65"/>
  <c r="M25" i="65"/>
  <c r="N25" i="65"/>
  <c r="O25" i="65"/>
  <c r="D26" i="65"/>
  <c r="E26" i="65"/>
  <c r="F26" i="65"/>
  <c r="G26" i="65"/>
  <c r="H26" i="65"/>
  <c r="E114" i="65" s="1"/>
  <c r="I26" i="65"/>
  <c r="F114" i="65" s="1"/>
  <c r="J26" i="65"/>
  <c r="G114" i="65" s="1"/>
  <c r="K26" i="65"/>
  <c r="H114" i="65" s="1"/>
  <c r="L26" i="65"/>
  <c r="I114" i="65" s="1"/>
  <c r="M26" i="65"/>
  <c r="J114" i="65" s="1"/>
  <c r="N26" i="65"/>
  <c r="K114" i="65" s="1"/>
  <c r="O26" i="65"/>
  <c r="L114" i="65" s="1"/>
  <c r="D27" i="65"/>
  <c r="E27" i="65"/>
  <c r="F27" i="65"/>
  <c r="G27" i="65"/>
  <c r="H27" i="65"/>
  <c r="I27" i="65"/>
  <c r="J27" i="65"/>
  <c r="K27" i="65"/>
  <c r="L27" i="65"/>
  <c r="M27" i="65"/>
  <c r="N27" i="65"/>
  <c r="O27" i="65"/>
  <c r="D28" i="65"/>
  <c r="E28" i="65"/>
  <c r="F28" i="65"/>
  <c r="G28" i="65"/>
  <c r="H28" i="65"/>
  <c r="I28" i="65"/>
  <c r="J28" i="65"/>
  <c r="K28" i="65"/>
  <c r="L28" i="65"/>
  <c r="M28" i="65"/>
  <c r="N28" i="65"/>
  <c r="O28" i="65"/>
  <c r="D29" i="65"/>
  <c r="E29" i="65"/>
  <c r="F29" i="65"/>
  <c r="G29" i="65"/>
  <c r="H29" i="65"/>
  <c r="I29" i="65"/>
  <c r="J29" i="65"/>
  <c r="K29" i="65"/>
  <c r="L29" i="65"/>
  <c r="M29" i="65"/>
  <c r="N29" i="65"/>
  <c r="O29" i="65"/>
  <c r="D30" i="65"/>
  <c r="E30" i="65"/>
  <c r="F30" i="65"/>
  <c r="G30" i="65"/>
  <c r="H30" i="65"/>
  <c r="I30" i="65"/>
  <c r="J30" i="65"/>
  <c r="K30" i="65"/>
  <c r="L30" i="65"/>
  <c r="M30" i="65"/>
  <c r="N30" i="65"/>
  <c r="O30" i="65"/>
  <c r="D31" i="65"/>
  <c r="E31" i="65"/>
  <c r="F31" i="65"/>
  <c r="G31" i="65"/>
  <c r="H31" i="65"/>
  <c r="I31" i="65"/>
  <c r="J31" i="65"/>
  <c r="K31" i="65"/>
  <c r="L31" i="65"/>
  <c r="M31" i="65"/>
  <c r="N31" i="65"/>
  <c r="O31" i="65"/>
  <c r="D32" i="65"/>
  <c r="E32" i="65"/>
  <c r="F32" i="65"/>
  <c r="G32" i="65"/>
  <c r="H32" i="65"/>
  <c r="I32" i="65"/>
  <c r="J32" i="65"/>
  <c r="K32" i="65"/>
  <c r="L32" i="65"/>
  <c r="M32" i="65"/>
  <c r="N32" i="65"/>
  <c r="O32" i="65"/>
  <c r="D33" i="65"/>
  <c r="E33" i="65"/>
  <c r="F33" i="65"/>
  <c r="G33" i="65"/>
  <c r="H33" i="65"/>
  <c r="I33" i="65"/>
  <c r="J33" i="65"/>
  <c r="K33" i="65"/>
  <c r="L33" i="65"/>
  <c r="M33" i="65"/>
  <c r="N33" i="65"/>
  <c r="O33" i="65"/>
  <c r="D34" i="65"/>
  <c r="E34" i="65"/>
  <c r="F34" i="65"/>
  <c r="G34" i="65"/>
  <c r="H34" i="65"/>
  <c r="I34" i="65"/>
  <c r="J34" i="65"/>
  <c r="K34" i="65"/>
  <c r="L34" i="65"/>
  <c r="M34" i="65"/>
  <c r="N34" i="65"/>
  <c r="O34" i="65"/>
  <c r="D35" i="65"/>
  <c r="E35" i="65"/>
  <c r="F35" i="65"/>
  <c r="G35" i="65"/>
  <c r="H35" i="65"/>
  <c r="I35" i="65"/>
  <c r="J35" i="65"/>
  <c r="K35" i="65"/>
  <c r="L35" i="65"/>
  <c r="M35" i="65"/>
  <c r="N35" i="65"/>
  <c r="O35" i="65"/>
  <c r="D36" i="65"/>
  <c r="E36" i="65"/>
  <c r="F36" i="65"/>
  <c r="G36" i="65"/>
  <c r="H36" i="65"/>
  <c r="I36" i="65"/>
  <c r="J36" i="65"/>
  <c r="K36" i="65"/>
  <c r="L36" i="65"/>
  <c r="M36" i="65"/>
  <c r="N36" i="65"/>
  <c r="O36" i="65"/>
  <c r="D37" i="65"/>
  <c r="E37" i="65"/>
  <c r="F37" i="65"/>
  <c r="G37" i="65"/>
  <c r="H37" i="65"/>
  <c r="I37" i="65"/>
  <c r="J37" i="65"/>
  <c r="K37" i="65"/>
  <c r="L37" i="65"/>
  <c r="M37" i="65"/>
  <c r="N37" i="65"/>
  <c r="O37" i="65"/>
  <c r="D38" i="65"/>
  <c r="E38" i="65"/>
  <c r="F38" i="65"/>
  <c r="G38" i="65"/>
  <c r="H38" i="65"/>
  <c r="I38" i="65"/>
  <c r="J38" i="65"/>
  <c r="K38" i="65"/>
  <c r="L38" i="65"/>
  <c r="M38" i="65"/>
  <c r="N38" i="65"/>
  <c r="O38" i="65"/>
  <c r="D39" i="65"/>
  <c r="E39" i="65"/>
  <c r="F39" i="65"/>
  <c r="G39" i="65"/>
  <c r="H39" i="65"/>
  <c r="I39" i="65"/>
  <c r="J39" i="65"/>
  <c r="K39" i="65"/>
  <c r="L39" i="65"/>
  <c r="M39" i="65"/>
  <c r="N39" i="65"/>
  <c r="O39" i="65"/>
  <c r="D40" i="65"/>
  <c r="E40" i="65"/>
  <c r="F40" i="65"/>
  <c r="G40" i="65"/>
  <c r="H40" i="65"/>
  <c r="I40" i="65"/>
  <c r="J40" i="65"/>
  <c r="K40" i="65"/>
  <c r="L40" i="65"/>
  <c r="M40" i="65"/>
  <c r="N40" i="65"/>
  <c r="O40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F49" i="65"/>
  <c r="E106" i="65"/>
  <c r="F106" i="65"/>
  <c r="G106" i="65"/>
  <c r="H106" i="65"/>
  <c r="I106" i="65"/>
  <c r="J106" i="65"/>
  <c r="K106" i="65"/>
  <c r="L106" i="65"/>
  <c r="M106" i="65"/>
  <c r="N106" i="65"/>
  <c r="O106" i="65"/>
  <c r="E107" i="65"/>
  <c r="F107" i="65"/>
  <c r="G107" i="65"/>
  <c r="H107" i="65"/>
  <c r="I107" i="65"/>
  <c r="J107" i="65"/>
  <c r="K107" i="65"/>
  <c r="L107" i="65"/>
  <c r="M107" i="65"/>
  <c r="N107" i="65"/>
  <c r="N110" i="65" s="1"/>
  <c r="K116" i="65" s="1"/>
  <c r="O107" i="65"/>
  <c r="F109" i="65"/>
  <c r="N109" i="65"/>
  <c r="K115" i="65" s="1"/>
  <c r="L110" i="65"/>
  <c r="I116" i="65" s="1"/>
  <c r="D3" i="70"/>
  <c r="F3" i="70"/>
  <c r="G3" i="70"/>
  <c r="H3" i="70"/>
  <c r="I3" i="70"/>
  <c r="J3" i="70"/>
  <c r="J112" i="70" s="1"/>
  <c r="G118" i="70" s="1"/>
  <c r="K3" i="70"/>
  <c r="L3" i="70"/>
  <c r="M3" i="70"/>
  <c r="N3" i="70"/>
  <c r="O3" i="70"/>
  <c r="D4" i="70"/>
  <c r="E4" i="70"/>
  <c r="F4" i="70"/>
  <c r="G4" i="70"/>
  <c r="H4" i="70"/>
  <c r="I4" i="70"/>
  <c r="J4" i="70"/>
  <c r="K4" i="70"/>
  <c r="L4" i="70"/>
  <c r="M4" i="70"/>
  <c r="N4" i="70"/>
  <c r="O4" i="70"/>
  <c r="D5" i="70"/>
  <c r="E5" i="70"/>
  <c r="F5" i="70"/>
  <c r="G5" i="70"/>
  <c r="H5" i="70"/>
  <c r="I5" i="70"/>
  <c r="J5" i="70"/>
  <c r="K5" i="70"/>
  <c r="L5" i="70"/>
  <c r="M5" i="70"/>
  <c r="N5" i="70"/>
  <c r="O5" i="70"/>
  <c r="D6" i="70"/>
  <c r="E6" i="70"/>
  <c r="F6" i="70"/>
  <c r="G6" i="70"/>
  <c r="H6" i="70"/>
  <c r="I6" i="70"/>
  <c r="J6" i="70"/>
  <c r="K6" i="70"/>
  <c r="L6" i="70"/>
  <c r="M6" i="70"/>
  <c r="N6" i="70"/>
  <c r="O6" i="70"/>
  <c r="D7" i="70"/>
  <c r="E7" i="70"/>
  <c r="F7" i="70"/>
  <c r="G7" i="70"/>
  <c r="H7" i="70"/>
  <c r="I7" i="70"/>
  <c r="J7" i="70"/>
  <c r="K7" i="70"/>
  <c r="L7" i="70"/>
  <c r="M7" i="70"/>
  <c r="N7" i="70"/>
  <c r="O7" i="70"/>
  <c r="D8" i="70"/>
  <c r="E8" i="70"/>
  <c r="F8" i="70"/>
  <c r="G8" i="70"/>
  <c r="H8" i="70"/>
  <c r="I8" i="70"/>
  <c r="J8" i="70"/>
  <c r="K8" i="70"/>
  <c r="L8" i="70"/>
  <c r="M8" i="70"/>
  <c r="N8" i="70"/>
  <c r="O8" i="70"/>
  <c r="D9" i="70"/>
  <c r="E9" i="70"/>
  <c r="F9" i="70"/>
  <c r="G9" i="70"/>
  <c r="H9" i="70"/>
  <c r="I9" i="70"/>
  <c r="J9" i="70"/>
  <c r="K9" i="70"/>
  <c r="L9" i="70"/>
  <c r="M9" i="70"/>
  <c r="N9" i="70"/>
  <c r="O9" i="70"/>
  <c r="D10" i="70"/>
  <c r="E10" i="70"/>
  <c r="F10" i="70"/>
  <c r="G10" i="70"/>
  <c r="H10" i="70"/>
  <c r="I10" i="70"/>
  <c r="J10" i="70"/>
  <c r="K10" i="70"/>
  <c r="L10" i="70"/>
  <c r="M10" i="70"/>
  <c r="N10" i="70"/>
  <c r="O10" i="70"/>
  <c r="D11" i="70"/>
  <c r="E11" i="70"/>
  <c r="F11" i="70"/>
  <c r="G11" i="70"/>
  <c r="H11" i="70"/>
  <c r="I11" i="70"/>
  <c r="J11" i="70"/>
  <c r="K11" i="70"/>
  <c r="L11" i="70"/>
  <c r="M11" i="70"/>
  <c r="N11" i="70"/>
  <c r="O11" i="70"/>
  <c r="D12" i="70"/>
  <c r="E12" i="70"/>
  <c r="F12" i="70"/>
  <c r="G12" i="70"/>
  <c r="H12" i="70"/>
  <c r="I12" i="70"/>
  <c r="J12" i="70"/>
  <c r="K12" i="70"/>
  <c r="L12" i="70"/>
  <c r="M12" i="70"/>
  <c r="N12" i="70"/>
  <c r="O12" i="70"/>
  <c r="D13" i="70"/>
  <c r="E13" i="70"/>
  <c r="F13" i="70"/>
  <c r="G13" i="70"/>
  <c r="H13" i="70"/>
  <c r="I13" i="70"/>
  <c r="J13" i="70"/>
  <c r="K13" i="70"/>
  <c r="L13" i="70"/>
  <c r="M13" i="70"/>
  <c r="N13" i="70"/>
  <c r="O13" i="70"/>
  <c r="D14" i="70"/>
  <c r="E14" i="70"/>
  <c r="F14" i="70"/>
  <c r="G14" i="70"/>
  <c r="H14" i="70"/>
  <c r="I14" i="70"/>
  <c r="J14" i="70"/>
  <c r="K14" i="70"/>
  <c r="L14" i="70"/>
  <c r="M14" i="70"/>
  <c r="N14" i="70"/>
  <c r="O14" i="70"/>
  <c r="D15" i="70"/>
  <c r="E15" i="70"/>
  <c r="F15" i="70"/>
  <c r="G15" i="70"/>
  <c r="H15" i="70"/>
  <c r="I15" i="70"/>
  <c r="J15" i="70"/>
  <c r="K15" i="70"/>
  <c r="L15" i="70"/>
  <c r="M15" i="70"/>
  <c r="N15" i="70"/>
  <c r="O15" i="70"/>
  <c r="D16" i="70"/>
  <c r="E16" i="70"/>
  <c r="F16" i="70"/>
  <c r="G16" i="70"/>
  <c r="H16" i="70"/>
  <c r="I16" i="70"/>
  <c r="J16" i="70"/>
  <c r="K16" i="70"/>
  <c r="L16" i="70"/>
  <c r="M16" i="70"/>
  <c r="N16" i="70"/>
  <c r="O16" i="70"/>
  <c r="D17" i="70"/>
  <c r="E17" i="70"/>
  <c r="F17" i="70"/>
  <c r="G17" i="70"/>
  <c r="H17" i="70"/>
  <c r="I17" i="70"/>
  <c r="J17" i="70"/>
  <c r="K17" i="70"/>
  <c r="L17" i="70"/>
  <c r="M17" i="70"/>
  <c r="N17" i="70"/>
  <c r="O17" i="70"/>
  <c r="D18" i="70"/>
  <c r="E18" i="70"/>
  <c r="F18" i="70"/>
  <c r="G18" i="70"/>
  <c r="G111" i="70" s="1"/>
  <c r="H18" i="70"/>
  <c r="I18" i="70"/>
  <c r="J18" i="70"/>
  <c r="K18" i="70"/>
  <c r="L18" i="70"/>
  <c r="M18" i="70"/>
  <c r="N18" i="70"/>
  <c r="O18" i="70"/>
  <c r="E20" i="70"/>
  <c r="F20" i="70"/>
  <c r="G20" i="70"/>
  <c r="H20" i="70"/>
  <c r="I20" i="70"/>
  <c r="J20" i="70"/>
  <c r="K20" i="70"/>
  <c r="L20" i="70"/>
  <c r="M20" i="70"/>
  <c r="N20" i="70"/>
  <c r="O20" i="70"/>
  <c r="D21" i="70"/>
  <c r="E21" i="70"/>
  <c r="F21" i="70"/>
  <c r="G21" i="70"/>
  <c r="H21" i="70"/>
  <c r="I21" i="70"/>
  <c r="J21" i="70"/>
  <c r="K21" i="70"/>
  <c r="L21" i="70"/>
  <c r="M21" i="70"/>
  <c r="N21" i="70"/>
  <c r="O21" i="70"/>
  <c r="D22" i="70"/>
  <c r="E22" i="70"/>
  <c r="F22" i="70"/>
  <c r="G22" i="70"/>
  <c r="H22" i="70"/>
  <c r="I22" i="70"/>
  <c r="J22" i="70"/>
  <c r="K22" i="70"/>
  <c r="L22" i="70"/>
  <c r="M22" i="70"/>
  <c r="N22" i="70"/>
  <c r="O22" i="70"/>
  <c r="D23" i="70"/>
  <c r="E23" i="70"/>
  <c r="F23" i="70"/>
  <c r="G23" i="70"/>
  <c r="H23" i="70"/>
  <c r="E116" i="70" s="1"/>
  <c r="I23" i="70"/>
  <c r="F116" i="70" s="1"/>
  <c r="J23" i="70"/>
  <c r="G116" i="70" s="1"/>
  <c r="K23" i="70"/>
  <c r="L23" i="70"/>
  <c r="I116" i="70" s="1"/>
  <c r="M23" i="70"/>
  <c r="J116" i="70" s="1"/>
  <c r="N23" i="70"/>
  <c r="K116" i="70" s="1"/>
  <c r="O23" i="70"/>
  <c r="L116" i="70" s="1"/>
  <c r="D24" i="70"/>
  <c r="E24" i="70"/>
  <c r="F24" i="70"/>
  <c r="G24" i="70"/>
  <c r="H24" i="70"/>
  <c r="I24" i="70"/>
  <c r="J24" i="70"/>
  <c r="K24" i="70"/>
  <c r="L24" i="70"/>
  <c r="M24" i="70"/>
  <c r="N24" i="70"/>
  <c r="O24" i="70"/>
  <c r="D25" i="70"/>
  <c r="E25" i="70"/>
  <c r="F25" i="70"/>
  <c r="G25" i="70"/>
  <c r="H25" i="70"/>
  <c r="I25" i="70"/>
  <c r="J25" i="70"/>
  <c r="K25" i="70"/>
  <c r="L25" i="70"/>
  <c r="M25" i="70"/>
  <c r="N25" i="70"/>
  <c r="O25" i="70"/>
  <c r="D26" i="70"/>
  <c r="E26" i="70"/>
  <c r="F26" i="70"/>
  <c r="G26" i="70"/>
  <c r="H26" i="70"/>
  <c r="I26" i="70"/>
  <c r="J26" i="70"/>
  <c r="K26" i="70"/>
  <c r="L26" i="70"/>
  <c r="M26" i="70"/>
  <c r="N26" i="70"/>
  <c r="O26" i="70"/>
  <c r="D27" i="70"/>
  <c r="E27" i="70"/>
  <c r="F27" i="70"/>
  <c r="G27" i="70"/>
  <c r="H27" i="70"/>
  <c r="I27" i="70"/>
  <c r="J27" i="70"/>
  <c r="K27" i="70"/>
  <c r="L27" i="70"/>
  <c r="M27" i="70"/>
  <c r="N27" i="70"/>
  <c r="O27" i="70"/>
  <c r="D28" i="70"/>
  <c r="E28" i="70"/>
  <c r="F28" i="70"/>
  <c r="G28" i="70"/>
  <c r="H28" i="70"/>
  <c r="I28" i="70"/>
  <c r="J28" i="70"/>
  <c r="K28" i="70"/>
  <c r="L28" i="70"/>
  <c r="M28" i="70"/>
  <c r="N28" i="70"/>
  <c r="O28" i="70"/>
  <c r="D29" i="70"/>
  <c r="E29" i="70"/>
  <c r="F29" i="70"/>
  <c r="G29" i="70"/>
  <c r="H29" i="70"/>
  <c r="I29" i="70"/>
  <c r="J29" i="70"/>
  <c r="K29" i="70"/>
  <c r="L29" i="70"/>
  <c r="M29" i="70"/>
  <c r="N29" i="70"/>
  <c r="O29" i="70"/>
  <c r="D30" i="70"/>
  <c r="E30" i="70"/>
  <c r="F30" i="70"/>
  <c r="G30" i="70"/>
  <c r="H30" i="70"/>
  <c r="I30" i="70"/>
  <c r="J30" i="70"/>
  <c r="K30" i="70"/>
  <c r="L30" i="70"/>
  <c r="M30" i="70"/>
  <c r="N30" i="70"/>
  <c r="O30" i="70"/>
  <c r="D31" i="70"/>
  <c r="E31" i="70"/>
  <c r="F31" i="70"/>
  <c r="G31" i="70"/>
  <c r="H31" i="70"/>
  <c r="I31" i="70"/>
  <c r="J31" i="70"/>
  <c r="K31" i="70"/>
  <c r="L31" i="70"/>
  <c r="M31" i="70"/>
  <c r="N31" i="70"/>
  <c r="O31" i="70"/>
  <c r="D32" i="70"/>
  <c r="E32" i="70"/>
  <c r="F32" i="70"/>
  <c r="G32" i="70"/>
  <c r="H32" i="70"/>
  <c r="I32" i="70"/>
  <c r="J32" i="70"/>
  <c r="K32" i="70"/>
  <c r="L32" i="70"/>
  <c r="M32" i="70"/>
  <c r="N32" i="70"/>
  <c r="O32" i="70"/>
  <c r="D34" i="70"/>
  <c r="E34" i="70"/>
  <c r="F34" i="70"/>
  <c r="G34" i="70"/>
  <c r="H34" i="70"/>
  <c r="I34" i="70"/>
  <c r="J34" i="70"/>
  <c r="K34" i="70"/>
  <c r="L34" i="70"/>
  <c r="M34" i="70"/>
  <c r="N34" i="70"/>
  <c r="O34" i="70"/>
  <c r="D35" i="70"/>
  <c r="E35" i="70"/>
  <c r="F35" i="70"/>
  <c r="G35" i="70"/>
  <c r="H35" i="70"/>
  <c r="I35" i="70"/>
  <c r="J35" i="70"/>
  <c r="K35" i="70"/>
  <c r="L35" i="70"/>
  <c r="M35" i="70"/>
  <c r="N35" i="70"/>
  <c r="O35" i="70"/>
  <c r="D36" i="70"/>
  <c r="E36" i="70"/>
  <c r="F36" i="70"/>
  <c r="G36" i="70"/>
  <c r="H36" i="70"/>
  <c r="I36" i="70"/>
  <c r="J36" i="70"/>
  <c r="K36" i="70"/>
  <c r="L36" i="70"/>
  <c r="M36" i="70"/>
  <c r="N36" i="70"/>
  <c r="O36" i="70"/>
  <c r="D37" i="70"/>
  <c r="E37" i="70"/>
  <c r="F37" i="70"/>
  <c r="G37" i="70"/>
  <c r="H37" i="70"/>
  <c r="I37" i="70"/>
  <c r="J37" i="70"/>
  <c r="K37" i="70"/>
  <c r="L37" i="70"/>
  <c r="M37" i="70"/>
  <c r="N37" i="70"/>
  <c r="O37" i="70"/>
  <c r="D38" i="70"/>
  <c r="E38" i="70"/>
  <c r="F38" i="70"/>
  <c r="G38" i="70"/>
  <c r="H38" i="70"/>
  <c r="I38" i="70"/>
  <c r="J38" i="70"/>
  <c r="K38" i="70"/>
  <c r="L38" i="70"/>
  <c r="M38" i="70"/>
  <c r="N38" i="70"/>
  <c r="O38" i="70"/>
  <c r="D39" i="70"/>
  <c r="E39" i="70"/>
  <c r="F39" i="70"/>
  <c r="G39" i="70"/>
  <c r="H39" i="70"/>
  <c r="I39" i="70"/>
  <c r="J39" i="70"/>
  <c r="K39" i="70"/>
  <c r="L39" i="70"/>
  <c r="M39" i="70"/>
  <c r="N39" i="70"/>
  <c r="O39" i="70"/>
  <c r="D40" i="70"/>
  <c r="E40" i="70"/>
  <c r="F40" i="70"/>
  <c r="G40" i="70"/>
  <c r="H40" i="70"/>
  <c r="I40" i="70"/>
  <c r="J40" i="70"/>
  <c r="K40" i="70"/>
  <c r="L40" i="70"/>
  <c r="M40" i="70"/>
  <c r="N40" i="70"/>
  <c r="O40" i="70"/>
  <c r="D41" i="70"/>
  <c r="E41" i="70"/>
  <c r="F41" i="70"/>
  <c r="G41" i="70"/>
  <c r="H41" i="70"/>
  <c r="I41" i="70"/>
  <c r="J41" i="70"/>
  <c r="K41" i="70"/>
  <c r="L41" i="70"/>
  <c r="M41" i="70"/>
  <c r="N41" i="70"/>
  <c r="O41" i="70"/>
  <c r="D42" i="70"/>
  <c r="E42" i="70"/>
  <c r="F42" i="70"/>
  <c r="G42" i="70"/>
  <c r="H42" i="70"/>
  <c r="I42" i="70"/>
  <c r="J42" i="70"/>
  <c r="K42" i="70"/>
  <c r="L42" i="70"/>
  <c r="M42" i="70"/>
  <c r="N42" i="70"/>
  <c r="O42" i="70"/>
  <c r="E108" i="70"/>
  <c r="F108" i="70"/>
  <c r="G108" i="70"/>
  <c r="H108" i="70"/>
  <c r="I108" i="70"/>
  <c r="J108" i="70"/>
  <c r="K108" i="70"/>
  <c r="L108" i="70"/>
  <c r="M108" i="70"/>
  <c r="N108" i="70"/>
  <c r="O108" i="70"/>
  <c r="E109" i="70"/>
  <c r="F109" i="70"/>
  <c r="G109" i="70"/>
  <c r="H109" i="70"/>
  <c r="G112" i="70"/>
  <c r="H116" i="70"/>
  <c r="D3" i="69"/>
  <c r="F3" i="69"/>
  <c r="L3" i="69" s="1"/>
  <c r="D4" i="69"/>
  <c r="F4" i="69"/>
  <c r="H4" i="69" s="1"/>
  <c r="D5" i="69"/>
  <c r="F5" i="69"/>
  <c r="N5" i="69" s="1"/>
  <c r="D6" i="69"/>
  <c r="F6" i="69"/>
  <c r="D7" i="69"/>
  <c r="F7" i="69"/>
  <c r="G7" i="69" s="1"/>
  <c r="D8" i="69"/>
  <c r="F8" i="69"/>
  <c r="K8" i="69" s="1"/>
  <c r="D9" i="69"/>
  <c r="F9" i="69"/>
  <c r="D10" i="69"/>
  <c r="F10" i="69"/>
  <c r="K10" i="69" s="1"/>
  <c r="D11" i="69"/>
  <c r="F11" i="69"/>
  <c r="D12" i="69"/>
  <c r="F12" i="69"/>
  <c r="N12" i="69" s="1"/>
  <c r="D13" i="69"/>
  <c r="F13" i="69"/>
  <c r="M13" i="69" s="1"/>
  <c r="D14" i="69"/>
  <c r="F14" i="69"/>
  <c r="H14" i="69" s="1"/>
  <c r="D15" i="69"/>
  <c r="F15" i="69"/>
  <c r="M15" i="69" s="1"/>
  <c r="D16" i="69"/>
  <c r="F16" i="69"/>
  <c r="P16" i="69" s="1"/>
  <c r="D17" i="69"/>
  <c r="F17" i="69"/>
  <c r="L17" i="69" s="1"/>
  <c r="D18" i="69"/>
  <c r="F18" i="69"/>
  <c r="O18" i="69" s="1"/>
  <c r="D19" i="69"/>
  <c r="F19" i="69"/>
  <c r="O19" i="69" s="1"/>
  <c r="D20" i="69"/>
  <c r="F20" i="69"/>
  <c r="K20" i="69" s="1"/>
  <c r="D21" i="69"/>
  <c r="F21" i="69"/>
  <c r="K21" i="69" s="1"/>
  <c r="D22" i="69"/>
  <c r="F22" i="69"/>
  <c r="D23" i="69"/>
  <c r="F23" i="69"/>
  <c r="I23" i="69" s="1"/>
  <c r="D24" i="69"/>
  <c r="F24" i="69"/>
  <c r="D25" i="69"/>
  <c r="F25" i="69"/>
  <c r="I25" i="69" s="1"/>
  <c r="D26" i="69"/>
  <c r="F26" i="69"/>
  <c r="G26" i="69" s="1"/>
  <c r="D27" i="69"/>
  <c r="F27" i="69"/>
  <c r="L27" i="69" s="1"/>
  <c r="D28" i="69"/>
  <c r="F28" i="69"/>
  <c r="J28" i="69" s="1"/>
  <c r="D29" i="69"/>
  <c r="F29" i="69"/>
  <c r="Q29" i="69" s="1"/>
  <c r="D30" i="69"/>
  <c r="F30" i="69"/>
  <c r="L30" i="69" s="1"/>
  <c r="D31" i="69"/>
  <c r="F31" i="69"/>
  <c r="K31" i="69" s="1"/>
  <c r="D32" i="69"/>
  <c r="F32" i="69"/>
  <c r="J32" i="69" s="1"/>
  <c r="D33" i="69"/>
  <c r="F33" i="69"/>
  <c r="J33" i="69" s="1"/>
  <c r="D34" i="69"/>
  <c r="F34" i="69"/>
  <c r="P34" i="69" s="1"/>
  <c r="D35" i="69"/>
  <c r="F35" i="69"/>
  <c r="P35" i="69" s="1"/>
  <c r="D36" i="69"/>
  <c r="F36" i="69"/>
  <c r="K36" i="69" s="1"/>
  <c r="D37" i="69"/>
  <c r="F37" i="69"/>
  <c r="K37" i="69" s="1"/>
  <c r="D38" i="69"/>
  <c r="F38" i="69"/>
  <c r="I38" i="69" s="1"/>
  <c r="D39" i="69"/>
  <c r="F39" i="69"/>
  <c r="M39" i="69" s="1"/>
  <c r="D40" i="69"/>
  <c r="F40" i="69"/>
  <c r="K40" i="69" s="1"/>
  <c r="D41" i="69"/>
  <c r="F41" i="69"/>
  <c r="I41" i="69" s="1"/>
  <c r="D42" i="69"/>
  <c r="F42" i="69"/>
  <c r="M42" i="69" s="1"/>
  <c r="D43" i="69"/>
  <c r="F43" i="69"/>
  <c r="O43" i="69" s="1"/>
  <c r="D44" i="69"/>
  <c r="F44" i="69"/>
  <c r="K44" i="69" s="1"/>
  <c r="D45" i="69"/>
  <c r="F45" i="69"/>
  <c r="G45" i="69" s="1"/>
  <c r="D46" i="69"/>
  <c r="F46" i="69"/>
  <c r="J46" i="69" s="1"/>
  <c r="D47" i="69"/>
  <c r="F47" i="69"/>
  <c r="M47" i="69" s="1"/>
  <c r="D48" i="69"/>
  <c r="F48" i="69"/>
  <c r="D49" i="69"/>
  <c r="F49" i="69"/>
  <c r="J49" i="69" s="1"/>
  <c r="D50" i="69"/>
  <c r="F50" i="69"/>
  <c r="L50" i="69" s="1"/>
  <c r="D51" i="69"/>
  <c r="F51" i="69"/>
  <c r="I51" i="69" s="1"/>
  <c r="D52" i="69"/>
  <c r="F52" i="69"/>
  <c r="H52" i="69" s="1"/>
  <c r="D53" i="69"/>
  <c r="F53" i="69"/>
  <c r="J53" i="69" s="1"/>
  <c r="D54" i="69"/>
  <c r="F54" i="69"/>
  <c r="K54" i="69" s="1"/>
  <c r="D55" i="69"/>
  <c r="F55" i="69"/>
  <c r="J55" i="69" s="1"/>
  <c r="D56" i="69"/>
  <c r="F56" i="69"/>
  <c r="G56" i="69" s="1"/>
  <c r="D57" i="69"/>
  <c r="F57" i="69"/>
  <c r="D58" i="69"/>
  <c r="F58" i="69"/>
  <c r="D59" i="69"/>
  <c r="F59" i="69"/>
  <c r="L59" i="69" s="1"/>
  <c r="D60" i="69"/>
  <c r="F60" i="69"/>
  <c r="D61" i="69"/>
  <c r="F61" i="69"/>
  <c r="M61" i="69" s="1"/>
  <c r="D62" i="69"/>
  <c r="F62" i="69"/>
  <c r="J62" i="69" s="1"/>
  <c r="D63" i="69"/>
  <c r="F63" i="69"/>
  <c r="L63" i="69" s="1"/>
  <c r="D64" i="69"/>
  <c r="F64" i="69"/>
  <c r="I64" i="69" s="1"/>
  <c r="D65" i="69"/>
  <c r="F65" i="69"/>
  <c r="I65" i="69" s="1"/>
  <c r="D66" i="69"/>
  <c r="F66" i="69"/>
  <c r="D67" i="69"/>
  <c r="F67" i="69"/>
  <c r="D68" i="69"/>
  <c r="F68" i="69"/>
  <c r="D69" i="69"/>
  <c r="F69" i="69"/>
  <c r="P69" i="69" s="1"/>
  <c r="D70" i="69"/>
  <c r="F70" i="69"/>
  <c r="H70" i="69" s="1"/>
  <c r="D71" i="69"/>
  <c r="F71" i="69"/>
  <c r="M71" i="69" s="1"/>
  <c r="D72" i="69"/>
  <c r="F72" i="69"/>
  <c r="I72" i="69" s="1"/>
  <c r="D73" i="69"/>
  <c r="F73" i="69"/>
  <c r="D74" i="69"/>
  <c r="F74" i="69"/>
  <c r="H74" i="69" s="1"/>
  <c r="D75" i="69"/>
  <c r="F75" i="69"/>
  <c r="D76" i="69"/>
  <c r="F76" i="69"/>
  <c r="P76" i="69" s="1"/>
  <c r="D77" i="69"/>
  <c r="F77" i="69"/>
  <c r="I77" i="69" s="1"/>
  <c r="D78" i="69"/>
  <c r="F78" i="69"/>
  <c r="L78" i="69" s="1"/>
  <c r="D79" i="69"/>
  <c r="F79" i="69"/>
  <c r="D80" i="69"/>
  <c r="F80" i="69"/>
  <c r="K80" i="69" s="1"/>
  <c r="D81" i="69"/>
  <c r="F81" i="69"/>
  <c r="I81" i="69" s="1"/>
  <c r="D82" i="69"/>
  <c r="F82" i="69"/>
  <c r="I82" i="69" s="1"/>
  <c r="D83" i="69"/>
  <c r="F83" i="69"/>
  <c r="O83" i="69" s="1"/>
  <c r="D84" i="69"/>
  <c r="F84" i="69"/>
  <c r="N84" i="69" s="1"/>
  <c r="D85" i="69"/>
  <c r="F85" i="69"/>
  <c r="I85" i="69" s="1"/>
  <c r="D86" i="69"/>
  <c r="F86" i="69"/>
  <c r="N86" i="69" s="1"/>
  <c r="D87" i="69"/>
  <c r="F87" i="69"/>
  <c r="H87" i="69" s="1"/>
  <c r="D88" i="69"/>
  <c r="F88" i="69"/>
  <c r="G88" i="69" s="1"/>
  <c r="D89" i="69"/>
  <c r="F89" i="69"/>
  <c r="K89" i="69" s="1"/>
  <c r="D90" i="69"/>
  <c r="F90" i="69"/>
  <c r="D91" i="69"/>
  <c r="F91" i="69"/>
  <c r="L91" i="69" s="1"/>
  <c r="D92" i="69"/>
  <c r="F92" i="69"/>
  <c r="J92" i="69" s="1"/>
  <c r="D93" i="69"/>
  <c r="F93" i="69"/>
  <c r="G93" i="69" s="1"/>
  <c r="D94" i="69"/>
  <c r="F94" i="69"/>
  <c r="H94" i="69" s="1"/>
  <c r="I94" i="69"/>
  <c r="D95" i="69"/>
  <c r="F95" i="69"/>
  <c r="D96" i="69"/>
  <c r="F96" i="69"/>
  <c r="O96" i="69" s="1"/>
  <c r="D97" i="69"/>
  <c r="F97" i="69"/>
  <c r="H97" i="69" s="1"/>
  <c r="D98" i="69"/>
  <c r="F98" i="69"/>
  <c r="N98" i="69" s="1"/>
  <c r="D99" i="69"/>
  <c r="F99" i="69"/>
  <c r="L99" i="69" s="1"/>
  <c r="D100" i="69"/>
  <c r="F100" i="69"/>
  <c r="H100" i="69" s="1"/>
  <c r="D101" i="69"/>
  <c r="F101" i="69"/>
  <c r="D102" i="69"/>
  <c r="F102" i="69"/>
  <c r="I102" i="69" s="1"/>
  <c r="D103" i="69"/>
  <c r="F103" i="69"/>
  <c r="O103" i="69" s="1"/>
  <c r="D104" i="69"/>
  <c r="F104" i="69"/>
  <c r="K104" i="69" s="1"/>
  <c r="D105" i="69"/>
  <c r="F105" i="69"/>
  <c r="G105" i="69" s="1"/>
  <c r="D106" i="69"/>
  <c r="F106" i="69"/>
  <c r="G106" i="69" s="1"/>
  <c r="D107" i="69"/>
  <c r="F107" i="69"/>
  <c r="J107" i="69" s="1"/>
  <c r="D108" i="69"/>
  <c r="F108" i="69"/>
  <c r="G108" i="69" s="1"/>
  <c r="L108" i="69"/>
  <c r="D109" i="69"/>
  <c r="F109" i="69"/>
  <c r="H109" i="69" s="1"/>
  <c r="D110" i="69"/>
  <c r="F110" i="69"/>
  <c r="H110" i="69" s="1"/>
  <c r="D111" i="69"/>
  <c r="F111" i="69"/>
  <c r="G111" i="69" s="1"/>
  <c r="D112" i="69"/>
  <c r="F112" i="69"/>
  <c r="D113" i="69"/>
  <c r="F113" i="69"/>
  <c r="K113" i="69" s="1"/>
  <c r="D114" i="69"/>
  <c r="F114" i="69"/>
  <c r="D115" i="69"/>
  <c r="F115" i="69"/>
  <c r="D116" i="69"/>
  <c r="F116" i="69"/>
  <c r="J116" i="69" s="1"/>
  <c r="D117" i="69"/>
  <c r="F117" i="69"/>
  <c r="K117" i="69" s="1"/>
  <c r="D118" i="69"/>
  <c r="F118" i="69"/>
  <c r="M118" i="69" s="1"/>
  <c r="D119" i="69"/>
  <c r="F119" i="69"/>
  <c r="H119" i="69" s="1"/>
  <c r="D120" i="69"/>
  <c r="F120" i="69"/>
  <c r="H120" i="69" s="1"/>
  <c r="D121" i="69"/>
  <c r="F121" i="69"/>
  <c r="I121" i="69" s="1"/>
  <c r="D122" i="69"/>
  <c r="F122" i="69"/>
  <c r="N122" i="69" s="1"/>
  <c r="D123" i="69"/>
  <c r="F123" i="69"/>
  <c r="K123" i="69" s="1"/>
  <c r="D124" i="69"/>
  <c r="F124" i="69"/>
  <c r="J124" i="69" s="1"/>
  <c r="D125" i="69"/>
  <c r="F125" i="69"/>
  <c r="J125" i="69" s="1"/>
  <c r="D126" i="69"/>
  <c r="F126" i="69"/>
  <c r="D127" i="69"/>
  <c r="F127" i="69"/>
  <c r="D128" i="69"/>
  <c r="F128" i="69"/>
  <c r="D129" i="69"/>
  <c r="F129" i="69"/>
  <c r="L129" i="69" s="1"/>
  <c r="D130" i="69"/>
  <c r="F130" i="69"/>
  <c r="L130" i="69" s="1"/>
  <c r="D131" i="69"/>
  <c r="F131" i="69"/>
  <c r="J131" i="69" s="1"/>
  <c r="D132" i="69"/>
  <c r="F132" i="69"/>
  <c r="M132" i="69" s="1"/>
  <c r="D133" i="69"/>
  <c r="F133" i="69"/>
  <c r="K133" i="69" s="1"/>
  <c r="D134" i="69"/>
  <c r="F134" i="69"/>
  <c r="D135" i="69"/>
  <c r="F135" i="69"/>
  <c r="K135" i="69" s="1"/>
  <c r="D136" i="69"/>
  <c r="F136" i="69"/>
  <c r="D137" i="69"/>
  <c r="F137" i="69"/>
  <c r="L137" i="69" s="1"/>
  <c r="D138" i="69"/>
  <c r="F138" i="69"/>
  <c r="L138" i="69" s="1"/>
  <c r="D139" i="69"/>
  <c r="F139" i="69"/>
  <c r="Q139" i="69" s="1"/>
  <c r="D140" i="69"/>
  <c r="F140" i="69"/>
  <c r="D141" i="69"/>
  <c r="F141" i="69"/>
  <c r="H141" i="69" s="1"/>
  <c r="D142" i="69"/>
  <c r="F142" i="69"/>
  <c r="K142" i="69" s="1"/>
  <c r="D143" i="69"/>
  <c r="F143" i="69"/>
  <c r="J143" i="69" s="1"/>
  <c r="D144" i="69"/>
  <c r="F144" i="69"/>
  <c r="D145" i="69"/>
  <c r="F145" i="69"/>
  <c r="I145" i="69" s="1"/>
  <c r="D146" i="69"/>
  <c r="F146" i="69"/>
  <c r="D147" i="69"/>
  <c r="F147" i="69"/>
  <c r="J147" i="69" s="1"/>
  <c r="D148" i="69"/>
  <c r="F148" i="69"/>
  <c r="M148" i="69" s="1"/>
  <c r="D149" i="69"/>
  <c r="F149" i="69"/>
  <c r="J149" i="69" s="1"/>
  <c r="D150" i="69"/>
  <c r="F150" i="69"/>
  <c r="K150" i="69" s="1"/>
  <c r="D151" i="69"/>
  <c r="F151" i="69"/>
  <c r="J151" i="69" s="1"/>
  <c r="D152" i="69"/>
  <c r="F152" i="69"/>
  <c r="H152" i="69" s="1"/>
  <c r="D153" i="69"/>
  <c r="F153" i="69"/>
  <c r="D154" i="69"/>
  <c r="F154" i="69"/>
  <c r="D155" i="69"/>
  <c r="F155" i="69"/>
  <c r="J155" i="69" s="1"/>
  <c r="D156" i="69"/>
  <c r="F156" i="69"/>
  <c r="J156" i="69" s="1"/>
  <c r="D157" i="69"/>
  <c r="F157" i="69"/>
  <c r="H157" i="69" s="1"/>
  <c r="D158" i="69"/>
  <c r="F158" i="69"/>
  <c r="K158" i="69" s="1"/>
  <c r="D159" i="69"/>
  <c r="F159" i="69"/>
  <c r="I159" i="69" s="1"/>
  <c r="D160" i="69"/>
  <c r="F160" i="69"/>
  <c r="H160" i="69" s="1"/>
  <c r="D161" i="69"/>
  <c r="F161" i="69"/>
  <c r="D162" i="69"/>
  <c r="F162" i="69"/>
  <c r="H162" i="69" s="1"/>
  <c r="D163" i="69"/>
  <c r="F163" i="69"/>
  <c r="J163" i="69" s="1"/>
  <c r="D164" i="69"/>
  <c r="F164" i="69"/>
  <c r="D165" i="69"/>
  <c r="F165" i="69"/>
  <c r="H165" i="69" s="1"/>
  <c r="D166" i="69"/>
  <c r="F166" i="69"/>
  <c r="L166" i="69" s="1"/>
  <c r="D167" i="69"/>
  <c r="F167" i="69"/>
  <c r="I167" i="69" s="1"/>
  <c r="D168" i="69"/>
  <c r="F168" i="69"/>
  <c r="D169" i="69"/>
  <c r="F169" i="69"/>
  <c r="D170" i="69"/>
  <c r="F170" i="69"/>
  <c r="H170" i="69" s="1"/>
  <c r="D171" i="69"/>
  <c r="F171" i="69"/>
  <c r="G171" i="69" s="1"/>
  <c r="D172" i="69"/>
  <c r="F172" i="69"/>
  <c r="I172" i="69" s="1"/>
  <c r="D173" i="69"/>
  <c r="F173" i="69"/>
  <c r="H173" i="69" s="1"/>
  <c r="D174" i="69"/>
  <c r="F174" i="69"/>
  <c r="K174" i="69" s="1"/>
  <c r="D175" i="69"/>
  <c r="F175" i="69"/>
  <c r="O175" i="69" s="1"/>
  <c r="D176" i="69"/>
  <c r="F176" i="69"/>
  <c r="P176" i="69" s="1"/>
  <c r="D177" i="69"/>
  <c r="F177" i="69"/>
  <c r="P177" i="69" s="1"/>
  <c r="D178" i="69"/>
  <c r="F178" i="69"/>
  <c r="I178" i="69" s="1"/>
  <c r="D179" i="69"/>
  <c r="F179" i="69"/>
  <c r="P179" i="69" s="1"/>
  <c r="D180" i="69"/>
  <c r="F180" i="69"/>
  <c r="O180" i="69" s="1"/>
  <c r="D181" i="69"/>
  <c r="F181" i="69"/>
  <c r="P181" i="69" s="1"/>
  <c r="D182" i="69"/>
  <c r="F182" i="69"/>
  <c r="O182" i="69" s="1"/>
  <c r="D183" i="69"/>
  <c r="F183" i="69"/>
  <c r="D184" i="69"/>
  <c r="F184" i="69"/>
  <c r="J184" i="69" s="1"/>
  <c r="D185" i="69"/>
  <c r="F185" i="69"/>
  <c r="M185" i="69" s="1"/>
  <c r="D186" i="69"/>
  <c r="F186" i="69"/>
  <c r="D187" i="69"/>
  <c r="F187" i="69"/>
  <c r="M187" i="69" s="1"/>
  <c r="D188" i="69"/>
  <c r="F188" i="69"/>
  <c r="G188" i="69" s="1"/>
  <c r="D189" i="69"/>
  <c r="F189" i="69"/>
  <c r="J189" i="69" s="1"/>
  <c r="D190" i="69"/>
  <c r="F190" i="69"/>
  <c r="I190" i="69" s="1"/>
  <c r="D191" i="69"/>
  <c r="F191" i="69"/>
  <c r="D192" i="69"/>
  <c r="F192" i="69"/>
  <c r="K192" i="69" s="1"/>
  <c r="D193" i="69"/>
  <c r="F193" i="69"/>
  <c r="M193" i="69" s="1"/>
  <c r="D194" i="69"/>
  <c r="F194" i="69"/>
  <c r="N194" i="69" s="1"/>
  <c r="D195" i="69"/>
  <c r="F195" i="69"/>
  <c r="M195" i="69" s="1"/>
  <c r="D196" i="69"/>
  <c r="F196" i="69"/>
  <c r="M196" i="69" s="1"/>
  <c r="D197" i="69"/>
  <c r="F197" i="69"/>
  <c r="I197" i="69" s="1"/>
  <c r="D198" i="69"/>
  <c r="F198" i="69"/>
  <c r="N198" i="69" s="1"/>
  <c r="D199" i="69"/>
  <c r="F199" i="69"/>
  <c r="D200" i="69"/>
  <c r="F200" i="69"/>
  <c r="H200" i="69" s="1"/>
  <c r="O200" i="69"/>
  <c r="D201" i="69"/>
  <c r="F201" i="69"/>
  <c r="D202" i="69"/>
  <c r="F202" i="69"/>
  <c r="D203" i="69"/>
  <c r="F203" i="69"/>
  <c r="K203" i="69" s="1"/>
  <c r="D204" i="69"/>
  <c r="F204" i="69"/>
  <c r="G204" i="69" s="1"/>
  <c r="D205" i="69"/>
  <c r="F205" i="69"/>
  <c r="D206" i="69"/>
  <c r="F206" i="69"/>
  <c r="D207" i="69"/>
  <c r="F207" i="69"/>
  <c r="M207" i="69" s="1"/>
  <c r="D208" i="69"/>
  <c r="F208" i="69"/>
  <c r="N208" i="69" s="1"/>
  <c r="D209" i="69"/>
  <c r="F209" i="69"/>
  <c r="L209" i="69" s="1"/>
  <c r="D210" i="69"/>
  <c r="F210" i="69"/>
  <c r="G210" i="69" s="1"/>
  <c r="D211" i="69"/>
  <c r="F211" i="69"/>
  <c r="D212" i="69"/>
  <c r="F212" i="69"/>
  <c r="G212" i="69" s="1"/>
  <c r="D213" i="69"/>
  <c r="F213" i="69"/>
  <c r="I213" i="69" s="1"/>
  <c r="D214" i="69"/>
  <c r="F214" i="69"/>
  <c r="K214" i="69" s="1"/>
  <c r="D215" i="69"/>
  <c r="F215" i="69"/>
  <c r="M215" i="69" s="1"/>
  <c r="D216" i="69"/>
  <c r="F216" i="69"/>
  <c r="L216" i="69" s="1"/>
  <c r="D217" i="69"/>
  <c r="F217" i="69"/>
  <c r="D218" i="69"/>
  <c r="F218" i="69"/>
  <c r="P218" i="69" s="1"/>
  <c r="D219" i="69"/>
  <c r="F219" i="69"/>
  <c r="G219" i="69" s="1"/>
  <c r="D220" i="69"/>
  <c r="F220" i="69"/>
  <c r="K220" i="69" s="1"/>
  <c r="D221" i="69"/>
  <c r="F221" i="69"/>
  <c r="I221" i="69" s="1"/>
  <c r="D222" i="69"/>
  <c r="F222" i="69"/>
  <c r="D223" i="69"/>
  <c r="F223" i="69"/>
  <c r="M223" i="69" s="1"/>
  <c r="D225" i="69"/>
  <c r="F225" i="69"/>
  <c r="J225" i="69" s="1"/>
  <c r="D226" i="69"/>
  <c r="F226" i="69"/>
  <c r="H226" i="69" s="1"/>
  <c r="D227" i="69"/>
  <c r="F227" i="69"/>
  <c r="G227" i="69" s="1"/>
  <c r="D228" i="69"/>
  <c r="F228" i="69"/>
  <c r="Q228" i="69" s="1"/>
  <c r="D229" i="69"/>
  <c r="F229" i="69"/>
  <c r="J229" i="69" s="1"/>
  <c r="D230" i="69"/>
  <c r="F230" i="69"/>
  <c r="H230" i="69" s="1"/>
  <c r="D231" i="69"/>
  <c r="F231" i="69"/>
  <c r="G231" i="69" s="1"/>
  <c r="D232" i="69"/>
  <c r="F232" i="69"/>
  <c r="K232" i="69" s="1"/>
  <c r="D233" i="69"/>
  <c r="F233" i="69"/>
  <c r="G233" i="69" s="1"/>
  <c r="D234" i="69"/>
  <c r="F234" i="69"/>
  <c r="I234" i="69" s="1"/>
  <c r="D235" i="69"/>
  <c r="F235" i="69"/>
  <c r="D236" i="69"/>
  <c r="F236" i="69"/>
  <c r="H236" i="69" s="1"/>
  <c r="D237" i="69"/>
  <c r="F237" i="69"/>
  <c r="L237" i="69" s="1"/>
  <c r="D238" i="69"/>
  <c r="F238" i="69"/>
  <c r="N238" i="69" s="1"/>
  <c r="D239" i="69"/>
  <c r="F239" i="69"/>
  <c r="J239" i="69" s="1"/>
  <c r="D240" i="69"/>
  <c r="F240" i="69"/>
  <c r="D241" i="69"/>
  <c r="F241" i="69"/>
  <c r="H241" i="69" s="1"/>
  <c r="D242" i="69"/>
  <c r="F242" i="69"/>
  <c r="D243" i="69"/>
  <c r="F243" i="69"/>
  <c r="G243" i="69" s="1"/>
  <c r="D244" i="69"/>
  <c r="F244" i="69"/>
  <c r="M244" i="69" s="1"/>
  <c r="D245" i="69"/>
  <c r="F245" i="69"/>
  <c r="L245" i="69" s="1"/>
  <c r="D246" i="69"/>
  <c r="F246" i="69"/>
  <c r="N246" i="69" s="1"/>
  <c r="D247" i="69"/>
  <c r="F247" i="69"/>
  <c r="G247" i="69" s="1"/>
  <c r="D248" i="69"/>
  <c r="F248" i="69"/>
  <c r="M248" i="69" s="1"/>
  <c r="D249" i="69"/>
  <c r="F249" i="69"/>
  <c r="H249" i="69" s="1"/>
  <c r="D250" i="69"/>
  <c r="F250" i="69"/>
  <c r="K250" i="69" s="1"/>
  <c r="D251" i="69"/>
  <c r="F251" i="69"/>
  <c r="G251" i="69" s="1"/>
  <c r="D252" i="69"/>
  <c r="F252" i="69"/>
  <c r="M252" i="69" s="1"/>
  <c r="D253" i="69"/>
  <c r="F253" i="69"/>
  <c r="D254" i="69"/>
  <c r="F254" i="69"/>
  <c r="N254" i="69" s="1"/>
  <c r="D255" i="69"/>
  <c r="F255" i="69"/>
  <c r="J255" i="69" s="1"/>
  <c r="D256" i="69"/>
  <c r="F256" i="69"/>
  <c r="M256" i="69" s="1"/>
  <c r="D257" i="69"/>
  <c r="F257" i="69"/>
  <c r="H257" i="69" s="1"/>
  <c r="D258" i="69"/>
  <c r="F258" i="69"/>
  <c r="K258" i="69" s="1"/>
  <c r="D259" i="69"/>
  <c r="F259" i="69"/>
  <c r="D260" i="69"/>
  <c r="F260" i="69"/>
  <c r="M260" i="69" s="1"/>
  <c r="D261" i="69"/>
  <c r="F261" i="69"/>
  <c r="L261" i="69" s="1"/>
  <c r="D262" i="69"/>
  <c r="F262" i="69"/>
  <c r="N262" i="69" s="1"/>
  <c r="D263" i="69"/>
  <c r="F263" i="69"/>
  <c r="K263" i="69" s="1"/>
  <c r="D264" i="69"/>
  <c r="F264" i="69"/>
  <c r="M264" i="69" s="1"/>
  <c r="D265" i="69"/>
  <c r="F265" i="69"/>
  <c r="H265" i="69" s="1"/>
  <c r="D266" i="69"/>
  <c r="F266" i="69"/>
  <c r="K266" i="69" s="1"/>
  <c r="D267" i="69"/>
  <c r="F267" i="69"/>
  <c r="G267" i="69" s="1"/>
  <c r="D268" i="69"/>
  <c r="F268" i="69"/>
  <c r="M268" i="69" s="1"/>
  <c r="D269" i="69"/>
  <c r="F269" i="69"/>
  <c r="L269" i="69" s="1"/>
  <c r="D270" i="69"/>
  <c r="F270" i="69"/>
  <c r="N270" i="69" s="1"/>
  <c r="D271" i="69"/>
  <c r="F271" i="69"/>
  <c r="G271" i="69" s="1"/>
  <c r="D272" i="69"/>
  <c r="F272" i="69"/>
  <c r="M272" i="69" s="1"/>
  <c r="D273" i="69"/>
  <c r="F273" i="69"/>
  <c r="H273" i="69" s="1"/>
  <c r="D274" i="69"/>
  <c r="F274" i="69"/>
  <c r="K274" i="69" s="1"/>
  <c r="D275" i="69"/>
  <c r="F275" i="69"/>
  <c r="J275" i="69" s="1"/>
  <c r="D276" i="69"/>
  <c r="F276" i="69"/>
  <c r="M276" i="69" s="1"/>
  <c r="D277" i="69"/>
  <c r="F277" i="69"/>
  <c r="D278" i="69"/>
  <c r="F278" i="69"/>
  <c r="N278" i="69" s="1"/>
  <c r="D279" i="69"/>
  <c r="F279" i="69"/>
  <c r="I279" i="69" s="1"/>
  <c r="D280" i="69"/>
  <c r="F280" i="69"/>
  <c r="N280" i="69" s="1"/>
  <c r="D281" i="69"/>
  <c r="F281" i="69"/>
  <c r="H281" i="69" s="1"/>
  <c r="D282" i="69"/>
  <c r="F282" i="69"/>
  <c r="D283" i="69"/>
  <c r="F283" i="69"/>
  <c r="J283" i="69" s="1"/>
  <c r="D284" i="69"/>
  <c r="F284" i="69"/>
  <c r="M284" i="69" s="1"/>
  <c r="D285" i="69"/>
  <c r="F285" i="69"/>
  <c r="L285" i="69" s="1"/>
  <c r="D286" i="69"/>
  <c r="F286" i="69"/>
  <c r="N286" i="69" s="1"/>
  <c r="D287" i="69"/>
  <c r="F287" i="69"/>
  <c r="J287" i="69" s="1"/>
  <c r="D288" i="69"/>
  <c r="F288" i="69"/>
  <c r="M288" i="69" s="1"/>
  <c r="D289" i="69"/>
  <c r="F289" i="69"/>
  <c r="G289" i="69" s="1"/>
  <c r="D290" i="69"/>
  <c r="F290" i="69"/>
  <c r="K290" i="69" s="1"/>
  <c r="D291" i="69"/>
  <c r="F291" i="69"/>
  <c r="G291" i="69" s="1"/>
  <c r="D292" i="69"/>
  <c r="F292" i="69"/>
  <c r="M292" i="69" s="1"/>
  <c r="D293" i="69"/>
  <c r="F293" i="69"/>
  <c r="L293" i="69" s="1"/>
  <c r="D294" i="69"/>
  <c r="F294" i="69"/>
  <c r="N294" i="69" s="1"/>
  <c r="D295" i="69"/>
  <c r="F295" i="69"/>
  <c r="G295" i="69" s="1"/>
  <c r="D296" i="69"/>
  <c r="F296" i="69"/>
  <c r="I296" i="69" s="1"/>
  <c r="D297" i="69"/>
  <c r="F297" i="69"/>
  <c r="K297" i="69" s="1"/>
  <c r="D298" i="69"/>
  <c r="F298" i="69"/>
  <c r="J298" i="69" s="1"/>
  <c r="D299" i="69"/>
  <c r="F299" i="69"/>
  <c r="G299" i="69" s="1"/>
  <c r="D300" i="69"/>
  <c r="F300" i="69"/>
  <c r="J300" i="69" s="1"/>
  <c r="D301" i="69"/>
  <c r="F301" i="69"/>
  <c r="D302" i="69"/>
  <c r="F302" i="69"/>
  <c r="H302" i="69" s="1"/>
  <c r="D303" i="69"/>
  <c r="F303" i="69"/>
  <c r="L303" i="69" s="1"/>
  <c r="D304" i="69"/>
  <c r="F304" i="69"/>
  <c r="G304" i="69" s="1"/>
  <c r="D305" i="69"/>
  <c r="F305" i="69"/>
  <c r="I305" i="69" s="1"/>
  <c r="Q305" i="69"/>
  <c r="D306" i="69"/>
  <c r="F306" i="69"/>
  <c r="D307" i="69"/>
  <c r="F307" i="69"/>
  <c r="H307" i="69" s="1"/>
  <c r="D308" i="69"/>
  <c r="F308" i="69"/>
  <c r="H308" i="69" s="1"/>
  <c r="D309" i="69"/>
  <c r="F309" i="69"/>
  <c r="G309" i="69" s="1"/>
  <c r="D310" i="69"/>
  <c r="F310" i="69"/>
  <c r="Q310" i="69" s="1"/>
  <c r="D311" i="69"/>
  <c r="F311" i="69"/>
  <c r="J311" i="69" s="1"/>
  <c r="H311" i="69"/>
  <c r="D312" i="69"/>
  <c r="F312" i="69"/>
  <c r="G312" i="69" s="1"/>
  <c r="D313" i="69"/>
  <c r="F313" i="69"/>
  <c r="L313" i="69" s="1"/>
  <c r="D314" i="69"/>
  <c r="F314" i="69"/>
  <c r="I314" i="69" s="1"/>
  <c r="D315" i="69"/>
  <c r="F315" i="69"/>
  <c r="J315" i="69" s="1"/>
  <c r="D316" i="69"/>
  <c r="F316" i="69"/>
  <c r="K316" i="69" s="1"/>
  <c r="D317" i="69"/>
  <c r="F317" i="69"/>
  <c r="G317" i="69" s="1"/>
  <c r="D318" i="69"/>
  <c r="F318" i="69"/>
  <c r="I318" i="69" s="1"/>
  <c r="D319" i="69"/>
  <c r="F319" i="69"/>
  <c r="L319" i="69" s="1"/>
  <c r="D320" i="69"/>
  <c r="F320" i="69"/>
  <c r="G320" i="69" s="1"/>
  <c r="D321" i="69"/>
  <c r="F321" i="69"/>
  <c r="D322" i="69"/>
  <c r="F322" i="69"/>
  <c r="G322" i="69" s="1"/>
  <c r="D323" i="69"/>
  <c r="F323" i="69"/>
  <c r="H323" i="69" s="1"/>
  <c r="D324" i="69"/>
  <c r="F324" i="69"/>
  <c r="L324" i="69" s="1"/>
  <c r="D325" i="69"/>
  <c r="F325" i="69"/>
  <c r="D326" i="69"/>
  <c r="F326" i="69"/>
  <c r="I326" i="69" s="1"/>
  <c r="D327" i="69"/>
  <c r="F327" i="69"/>
  <c r="L327" i="69" s="1"/>
  <c r="D328" i="69"/>
  <c r="F328" i="69"/>
  <c r="G328" i="69" s="1"/>
  <c r="D329" i="69"/>
  <c r="F329" i="69"/>
  <c r="J329" i="69" s="1"/>
  <c r="D331" i="69"/>
  <c r="F331" i="69"/>
  <c r="L331" i="69" s="1"/>
  <c r="D332" i="69"/>
  <c r="F332" i="69"/>
  <c r="D333" i="69"/>
  <c r="F333" i="69"/>
  <c r="K333" i="69" s="1"/>
  <c r="D334" i="69"/>
  <c r="F334" i="69"/>
  <c r="P334" i="69" s="1"/>
  <c r="D335" i="69"/>
  <c r="F335" i="69"/>
  <c r="I335" i="69" s="1"/>
  <c r="D336" i="69"/>
  <c r="F336" i="69"/>
  <c r="L336" i="69" s="1"/>
  <c r="I336" i="69"/>
  <c r="D337" i="69"/>
  <c r="F337" i="69"/>
  <c r="G337" i="69" s="1"/>
  <c r="D338" i="69"/>
  <c r="F338" i="69"/>
  <c r="J338" i="69" s="1"/>
  <c r="D339" i="69"/>
  <c r="F339" i="69"/>
  <c r="K339" i="69" s="1"/>
  <c r="D340" i="69"/>
  <c r="F340" i="69"/>
  <c r="H340" i="69" s="1"/>
  <c r="D341" i="69"/>
  <c r="F341" i="69"/>
  <c r="K341" i="69" s="1"/>
  <c r="D342" i="69"/>
  <c r="F342" i="69"/>
  <c r="G342" i="69" s="1"/>
  <c r="D343" i="69"/>
  <c r="F343" i="69"/>
  <c r="I343" i="69" s="1"/>
  <c r="D344" i="69"/>
  <c r="F344" i="69"/>
  <c r="L344" i="69" s="1"/>
  <c r="D345" i="69"/>
  <c r="F345" i="69"/>
  <c r="G345" i="69" s="1"/>
  <c r="D346" i="69"/>
  <c r="F346" i="69"/>
  <c r="J346" i="69" s="1"/>
  <c r="D347" i="69"/>
  <c r="F347" i="69"/>
  <c r="N347" i="69" s="1"/>
  <c r="D348" i="69"/>
  <c r="F348" i="69"/>
  <c r="H348" i="69" s="1"/>
  <c r="D349" i="69"/>
  <c r="F349" i="69"/>
  <c r="L349" i="69" s="1"/>
  <c r="D350" i="69"/>
  <c r="F350" i="69"/>
  <c r="G350" i="69" s="1"/>
  <c r="D351" i="69"/>
  <c r="F351" i="69"/>
  <c r="D352" i="69"/>
  <c r="F352" i="69"/>
  <c r="L352" i="69" s="1"/>
  <c r="D353" i="69"/>
  <c r="F353" i="69"/>
  <c r="G353" i="69" s="1"/>
  <c r="D354" i="69"/>
  <c r="F354" i="69"/>
  <c r="J354" i="69" s="1"/>
  <c r="D355" i="69"/>
  <c r="F355" i="69"/>
  <c r="M355" i="69" s="1"/>
  <c r="D356" i="69"/>
  <c r="F356" i="69"/>
  <c r="H356" i="69" s="1"/>
  <c r="D357" i="69"/>
  <c r="F357" i="69"/>
  <c r="L357" i="69" s="1"/>
  <c r="D358" i="69"/>
  <c r="F358" i="69"/>
  <c r="G358" i="69" s="1"/>
  <c r="D359" i="69"/>
  <c r="F359" i="69"/>
  <c r="I359" i="69" s="1"/>
  <c r="D360" i="69"/>
  <c r="F360" i="69"/>
  <c r="D361" i="69"/>
  <c r="F361" i="69"/>
  <c r="N361" i="69" s="1"/>
  <c r="D362" i="69"/>
  <c r="F362" i="69"/>
  <c r="J362" i="69" s="1"/>
  <c r="D363" i="69"/>
  <c r="F363" i="69"/>
  <c r="L363" i="69" s="1"/>
  <c r="H363" i="69"/>
  <c r="K363" i="69"/>
  <c r="D364" i="69"/>
  <c r="F364" i="69"/>
  <c r="D365" i="69"/>
  <c r="F365" i="69"/>
  <c r="L365" i="69" s="1"/>
  <c r="D366" i="69"/>
  <c r="F366" i="69"/>
  <c r="G366" i="69" s="1"/>
  <c r="M366" i="69"/>
  <c r="D367" i="69"/>
  <c r="F367" i="69"/>
  <c r="I367" i="69" s="1"/>
  <c r="D368" i="69"/>
  <c r="F368" i="69"/>
  <c r="L368" i="69" s="1"/>
  <c r="D369" i="69"/>
  <c r="F369" i="69"/>
  <c r="N369" i="69" s="1"/>
  <c r="D370" i="69"/>
  <c r="F370" i="69"/>
  <c r="J370" i="69" s="1"/>
  <c r="D371" i="69"/>
  <c r="F371" i="69"/>
  <c r="M371" i="69" s="1"/>
  <c r="D372" i="69"/>
  <c r="F372" i="69"/>
  <c r="H372" i="69" s="1"/>
  <c r="D373" i="69"/>
  <c r="F373" i="69"/>
  <c r="K373" i="69" s="1"/>
  <c r="D374" i="69"/>
  <c r="F374" i="69"/>
  <c r="I374" i="69" s="1"/>
  <c r="D375" i="69"/>
  <c r="F375" i="69"/>
  <c r="I375" i="69" s="1"/>
  <c r="D376" i="69"/>
  <c r="F376" i="69"/>
  <c r="L376" i="69" s="1"/>
  <c r="D377" i="69"/>
  <c r="F377" i="69"/>
  <c r="N377" i="69" s="1"/>
  <c r="D378" i="69"/>
  <c r="F378" i="69"/>
  <c r="N378" i="69" s="1"/>
  <c r="D379" i="69"/>
  <c r="F379" i="69"/>
  <c r="M379" i="69" s="1"/>
  <c r="D380" i="69"/>
  <c r="F380" i="69"/>
  <c r="H380" i="69" s="1"/>
  <c r="D381" i="69"/>
  <c r="F381" i="69"/>
  <c r="K381" i="69" s="1"/>
  <c r="D382" i="69"/>
  <c r="F382" i="69"/>
  <c r="I382" i="69" s="1"/>
  <c r="D383" i="69"/>
  <c r="F383" i="69"/>
  <c r="H383" i="69" s="1"/>
  <c r="D384" i="69"/>
  <c r="F384" i="69"/>
  <c r="L384" i="69" s="1"/>
  <c r="D385" i="69"/>
  <c r="F385" i="69"/>
  <c r="N385" i="69" s="1"/>
  <c r="D386" i="69"/>
  <c r="F386" i="69"/>
  <c r="J386" i="69" s="1"/>
  <c r="D387" i="69"/>
  <c r="F387" i="69"/>
  <c r="K387" i="69" s="1"/>
  <c r="D388" i="69"/>
  <c r="F388" i="69"/>
  <c r="O388" i="69" s="1"/>
  <c r="D389" i="69"/>
  <c r="F389" i="69"/>
  <c r="I389" i="69" s="1"/>
  <c r="D390" i="69"/>
  <c r="F390" i="69"/>
  <c r="L390" i="69" s="1"/>
  <c r="D391" i="69"/>
  <c r="F391" i="69"/>
  <c r="D392" i="69"/>
  <c r="F392" i="69"/>
  <c r="J392" i="69" s="1"/>
  <c r="D393" i="69"/>
  <c r="F393" i="69"/>
  <c r="N393" i="69" s="1"/>
  <c r="D394" i="69"/>
  <c r="F394" i="69"/>
  <c r="H394" i="69" s="1"/>
  <c r="D395" i="69"/>
  <c r="F395" i="69"/>
  <c r="K395" i="69" s="1"/>
  <c r="D396" i="69"/>
  <c r="F396" i="69"/>
  <c r="O396" i="69" s="1"/>
  <c r="D397" i="69"/>
  <c r="F397" i="69"/>
  <c r="G397" i="69" s="1"/>
  <c r="D398" i="69"/>
  <c r="F398" i="69"/>
  <c r="I398" i="69" s="1"/>
  <c r="D399" i="69"/>
  <c r="F399" i="69"/>
  <c r="D400" i="69"/>
  <c r="F400" i="69"/>
  <c r="H400" i="69" s="1"/>
  <c r="D401" i="69"/>
  <c r="F401" i="69"/>
  <c r="N401" i="69" s="1"/>
  <c r="D402" i="69"/>
  <c r="F402" i="69"/>
  <c r="H402" i="69" s="1"/>
  <c r="D403" i="69"/>
  <c r="F403" i="69"/>
  <c r="D404" i="69"/>
  <c r="F404" i="69"/>
  <c r="G404" i="69" s="1"/>
  <c r="D405" i="69"/>
  <c r="F405" i="69"/>
  <c r="P405" i="69" s="1"/>
  <c r="D406" i="69"/>
  <c r="F406" i="69"/>
  <c r="I406" i="69" s="1"/>
  <c r="D407" i="69"/>
  <c r="F407" i="69"/>
  <c r="G407" i="69" s="1"/>
  <c r="D408" i="69"/>
  <c r="F408" i="69"/>
  <c r="H408" i="69" s="1"/>
  <c r="D409" i="69"/>
  <c r="F409" i="69"/>
  <c r="N409" i="69" s="1"/>
  <c r="D410" i="69"/>
  <c r="F410" i="69"/>
  <c r="P410" i="69" s="1"/>
  <c r="D411" i="69"/>
  <c r="F411" i="69"/>
  <c r="I411" i="69" s="1"/>
  <c r="D412" i="69"/>
  <c r="F412" i="69"/>
  <c r="D413" i="69"/>
  <c r="F413" i="69"/>
  <c r="G413" i="69" s="1"/>
  <c r="N413" i="69"/>
  <c r="D414" i="69"/>
  <c r="F414" i="69"/>
  <c r="I414" i="69" s="1"/>
  <c r="D415" i="69"/>
  <c r="F415" i="69"/>
  <c r="G415" i="69" s="1"/>
  <c r="D416" i="69"/>
  <c r="F416" i="69"/>
  <c r="H416" i="69" s="1"/>
  <c r="D417" i="69"/>
  <c r="F417" i="69"/>
  <c r="N417" i="69" s="1"/>
  <c r="D418" i="69"/>
  <c r="F418" i="69"/>
  <c r="I418" i="69" s="1"/>
  <c r="D419" i="69"/>
  <c r="F419" i="69"/>
  <c r="J419" i="69" s="1"/>
  <c r="D420" i="69"/>
  <c r="F420" i="69"/>
  <c r="N420" i="69" s="1"/>
  <c r="D432" i="69"/>
  <c r="F432" i="69"/>
  <c r="I432" i="69" s="1"/>
  <c r="D433" i="69"/>
  <c r="F433" i="69"/>
  <c r="J433" i="69" s="1"/>
  <c r="D434" i="69"/>
  <c r="F434" i="69"/>
  <c r="D435" i="69"/>
  <c r="F435" i="69"/>
  <c r="H435" i="69" s="1"/>
  <c r="D436" i="69"/>
  <c r="F436" i="69"/>
  <c r="D437" i="69"/>
  <c r="F437" i="69"/>
  <c r="H437" i="69" s="1"/>
  <c r="D438" i="69"/>
  <c r="F438" i="69"/>
  <c r="L438" i="69" s="1"/>
  <c r="D439" i="69"/>
  <c r="F439" i="69"/>
  <c r="G439" i="69" s="1"/>
  <c r="D440" i="69"/>
  <c r="F440" i="69"/>
  <c r="I440" i="69" s="1"/>
  <c r="D441" i="69"/>
  <c r="F441" i="69"/>
  <c r="D442" i="69"/>
  <c r="F442" i="69"/>
  <c r="G442" i="69" s="1"/>
  <c r="D443" i="69"/>
  <c r="F443" i="69"/>
  <c r="H443" i="69" s="1"/>
  <c r="D444" i="69"/>
  <c r="F444" i="69"/>
  <c r="M444" i="69" s="1"/>
  <c r="D445" i="69"/>
  <c r="F445" i="69"/>
  <c r="P445" i="69" s="1"/>
  <c r="D446" i="69"/>
  <c r="F446" i="69"/>
  <c r="D447" i="69"/>
  <c r="F447" i="69"/>
  <c r="H447" i="69" s="1"/>
  <c r="D448" i="69"/>
  <c r="F448" i="69"/>
  <c r="M448" i="69" s="1"/>
  <c r="D450" i="69"/>
  <c r="F450" i="69"/>
  <c r="K450" i="69" s="1"/>
  <c r="D451" i="69"/>
  <c r="F451" i="69"/>
  <c r="G451" i="69" s="1"/>
  <c r="D452" i="69"/>
  <c r="F452" i="69"/>
  <c r="H452" i="69" s="1"/>
  <c r="N452" i="69"/>
  <c r="D453" i="69"/>
  <c r="F453" i="69"/>
  <c r="H453" i="69" s="1"/>
  <c r="D454" i="69"/>
  <c r="F454" i="69"/>
  <c r="G454" i="69" s="1"/>
  <c r="F455" i="69"/>
  <c r="O455" i="69" s="1"/>
  <c r="D456" i="69"/>
  <c r="F456" i="69"/>
  <c r="G456" i="69" s="1"/>
  <c r="D457" i="69"/>
  <c r="F457" i="69"/>
  <c r="Q457" i="69" s="1"/>
  <c r="F458" i="69"/>
  <c r="D459" i="69"/>
  <c r="F459" i="69"/>
  <c r="G459" i="69" s="1"/>
  <c r="D460" i="69"/>
  <c r="F460" i="69"/>
  <c r="G460" i="69" s="1"/>
  <c r="D461" i="69"/>
  <c r="F461" i="69"/>
  <c r="O461" i="69" s="1"/>
  <c r="D462" i="69"/>
  <c r="F462" i="69"/>
  <c r="M462" i="69" s="1"/>
  <c r="L462" i="69"/>
  <c r="D463" i="69"/>
  <c r="F463" i="69"/>
  <c r="O463" i="69" s="1"/>
  <c r="D464" i="69"/>
  <c r="F464" i="69"/>
  <c r="H464" i="69" s="1"/>
  <c r="D465" i="69"/>
  <c r="F465" i="69"/>
  <c r="K465" i="69" s="1"/>
  <c r="D466" i="69"/>
  <c r="F466" i="69"/>
  <c r="G466" i="69" s="1"/>
  <c r="D468" i="69"/>
  <c r="F468" i="69"/>
  <c r="I468" i="69" s="1"/>
  <c r="D469" i="69"/>
  <c r="F469" i="69"/>
  <c r="L469" i="69" s="1"/>
  <c r="D470" i="69"/>
  <c r="F470" i="69"/>
  <c r="Q470" i="69" s="1"/>
  <c r="D471" i="69"/>
  <c r="F471" i="69"/>
  <c r="O471" i="69" s="1"/>
  <c r="D472" i="69"/>
  <c r="F472" i="69"/>
  <c r="G472" i="69" s="1"/>
  <c r="D473" i="69"/>
  <c r="F473" i="69"/>
  <c r="M473" i="69" s="1"/>
  <c r="D474" i="69"/>
  <c r="F474" i="69"/>
  <c r="D475" i="69"/>
  <c r="F475" i="69"/>
  <c r="N475" i="69" s="1"/>
  <c r="D476" i="69"/>
  <c r="F476" i="69"/>
  <c r="D3" i="68"/>
  <c r="F3" i="68"/>
  <c r="D4" i="68"/>
  <c r="F4" i="68"/>
  <c r="D5" i="68"/>
  <c r="F5" i="68"/>
  <c r="M5" i="68" s="1"/>
  <c r="D6" i="68"/>
  <c r="F6" i="68"/>
  <c r="O6" i="68" s="1"/>
  <c r="D7" i="68"/>
  <c r="F7" i="68"/>
  <c r="L7" i="68" s="1"/>
  <c r="O7" i="68"/>
  <c r="D8" i="68"/>
  <c r="F8" i="68"/>
  <c r="H8" i="68" s="1"/>
  <c r="D9" i="68"/>
  <c r="F9" i="68"/>
  <c r="D10" i="68"/>
  <c r="F10" i="68"/>
  <c r="L10" i="68" s="1"/>
  <c r="D11" i="68"/>
  <c r="F11" i="68"/>
  <c r="I11" i="68" s="1"/>
  <c r="L11" i="68"/>
  <c r="O11" i="68"/>
  <c r="D12" i="68"/>
  <c r="F12" i="68"/>
  <c r="D13" i="68"/>
  <c r="F13" i="68"/>
  <c r="H13" i="68" s="1"/>
  <c r="P13" i="68"/>
  <c r="D14" i="68"/>
  <c r="F14" i="68"/>
  <c r="L14" i="68" s="1"/>
  <c r="D15" i="68"/>
  <c r="F15" i="68"/>
  <c r="Q15" i="68" s="1"/>
  <c r="D16" i="68"/>
  <c r="F16" i="68"/>
  <c r="M16" i="68" s="1"/>
  <c r="D17" i="68"/>
  <c r="F17" i="68"/>
  <c r="O17" i="68" s="1"/>
  <c r="D18" i="68"/>
  <c r="F18" i="68"/>
  <c r="D19" i="68"/>
  <c r="F19" i="68"/>
  <c r="O19" i="68" s="1"/>
  <c r="D20" i="68"/>
  <c r="F20" i="68"/>
  <c r="G20" i="68" s="1"/>
  <c r="L20" i="68"/>
  <c r="D21" i="68"/>
  <c r="F21" i="68"/>
  <c r="I21" i="68" s="1"/>
  <c r="D22" i="68"/>
  <c r="F22" i="68"/>
  <c r="G22" i="68" s="1"/>
  <c r="D23" i="68"/>
  <c r="F23" i="68"/>
  <c r="K23" i="68" s="1"/>
  <c r="D24" i="68"/>
  <c r="F24" i="68"/>
  <c r="D25" i="68"/>
  <c r="F25" i="68"/>
  <c r="H25" i="68" s="1"/>
  <c r="D26" i="68"/>
  <c r="F26" i="68"/>
  <c r="G26" i="68" s="1"/>
  <c r="K26" i="68"/>
  <c r="O26" i="68"/>
  <c r="D27" i="68"/>
  <c r="F27" i="68"/>
  <c r="G27" i="68" s="1"/>
  <c r="I27" i="68"/>
  <c r="M27" i="68"/>
  <c r="N27" i="68"/>
  <c r="O27" i="68"/>
  <c r="D28" i="68"/>
  <c r="F28" i="68"/>
  <c r="O28" i="68" s="1"/>
  <c r="Q28" i="68"/>
  <c r="D29" i="68"/>
  <c r="F29" i="68"/>
  <c r="M29" i="68" s="1"/>
  <c r="D30" i="68"/>
  <c r="F30" i="68"/>
  <c r="D31" i="68"/>
  <c r="F31" i="68"/>
  <c r="D32" i="68"/>
  <c r="F32" i="68"/>
  <c r="N32" i="68" s="1"/>
  <c r="J32" i="68"/>
  <c r="K32" i="68"/>
  <c r="L32" i="68"/>
  <c r="D33" i="68"/>
  <c r="F33" i="68"/>
  <c r="J33" i="68" s="1"/>
  <c r="D34" i="68"/>
  <c r="F34" i="68"/>
  <c r="J34" i="68" s="1"/>
  <c r="D35" i="68"/>
  <c r="F35" i="68"/>
  <c r="G35" i="68" s="1"/>
  <c r="D36" i="68"/>
  <c r="F36" i="68"/>
  <c r="M36" i="68" s="1"/>
  <c r="D37" i="68"/>
  <c r="F37" i="68"/>
  <c r="M37" i="68" s="1"/>
  <c r="D38" i="68"/>
  <c r="F38" i="68"/>
  <c r="K38" i="68" s="1"/>
  <c r="D39" i="68"/>
  <c r="F39" i="68"/>
  <c r="D40" i="68"/>
  <c r="F40" i="68"/>
  <c r="K40" i="68" s="1"/>
  <c r="Q40" i="68"/>
  <c r="D41" i="68"/>
  <c r="F41" i="68"/>
  <c r="I41" i="68" s="1"/>
  <c r="D42" i="68"/>
  <c r="F42" i="68"/>
  <c r="L42" i="68" s="1"/>
  <c r="D43" i="68"/>
  <c r="F43" i="68"/>
  <c r="G43" i="68" s="1"/>
  <c r="D44" i="68"/>
  <c r="F44" i="68"/>
  <c r="D45" i="68"/>
  <c r="F45" i="68"/>
  <c r="J45" i="68" s="1"/>
  <c r="M45" i="68"/>
  <c r="D46" i="68"/>
  <c r="F46" i="68"/>
  <c r="Q46" i="68" s="1"/>
  <c r="D47" i="68"/>
  <c r="F47" i="68"/>
  <c r="O47" i="68" s="1"/>
  <c r="D48" i="68"/>
  <c r="F48" i="68"/>
  <c r="K48" i="68" s="1"/>
  <c r="D49" i="68"/>
  <c r="F49" i="68"/>
  <c r="I49" i="68" s="1"/>
  <c r="H49" i="68"/>
  <c r="D50" i="68"/>
  <c r="F50" i="68"/>
  <c r="H50" i="68" s="1"/>
  <c r="D51" i="68"/>
  <c r="F51" i="68"/>
  <c r="D52" i="68"/>
  <c r="F52" i="68"/>
  <c r="N52" i="68" s="1"/>
  <c r="D53" i="68"/>
  <c r="F53" i="68"/>
  <c r="J53" i="68" s="1"/>
  <c r="N53" i="68"/>
  <c r="D54" i="68"/>
  <c r="F54" i="68"/>
  <c r="L54" i="68" s="1"/>
  <c r="D55" i="68"/>
  <c r="F55" i="68"/>
  <c r="G55" i="68" s="1"/>
  <c r="D56" i="68"/>
  <c r="F56" i="68"/>
  <c r="K56" i="68" s="1"/>
  <c r="D57" i="68"/>
  <c r="F57" i="68"/>
  <c r="H57" i="68" s="1"/>
  <c r="D58" i="68"/>
  <c r="F58" i="68"/>
  <c r="K58" i="68" s="1"/>
  <c r="M58" i="68"/>
  <c r="P58" i="68"/>
  <c r="D59" i="68"/>
  <c r="F59" i="68"/>
  <c r="G59" i="68" s="1"/>
  <c r="D60" i="68"/>
  <c r="F60" i="68"/>
  <c r="G60" i="68" s="1"/>
  <c r="D61" i="68"/>
  <c r="F61" i="68"/>
  <c r="D62" i="68"/>
  <c r="F62" i="68"/>
  <c r="G62" i="68" s="1"/>
  <c r="D63" i="68"/>
  <c r="F63" i="68"/>
  <c r="O63" i="68" s="1"/>
  <c r="D64" i="68"/>
  <c r="F64" i="68"/>
  <c r="G64" i="68" s="1"/>
  <c r="D65" i="68"/>
  <c r="F65" i="68"/>
  <c r="G65" i="68" s="1"/>
  <c r="H65" i="68"/>
  <c r="Q65" i="68"/>
  <c r="D66" i="68"/>
  <c r="F66" i="68"/>
  <c r="K66" i="68" s="1"/>
  <c r="D67" i="68"/>
  <c r="F67" i="68"/>
  <c r="G67" i="68" s="1"/>
  <c r="N67" i="68"/>
  <c r="D68" i="68"/>
  <c r="F68" i="68"/>
  <c r="G68" i="68" s="1"/>
  <c r="D69" i="68"/>
  <c r="F69" i="68"/>
  <c r="D70" i="68"/>
  <c r="F70" i="68"/>
  <c r="D71" i="68"/>
  <c r="F71" i="68"/>
  <c r="I71" i="68" s="1"/>
  <c r="D72" i="68"/>
  <c r="F72" i="68"/>
  <c r="G72" i="68" s="1"/>
  <c r="D73" i="68"/>
  <c r="F73" i="68"/>
  <c r="G73" i="68" s="1"/>
  <c r="D74" i="68"/>
  <c r="F74" i="68"/>
  <c r="H74" i="68" s="1"/>
  <c r="D75" i="68"/>
  <c r="F75" i="68"/>
  <c r="D76" i="68"/>
  <c r="F76" i="68"/>
  <c r="G76" i="68" s="1"/>
  <c r="N76" i="68"/>
  <c r="D77" i="68"/>
  <c r="F77" i="68"/>
  <c r="M77" i="68" s="1"/>
  <c r="D78" i="68"/>
  <c r="F78" i="68"/>
  <c r="Q78" i="68" s="1"/>
  <c r="D79" i="68"/>
  <c r="F79" i="68"/>
  <c r="M79" i="68" s="1"/>
  <c r="O79" i="68"/>
  <c r="D80" i="68"/>
  <c r="F80" i="68"/>
  <c r="G80" i="68" s="1"/>
  <c r="D81" i="68"/>
  <c r="F81" i="68"/>
  <c r="H81" i="68" s="1"/>
  <c r="D82" i="68"/>
  <c r="F82" i="68"/>
  <c r="I82" i="68" s="1"/>
  <c r="D83" i="68"/>
  <c r="F83" i="68"/>
  <c r="L83" i="68" s="1"/>
  <c r="D84" i="68"/>
  <c r="F84" i="68"/>
  <c r="G84" i="68" s="1"/>
  <c r="D85" i="68"/>
  <c r="F85" i="68"/>
  <c r="M85" i="68" s="1"/>
  <c r="D86" i="68"/>
  <c r="F86" i="68"/>
  <c r="P86" i="68" s="1"/>
  <c r="D87" i="68"/>
  <c r="F87" i="68"/>
  <c r="N87" i="68" s="1"/>
  <c r="G87" i="68"/>
  <c r="O87" i="68"/>
  <c r="D88" i="68"/>
  <c r="F88" i="68"/>
  <c r="G88" i="68" s="1"/>
  <c r="D89" i="68"/>
  <c r="F89" i="68"/>
  <c r="H89" i="68" s="1"/>
  <c r="D90" i="68"/>
  <c r="F90" i="68"/>
  <c r="P90" i="68" s="1"/>
  <c r="D91" i="68"/>
  <c r="F91" i="68"/>
  <c r="P91" i="68" s="1"/>
  <c r="D92" i="68"/>
  <c r="F92" i="68"/>
  <c r="D93" i="68"/>
  <c r="F93" i="68"/>
  <c r="D94" i="68"/>
  <c r="F94" i="68"/>
  <c r="Q94" i="68" s="1"/>
  <c r="D95" i="68"/>
  <c r="F95" i="68"/>
  <c r="M95" i="68" s="1"/>
  <c r="G95" i="68"/>
  <c r="I95" i="68"/>
  <c r="J95" i="68"/>
  <c r="N95" i="68"/>
  <c r="O95" i="68"/>
  <c r="Q95" i="68"/>
  <c r="D96" i="68"/>
  <c r="F96" i="68"/>
  <c r="N96" i="68" s="1"/>
  <c r="D97" i="68"/>
  <c r="F97" i="68"/>
  <c r="G97" i="68" s="1"/>
  <c r="M97" i="68"/>
  <c r="Q97" i="68"/>
  <c r="D98" i="68"/>
  <c r="F98" i="68"/>
  <c r="I98" i="68" s="1"/>
  <c r="H98" i="68"/>
  <c r="L98" i="68"/>
  <c r="D99" i="68"/>
  <c r="F99" i="68"/>
  <c r="L99" i="68" s="1"/>
  <c r="D100" i="68"/>
  <c r="F100" i="68"/>
  <c r="K100" i="68" s="1"/>
  <c r="D101" i="68"/>
  <c r="F101" i="68"/>
  <c r="M101" i="68" s="1"/>
  <c r="D102" i="68"/>
  <c r="F102" i="68"/>
  <c r="D103" i="68"/>
  <c r="F103" i="68"/>
  <c r="I103" i="68" s="1"/>
  <c r="L103" i="68"/>
  <c r="D104" i="68"/>
  <c r="F104" i="68"/>
  <c r="J104" i="68" s="1"/>
  <c r="D105" i="68"/>
  <c r="F105" i="68"/>
  <c r="H105" i="68" s="1"/>
  <c r="D106" i="68"/>
  <c r="F106" i="68"/>
  <c r="D107" i="68"/>
  <c r="F107" i="68"/>
  <c r="L107" i="68" s="1"/>
  <c r="D108" i="68"/>
  <c r="F108" i="68"/>
  <c r="K108" i="68" s="1"/>
  <c r="D109" i="68"/>
  <c r="F109" i="68"/>
  <c r="D110" i="68"/>
  <c r="F110" i="68"/>
  <c r="H110" i="68" s="1"/>
  <c r="O110" i="68"/>
  <c r="D111" i="68"/>
  <c r="F111" i="68"/>
  <c r="G111" i="68" s="1"/>
  <c r="D112" i="68"/>
  <c r="F112" i="68"/>
  <c r="D113" i="68"/>
  <c r="F113" i="68"/>
  <c r="I113" i="68" s="1"/>
  <c r="J113" i="68"/>
  <c r="D114" i="68"/>
  <c r="F114" i="68"/>
  <c r="D115" i="68"/>
  <c r="F115" i="68"/>
  <c r="N115" i="68" s="1"/>
  <c r="D116" i="68"/>
  <c r="F116" i="68"/>
  <c r="D117" i="68"/>
  <c r="F117" i="68"/>
  <c r="Q117" i="68" s="1"/>
  <c r="D118" i="68"/>
  <c r="F118" i="68"/>
  <c r="D119" i="68"/>
  <c r="F119" i="68"/>
  <c r="H119" i="68" s="1"/>
  <c r="K119" i="68"/>
  <c r="L119" i="68"/>
  <c r="O119" i="68"/>
  <c r="D120" i="68"/>
  <c r="F120" i="68"/>
  <c r="N120" i="68" s="1"/>
  <c r="M120" i="68"/>
  <c r="D121" i="68"/>
  <c r="F121" i="68"/>
  <c r="D122" i="68"/>
  <c r="F122" i="68"/>
  <c r="I122" i="68" s="1"/>
  <c r="L122" i="68"/>
  <c r="D123" i="68"/>
  <c r="F123" i="68"/>
  <c r="D124" i="68"/>
  <c r="F124" i="68"/>
  <c r="I124" i="68" s="1"/>
  <c r="D125" i="68"/>
  <c r="F125" i="68"/>
  <c r="Q125" i="68"/>
  <c r="D126" i="68"/>
  <c r="F126" i="68"/>
  <c r="J126" i="68" s="1"/>
  <c r="N126" i="68"/>
  <c r="D127" i="68"/>
  <c r="F127" i="68"/>
  <c r="G127" i="68" s="1"/>
  <c r="J127" i="68"/>
  <c r="D128" i="68"/>
  <c r="F128" i="68"/>
  <c r="G128" i="68" s="1"/>
  <c r="D129" i="68"/>
  <c r="F129" i="68"/>
  <c r="J129" i="68" s="1"/>
  <c r="D130" i="68"/>
  <c r="F130" i="68"/>
  <c r="H130" i="68" s="1"/>
  <c r="L130" i="68"/>
  <c r="D131" i="68"/>
  <c r="F131" i="68"/>
  <c r="D132" i="68"/>
  <c r="F132" i="68"/>
  <c r="I132" i="68" s="1"/>
  <c r="D133" i="68"/>
  <c r="F133" i="68"/>
  <c r="G133" i="68"/>
  <c r="D134" i="68"/>
  <c r="F134" i="68"/>
  <c r="H134" i="68" s="1"/>
  <c r="D135" i="68"/>
  <c r="F135" i="68"/>
  <c r="I135" i="68" s="1"/>
  <c r="D136" i="68"/>
  <c r="F136" i="68"/>
  <c r="D137" i="68"/>
  <c r="F137" i="68"/>
  <c r="P137" i="68" s="1"/>
  <c r="D138" i="68"/>
  <c r="F138" i="68"/>
  <c r="L138" i="68" s="1"/>
  <c r="D139" i="68"/>
  <c r="F139" i="68"/>
  <c r="G139" i="68" s="1"/>
  <c r="D140" i="68"/>
  <c r="F140" i="68"/>
  <c r="I140" i="68" s="1"/>
  <c r="D141" i="68"/>
  <c r="F141" i="68"/>
  <c r="D142" i="68"/>
  <c r="F142" i="68"/>
  <c r="D143" i="68"/>
  <c r="F143" i="68"/>
  <c r="G143" i="68" s="1"/>
  <c r="D144" i="68"/>
  <c r="F144" i="68"/>
  <c r="G144" i="68" s="1"/>
  <c r="D145" i="68"/>
  <c r="F145" i="68"/>
  <c r="H145" i="68" s="1"/>
  <c r="D146" i="68"/>
  <c r="F146" i="68"/>
  <c r="M146" i="68" s="1"/>
  <c r="D147" i="68"/>
  <c r="F147" i="68"/>
  <c r="G147" i="68" s="1"/>
  <c r="D148" i="68"/>
  <c r="F148" i="68"/>
  <c r="K148" i="68" s="1"/>
  <c r="D149" i="68"/>
  <c r="F149" i="68"/>
  <c r="G149" i="68" s="1"/>
  <c r="D150" i="68"/>
  <c r="F150" i="68"/>
  <c r="D151" i="68"/>
  <c r="F151" i="68"/>
  <c r="J151" i="68" s="1"/>
  <c r="D152" i="68"/>
  <c r="F152" i="68"/>
  <c r="H152" i="68" s="1"/>
  <c r="D153" i="68"/>
  <c r="F153" i="68"/>
  <c r="J153" i="68" s="1"/>
  <c r="I153" i="68"/>
  <c r="M153" i="68"/>
  <c r="N153" i="68"/>
  <c r="P153" i="68"/>
  <c r="Q153" i="68"/>
  <c r="D154" i="68"/>
  <c r="F154" i="68"/>
  <c r="H154" i="68" s="1"/>
  <c r="D155" i="68"/>
  <c r="F155" i="68"/>
  <c r="G155" i="68" s="1"/>
  <c r="D156" i="68"/>
  <c r="F156" i="68"/>
  <c r="N156" i="68" s="1"/>
  <c r="D157" i="68"/>
  <c r="F157" i="68"/>
  <c r="N157" i="68" s="1"/>
  <c r="D158" i="68"/>
  <c r="F158" i="68"/>
  <c r="P158" i="68" s="1"/>
  <c r="J158" i="68"/>
  <c r="D159" i="68"/>
  <c r="F159" i="68"/>
  <c r="D160" i="68"/>
  <c r="F160" i="68"/>
  <c r="G160" i="68" s="1"/>
  <c r="D161" i="68"/>
  <c r="F161" i="68"/>
  <c r="G161" i="68" s="1"/>
  <c r="D162" i="68"/>
  <c r="F162" i="68"/>
  <c r="D163" i="68"/>
  <c r="F163" i="68"/>
  <c r="L163" i="68" s="1"/>
  <c r="D164" i="68"/>
  <c r="F164" i="68"/>
  <c r="D165" i="68"/>
  <c r="F165" i="68"/>
  <c r="D166" i="68"/>
  <c r="F166" i="68"/>
  <c r="I166" i="68" s="1"/>
  <c r="Q166" i="68"/>
  <c r="D167" i="68"/>
  <c r="F167" i="68"/>
  <c r="O167" i="68" s="1"/>
  <c r="D168" i="68"/>
  <c r="F168" i="68"/>
  <c r="J168" i="68" s="1"/>
  <c r="D169" i="68"/>
  <c r="F169" i="68"/>
  <c r="G169" i="68" s="1"/>
  <c r="D170" i="68"/>
  <c r="F170" i="68"/>
  <c r="D171" i="68"/>
  <c r="F171" i="68"/>
  <c r="G171" i="68" s="1"/>
  <c r="M171" i="68"/>
  <c r="D172" i="68"/>
  <c r="F172" i="68"/>
  <c r="G172" i="68" s="1"/>
  <c r="D173" i="68"/>
  <c r="F173" i="68"/>
  <c r="I173" i="68" s="1"/>
  <c r="D174" i="68"/>
  <c r="F174" i="68"/>
  <c r="I174" i="68" s="1"/>
  <c r="L174" i="68"/>
  <c r="Q174" i="68"/>
  <c r="D175" i="68"/>
  <c r="F175" i="68"/>
  <c r="H175" i="68" s="1"/>
  <c r="D176" i="68"/>
  <c r="F176" i="68"/>
  <c r="J176" i="68" s="1"/>
  <c r="D177" i="68"/>
  <c r="F177" i="68"/>
  <c r="D178" i="68"/>
  <c r="F178" i="68"/>
  <c r="D179" i="68"/>
  <c r="F179" i="68"/>
  <c r="O179" i="68" s="1"/>
  <c r="I179" i="68"/>
  <c r="M179" i="68"/>
  <c r="D180" i="68"/>
  <c r="F180" i="68"/>
  <c r="D181" i="68"/>
  <c r="F181" i="68"/>
  <c r="H181" i="68" s="1"/>
  <c r="D182" i="68"/>
  <c r="F182" i="68"/>
  <c r="H182" i="68" s="1"/>
  <c r="Q182" i="68"/>
  <c r="D183" i="68"/>
  <c r="F183" i="68"/>
  <c r="K183" i="68" s="1"/>
  <c r="D184" i="68"/>
  <c r="F184" i="68"/>
  <c r="J184" i="68" s="1"/>
  <c r="D185" i="68"/>
  <c r="F185" i="68"/>
  <c r="J185" i="68" s="1"/>
  <c r="G185" i="68"/>
  <c r="I185" i="68"/>
  <c r="K185" i="68"/>
  <c r="L185" i="68"/>
  <c r="M185" i="68"/>
  <c r="N185" i="68"/>
  <c r="O185" i="68"/>
  <c r="P185" i="68"/>
  <c r="D186" i="68"/>
  <c r="F186" i="68"/>
  <c r="N186" i="68" s="1"/>
  <c r="G186" i="68"/>
  <c r="D187" i="68"/>
  <c r="F187" i="68"/>
  <c r="K187" i="68" s="1"/>
  <c r="J187" i="68"/>
  <c r="P187" i="68"/>
  <c r="D188" i="68"/>
  <c r="F188" i="68"/>
  <c r="G188" i="68" s="1"/>
  <c r="D189" i="68"/>
  <c r="F189" i="68"/>
  <c r="H189" i="68" s="1"/>
  <c r="D190" i="68"/>
  <c r="F190" i="68"/>
  <c r="H190" i="68" s="1"/>
  <c r="D191" i="68"/>
  <c r="F191" i="68"/>
  <c r="G191" i="68" s="1"/>
  <c r="D192" i="68"/>
  <c r="F192" i="68"/>
  <c r="D193" i="68"/>
  <c r="F193" i="68"/>
  <c r="I193" i="68" s="1"/>
  <c r="D194" i="68"/>
  <c r="F194" i="68"/>
  <c r="D195" i="68"/>
  <c r="F195" i="68"/>
  <c r="G195" i="68" s="1"/>
  <c r="I195" i="68"/>
  <c r="J195" i="68"/>
  <c r="D196" i="68"/>
  <c r="F196" i="68"/>
  <c r="D197" i="68"/>
  <c r="F197" i="68"/>
  <c r="D198" i="68"/>
  <c r="F198" i="68"/>
  <c r="D199" i="68"/>
  <c r="F199" i="68"/>
  <c r="D200" i="68"/>
  <c r="F200" i="68"/>
  <c r="D201" i="68"/>
  <c r="F201" i="68"/>
  <c r="D202" i="68"/>
  <c r="F202" i="68"/>
  <c r="D203" i="68"/>
  <c r="F203" i="68"/>
  <c r="P203" i="68" s="1"/>
  <c r="D204" i="68"/>
  <c r="F204" i="68"/>
  <c r="G204" i="68" s="1"/>
  <c r="D205" i="68"/>
  <c r="F205" i="68"/>
  <c r="J205" i="68" s="1"/>
  <c r="D206" i="68"/>
  <c r="F206" i="68"/>
  <c r="M206" i="68" s="1"/>
  <c r="K206" i="68"/>
  <c r="D207" i="68"/>
  <c r="F207" i="68"/>
  <c r="D208" i="68"/>
  <c r="F208" i="68"/>
  <c r="J208" i="68" s="1"/>
  <c r="D209" i="68"/>
  <c r="F209" i="68"/>
  <c r="H209" i="68" s="1"/>
  <c r="O209" i="68"/>
  <c r="D210" i="68"/>
  <c r="F210" i="68"/>
  <c r="I210" i="68" s="1"/>
  <c r="O210" i="68"/>
  <c r="D211" i="68"/>
  <c r="F211" i="68"/>
  <c r="L211" i="68" s="1"/>
  <c r="N211" i="68"/>
  <c r="D212" i="68"/>
  <c r="F212" i="68"/>
  <c r="G212" i="68" s="1"/>
  <c r="D213" i="68"/>
  <c r="F213" i="68"/>
  <c r="J213" i="68" s="1"/>
  <c r="D214" i="68"/>
  <c r="F214" i="68"/>
  <c r="M214" i="68" s="1"/>
  <c r="D215" i="68"/>
  <c r="F215" i="68"/>
  <c r="G215" i="68" s="1"/>
  <c r="D216" i="68"/>
  <c r="F216" i="68"/>
  <c r="D217" i="68"/>
  <c r="F217" i="68"/>
  <c r="K217" i="68" s="1"/>
  <c r="I217" i="68"/>
  <c r="D218" i="68"/>
  <c r="F218" i="68"/>
  <c r="I218" i="68" s="1"/>
  <c r="D219" i="68"/>
  <c r="F219" i="68"/>
  <c r="L219" i="68" s="1"/>
  <c r="D220" i="68"/>
  <c r="F220" i="68"/>
  <c r="G220" i="68" s="1"/>
  <c r="D221" i="68"/>
  <c r="F221" i="68"/>
  <c r="J221" i="68" s="1"/>
  <c r="D222" i="68"/>
  <c r="F222" i="68"/>
  <c r="M222" i="68" s="1"/>
  <c r="D223" i="68"/>
  <c r="F223" i="68"/>
  <c r="G223" i="68" s="1"/>
  <c r="D224" i="68"/>
  <c r="F224" i="68"/>
  <c r="K224" i="68" s="1"/>
  <c r="J224" i="68"/>
  <c r="D225" i="68"/>
  <c r="F225" i="68"/>
  <c r="L225" i="68" s="1"/>
  <c r="D226" i="68"/>
  <c r="F226" i="68"/>
  <c r="D227" i="68"/>
  <c r="F227" i="68"/>
  <c r="L227" i="68" s="1"/>
  <c r="D228" i="68"/>
  <c r="F228" i="68"/>
  <c r="G228" i="68" s="1"/>
  <c r="D229" i="68"/>
  <c r="F229" i="68"/>
  <c r="J229" i="68" s="1"/>
  <c r="D230" i="68"/>
  <c r="F230" i="68"/>
  <c r="D231" i="68"/>
  <c r="F231" i="68"/>
  <c r="G231" i="68" s="1"/>
  <c r="D232" i="68"/>
  <c r="F232" i="68"/>
  <c r="K232" i="68" s="1"/>
  <c r="Q232" i="68"/>
  <c r="D233" i="68"/>
  <c r="F233" i="68"/>
  <c r="H233" i="68" s="1"/>
  <c r="D234" i="68"/>
  <c r="F234" i="68"/>
  <c r="I234" i="68" s="1"/>
  <c r="L234" i="68"/>
  <c r="D235" i="68"/>
  <c r="F235" i="68"/>
  <c r="N235" i="68" s="1"/>
  <c r="D236" i="68"/>
  <c r="F236" i="68"/>
  <c r="G236" i="68" s="1"/>
  <c r="D237" i="68"/>
  <c r="F237" i="68"/>
  <c r="D238" i="68"/>
  <c r="F238" i="68"/>
  <c r="D239" i="68"/>
  <c r="F239" i="68"/>
  <c r="G239" i="68" s="1"/>
  <c r="D240" i="68"/>
  <c r="F240" i="68"/>
  <c r="D241" i="68"/>
  <c r="F241" i="68"/>
  <c r="H241" i="68" s="1"/>
  <c r="G241" i="68"/>
  <c r="D242" i="68"/>
  <c r="F242" i="68"/>
  <c r="I242" i="68" s="1"/>
  <c r="D243" i="68"/>
  <c r="F243" i="68"/>
  <c r="D244" i="68"/>
  <c r="F244" i="68"/>
  <c r="G244" i="68" s="1"/>
  <c r="D245" i="68"/>
  <c r="F245" i="68"/>
  <c r="J245" i="68" s="1"/>
  <c r="I245" i="68"/>
  <c r="D246" i="68"/>
  <c r="F246" i="68"/>
  <c r="M246" i="68" s="1"/>
  <c r="D247" i="68"/>
  <c r="F247" i="68"/>
  <c r="H247" i="68" s="1"/>
  <c r="D248" i="68"/>
  <c r="F248" i="68"/>
  <c r="K248" i="68" s="1"/>
  <c r="N248" i="68"/>
  <c r="D249" i="68"/>
  <c r="F249" i="68"/>
  <c r="H249" i="68" s="1"/>
  <c r="M249" i="68"/>
  <c r="D250" i="68"/>
  <c r="F250" i="68"/>
  <c r="I250" i="68" s="1"/>
  <c r="D251" i="68"/>
  <c r="F251" i="68"/>
  <c r="I251" i="68" s="1"/>
  <c r="D252" i="68"/>
  <c r="F252" i="68"/>
  <c r="G252" i="68" s="1"/>
  <c r="D253" i="68"/>
  <c r="F253" i="68"/>
  <c r="J253" i="68" s="1"/>
  <c r="P253" i="68"/>
  <c r="D254" i="68"/>
  <c r="F254" i="68"/>
  <c r="M254" i="68" s="1"/>
  <c r="N254" i="68"/>
  <c r="D255" i="68"/>
  <c r="F255" i="68"/>
  <c r="D256" i="68"/>
  <c r="F256" i="68"/>
  <c r="K256" i="68" s="1"/>
  <c r="D257" i="68"/>
  <c r="F257" i="68"/>
  <c r="H257" i="68" s="1"/>
  <c r="D258" i="68"/>
  <c r="F258" i="68"/>
  <c r="D259" i="68"/>
  <c r="F259" i="68"/>
  <c r="I259" i="68" s="1"/>
  <c r="G259" i="68"/>
  <c r="J259" i="68"/>
  <c r="K259" i="68"/>
  <c r="N259" i="68"/>
  <c r="O259" i="68"/>
  <c r="P259" i="68"/>
  <c r="D260" i="68"/>
  <c r="F260" i="68"/>
  <c r="G260" i="68" s="1"/>
  <c r="D261" i="68"/>
  <c r="F261" i="68"/>
  <c r="J261" i="68" s="1"/>
  <c r="D262" i="68"/>
  <c r="F262" i="68"/>
  <c r="D263" i="68"/>
  <c r="F263" i="68"/>
  <c r="D264" i="68"/>
  <c r="F264" i="68"/>
  <c r="K264" i="68" s="1"/>
  <c r="D265" i="68"/>
  <c r="F265" i="68"/>
  <c r="H265" i="68" s="1"/>
  <c r="M265" i="68"/>
  <c r="O265" i="68"/>
  <c r="D266" i="68"/>
  <c r="F266" i="68"/>
  <c r="I266" i="68" s="1"/>
  <c r="G266" i="68"/>
  <c r="N266" i="68"/>
  <c r="D267" i="68"/>
  <c r="F267" i="68"/>
  <c r="D268" i="68"/>
  <c r="F268" i="68"/>
  <c r="G268" i="68" s="1"/>
  <c r="D269" i="68"/>
  <c r="F269" i="68"/>
  <c r="J269" i="68" s="1"/>
  <c r="D270" i="68"/>
  <c r="F270" i="68"/>
  <c r="M270" i="68" s="1"/>
  <c r="N270" i="68"/>
  <c r="D271" i="68"/>
  <c r="F271" i="68"/>
  <c r="H271" i="68" s="1"/>
  <c r="D272" i="68"/>
  <c r="F272" i="68"/>
  <c r="K272" i="68" s="1"/>
  <c r="D273" i="68"/>
  <c r="F273" i="68"/>
  <c r="H273" i="68" s="1"/>
  <c r="D274" i="68"/>
  <c r="F274" i="68"/>
  <c r="I274" i="68" s="1"/>
  <c r="H274" i="68"/>
  <c r="D275" i="68"/>
  <c r="F275" i="68"/>
  <c r="J275" i="68" s="1"/>
  <c r="D276" i="68"/>
  <c r="F276" i="68"/>
  <c r="G276" i="68" s="1"/>
  <c r="D277" i="68"/>
  <c r="F277" i="68"/>
  <c r="J277" i="68" s="1"/>
  <c r="D278" i="68"/>
  <c r="F278" i="68"/>
  <c r="M278" i="68" s="1"/>
  <c r="D279" i="68"/>
  <c r="F279" i="68"/>
  <c r="H279" i="68" s="1"/>
  <c r="G279" i="68"/>
  <c r="D280" i="68"/>
  <c r="F280" i="68"/>
  <c r="D281" i="68"/>
  <c r="F281" i="68"/>
  <c r="H281" i="68" s="1"/>
  <c r="K281" i="68"/>
  <c r="D282" i="68"/>
  <c r="F282" i="68"/>
  <c r="I282" i="68" s="1"/>
  <c r="D283" i="68"/>
  <c r="F283" i="68"/>
  <c r="D284" i="68"/>
  <c r="F284" i="68"/>
  <c r="D285" i="68"/>
  <c r="F285" i="68"/>
  <c r="J285" i="68" s="1"/>
  <c r="I285" i="68"/>
  <c r="M285" i="68"/>
  <c r="Q285" i="68"/>
  <c r="D286" i="68"/>
  <c r="F286" i="68"/>
  <c r="D287" i="68"/>
  <c r="F287" i="68"/>
  <c r="D288" i="68"/>
  <c r="F288" i="68"/>
  <c r="J288" i="68" s="1"/>
  <c r="D289" i="68"/>
  <c r="F289" i="68"/>
  <c r="H289" i="68" s="1"/>
  <c r="M289" i="68"/>
  <c r="D290" i="68"/>
  <c r="F290" i="68"/>
  <c r="I290" i="68" s="1"/>
  <c r="G290" i="68"/>
  <c r="O290" i="68"/>
  <c r="P290" i="68"/>
  <c r="D291" i="68"/>
  <c r="F291" i="68"/>
  <c r="N291" i="68" s="1"/>
  <c r="D292" i="68"/>
  <c r="F292" i="68"/>
  <c r="G292" i="68" s="1"/>
  <c r="D293" i="68"/>
  <c r="F293" i="68"/>
  <c r="M293" i="68"/>
  <c r="D294" i="68"/>
  <c r="F294" i="68"/>
  <c r="M294" i="68" s="1"/>
  <c r="D295" i="68"/>
  <c r="F295" i="68"/>
  <c r="D296" i="68"/>
  <c r="F296" i="68"/>
  <c r="D297" i="68"/>
  <c r="F297" i="68"/>
  <c r="D298" i="68"/>
  <c r="F298" i="68"/>
  <c r="I298" i="68" s="1"/>
  <c r="D299" i="68"/>
  <c r="F299" i="68"/>
  <c r="L299" i="68" s="1"/>
  <c r="D300" i="68"/>
  <c r="F300" i="68"/>
  <c r="G300" i="68" s="1"/>
  <c r="D301" i="68"/>
  <c r="F301" i="68"/>
  <c r="J301" i="68" s="1"/>
  <c r="D302" i="68"/>
  <c r="F302" i="68"/>
  <c r="D303" i="68"/>
  <c r="F303" i="68"/>
  <c r="D304" i="68"/>
  <c r="F304" i="68"/>
  <c r="Q304" i="68" s="1"/>
  <c r="D305" i="68"/>
  <c r="F305" i="68"/>
  <c r="G305" i="68" s="1"/>
  <c r="D306" i="68"/>
  <c r="F306" i="68"/>
  <c r="I306" i="68" s="1"/>
  <c r="G306" i="68"/>
  <c r="J306" i="68"/>
  <c r="N306" i="68"/>
  <c r="O306" i="68"/>
  <c r="P306" i="68"/>
  <c r="D307" i="68"/>
  <c r="F307" i="68"/>
  <c r="K307" i="68" s="1"/>
  <c r="I307" i="68"/>
  <c r="D308" i="68"/>
  <c r="F308" i="68"/>
  <c r="M308" i="68" s="1"/>
  <c r="D309" i="68"/>
  <c r="F309" i="68"/>
  <c r="I309" i="68" s="1"/>
  <c r="D310" i="68"/>
  <c r="F310" i="68"/>
  <c r="D311" i="68"/>
  <c r="F311" i="68"/>
  <c r="D312" i="68"/>
  <c r="F312" i="68"/>
  <c r="K312" i="68" s="1"/>
  <c r="D313" i="68"/>
  <c r="F313" i="68"/>
  <c r="Q313" i="68" s="1"/>
  <c r="D314" i="68"/>
  <c r="F314" i="68"/>
  <c r="N314" i="68" s="1"/>
  <c r="D315" i="68"/>
  <c r="F315" i="68"/>
  <c r="L315" i="68" s="1"/>
  <c r="G315" i="68"/>
  <c r="K315" i="68"/>
  <c r="O315" i="68"/>
  <c r="P315" i="68"/>
  <c r="D316" i="68"/>
  <c r="F316" i="68"/>
  <c r="M316" i="68" s="1"/>
  <c r="D317" i="68"/>
  <c r="F317" i="68"/>
  <c r="J317" i="68" s="1"/>
  <c r="H317" i="68"/>
  <c r="I317" i="68"/>
  <c r="K317" i="68"/>
  <c r="D318" i="68"/>
  <c r="F318" i="68"/>
  <c r="D319" i="68"/>
  <c r="F319" i="68"/>
  <c r="D320" i="68"/>
  <c r="F320" i="68"/>
  <c r="K320" i="68" s="1"/>
  <c r="Q320" i="68"/>
  <c r="D321" i="68"/>
  <c r="F321" i="68"/>
  <c r="P321" i="68" s="1"/>
  <c r="D322" i="68"/>
  <c r="F322" i="68"/>
  <c r="H322" i="68" s="1"/>
  <c r="D323" i="68"/>
  <c r="F323" i="68"/>
  <c r="Q323" i="68" s="1"/>
  <c r="D324" i="68"/>
  <c r="F324" i="68"/>
  <c r="G324" i="68" s="1"/>
  <c r="D325" i="68"/>
  <c r="F325" i="68"/>
  <c r="J325" i="68" s="1"/>
  <c r="K325" i="68"/>
  <c r="D326" i="68"/>
  <c r="F326" i="68"/>
  <c r="M326" i="68" s="1"/>
  <c r="D327" i="68"/>
  <c r="F327" i="68"/>
  <c r="D328" i="68"/>
  <c r="F328" i="68"/>
  <c r="K328" i="68" s="1"/>
  <c r="D329" i="68"/>
  <c r="F329" i="68"/>
  <c r="N329" i="68" s="1"/>
  <c r="D330" i="68"/>
  <c r="F330" i="68"/>
  <c r="I330" i="68" s="1"/>
  <c r="D331" i="68"/>
  <c r="F331" i="68"/>
  <c r="L331" i="68" s="1"/>
  <c r="D332" i="68"/>
  <c r="F332" i="68"/>
  <c r="D333" i="68"/>
  <c r="F333" i="68"/>
  <c r="J333" i="68" s="1"/>
  <c r="D334" i="68"/>
  <c r="F334" i="68"/>
  <c r="M334" i="68" s="1"/>
  <c r="D335" i="68"/>
  <c r="F335" i="68"/>
  <c r="G335" i="68" s="1"/>
  <c r="D336" i="68"/>
  <c r="F336" i="68"/>
  <c r="D337" i="68"/>
  <c r="F337" i="68"/>
  <c r="J337" i="68" s="1"/>
  <c r="Q337" i="68"/>
  <c r="D338" i="68"/>
  <c r="F338" i="68"/>
  <c r="I338" i="68" s="1"/>
  <c r="D339" i="68"/>
  <c r="F339" i="68"/>
  <c r="L339" i="68" s="1"/>
  <c r="D340" i="68"/>
  <c r="F340" i="68"/>
  <c r="G340" i="68" s="1"/>
  <c r="D341" i="68"/>
  <c r="F341" i="68"/>
  <c r="H341" i="68"/>
  <c r="D342" i="68"/>
  <c r="F342" i="68"/>
  <c r="L342" i="68" s="1"/>
  <c r="D343" i="68"/>
  <c r="F343" i="68"/>
  <c r="N343" i="68" s="1"/>
  <c r="D344" i="68"/>
  <c r="F344" i="68"/>
  <c r="J344" i="68" s="1"/>
  <c r="D345" i="68"/>
  <c r="F345" i="68"/>
  <c r="N345" i="68" s="1"/>
  <c r="D346" i="68"/>
  <c r="F346" i="68"/>
  <c r="D347" i="68"/>
  <c r="F347" i="68"/>
  <c r="H347" i="68" s="1"/>
  <c r="D348" i="68"/>
  <c r="F348" i="68"/>
  <c r="N348" i="68"/>
  <c r="P348" i="68"/>
  <c r="D349" i="68"/>
  <c r="F349" i="68"/>
  <c r="H349" i="68" s="1"/>
  <c r="D350" i="68"/>
  <c r="F350" i="68"/>
  <c r="H350" i="68" s="1"/>
  <c r="D351" i="68"/>
  <c r="F351" i="68"/>
  <c r="D352" i="68"/>
  <c r="F352" i="68"/>
  <c r="G352" i="68" s="1"/>
  <c r="D353" i="68"/>
  <c r="F353" i="68"/>
  <c r="N353" i="68" s="1"/>
  <c r="D354" i="68"/>
  <c r="F354" i="68"/>
  <c r="H354" i="68" s="1"/>
  <c r="D355" i="68"/>
  <c r="F355" i="68"/>
  <c r="I355" i="68"/>
  <c r="O355" i="68"/>
  <c r="D356" i="68"/>
  <c r="F356" i="68"/>
  <c r="D357" i="68"/>
  <c r="F357" i="68"/>
  <c r="O357" i="68"/>
  <c r="D358" i="68"/>
  <c r="F358" i="68"/>
  <c r="Q358" i="68" s="1"/>
  <c r="D359" i="68"/>
  <c r="F359" i="68"/>
  <c r="N359" i="68" s="1"/>
  <c r="D360" i="68"/>
  <c r="F360" i="68"/>
  <c r="M360" i="68" s="1"/>
  <c r="L360" i="68"/>
  <c r="N360" i="68"/>
  <c r="D361" i="68"/>
  <c r="F361" i="68"/>
  <c r="G361" i="68" s="1"/>
  <c r="D362" i="68"/>
  <c r="F362" i="68"/>
  <c r="D363" i="68"/>
  <c r="F363" i="68"/>
  <c r="D364" i="68"/>
  <c r="F364" i="68"/>
  <c r="G364" i="68" s="1"/>
  <c r="D365" i="68"/>
  <c r="F365" i="68"/>
  <c r="O365" i="68" s="1"/>
  <c r="D366" i="68"/>
  <c r="F366" i="68"/>
  <c r="D367" i="68"/>
  <c r="F367" i="68"/>
  <c r="I367" i="68" s="1"/>
  <c r="N367" i="68"/>
  <c r="D368" i="68"/>
  <c r="F368" i="68"/>
  <c r="D369" i="68"/>
  <c r="F369" i="68"/>
  <c r="G369" i="68" s="1"/>
  <c r="D370" i="68"/>
  <c r="F370" i="68"/>
  <c r="J370" i="68" s="1"/>
  <c r="I370" i="68"/>
  <c r="D371" i="68"/>
  <c r="F371" i="68"/>
  <c r="N371" i="68" s="1"/>
  <c r="D372" i="68"/>
  <c r="F372" i="68"/>
  <c r="H372" i="68" s="1"/>
  <c r="D373" i="68"/>
  <c r="F373" i="68"/>
  <c r="J373" i="68"/>
  <c r="N373" i="68"/>
  <c r="P373" i="68"/>
  <c r="D374" i="68"/>
  <c r="F374" i="68"/>
  <c r="D375" i="68"/>
  <c r="F375" i="68"/>
  <c r="I375" i="68" s="1"/>
  <c r="D376" i="68"/>
  <c r="F376" i="68"/>
  <c r="H376" i="68" s="1"/>
  <c r="D377" i="68"/>
  <c r="F377" i="68"/>
  <c r="G377" i="68" s="1"/>
  <c r="D378" i="68"/>
  <c r="F378" i="68"/>
  <c r="J378" i="68" s="1"/>
  <c r="N378" i="68"/>
  <c r="D379" i="68"/>
  <c r="F379" i="68"/>
  <c r="D380" i="68"/>
  <c r="F380" i="68"/>
  <c r="D381" i="68"/>
  <c r="F381" i="68"/>
  <c r="D382" i="68"/>
  <c r="F382" i="68"/>
  <c r="J382" i="68" s="1"/>
  <c r="D383" i="68"/>
  <c r="F383" i="68"/>
  <c r="I383" i="68" s="1"/>
  <c r="D384" i="68"/>
  <c r="F384" i="68"/>
  <c r="D385" i="68"/>
  <c r="F385" i="68"/>
  <c r="D386" i="68"/>
  <c r="F386" i="68"/>
  <c r="I386" i="68" s="1"/>
  <c r="D387" i="68"/>
  <c r="F387" i="68"/>
  <c r="N387" i="68" s="1"/>
  <c r="H387" i="68"/>
  <c r="K387" i="68"/>
  <c r="M387" i="68"/>
  <c r="D388" i="68"/>
  <c r="F388" i="68"/>
  <c r="D389" i="68"/>
  <c r="F389" i="68"/>
  <c r="D390" i="68"/>
  <c r="F390" i="68"/>
  <c r="D391" i="68"/>
  <c r="F391" i="68"/>
  <c r="P391" i="68" s="1"/>
  <c r="D392" i="68"/>
  <c r="F392" i="68"/>
  <c r="Q392" i="68" s="1"/>
  <c r="D393" i="68"/>
  <c r="F393" i="68"/>
  <c r="D394" i="68"/>
  <c r="F394" i="68"/>
  <c r="I394" i="68" s="1"/>
  <c r="D395" i="68"/>
  <c r="F395" i="68"/>
  <c r="D396" i="68"/>
  <c r="F396" i="68"/>
  <c r="N396" i="68" s="1"/>
  <c r="D397" i="68"/>
  <c r="F397" i="68"/>
  <c r="O397" i="68" s="1"/>
  <c r="D398" i="68"/>
  <c r="F398" i="68"/>
  <c r="G398" i="68" s="1"/>
  <c r="D399" i="68"/>
  <c r="F399" i="68"/>
  <c r="J399" i="68" s="1"/>
  <c r="D400" i="68"/>
  <c r="F400" i="68"/>
  <c r="M400" i="68" s="1"/>
  <c r="D401" i="68"/>
  <c r="F401" i="68"/>
  <c r="G401" i="68" s="1"/>
  <c r="D402" i="68"/>
  <c r="F402" i="68"/>
  <c r="Q402" i="68" s="1"/>
  <c r="D403" i="68"/>
  <c r="F403" i="68"/>
  <c r="N403" i="68" s="1"/>
  <c r="D404" i="68"/>
  <c r="F404" i="68"/>
  <c r="D405" i="68"/>
  <c r="F405" i="68"/>
  <c r="O405" i="68" s="1"/>
  <c r="D406" i="68"/>
  <c r="F406" i="68"/>
  <c r="D407" i="68"/>
  <c r="F407" i="68"/>
  <c r="J407" i="68" s="1"/>
  <c r="D408" i="68"/>
  <c r="F408" i="68"/>
  <c r="D409" i="68"/>
  <c r="F409" i="68"/>
  <c r="G409" i="68" s="1"/>
  <c r="D410" i="68"/>
  <c r="F410" i="68"/>
  <c r="J410" i="68" s="1"/>
  <c r="I410" i="68"/>
  <c r="D411" i="68"/>
  <c r="F411" i="68"/>
  <c r="Q411" i="68" s="1"/>
  <c r="I411" i="68"/>
  <c r="L411" i="68"/>
  <c r="O411" i="68"/>
  <c r="D412" i="68"/>
  <c r="F412" i="68"/>
  <c r="H412" i="68"/>
  <c r="D413" i="68"/>
  <c r="F413" i="68"/>
  <c r="K413" i="68" s="1"/>
  <c r="D414" i="68"/>
  <c r="F414" i="68"/>
  <c r="G414" i="68" s="1"/>
  <c r="D415" i="68"/>
  <c r="F415" i="68"/>
  <c r="J415" i="68" s="1"/>
  <c r="H415" i="68"/>
  <c r="I415" i="68"/>
  <c r="M415" i="68"/>
  <c r="N415" i="68"/>
  <c r="Q415" i="68"/>
  <c r="D416" i="68"/>
  <c r="F416" i="68"/>
  <c r="I416" i="68" s="1"/>
  <c r="Q416" i="68"/>
  <c r="D417" i="68"/>
  <c r="F417" i="68"/>
  <c r="D418" i="68"/>
  <c r="F418" i="68"/>
  <c r="J418" i="68" s="1"/>
  <c r="E425" i="68"/>
  <c r="D430" i="68"/>
  <c r="F430" i="68"/>
  <c r="I430" i="68"/>
  <c r="N430" i="68"/>
  <c r="P430" i="68"/>
  <c r="Q430" i="68"/>
  <c r="D431" i="68"/>
  <c r="F431" i="68"/>
  <c r="G431" i="68" s="1"/>
  <c r="D432" i="68"/>
  <c r="F432" i="68"/>
  <c r="K432" i="68" s="1"/>
  <c r="H432" i="68"/>
  <c r="I432" i="68"/>
  <c r="P432" i="68"/>
  <c r="D433" i="68"/>
  <c r="F433" i="68"/>
  <c r="L433" i="68" s="1"/>
  <c r="D434" i="68"/>
  <c r="F434" i="68"/>
  <c r="G434" i="68" s="1"/>
  <c r="D435" i="68"/>
  <c r="F435" i="68"/>
  <c r="D436" i="68"/>
  <c r="F436" i="68"/>
  <c r="G436" i="68" s="1"/>
  <c r="M436" i="68"/>
  <c r="D437" i="68"/>
  <c r="F437" i="68"/>
  <c r="G437" i="68" s="1"/>
  <c r="D438" i="68"/>
  <c r="F438" i="68"/>
  <c r="Q438" i="68" s="1"/>
  <c r="P438" i="68"/>
  <c r="D439" i="68"/>
  <c r="F439" i="68"/>
  <c r="D440" i="68"/>
  <c r="F440" i="68"/>
  <c r="I440" i="68" s="1"/>
  <c r="D441" i="68"/>
  <c r="F441" i="68"/>
  <c r="K441" i="68" s="1"/>
  <c r="D442" i="68"/>
  <c r="F442" i="68"/>
  <c r="D443" i="68"/>
  <c r="F443" i="68"/>
  <c r="L443" i="68" s="1"/>
  <c r="M443" i="68"/>
  <c r="D444" i="68"/>
  <c r="F444" i="68"/>
  <c r="D445" i="68"/>
  <c r="F445" i="68"/>
  <c r="J445" i="68" s="1"/>
  <c r="D446" i="68"/>
  <c r="F446" i="68"/>
  <c r="L446" i="68" s="1"/>
  <c r="H446" i="68"/>
  <c r="D447" i="68"/>
  <c r="F447" i="68"/>
  <c r="G447" i="68" s="1"/>
  <c r="D448" i="68"/>
  <c r="F448" i="68"/>
  <c r="D449" i="68"/>
  <c r="F449" i="68"/>
  <c r="G449" i="68" s="1"/>
  <c r="D450" i="68"/>
  <c r="F450" i="68"/>
  <c r="O450" i="68" s="1"/>
  <c r="D451" i="68"/>
  <c r="F451" i="68"/>
  <c r="F452" i="68"/>
  <c r="G452" i="68" s="1"/>
  <c r="D453" i="68"/>
  <c r="F453" i="68"/>
  <c r="K453" i="68" s="1"/>
  <c r="N453" i="68"/>
  <c r="D454" i="68"/>
  <c r="F454" i="68"/>
  <c r="N454" i="68" s="1"/>
  <c r="G454" i="68"/>
  <c r="F455" i="68"/>
  <c r="H455" i="68" s="1"/>
  <c r="D456" i="68"/>
  <c r="F456" i="68"/>
  <c r="I456" i="68" s="1"/>
  <c r="D457" i="68"/>
  <c r="F457" i="68"/>
  <c r="D458" i="68"/>
  <c r="F458" i="68"/>
  <c r="K458" i="68" s="1"/>
  <c r="D459" i="68"/>
  <c r="F459" i="68"/>
  <c r="H459" i="68" s="1"/>
  <c r="D460" i="68"/>
  <c r="F460" i="68"/>
  <c r="G460" i="68"/>
  <c r="D461" i="68"/>
  <c r="F461" i="68"/>
  <c r="G461" i="68" s="1"/>
  <c r="D462" i="68"/>
  <c r="F462" i="68"/>
  <c r="G462" i="68" s="1"/>
  <c r="D463" i="68"/>
  <c r="F463" i="68"/>
  <c r="G463" i="68" s="1"/>
  <c r="D464" i="68"/>
  <c r="F464" i="68"/>
  <c r="L464" i="68" s="1"/>
  <c r="D465" i="68"/>
  <c r="F465" i="68"/>
  <c r="G465" i="68" s="1"/>
  <c r="D466" i="68"/>
  <c r="F466" i="68"/>
  <c r="N466" i="68" s="1"/>
  <c r="D467" i="68"/>
  <c r="F467" i="68"/>
  <c r="H467" i="68" s="1"/>
  <c r="G467" i="68"/>
  <c r="I467" i="68"/>
  <c r="J467" i="68"/>
  <c r="Q467" i="68"/>
  <c r="D468" i="68"/>
  <c r="F468" i="68"/>
  <c r="D469" i="68"/>
  <c r="F469" i="68"/>
  <c r="N469" i="68" s="1"/>
  <c r="D470" i="68"/>
  <c r="F470" i="68"/>
  <c r="G470" i="68" s="1"/>
  <c r="D471" i="68"/>
  <c r="F471" i="68"/>
  <c r="Q471" i="68" s="1"/>
  <c r="D472" i="68"/>
  <c r="F472" i="68"/>
  <c r="I472" i="68" s="1"/>
  <c r="N490" i="68"/>
  <c r="D3" i="67"/>
  <c r="F3" i="67"/>
  <c r="G3" i="67" s="1"/>
  <c r="D4" i="67"/>
  <c r="F4" i="67"/>
  <c r="J4" i="67" s="1"/>
  <c r="D5" i="67"/>
  <c r="F5" i="67"/>
  <c r="H5" i="67" s="1"/>
  <c r="D6" i="67"/>
  <c r="F6" i="67"/>
  <c r="I6" i="67" s="1"/>
  <c r="D7" i="67"/>
  <c r="F7" i="67"/>
  <c r="N7" i="67" s="1"/>
  <c r="D8" i="67"/>
  <c r="F8" i="67"/>
  <c r="D9" i="67"/>
  <c r="F9" i="67"/>
  <c r="G9" i="67" s="1"/>
  <c r="D10" i="67"/>
  <c r="F10" i="67"/>
  <c r="M10" i="67" s="1"/>
  <c r="D11" i="67"/>
  <c r="F11" i="67"/>
  <c r="G11" i="67" s="1"/>
  <c r="D12" i="67"/>
  <c r="F12" i="67"/>
  <c r="J12" i="67" s="1"/>
  <c r="D13" i="67"/>
  <c r="F13" i="67"/>
  <c r="K13" i="67" s="1"/>
  <c r="D14" i="67"/>
  <c r="F14" i="67"/>
  <c r="D15" i="67"/>
  <c r="F15" i="67"/>
  <c r="L15" i="67" s="1"/>
  <c r="D16" i="67"/>
  <c r="F16" i="67"/>
  <c r="J16" i="67" s="1"/>
  <c r="D17" i="67"/>
  <c r="F17" i="67"/>
  <c r="I17" i="67" s="1"/>
  <c r="D18" i="67"/>
  <c r="F18" i="67"/>
  <c r="G18" i="67" s="1"/>
  <c r="D19" i="67"/>
  <c r="F19" i="67"/>
  <c r="G19" i="67" s="1"/>
  <c r="D20" i="67"/>
  <c r="F20" i="67"/>
  <c r="J20" i="67" s="1"/>
  <c r="D21" i="67"/>
  <c r="F21" i="67"/>
  <c r="H21" i="67" s="1"/>
  <c r="D22" i="67"/>
  <c r="F22" i="67"/>
  <c r="I22" i="67" s="1"/>
  <c r="D23" i="67"/>
  <c r="F23" i="67"/>
  <c r="I23" i="67" s="1"/>
  <c r="D24" i="67"/>
  <c r="F24" i="67"/>
  <c r="M24" i="67" s="1"/>
  <c r="D25" i="67"/>
  <c r="F25" i="67"/>
  <c r="I25" i="67" s="1"/>
  <c r="D26" i="67"/>
  <c r="F26" i="67"/>
  <c r="J26" i="67" s="1"/>
  <c r="D27" i="67"/>
  <c r="F27" i="67"/>
  <c r="D28" i="67"/>
  <c r="F28" i="67"/>
  <c r="D29" i="67"/>
  <c r="F29" i="67"/>
  <c r="K29" i="67" s="1"/>
  <c r="D30" i="67"/>
  <c r="F30" i="67"/>
  <c r="I30" i="67"/>
  <c r="D31" i="67"/>
  <c r="F31" i="67"/>
  <c r="I31" i="67" s="1"/>
  <c r="D32" i="67"/>
  <c r="F32" i="67"/>
  <c r="J32" i="67" s="1"/>
  <c r="D33" i="67"/>
  <c r="F33" i="67"/>
  <c r="P33" i="67" s="1"/>
  <c r="D34" i="67"/>
  <c r="F34" i="67"/>
  <c r="N34" i="67" s="1"/>
  <c r="D35" i="67"/>
  <c r="F35" i="67"/>
  <c r="D36" i="67"/>
  <c r="F36" i="67"/>
  <c r="D37" i="67"/>
  <c r="F37" i="67"/>
  <c r="K37" i="67" s="1"/>
  <c r="D38" i="67"/>
  <c r="F38" i="67"/>
  <c r="D39" i="67"/>
  <c r="F39" i="67"/>
  <c r="I39" i="67" s="1"/>
  <c r="L39" i="67"/>
  <c r="D40" i="67"/>
  <c r="F40" i="67"/>
  <c r="H40" i="67" s="1"/>
  <c r="D41" i="67"/>
  <c r="F41" i="67"/>
  <c r="I41" i="67" s="1"/>
  <c r="D42" i="67"/>
  <c r="F42" i="67"/>
  <c r="D43" i="67"/>
  <c r="F43" i="67"/>
  <c r="J43" i="67" s="1"/>
  <c r="D44" i="67"/>
  <c r="F44" i="67"/>
  <c r="P44" i="67" s="1"/>
  <c r="D45" i="67"/>
  <c r="F45" i="67"/>
  <c r="N45" i="67" s="1"/>
  <c r="D46" i="67"/>
  <c r="F46" i="67"/>
  <c r="I46" i="67" s="1"/>
  <c r="D47" i="67"/>
  <c r="F47" i="67"/>
  <c r="N47" i="67" s="1"/>
  <c r="D48" i="67"/>
  <c r="F48" i="67"/>
  <c r="L48" i="67" s="1"/>
  <c r="D49" i="67"/>
  <c r="F49" i="67"/>
  <c r="G49" i="67" s="1"/>
  <c r="D50" i="67"/>
  <c r="F50" i="67"/>
  <c r="D51" i="67"/>
  <c r="F51" i="67"/>
  <c r="M51" i="67" s="1"/>
  <c r="D52" i="67"/>
  <c r="F52" i="67"/>
  <c r="K52" i="67" s="1"/>
  <c r="D53" i="67"/>
  <c r="F53" i="67"/>
  <c r="P53" i="67" s="1"/>
  <c r="D54" i="67"/>
  <c r="F54" i="67"/>
  <c r="D55" i="67"/>
  <c r="F55" i="67"/>
  <c r="Q55" i="67" s="1"/>
  <c r="I55" i="67"/>
  <c r="D56" i="67"/>
  <c r="F56" i="67"/>
  <c r="D57" i="67"/>
  <c r="F57" i="67"/>
  <c r="G57" i="67" s="1"/>
  <c r="D58" i="67"/>
  <c r="F58" i="67"/>
  <c r="D59" i="67"/>
  <c r="F59" i="67"/>
  <c r="H59" i="67" s="1"/>
  <c r="D60" i="67"/>
  <c r="F60" i="67"/>
  <c r="P60" i="67" s="1"/>
  <c r="D61" i="67"/>
  <c r="F61" i="67"/>
  <c r="H61" i="67" s="1"/>
  <c r="D62" i="67"/>
  <c r="F62" i="67"/>
  <c r="Q62" i="67" s="1"/>
  <c r="D63" i="67"/>
  <c r="F63" i="67"/>
  <c r="D64" i="67"/>
  <c r="F64" i="67"/>
  <c r="G64" i="67" s="1"/>
  <c r="D65" i="67"/>
  <c r="F65" i="67"/>
  <c r="O65" i="67" s="1"/>
  <c r="D66" i="67"/>
  <c r="F66" i="67"/>
  <c r="M66" i="67" s="1"/>
  <c r="D67" i="67"/>
  <c r="F67" i="67"/>
  <c r="H67" i="67" s="1"/>
  <c r="D68" i="67"/>
  <c r="F68" i="67"/>
  <c r="J68" i="67" s="1"/>
  <c r="D69" i="67"/>
  <c r="F69" i="67"/>
  <c r="H69" i="67" s="1"/>
  <c r="D70" i="67"/>
  <c r="F70" i="67"/>
  <c r="N70" i="67" s="1"/>
  <c r="D71" i="67"/>
  <c r="F71" i="67"/>
  <c r="N71" i="67" s="1"/>
  <c r="D72" i="67"/>
  <c r="F72" i="67"/>
  <c r="D73" i="67"/>
  <c r="F73" i="67"/>
  <c r="H73" i="67" s="1"/>
  <c r="D74" i="67"/>
  <c r="F74" i="67"/>
  <c r="I74" i="67" s="1"/>
  <c r="O74" i="67"/>
  <c r="D75" i="67"/>
  <c r="F75" i="67"/>
  <c r="H75" i="67" s="1"/>
  <c r="D76" i="67"/>
  <c r="F76" i="67"/>
  <c r="D77" i="67"/>
  <c r="F77" i="67"/>
  <c r="D78" i="67"/>
  <c r="F78" i="67"/>
  <c r="O78" i="67" s="1"/>
  <c r="D79" i="67"/>
  <c r="F79" i="67"/>
  <c r="L79" i="67" s="1"/>
  <c r="D80" i="67"/>
  <c r="F80" i="67"/>
  <c r="D81" i="67"/>
  <c r="F81" i="67"/>
  <c r="J81" i="67" s="1"/>
  <c r="D82" i="67"/>
  <c r="F82" i="67"/>
  <c r="N82" i="67" s="1"/>
  <c r="D83" i="67"/>
  <c r="F83" i="67"/>
  <c r="H83" i="67" s="1"/>
  <c r="D84" i="67"/>
  <c r="F84" i="67"/>
  <c r="P84" i="67" s="1"/>
  <c r="D85" i="67"/>
  <c r="F85" i="67"/>
  <c r="K85" i="67" s="1"/>
  <c r="D86" i="67"/>
  <c r="F86" i="67"/>
  <c r="O86" i="67" s="1"/>
  <c r="D87" i="67"/>
  <c r="F87" i="67"/>
  <c r="D88" i="67"/>
  <c r="F88" i="67"/>
  <c r="O88" i="67" s="1"/>
  <c r="D89" i="67"/>
  <c r="F89" i="67"/>
  <c r="G89" i="67" s="1"/>
  <c r="D90" i="67"/>
  <c r="F90" i="67"/>
  <c r="Q90" i="67" s="1"/>
  <c r="D91" i="67"/>
  <c r="F91" i="67"/>
  <c r="D92" i="67"/>
  <c r="F92" i="67"/>
  <c r="G92" i="67" s="1"/>
  <c r="D93" i="67"/>
  <c r="F93" i="67"/>
  <c r="K93" i="67" s="1"/>
  <c r="D94" i="67"/>
  <c r="F94" i="67"/>
  <c r="K94" i="67" s="1"/>
  <c r="D95" i="67"/>
  <c r="F95" i="67"/>
  <c r="D96" i="67"/>
  <c r="F96" i="67"/>
  <c r="I96" i="67" s="1"/>
  <c r="D97" i="67"/>
  <c r="F97" i="67"/>
  <c r="D98" i="67"/>
  <c r="F98" i="67"/>
  <c r="H98" i="67" s="1"/>
  <c r="D99" i="67"/>
  <c r="F99" i="67"/>
  <c r="H99" i="67" s="1"/>
  <c r="D100" i="67"/>
  <c r="F100" i="67"/>
  <c r="N100" i="67" s="1"/>
  <c r="D101" i="67"/>
  <c r="F101" i="67"/>
  <c r="J101" i="67" s="1"/>
  <c r="D102" i="67"/>
  <c r="F102" i="67"/>
  <c r="I102" i="67" s="1"/>
  <c r="G102" i="67"/>
  <c r="D103" i="67"/>
  <c r="F103" i="67"/>
  <c r="H103" i="67" s="1"/>
  <c r="D104" i="67"/>
  <c r="F104" i="67"/>
  <c r="G104" i="67" s="1"/>
  <c r="D105" i="67"/>
  <c r="F105" i="67"/>
  <c r="H105" i="67" s="1"/>
  <c r="D106" i="67"/>
  <c r="F106" i="67"/>
  <c r="D107" i="67"/>
  <c r="F107" i="67"/>
  <c r="H107" i="67" s="1"/>
  <c r="D108" i="67"/>
  <c r="F108" i="67"/>
  <c r="K108" i="67" s="1"/>
  <c r="D109" i="67"/>
  <c r="F109" i="67"/>
  <c r="H109" i="67" s="1"/>
  <c r="D110" i="67"/>
  <c r="F110" i="67"/>
  <c r="J110" i="67" s="1"/>
  <c r="D111" i="67"/>
  <c r="F111" i="67"/>
  <c r="I111" i="67" s="1"/>
  <c r="D112" i="67"/>
  <c r="F112" i="67"/>
  <c r="Q112" i="67" s="1"/>
  <c r="D113" i="67"/>
  <c r="F113" i="67"/>
  <c r="K113" i="67" s="1"/>
  <c r="D114" i="67"/>
  <c r="F114" i="67"/>
  <c r="K114" i="67" s="1"/>
  <c r="D115" i="67"/>
  <c r="F115" i="67"/>
  <c r="G115" i="67" s="1"/>
  <c r="N115" i="67"/>
  <c r="D116" i="67"/>
  <c r="F116" i="67"/>
  <c r="L116" i="67" s="1"/>
  <c r="D117" i="67"/>
  <c r="F117" i="67"/>
  <c r="D118" i="67"/>
  <c r="F118" i="67"/>
  <c r="J118" i="67" s="1"/>
  <c r="D119" i="67"/>
  <c r="F119" i="67"/>
  <c r="M119" i="67" s="1"/>
  <c r="D120" i="67"/>
  <c r="F120" i="67"/>
  <c r="D121" i="67"/>
  <c r="F121" i="67"/>
  <c r="O121" i="67" s="1"/>
  <c r="D122" i="67"/>
  <c r="F122" i="67"/>
  <c r="K122" i="67" s="1"/>
  <c r="D123" i="67"/>
  <c r="F123" i="67"/>
  <c r="J123" i="67" s="1"/>
  <c r="D124" i="67"/>
  <c r="F124" i="67"/>
  <c r="L124" i="67" s="1"/>
  <c r="D125" i="67"/>
  <c r="F125" i="67"/>
  <c r="H125" i="67" s="1"/>
  <c r="D126" i="67"/>
  <c r="F126" i="67"/>
  <c r="H126" i="67" s="1"/>
  <c r="D127" i="67"/>
  <c r="F127" i="67"/>
  <c r="G127" i="67" s="1"/>
  <c r="D128" i="67"/>
  <c r="F128" i="67"/>
  <c r="N128" i="67" s="1"/>
  <c r="D129" i="67"/>
  <c r="F129" i="67"/>
  <c r="K129" i="67" s="1"/>
  <c r="D130" i="67"/>
  <c r="F130" i="67"/>
  <c r="H130" i="67" s="1"/>
  <c r="D131" i="67"/>
  <c r="F131" i="67"/>
  <c r="L131" i="67" s="1"/>
  <c r="D132" i="67"/>
  <c r="F132" i="67"/>
  <c r="L132" i="67" s="1"/>
  <c r="D133" i="67"/>
  <c r="F133" i="67"/>
  <c r="K133" i="67" s="1"/>
  <c r="D134" i="67"/>
  <c r="F134" i="67"/>
  <c r="J134" i="67" s="1"/>
  <c r="D135" i="67"/>
  <c r="F135" i="67"/>
  <c r="G135" i="67" s="1"/>
  <c r="D136" i="67"/>
  <c r="F136" i="67"/>
  <c r="I136" i="67" s="1"/>
  <c r="K136" i="67"/>
  <c r="D137" i="67"/>
  <c r="F137" i="67"/>
  <c r="G137" i="67" s="1"/>
  <c r="D138" i="67"/>
  <c r="F138" i="67"/>
  <c r="G138" i="67" s="1"/>
  <c r="D139" i="67"/>
  <c r="F139" i="67"/>
  <c r="O139" i="67" s="1"/>
  <c r="D140" i="67"/>
  <c r="F140" i="67"/>
  <c r="L140" i="67" s="1"/>
  <c r="D141" i="67"/>
  <c r="F141" i="67"/>
  <c r="J141" i="67" s="1"/>
  <c r="D142" i="67"/>
  <c r="F142" i="67"/>
  <c r="I142" i="67" s="1"/>
  <c r="D143" i="67"/>
  <c r="F143" i="67"/>
  <c r="D144" i="67"/>
  <c r="F144" i="67"/>
  <c r="K144" i="67" s="1"/>
  <c r="D145" i="67"/>
  <c r="F145" i="67"/>
  <c r="K145" i="67" s="1"/>
  <c r="D146" i="67"/>
  <c r="F146" i="67"/>
  <c r="L146" i="67" s="1"/>
  <c r="D147" i="67"/>
  <c r="F147" i="67"/>
  <c r="J147" i="67" s="1"/>
  <c r="H147" i="67"/>
  <c r="D148" i="67"/>
  <c r="F148" i="67"/>
  <c r="G148" i="67" s="1"/>
  <c r="D149" i="67"/>
  <c r="F149" i="67"/>
  <c r="G149" i="67" s="1"/>
  <c r="D150" i="67"/>
  <c r="F150" i="67"/>
  <c r="J150" i="67" s="1"/>
  <c r="D151" i="67"/>
  <c r="F151" i="67"/>
  <c r="L151" i="67" s="1"/>
  <c r="D152" i="67"/>
  <c r="F152" i="67"/>
  <c r="J152" i="67" s="1"/>
  <c r="D153" i="67"/>
  <c r="F153" i="67"/>
  <c r="N153" i="67" s="1"/>
  <c r="D154" i="67"/>
  <c r="F154" i="67"/>
  <c r="N154" i="67" s="1"/>
  <c r="D155" i="67"/>
  <c r="F155" i="67"/>
  <c r="J155" i="67" s="1"/>
  <c r="D156" i="67"/>
  <c r="F156" i="67"/>
  <c r="G156" i="67" s="1"/>
  <c r="D157" i="67"/>
  <c r="F157" i="67"/>
  <c r="G157" i="67" s="1"/>
  <c r="D158" i="67"/>
  <c r="F158" i="67"/>
  <c r="J158" i="67" s="1"/>
  <c r="D159" i="67"/>
  <c r="F159" i="67"/>
  <c r="G159" i="67" s="1"/>
  <c r="D160" i="67"/>
  <c r="F160" i="67"/>
  <c r="L160" i="67" s="1"/>
  <c r="D161" i="67"/>
  <c r="F161" i="67"/>
  <c r="G161" i="67" s="1"/>
  <c r="D162" i="67"/>
  <c r="F162" i="67"/>
  <c r="D163" i="67"/>
  <c r="F163" i="67"/>
  <c r="D164" i="67"/>
  <c r="F164" i="67"/>
  <c r="G164" i="67" s="1"/>
  <c r="D165" i="67"/>
  <c r="F165" i="67"/>
  <c r="G165" i="67" s="1"/>
  <c r="F166" i="67"/>
  <c r="G166" i="67" s="1"/>
  <c r="D167" i="67"/>
  <c r="F167" i="67"/>
  <c r="J167" i="67" s="1"/>
  <c r="D168" i="67"/>
  <c r="F168" i="67"/>
  <c r="D169" i="67"/>
  <c r="F169" i="67"/>
  <c r="J169" i="67" s="1"/>
  <c r="D170" i="67"/>
  <c r="F170" i="67"/>
  <c r="M170" i="67" s="1"/>
  <c r="D171" i="67"/>
  <c r="F171" i="67"/>
  <c r="D172" i="67"/>
  <c r="F172" i="67"/>
  <c r="I172" i="67" s="1"/>
  <c r="D173" i="67"/>
  <c r="F173" i="67"/>
  <c r="I173" i="67" s="1"/>
  <c r="D174" i="67"/>
  <c r="F174" i="67"/>
  <c r="I174" i="67" s="1"/>
  <c r="D175" i="67"/>
  <c r="F175" i="67"/>
  <c r="N175" i="67" s="1"/>
  <c r="D176" i="67"/>
  <c r="F176" i="67"/>
  <c r="J176" i="67" s="1"/>
  <c r="D177" i="67"/>
  <c r="F177" i="67"/>
  <c r="J177" i="67" s="1"/>
  <c r="D178" i="67"/>
  <c r="F178" i="67"/>
  <c r="M178" i="67" s="1"/>
  <c r="D179" i="67"/>
  <c r="F179" i="67"/>
  <c r="N179" i="67" s="1"/>
  <c r="D180" i="67"/>
  <c r="F180" i="67"/>
  <c r="L180" i="67" s="1"/>
  <c r="D181" i="67"/>
  <c r="F181" i="67"/>
  <c r="G181" i="67" s="1"/>
  <c r="D182" i="67"/>
  <c r="F182" i="67"/>
  <c r="I182" i="67" s="1"/>
  <c r="D183" i="67"/>
  <c r="F183" i="67"/>
  <c r="D184" i="67"/>
  <c r="F184" i="67"/>
  <c r="J184" i="67" s="1"/>
  <c r="H184" i="67"/>
  <c r="D185" i="67"/>
  <c r="F185" i="67"/>
  <c r="D186" i="67"/>
  <c r="F186" i="67"/>
  <c r="D187" i="67"/>
  <c r="F187" i="67"/>
  <c r="N187" i="67" s="1"/>
  <c r="D188" i="67"/>
  <c r="F188" i="67"/>
  <c r="I188" i="67" s="1"/>
  <c r="D189" i="67"/>
  <c r="F189" i="67"/>
  <c r="G189" i="67" s="1"/>
  <c r="D190" i="67"/>
  <c r="F190" i="67"/>
  <c r="I190" i="67" s="1"/>
  <c r="D191" i="67"/>
  <c r="F191" i="67"/>
  <c r="N191" i="67" s="1"/>
  <c r="D192" i="67"/>
  <c r="F192" i="67"/>
  <c r="J192" i="67" s="1"/>
  <c r="D193" i="67"/>
  <c r="F193" i="67"/>
  <c r="D194" i="67"/>
  <c r="F194" i="67"/>
  <c r="Q194" i="67" s="1"/>
  <c r="D195" i="67"/>
  <c r="F195" i="67"/>
  <c r="J195" i="67" s="1"/>
  <c r="D196" i="67"/>
  <c r="F196" i="67"/>
  <c r="G196" i="67" s="1"/>
  <c r="D197" i="67"/>
  <c r="F197" i="67"/>
  <c r="G197" i="67" s="1"/>
  <c r="D198" i="67"/>
  <c r="F198" i="67"/>
  <c r="G198" i="67" s="1"/>
  <c r="D199" i="67"/>
  <c r="F199" i="67"/>
  <c r="I199" i="67" s="1"/>
  <c r="D200" i="67"/>
  <c r="F200" i="67"/>
  <c r="O200" i="67" s="1"/>
  <c r="D201" i="67"/>
  <c r="F201" i="67"/>
  <c r="J201" i="67" s="1"/>
  <c r="P201" i="67"/>
  <c r="D202" i="67"/>
  <c r="F202" i="67"/>
  <c r="D203" i="67"/>
  <c r="F203" i="67"/>
  <c r="M203" i="67" s="1"/>
  <c r="D204" i="67"/>
  <c r="F204" i="67"/>
  <c r="D205" i="67"/>
  <c r="F205" i="67"/>
  <c r="G205" i="67" s="1"/>
  <c r="D206" i="67"/>
  <c r="F206" i="67"/>
  <c r="G206" i="67" s="1"/>
  <c r="D207" i="67"/>
  <c r="F207" i="67"/>
  <c r="I207" i="67" s="1"/>
  <c r="D208" i="67"/>
  <c r="F208" i="67"/>
  <c r="J208" i="67" s="1"/>
  <c r="D209" i="67"/>
  <c r="F209" i="67"/>
  <c r="D210" i="67"/>
  <c r="F210" i="67"/>
  <c r="Q210" i="67" s="1"/>
  <c r="D211" i="67"/>
  <c r="F211" i="67"/>
  <c r="J211" i="67" s="1"/>
  <c r="D212" i="67"/>
  <c r="F212" i="67"/>
  <c r="K212" i="67" s="1"/>
  <c r="D213" i="67"/>
  <c r="F213" i="67"/>
  <c r="G213" i="67" s="1"/>
  <c r="D214" i="67"/>
  <c r="F214" i="67"/>
  <c r="G214" i="67" s="1"/>
  <c r="D215" i="67"/>
  <c r="F215" i="67"/>
  <c r="I215" i="67" s="1"/>
  <c r="D216" i="67"/>
  <c r="F216" i="67"/>
  <c r="O216" i="67" s="1"/>
  <c r="D217" i="67"/>
  <c r="F217" i="67"/>
  <c r="J217" i="67" s="1"/>
  <c r="D218" i="67"/>
  <c r="F218" i="67"/>
  <c r="M218" i="67" s="1"/>
  <c r="D219" i="67"/>
  <c r="F219" i="67"/>
  <c r="J219" i="67" s="1"/>
  <c r="D220" i="67"/>
  <c r="F220" i="67"/>
  <c r="H220" i="67" s="1"/>
  <c r="D221" i="67"/>
  <c r="F221" i="67"/>
  <c r="G221" i="67" s="1"/>
  <c r="D222" i="67"/>
  <c r="F222" i="67"/>
  <c r="G222" i="67" s="1"/>
  <c r="D224" i="67"/>
  <c r="F224" i="67"/>
  <c r="I224" i="67" s="1"/>
  <c r="D225" i="67"/>
  <c r="F225" i="67"/>
  <c r="J225" i="67" s="1"/>
  <c r="D226" i="67"/>
  <c r="F226" i="67"/>
  <c r="J226" i="67" s="1"/>
  <c r="D227" i="67"/>
  <c r="F227" i="67"/>
  <c r="H227" i="67" s="1"/>
  <c r="Q227" i="67"/>
  <c r="D228" i="67"/>
  <c r="F228" i="67"/>
  <c r="M228" i="67" s="1"/>
  <c r="D229" i="67"/>
  <c r="F229" i="67"/>
  <c r="H229" i="67" s="1"/>
  <c r="D230" i="67"/>
  <c r="F230" i="67"/>
  <c r="G230" i="67" s="1"/>
  <c r="D231" i="67"/>
  <c r="F231" i="67"/>
  <c r="G231" i="67" s="1"/>
  <c r="D232" i="67"/>
  <c r="F232" i="67"/>
  <c r="H232" i="67" s="1"/>
  <c r="D233" i="67"/>
  <c r="F233" i="67"/>
  <c r="J233" i="67" s="1"/>
  <c r="D234" i="67"/>
  <c r="F234" i="67"/>
  <c r="G234" i="67" s="1"/>
  <c r="D235" i="67"/>
  <c r="F235" i="67"/>
  <c r="H235" i="67" s="1"/>
  <c r="D236" i="67"/>
  <c r="F236" i="67"/>
  <c r="M236" i="67" s="1"/>
  <c r="D237" i="67"/>
  <c r="F237" i="67"/>
  <c r="G237" i="67" s="1"/>
  <c r="D238" i="67"/>
  <c r="F238" i="67"/>
  <c r="D239" i="67"/>
  <c r="F239" i="67"/>
  <c r="D240" i="67"/>
  <c r="F240" i="67"/>
  <c r="D241" i="67"/>
  <c r="F241" i="67"/>
  <c r="O241" i="67" s="1"/>
  <c r="D242" i="67"/>
  <c r="F242" i="67"/>
  <c r="G242" i="67" s="1"/>
  <c r="D243" i="67"/>
  <c r="F243" i="67"/>
  <c r="J243" i="67" s="1"/>
  <c r="D244" i="67"/>
  <c r="F244" i="67"/>
  <c r="I244" i="67" s="1"/>
  <c r="D245" i="67"/>
  <c r="F245" i="67"/>
  <c r="G245" i="67" s="1"/>
  <c r="D246" i="67"/>
  <c r="F246" i="67"/>
  <c r="L246" i="67" s="1"/>
  <c r="D247" i="67"/>
  <c r="F247" i="67"/>
  <c r="G247" i="67" s="1"/>
  <c r="D248" i="67"/>
  <c r="F248" i="67"/>
  <c r="D249" i="67"/>
  <c r="F249" i="67"/>
  <c r="J249" i="67" s="1"/>
  <c r="D250" i="67"/>
  <c r="F250" i="67"/>
  <c r="M250" i="67" s="1"/>
  <c r="L250" i="67"/>
  <c r="D251" i="67"/>
  <c r="F251" i="67"/>
  <c r="L251" i="67" s="1"/>
  <c r="D252" i="67"/>
  <c r="F252" i="67"/>
  <c r="D253" i="67"/>
  <c r="F253" i="67"/>
  <c r="L253" i="67" s="1"/>
  <c r="D254" i="67"/>
  <c r="F254" i="67"/>
  <c r="K254" i="67" s="1"/>
  <c r="D255" i="67"/>
  <c r="F255" i="67"/>
  <c r="L255" i="67" s="1"/>
  <c r="D256" i="67"/>
  <c r="F256" i="67"/>
  <c r="D257" i="67"/>
  <c r="F257" i="67"/>
  <c r="J257" i="67" s="1"/>
  <c r="D258" i="67"/>
  <c r="F258" i="67"/>
  <c r="H258" i="67" s="1"/>
  <c r="D259" i="67"/>
  <c r="F259" i="67"/>
  <c r="K259" i="67" s="1"/>
  <c r="D260" i="67"/>
  <c r="F260" i="67"/>
  <c r="J260" i="67" s="1"/>
  <c r="D261" i="67"/>
  <c r="F261" i="67"/>
  <c r="I261" i="67" s="1"/>
  <c r="D262" i="67"/>
  <c r="F262" i="67"/>
  <c r="J262" i="67" s="1"/>
  <c r="D263" i="67"/>
  <c r="F263" i="67"/>
  <c r="M263" i="67" s="1"/>
  <c r="D264" i="67"/>
  <c r="F264" i="67"/>
  <c r="L264" i="67" s="1"/>
  <c r="D265" i="67"/>
  <c r="F265" i="67"/>
  <c r="D266" i="67"/>
  <c r="F266" i="67"/>
  <c r="H266" i="67" s="1"/>
  <c r="D267" i="67"/>
  <c r="F267" i="67"/>
  <c r="K267" i="67" s="1"/>
  <c r="D268" i="67"/>
  <c r="F268" i="67"/>
  <c r="J268" i="67" s="1"/>
  <c r="D269" i="67"/>
  <c r="F269" i="67"/>
  <c r="I269" i="67" s="1"/>
  <c r="N269" i="67"/>
  <c r="D270" i="67"/>
  <c r="F270" i="67"/>
  <c r="J270" i="67" s="1"/>
  <c r="D271" i="67"/>
  <c r="F271" i="67"/>
  <c r="M271" i="67" s="1"/>
  <c r="D272" i="67"/>
  <c r="F272" i="67"/>
  <c r="L272" i="67" s="1"/>
  <c r="D273" i="67"/>
  <c r="F273" i="67"/>
  <c r="D274" i="67"/>
  <c r="F274" i="67"/>
  <c r="H274" i="67" s="1"/>
  <c r="D275" i="67"/>
  <c r="F275" i="67"/>
  <c r="K275" i="67" s="1"/>
  <c r="D276" i="67"/>
  <c r="F276" i="67"/>
  <c r="J276" i="67" s="1"/>
  <c r="D277" i="67"/>
  <c r="F277" i="67"/>
  <c r="I277" i="67" s="1"/>
  <c r="D278" i="67"/>
  <c r="F278" i="67"/>
  <c r="J278" i="67" s="1"/>
  <c r="D279" i="67"/>
  <c r="F279" i="67"/>
  <c r="M279" i="67" s="1"/>
  <c r="D280" i="67"/>
  <c r="F280" i="67"/>
  <c r="L280" i="67" s="1"/>
  <c r="D281" i="67"/>
  <c r="F281" i="67"/>
  <c r="D282" i="67"/>
  <c r="F282" i="67"/>
  <c r="H282" i="67" s="1"/>
  <c r="D283" i="67"/>
  <c r="F283" i="67"/>
  <c r="K283" i="67" s="1"/>
  <c r="D284" i="67"/>
  <c r="F284" i="67"/>
  <c r="J284" i="67" s="1"/>
  <c r="D285" i="67"/>
  <c r="F285" i="67"/>
  <c r="I285" i="67" s="1"/>
  <c r="D286" i="67"/>
  <c r="F286" i="67"/>
  <c r="D287" i="67"/>
  <c r="F287" i="67"/>
  <c r="M287" i="67" s="1"/>
  <c r="D288" i="67"/>
  <c r="F288" i="67"/>
  <c r="K288" i="67" s="1"/>
  <c r="D289" i="67"/>
  <c r="F289" i="67"/>
  <c r="M289" i="67" s="1"/>
  <c r="P289" i="67"/>
  <c r="D290" i="67"/>
  <c r="F290" i="67"/>
  <c r="H290" i="67" s="1"/>
  <c r="D291" i="67"/>
  <c r="F291" i="67"/>
  <c r="P291" i="67" s="1"/>
  <c r="D292" i="67"/>
  <c r="F292" i="67"/>
  <c r="G292" i="67" s="1"/>
  <c r="D293" i="67"/>
  <c r="F293" i="67"/>
  <c r="G293" i="67" s="1"/>
  <c r="D294" i="67"/>
  <c r="F294" i="67"/>
  <c r="J294" i="67" s="1"/>
  <c r="D295" i="67"/>
  <c r="F295" i="67"/>
  <c r="M295" i="67" s="1"/>
  <c r="D296" i="67"/>
  <c r="F296" i="67"/>
  <c r="J296" i="67" s="1"/>
  <c r="D297" i="67"/>
  <c r="F297" i="67"/>
  <c r="P297" i="67" s="1"/>
  <c r="N297" i="67"/>
  <c r="D298" i="67"/>
  <c r="F298" i="67"/>
  <c r="J298" i="67" s="1"/>
  <c r="D299" i="67"/>
  <c r="F299" i="67"/>
  <c r="I299" i="67" s="1"/>
  <c r="D300" i="67"/>
  <c r="F300" i="67"/>
  <c r="G300" i="67" s="1"/>
  <c r="D301" i="67"/>
  <c r="F301" i="67"/>
  <c r="D302" i="67"/>
  <c r="F302" i="67"/>
  <c r="J302" i="67" s="1"/>
  <c r="D303" i="67"/>
  <c r="F303" i="67"/>
  <c r="M303" i="67" s="1"/>
  <c r="D304" i="67"/>
  <c r="F304" i="67"/>
  <c r="D305" i="67"/>
  <c r="F305" i="67"/>
  <c r="M305" i="67" s="1"/>
  <c r="D306" i="67"/>
  <c r="F306" i="67"/>
  <c r="H306" i="67" s="1"/>
  <c r="D307" i="67"/>
  <c r="F307" i="67"/>
  <c r="I307" i="67" s="1"/>
  <c r="D308" i="67"/>
  <c r="F308" i="67"/>
  <c r="J308" i="67" s="1"/>
  <c r="D309" i="67"/>
  <c r="F309" i="67"/>
  <c r="I309" i="67" s="1"/>
  <c r="D310" i="67"/>
  <c r="F310" i="67"/>
  <c r="J310" i="67" s="1"/>
  <c r="D311" i="67"/>
  <c r="F311" i="67"/>
  <c r="M311" i="67" s="1"/>
  <c r="D312" i="67"/>
  <c r="F312" i="67"/>
  <c r="J312" i="67" s="1"/>
  <c r="D313" i="67"/>
  <c r="F313" i="67"/>
  <c r="K313" i="67" s="1"/>
  <c r="D314" i="67"/>
  <c r="F314" i="67"/>
  <c r="H314" i="67" s="1"/>
  <c r="D315" i="67"/>
  <c r="F315" i="67"/>
  <c r="I315" i="67" s="1"/>
  <c r="D316" i="67"/>
  <c r="F316" i="67"/>
  <c r="J316" i="67" s="1"/>
  <c r="D317" i="67"/>
  <c r="F317" i="67"/>
  <c r="I317" i="67" s="1"/>
  <c r="D318" i="67"/>
  <c r="F318" i="67"/>
  <c r="J318" i="67" s="1"/>
  <c r="D319" i="67"/>
  <c r="F319" i="67"/>
  <c r="M319" i="67" s="1"/>
  <c r="D320" i="67"/>
  <c r="F320" i="67"/>
  <c r="J320" i="67" s="1"/>
  <c r="D321" i="67"/>
  <c r="F321" i="67"/>
  <c r="K321" i="67" s="1"/>
  <c r="D322" i="67"/>
  <c r="F322" i="67"/>
  <c r="H322" i="67" s="1"/>
  <c r="D323" i="67"/>
  <c r="F323" i="67"/>
  <c r="I323" i="67" s="1"/>
  <c r="D324" i="67"/>
  <c r="F324" i="67"/>
  <c r="D326" i="67"/>
  <c r="F326" i="67"/>
  <c r="D327" i="67"/>
  <c r="F327" i="67"/>
  <c r="D328" i="67"/>
  <c r="F328" i="67"/>
  <c r="M328" i="67" s="1"/>
  <c r="D329" i="67"/>
  <c r="F329" i="67"/>
  <c r="J329" i="67" s="1"/>
  <c r="D330" i="67"/>
  <c r="F330" i="67"/>
  <c r="D331" i="67"/>
  <c r="F331" i="67"/>
  <c r="H331" i="67" s="1"/>
  <c r="D332" i="67"/>
  <c r="F332" i="67"/>
  <c r="I332" i="67" s="1"/>
  <c r="D333" i="67"/>
  <c r="F333" i="67"/>
  <c r="G333" i="67" s="1"/>
  <c r="D334" i="67"/>
  <c r="F334" i="67"/>
  <c r="P334" i="67" s="1"/>
  <c r="D335" i="67"/>
  <c r="F335" i="67"/>
  <c r="J335" i="67" s="1"/>
  <c r="D336" i="67"/>
  <c r="F336" i="67"/>
  <c r="M336" i="67" s="1"/>
  <c r="D337" i="67"/>
  <c r="F337" i="67"/>
  <c r="J337" i="67" s="1"/>
  <c r="D338" i="67"/>
  <c r="F338" i="67"/>
  <c r="N338" i="67" s="1"/>
  <c r="D339" i="67"/>
  <c r="F339" i="67"/>
  <c r="D340" i="67"/>
  <c r="F340" i="67"/>
  <c r="I340" i="67" s="1"/>
  <c r="D341" i="67"/>
  <c r="F341" i="67"/>
  <c r="J341" i="67" s="1"/>
  <c r="D342" i="67"/>
  <c r="F342" i="67"/>
  <c r="I342" i="67" s="1"/>
  <c r="D343" i="67"/>
  <c r="F343" i="67"/>
  <c r="J343" i="67" s="1"/>
  <c r="D344" i="67"/>
  <c r="F344" i="67"/>
  <c r="M344" i="67" s="1"/>
  <c r="I344" i="67"/>
  <c r="D345" i="67"/>
  <c r="F345" i="67"/>
  <c r="J345" i="67" s="1"/>
  <c r="D346" i="67"/>
  <c r="F346" i="67"/>
  <c r="M346" i="67" s="1"/>
  <c r="D347" i="67"/>
  <c r="F347" i="67"/>
  <c r="H347" i="67" s="1"/>
  <c r="D348" i="67"/>
  <c r="F348" i="67"/>
  <c r="K348" i="67" s="1"/>
  <c r="D349" i="67"/>
  <c r="F349" i="67"/>
  <c r="J349" i="67" s="1"/>
  <c r="D350" i="67"/>
  <c r="F350" i="67"/>
  <c r="I350" i="67" s="1"/>
  <c r="D351" i="67"/>
  <c r="F351" i="67"/>
  <c r="J351" i="67" s="1"/>
  <c r="D352" i="67"/>
  <c r="F352" i="67"/>
  <c r="D353" i="67"/>
  <c r="F353" i="67"/>
  <c r="D354" i="67"/>
  <c r="F354" i="67"/>
  <c r="N354" i="67" s="1"/>
  <c r="D355" i="67"/>
  <c r="F355" i="67"/>
  <c r="H355" i="67" s="1"/>
  <c r="D356" i="67"/>
  <c r="F356" i="67"/>
  <c r="D357" i="67"/>
  <c r="F357" i="67"/>
  <c r="J357" i="67" s="1"/>
  <c r="D358" i="67"/>
  <c r="F358" i="67"/>
  <c r="G358" i="67" s="1"/>
  <c r="D359" i="67"/>
  <c r="F359" i="67"/>
  <c r="J359" i="67" s="1"/>
  <c r="D360" i="67"/>
  <c r="F360" i="67"/>
  <c r="M360" i="67" s="1"/>
  <c r="N360" i="67"/>
  <c r="D361" i="67"/>
  <c r="F361" i="67"/>
  <c r="Q361" i="67" s="1"/>
  <c r="D362" i="67"/>
  <c r="F362" i="67"/>
  <c r="O362" i="67" s="1"/>
  <c r="D363" i="67"/>
  <c r="F363" i="67"/>
  <c r="H363" i="67" s="1"/>
  <c r="D364" i="67"/>
  <c r="F364" i="67"/>
  <c r="H364" i="67" s="1"/>
  <c r="D365" i="67"/>
  <c r="F365" i="67"/>
  <c r="J365" i="67" s="1"/>
  <c r="D366" i="67"/>
  <c r="F366" i="67"/>
  <c r="N366" i="67" s="1"/>
  <c r="D367" i="67"/>
  <c r="F367" i="67"/>
  <c r="J367" i="67" s="1"/>
  <c r="D368" i="67"/>
  <c r="F368" i="67"/>
  <c r="M368" i="67" s="1"/>
  <c r="D369" i="67"/>
  <c r="F369" i="67"/>
  <c r="O369" i="67" s="1"/>
  <c r="D370" i="67"/>
  <c r="F370" i="67"/>
  <c r="M370" i="67" s="1"/>
  <c r="D371" i="67"/>
  <c r="F371" i="67"/>
  <c r="H371" i="67" s="1"/>
  <c r="D372" i="67"/>
  <c r="F372" i="67"/>
  <c r="K372" i="67" s="1"/>
  <c r="D373" i="67"/>
  <c r="F373" i="67"/>
  <c r="J373" i="67" s="1"/>
  <c r="D374" i="67"/>
  <c r="F374" i="67"/>
  <c r="P374" i="67" s="1"/>
  <c r="D375" i="67"/>
  <c r="F375" i="67"/>
  <c r="J375" i="67" s="1"/>
  <c r="D376" i="67"/>
  <c r="F376" i="67"/>
  <c r="I376" i="67" s="1"/>
  <c r="D377" i="67"/>
  <c r="F377" i="67"/>
  <c r="J377" i="67" s="1"/>
  <c r="D378" i="67"/>
  <c r="F378" i="67"/>
  <c r="M378" i="67" s="1"/>
  <c r="D379" i="67"/>
  <c r="F379" i="67"/>
  <c r="H379" i="67" s="1"/>
  <c r="D380" i="67"/>
  <c r="F380" i="67"/>
  <c r="K380" i="67" s="1"/>
  <c r="D381" i="67"/>
  <c r="F381" i="67"/>
  <c r="G381" i="67" s="1"/>
  <c r="D382" i="67"/>
  <c r="F382" i="67"/>
  <c r="G382" i="67" s="1"/>
  <c r="D383" i="67"/>
  <c r="F383" i="67"/>
  <c r="J383" i="67" s="1"/>
  <c r="D384" i="67"/>
  <c r="F384" i="67"/>
  <c r="M384" i="67" s="1"/>
  <c r="D385" i="67"/>
  <c r="F385" i="67"/>
  <c r="J385" i="67" s="1"/>
  <c r="D386" i="67"/>
  <c r="F386" i="67"/>
  <c r="M386" i="67" s="1"/>
  <c r="D387" i="67"/>
  <c r="F387" i="67"/>
  <c r="H387" i="67" s="1"/>
  <c r="D388" i="67"/>
  <c r="F388" i="67"/>
  <c r="K388" i="67" s="1"/>
  <c r="D389" i="67"/>
  <c r="F389" i="67"/>
  <c r="H389" i="67" s="1"/>
  <c r="D390" i="67"/>
  <c r="F390" i="67"/>
  <c r="I390" i="67" s="1"/>
  <c r="P390" i="67"/>
  <c r="D391" i="67"/>
  <c r="F391" i="67"/>
  <c r="J391" i="67" s="1"/>
  <c r="D392" i="67"/>
  <c r="F392" i="67"/>
  <c r="M392" i="67" s="1"/>
  <c r="D393" i="67"/>
  <c r="F393" i="67"/>
  <c r="J393" i="67" s="1"/>
  <c r="D394" i="67"/>
  <c r="F394" i="67"/>
  <c r="M394" i="67" s="1"/>
  <c r="D395" i="67"/>
  <c r="F395" i="67"/>
  <c r="H395" i="67" s="1"/>
  <c r="D396" i="67"/>
  <c r="F396" i="67"/>
  <c r="K396" i="67" s="1"/>
  <c r="D397" i="67"/>
  <c r="F397" i="67"/>
  <c r="I397" i="67" s="1"/>
  <c r="D398" i="67"/>
  <c r="F398" i="67"/>
  <c r="G398" i="67" s="1"/>
  <c r="D399" i="67"/>
  <c r="F399" i="67"/>
  <c r="J399" i="67" s="1"/>
  <c r="D400" i="67"/>
  <c r="F400" i="67"/>
  <c r="M400" i="67" s="1"/>
  <c r="D401" i="67"/>
  <c r="F401" i="67"/>
  <c r="J401" i="67" s="1"/>
  <c r="D402" i="67"/>
  <c r="F402" i="67"/>
  <c r="M402" i="67" s="1"/>
  <c r="D403" i="67"/>
  <c r="F403" i="67"/>
  <c r="H403" i="67" s="1"/>
  <c r="D404" i="67"/>
  <c r="F404" i="67"/>
  <c r="K404" i="67" s="1"/>
  <c r="D405" i="67"/>
  <c r="F405" i="67"/>
  <c r="H405" i="67" s="1"/>
  <c r="D406" i="67"/>
  <c r="F406" i="67"/>
  <c r="G406" i="67" s="1"/>
  <c r="D407" i="67"/>
  <c r="F407" i="67"/>
  <c r="J407" i="67" s="1"/>
  <c r="D408" i="67"/>
  <c r="F408" i="67"/>
  <c r="M408" i="67" s="1"/>
  <c r="D409" i="67"/>
  <c r="F409" i="67"/>
  <c r="J409" i="67" s="1"/>
  <c r="D410" i="67"/>
  <c r="F410" i="67"/>
  <c r="M410" i="67" s="1"/>
  <c r="D411" i="67"/>
  <c r="F411" i="67"/>
  <c r="G411" i="67" s="1"/>
  <c r="D412" i="67"/>
  <c r="F412" i="67"/>
  <c r="K412" i="67" s="1"/>
  <c r="D413" i="67"/>
  <c r="F413" i="67"/>
  <c r="M413" i="67" s="1"/>
  <c r="D414" i="67"/>
  <c r="F414" i="67"/>
  <c r="G414" i="67" s="1"/>
  <c r="D415" i="67"/>
  <c r="F415" i="67"/>
  <c r="J415" i="67" s="1"/>
  <c r="D423" i="67"/>
  <c r="F423" i="67"/>
  <c r="J423" i="67" s="1"/>
  <c r="D424" i="67"/>
  <c r="F424" i="67"/>
  <c r="I424" i="67" s="1"/>
  <c r="D425" i="67"/>
  <c r="F425" i="67"/>
  <c r="K425" i="67" s="1"/>
  <c r="D426" i="67"/>
  <c r="F426" i="67"/>
  <c r="G426" i="67" s="1"/>
  <c r="D427" i="67"/>
  <c r="F427" i="67"/>
  <c r="J427" i="67" s="1"/>
  <c r="D428" i="67"/>
  <c r="F428" i="67"/>
  <c r="M428" i="67" s="1"/>
  <c r="D429" i="67"/>
  <c r="F429" i="67"/>
  <c r="G429" i="67" s="1"/>
  <c r="D430" i="67"/>
  <c r="F430" i="67"/>
  <c r="K430" i="67" s="1"/>
  <c r="D431" i="67"/>
  <c r="F431" i="67"/>
  <c r="J431" i="67" s="1"/>
  <c r="H431" i="67"/>
  <c r="D432" i="67"/>
  <c r="F432" i="67"/>
  <c r="I432" i="67" s="1"/>
  <c r="D433" i="67"/>
  <c r="F433" i="67"/>
  <c r="K433" i="67" s="1"/>
  <c r="D434" i="67"/>
  <c r="F434" i="67"/>
  <c r="G434" i="67" s="1"/>
  <c r="D435" i="67"/>
  <c r="F435" i="67"/>
  <c r="J435" i="67" s="1"/>
  <c r="D436" i="67"/>
  <c r="F436" i="67"/>
  <c r="M436" i="67" s="1"/>
  <c r="D437" i="67"/>
  <c r="F437" i="67"/>
  <c r="G437" i="67" s="1"/>
  <c r="D438" i="67"/>
  <c r="F438" i="67"/>
  <c r="K438" i="67" s="1"/>
  <c r="D440" i="67"/>
  <c r="F440" i="67"/>
  <c r="J440" i="67" s="1"/>
  <c r="D441" i="67"/>
  <c r="F441" i="67"/>
  <c r="I441" i="67" s="1"/>
  <c r="D442" i="67"/>
  <c r="F442" i="67"/>
  <c r="J442" i="67" s="1"/>
  <c r="D443" i="67"/>
  <c r="F443" i="67"/>
  <c r="G443" i="67" s="1"/>
  <c r="D444" i="67"/>
  <c r="F444" i="67"/>
  <c r="J444" i="67" s="1"/>
  <c r="D445" i="67"/>
  <c r="F445" i="67"/>
  <c r="M445" i="67" s="1"/>
  <c r="D446" i="67"/>
  <c r="F446" i="67"/>
  <c r="G446" i="67" s="1"/>
  <c r="D447" i="67"/>
  <c r="F447" i="67"/>
  <c r="K447" i="67" s="1"/>
  <c r="D448" i="67"/>
  <c r="F448" i="67"/>
  <c r="I448" i="67" s="1"/>
  <c r="D449" i="67"/>
  <c r="F449" i="67"/>
  <c r="I449" i="67" s="1"/>
  <c r="D450" i="67"/>
  <c r="F450" i="67"/>
  <c r="J450" i="67" s="1"/>
  <c r="D451" i="67"/>
  <c r="F451" i="67"/>
  <c r="G451" i="67" s="1"/>
  <c r="Q451" i="67"/>
  <c r="D452" i="67"/>
  <c r="F452" i="67"/>
  <c r="J452" i="67" s="1"/>
  <c r="D454" i="67"/>
  <c r="F454" i="67"/>
  <c r="L454" i="67" s="1"/>
  <c r="D455" i="67"/>
  <c r="F455" i="67"/>
  <c r="G455" i="67" s="1"/>
  <c r="D456" i="67"/>
  <c r="F456" i="67"/>
  <c r="K456" i="67" s="1"/>
  <c r="D457" i="67"/>
  <c r="F457" i="67"/>
  <c r="J457" i="67" s="1"/>
  <c r="D458" i="67"/>
  <c r="F458" i="67"/>
  <c r="I458" i="67" s="1"/>
  <c r="D459" i="67"/>
  <c r="F459" i="67"/>
  <c r="J459" i="67" s="1"/>
  <c r="D460" i="67"/>
  <c r="F460" i="67"/>
  <c r="G460" i="67" s="1"/>
  <c r="D461" i="67"/>
  <c r="F461" i="67"/>
  <c r="J461" i="67" s="1"/>
  <c r="D462" i="67"/>
  <c r="F462" i="67"/>
  <c r="M462" i="67" s="1"/>
  <c r="E464" i="67"/>
  <c r="U43" i="101" l="1"/>
  <c r="K44" i="101" s="1"/>
  <c r="U33" i="101"/>
  <c r="U38" i="101"/>
  <c r="K39" i="101" s="1"/>
  <c r="G47" i="71"/>
  <c r="AE3" i="71"/>
  <c r="AE8" i="71" s="1"/>
  <c r="E8" i="101" s="1"/>
  <c r="P7" i="101" s="1"/>
  <c r="F43" i="101" s="1"/>
  <c r="F47" i="71"/>
  <c r="AD3" i="71"/>
  <c r="AD8" i="71" s="1"/>
  <c r="D8" i="101" s="1"/>
  <c r="P6" i="101" s="1"/>
  <c r="F38" i="101" s="1"/>
  <c r="E47" i="71"/>
  <c r="AC8" i="71"/>
  <c r="C8" i="101" s="1"/>
  <c r="H47" i="71"/>
  <c r="AF3" i="71"/>
  <c r="AF8" i="71" s="1"/>
  <c r="F8" i="101" s="1"/>
  <c r="P8" i="101" s="1"/>
  <c r="F48" i="101" s="1"/>
  <c r="D47" i="71"/>
  <c r="AB3" i="71"/>
  <c r="AB8" i="71" s="1"/>
  <c r="K47" i="71"/>
  <c r="AI3" i="71"/>
  <c r="AI8" i="71" s="1"/>
  <c r="I8" i="101" s="1"/>
  <c r="P11" i="101" s="1"/>
  <c r="J47" i="71"/>
  <c r="AH3" i="71"/>
  <c r="AH8" i="71" s="1"/>
  <c r="H8" i="101" s="1"/>
  <c r="P10" i="101" s="1"/>
  <c r="I47" i="71"/>
  <c r="AG8" i="71"/>
  <c r="G8" i="101" s="1"/>
  <c r="P9" i="101" s="1"/>
  <c r="F53" i="101" s="1"/>
  <c r="P48" i="101" s="1"/>
  <c r="D53" i="75"/>
  <c r="AA3" i="75"/>
  <c r="I53" i="75"/>
  <c r="AF3" i="75"/>
  <c r="G20" i="101" s="1"/>
  <c r="P21" i="101" s="1"/>
  <c r="K53" i="101" s="1"/>
  <c r="K53" i="75"/>
  <c r="I20" i="101"/>
  <c r="P23" i="101" s="1"/>
  <c r="K63" i="101" s="1"/>
  <c r="J53" i="75"/>
  <c r="AG3" i="75"/>
  <c r="H20" i="101" s="1"/>
  <c r="P22" i="101" s="1"/>
  <c r="K58" i="101" s="1"/>
  <c r="E47" i="75"/>
  <c r="O46" i="75" s="1"/>
  <c r="D47" i="75"/>
  <c r="N42" i="75" s="1"/>
  <c r="H53" i="75"/>
  <c r="H47" i="75"/>
  <c r="R46" i="75" s="1"/>
  <c r="G53" i="75"/>
  <c r="G47" i="75"/>
  <c r="Q43" i="75" s="1"/>
  <c r="F53" i="75"/>
  <c r="F47" i="75"/>
  <c r="P43" i="75" s="1"/>
  <c r="E53" i="75"/>
  <c r="N116" i="91"/>
  <c r="N121" i="91" s="1"/>
  <c r="G116" i="91"/>
  <c r="G121" i="91" s="1"/>
  <c r="D14" i="73"/>
  <c r="D13" i="73" s="1"/>
  <c r="L116" i="91"/>
  <c r="L121" i="91" s="1"/>
  <c r="I14" i="73"/>
  <c r="I13" i="73" s="1"/>
  <c r="K116" i="91"/>
  <c r="K121" i="91" s="1"/>
  <c r="H14" i="73"/>
  <c r="H13" i="73" s="1"/>
  <c r="J116" i="91"/>
  <c r="J121" i="91" s="1"/>
  <c r="G14" i="73"/>
  <c r="G13" i="73" s="1"/>
  <c r="I116" i="91"/>
  <c r="I121" i="91" s="1"/>
  <c r="F14" i="73"/>
  <c r="F13" i="73" s="1"/>
  <c r="H116" i="91"/>
  <c r="H121" i="91" s="1"/>
  <c r="E14" i="73"/>
  <c r="E13" i="73" s="1"/>
  <c r="K23" i="75"/>
  <c r="L416" i="68"/>
  <c r="I360" i="68"/>
  <c r="Q328" i="68"/>
  <c r="Q281" i="68"/>
  <c r="O273" i="68"/>
  <c r="N269" i="68"/>
  <c r="J251" i="68"/>
  <c r="Q36" i="68"/>
  <c r="O29" i="68"/>
  <c r="N112" i="67"/>
  <c r="O467" i="68"/>
  <c r="I453" i="68"/>
  <c r="N443" i="68"/>
  <c r="N431" i="68"/>
  <c r="N410" i="68"/>
  <c r="N382" i="68"/>
  <c r="P375" i="68"/>
  <c r="H360" i="68"/>
  <c r="J354" i="68"/>
  <c r="N328" i="68"/>
  <c r="P322" i="68"/>
  <c r="H306" i="68"/>
  <c r="L290" i="68"/>
  <c r="N281" i="68"/>
  <c r="N275" i="68"/>
  <c r="M273" i="68"/>
  <c r="I269" i="68"/>
  <c r="L266" i="68"/>
  <c r="H259" i="68"/>
  <c r="H251" i="68"/>
  <c r="N246" i="68"/>
  <c r="M227" i="68"/>
  <c r="P190" i="68"/>
  <c r="O187" i="68"/>
  <c r="Q185" i="68"/>
  <c r="H185" i="68"/>
  <c r="P174" i="68"/>
  <c r="P171" i="68"/>
  <c r="I158" i="68"/>
  <c r="P122" i="68"/>
  <c r="G120" i="68"/>
  <c r="K98" i="68"/>
  <c r="P87" i="68"/>
  <c r="O41" i="68"/>
  <c r="O36" i="68"/>
  <c r="N29" i="68"/>
  <c r="N28" i="68"/>
  <c r="L27" i="68"/>
  <c r="O413" i="69"/>
  <c r="O305" i="69"/>
  <c r="H239" i="69"/>
  <c r="I131" i="69"/>
  <c r="N467" i="68"/>
  <c r="L328" i="68"/>
  <c r="P299" i="68"/>
  <c r="Q288" i="68"/>
  <c r="L273" i="68"/>
  <c r="N36" i="68"/>
  <c r="L29" i="68"/>
  <c r="L28" i="68"/>
  <c r="Q21" i="68"/>
  <c r="J15" i="68"/>
  <c r="M305" i="69"/>
  <c r="O208" i="67"/>
  <c r="M122" i="67"/>
  <c r="N22" i="67"/>
  <c r="L467" i="68"/>
  <c r="Q458" i="68"/>
  <c r="P445" i="68"/>
  <c r="Q432" i="68"/>
  <c r="N414" i="68"/>
  <c r="Q387" i="68"/>
  <c r="N361" i="68"/>
  <c r="O339" i="68"/>
  <c r="P333" i="68"/>
  <c r="H328" i="68"/>
  <c r="J314" i="68"/>
  <c r="O299" i="68"/>
  <c r="I288" i="68"/>
  <c r="N285" i="68"/>
  <c r="J281" i="68"/>
  <c r="K273" i="68"/>
  <c r="Q248" i="68"/>
  <c r="M233" i="68"/>
  <c r="G187" i="68"/>
  <c r="K179" i="68"/>
  <c r="G152" i="68"/>
  <c r="Q132" i="68"/>
  <c r="Q129" i="68"/>
  <c r="K122" i="68"/>
  <c r="Q110" i="68"/>
  <c r="N107" i="68"/>
  <c r="J100" i="68"/>
  <c r="H87" i="68"/>
  <c r="J47" i="68"/>
  <c r="O37" i="68"/>
  <c r="L36" i="68"/>
  <c r="J29" i="68"/>
  <c r="J28" i="68"/>
  <c r="G21" i="68"/>
  <c r="I15" i="68"/>
  <c r="L468" i="69"/>
  <c r="M413" i="69"/>
  <c r="K22" i="67"/>
  <c r="K467" i="68"/>
  <c r="N458" i="68"/>
  <c r="O454" i="68"/>
  <c r="I445" i="68"/>
  <c r="N339" i="68"/>
  <c r="N333" i="68"/>
  <c r="I273" i="68"/>
  <c r="N250" i="68"/>
  <c r="P245" i="68"/>
  <c r="N148" i="68"/>
  <c r="Q137" i="68"/>
  <c r="Q134" i="68"/>
  <c r="L129" i="68"/>
  <c r="N37" i="68"/>
  <c r="H36" i="68"/>
  <c r="I29" i="68"/>
  <c r="H413" i="69"/>
  <c r="N249" i="69"/>
  <c r="J339" i="68"/>
  <c r="H333" i="68"/>
  <c r="Q289" i="68"/>
  <c r="K285" i="68"/>
  <c r="G273" i="68"/>
  <c r="L250" i="68"/>
  <c r="N245" i="68"/>
  <c r="N239" i="68"/>
  <c r="H218" i="68"/>
  <c r="Q209" i="68"/>
  <c r="N184" i="68"/>
  <c r="Q181" i="68"/>
  <c r="N175" i="68"/>
  <c r="J137" i="68"/>
  <c r="J134" i="68"/>
  <c r="I129" i="68"/>
  <c r="P126" i="68"/>
  <c r="N56" i="68"/>
  <c r="I37" i="68"/>
  <c r="G36" i="68"/>
  <c r="H29" i="68"/>
  <c r="G23" i="68"/>
  <c r="I8" i="68"/>
  <c r="H288" i="69"/>
  <c r="G450" i="68"/>
  <c r="M320" i="68"/>
  <c r="N300" i="68"/>
  <c r="G289" i="68"/>
  <c r="H285" i="68"/>
  <c r="Q273" i="68"/>
  <c r="P269" i="68"/>
  <c r="P261" i="68"/>
  <c r="G257" i="68"/>
  <c r="I254" i="68"/>
  <c r="N251" i="68"/>
  <c r="H245" i="68"/>
  <c r="N214" i="68"/>
  <c r="K211" i="68"/>
  <c r="J209" i="68"/>
  <c r="P169" i="68"/>
  <c r="K158" i="68"/>
  <c r="G126" i="68"/>
  <c r="G115" i="68"/>
  <c r="H82" i="68"/>
  <c r="N79" i="68"/>
  <c r="J76" i="68"/>
  <c r="J52" i="68"/>
  <c r="Q29" i="68"/>
  <c r="J16" i="68"/>
  <c r="M453" i="69"/>
  <c r="H105" i="69"/>
  <c r="I346" i="68"/>
  <c r="M346" i="68"/>
  <c r="M177" i="68"/>
  <c r="O177" i="68"/>
  <c r="J115" i="67"/>
  <c r="G66" i="67"/>
  <c r="K32" i="67"/>
  <c r="M416" i="68"/>
  <c r="H416" i="68"/>
  <c r="O412" i="68"/>
  <c r="P412" i="68"/>
  <c r="Q400" i="68"/>
  <c r="P376" i="68"/>
  <c r="L373" i="68"/>
  <c r="G373" i="68"/>
  <c r="O373" i="68"/>
  <c r="G357" i="68"/>
  <c r="K357" i="68"/>
  <c r="I388" i="68"/>
  <c r="H388" i="68"/>
  <c r="G201" i="68"/>
  <c r="I201" i="68"/>
  <c r="L201" i="68"/>
  <c r="Q201" i="68"/>
  <c r="J386" i="68"/>
  <c r="Q386" i="68"/>
  <c r="N376" i="68"/>
  <c r="H364" i="68"/>
  <c r="G348" i="68"/>
  <c r="H348" i="68"/>
  <c r="K348" i="68"/>
  <c r="K336" i="68"/>
  <c r="I336" i="68"/>
  <c r="P336" i="68"/>
  <c r="H263" i="68"/>
  <c r="G263" i="68"/>
  <c r="O263" i="68"/>
  <c r="M230" i="68"/>
  <c r="P230" i="68"/>
  <c r="G164" i="68"/>
  <c r="N164" i="68"/>
  <c r="N376" i="67"/>
  <c r="N318" i="67"/>
  <c r="L208" i="67"/>
  <c r="G201" i="67"/>
  <c r="P139" i="67"/>
  <c r="G96" i="67"/>
  <c r="M467" i="68"/>
  <c r="J466" i="68"/>
  <c r="O456" i="68"/>
  <c r="N452" i="68"/>
  <c r="O449" i="68"/>
  <c r="G444" i="68"/>
  <c r="N444" i="68"/>
  <c r="Q441" i="68"/>
  <c r="N436" i="68"/>
  <c r="K433" i="68"/>
  <c r="M430" i="68"/>
  <c r="J430" i="68"/>
  <c r="J394" i="68"/>
  <c r="Q394" i="68"/>
  <c r="L376" i="68"/>
  <c r="G374" i="68"/>
  <c r="K374" i="68"/>
  <c r="O372" i="68"/>
  <c r="I305" i="68"/>
  <c r="L283" i="68"/>
  <c r="K283" i="68"/>
  <c r="P283" i="68"/>
  <c r="I243" i="68"/>
  <c r="K243" i="68"/>
  <c r="P243" i="68"/>
  <c r="K94" i="68"/>
  <c r="G94" i="68"/>
  <c r="H94" i="68"/>
  <c r="I94" i="68"/>
  <c r="M94" i="68"/>
  <c r="N94" i="68"/>
  <c r="O94" i="68"/>
  <c r="P94" i="68"/>
  <c r="L395" i="68"/>
  <c r="I395" i="68"/>
  <c r="Q395" i="68"/>
  <c r="N13" i="67"/>
  <c r="N456" i="68"/>
  <c r="P441" i="68"/>
  <c r="O395" i="68"/>
  <c r="G385" i="68"/>
  <c r="N385" i="68"/>
  <c r="G382" i="68"/>
  <c r="M382" i="68"/>
  <c r="I376" i="68"/>
  <c r="I364" i="68"/>
  <c r="N364" i="68"/>
  <c r="J347" i="68"/>
  <c r="P344" i="68"/>
  <c r="I341" i="68"/>
  <c r="N341" i="68"/>
  <c r="L348" i="67"/>
  <c r="Q295" i="67"/>
  <c r="I276" i="67"/>
  <c r="N250" i="67"/>
  <c r="G169" i="67"/>
  <c r="Q102" i="67"/>
  <c r="H53" i="67"/>
  <c r="H20" i="67"/>
  <c r="Q453" i="68"/>
  <c r="Q445" i="68"/>
  <c r="M441" i="68"/>
  <c r="P416" i="68"/>
  <c r="H413" i="68"/>
  <c r="N395" i="68"/>
  <c r="I372" i="68"/>
  <c r="N372" i="68"/>
  <c r="Q365" i="68"/>
  <c r="I267" i="68"/>
  <c r="H267" i="68"/>
  <c r="J267" i="68"/>
  <c r="K267" i="68"/>
  <c r="M267" i="68"/>
  <c r="N267" i="68"/>
  <c r="P267" i="68"/>
  <c r="K121" i="68"/>
  <c r="H121" i="68"/>
  <c r="N121" i="68"/>
  <c r="Q121" i="68"/>
  <c r="N329" i="67"/>
  <c r="O309" i="67"/>
  <c r="Q272" i="67"/>
  <c r="J441" i="68"/>
  <c r="Q418" i="68"/>
  <c r="L405" i="68"/>
  <c r="N405" i="68"/>
  <c r="K395" i="68"/>
  <c r="L381" i="68"/>
  <c r="K381" i="68"/>
  <c r="M376" i="68"/>
  <c r="K376" i="68"/>
  <c r="Q376" i="68"/>
  <c r="M368" i="68"/>
  <c r="K368" i="68"/>
  <c r="L347" i="68"/>
  <c r="Q347" i="68"/>
  <c r="G308" i="68"/>
  <c r="N308" i="68"/>
  <c r="L365" i="68"/>
  <c r="G365" i="68"/>
  <c r="H365" i="68"/>
  <c r="Q409" i="67"/>
  <c r="G309" i="67"/>
  <c r="P272" i="67"/>
  <c r="H164" i="67"/>
  <c r="O115" i="67"/>
  <c r="P471" i="68"/>
  <c r="J453" i="68"/>
  <c r="N450" i="68"/>
  <c r="O445" i="68"/>
  <c r="I441" i="68"/>
  <c r="N418" i="68"/>
  <c r="K416" i="68"/>
  <c r="M408" i="68"/>
  <c r="Q408" i="68"/>
  <c r="G395" i="68"/>
  <c r="P388" i="68"/>
  <c r="G387" i="68"/>
  <c r="P387" i="68"/>
  <c r="I387" i="68"/>
  <c r="K373" i="68"/>
  <c r="N365" i="68"/>
  <c r="P357" i="68"/>
  <c r="L355" i="68"/>
  <c r="G355" i="68"/>
  <c r="P355" i="68"/>
  <c r="H352" i="68"/>
  <c r="G150" i="68"/>
  <c r="H150" i="68"/>
  <c r="N150" i="68"/>
  <c r="O150" i="68"/>
  <c r="P150" i="68"/>
  <c r="Q150" i="68"/>
  <c r="H367" i="68"/>
  <c r="I339" i="68"/>
  <c r="O337" i="68"/>
  <c r="I325" i="68"/>
  <c r="N322" i="68"/>
  <c r="L320" i="68"/>
  <c r="P317" i="68"/>
  <c r="M306" i="68"/>
  <c r="K301" i="68"/>
  <c r="M299" i="68"/>
  <c r="M290" i="68"/>
  <c r="O282" i="68"/>
  <c r="I275" i="68"/>
  <c r="O266" i="68"/>
  <c r="H254" i="68"/>
  <c r="P251" i="68"/>
  <c r="H250" i="68"/>
  <c r="J248" i="68"/>
  <c r="L246" i="68"/>
  <c r="N242" i="68"/>
  <c r="J232" i="68"/>
  <c r="Q229" i="68"/>
  <c r="N220" i="68"/>
  <c r="G209" i="68"/>
  <c r="H206" i="68"/>
  <c r="O193" i="68"/>
  <c r="H179" i="68"/>
  <c r="K171" i="68"/>
  <c r="N166" i="68"/>
  <c r="G158" i="68"/>
  <c r="N146" i="68"/>
  <c r="H139" i="68"/>
  <c r="P134" i="68"/>
  <c r="H129" i="68"/>
  <c r="H122" i="68"/>
  <c r="J119" i="68"/>
  <c r="G110" i="68"/>
  <c r="K107" i="68"/>
  <c r="P98" i="68"/>
  <c r="K97" i="68"/>
  <c r="K95" i="68"/>
  <c r="K67" i="68"/>
  <c r="L58" i="68"/>
  <c r="M53" i="68"/>
  <c r="M50" i="68"/>
  <c r="Q41" i="68"/>
  <c r="L37" i="68"/>
  <c r="I32" i="68"/>
  <c r="P29" i="68"/>
  <c r="G29" i="68"/>
  <c r="I28" i="68"/>
  <c r="P21" i="68"/>
  <c r="H15" i="68"/>
  <c r="I13" i="68"/>
  <c r="K11" i="68"/>
  <c r="L397" i="69"/>
  <c r="Q117" i="69"/>
  <c r="K340" i="68"/>
  <c r="G339" i="68"/>
  <c r="G337" i="68"/>
  <c r="M322" i="68"/>
  <c r="H320" i="68"/>
  <c r="Q307" i="68"/>
  <c r="J304" i="68"/>
  <c r="G299" i="68"/>
  <c r="L282" i="68"/>
  <c r="Q256" i="68"/>
  <c r="I248" i="68"/>
  <c r="H246" i="68"/>
  <c r="G242" i="68"/>
  <c r="O233" i="68"/>
  <c r="M220" i="68"/>
  <c r="P213" i="68"/>
  <c r="I171" i="68"/>
  <c r="L146" i="68"/>
  <c r="O134" i="68"/>
  <c r="G129" i="68"/>
  <c r="H107" i="68"/>
  <c r="Q89" i="68"/>
  <c r="J84" i="68"/>
  <c r="H67" i="68"/>
  <c r="H58" i="68"/>
  <c r="P41" i="68"/>
  <c r="J37" i="68"/>
  <c r="O21" i="68"/>
  <c r="P20" i="68"/>
  <c r="J11" i="68"/>
  <c r="N8" i="68"/>
  <c r="K6" i="68"/>
  <c r="H448" i="69"/>
  <c r="L433" i="69"/>
  <c r="O307" i="69"/>
  <c r="I214" i="69"/>
  <c r="I151" i="69"/>
  <c r="K334" i="68"/>
  <c r="Q217" i="68"/>
  <c r="O78" i="68"/>
  <c r="Q71" i="68"/>
  <c r="P42" i="68"/>
  <c r="M21" i="68"/>
  <c r="P274" i="68"/>
  <c r="I261" i="68"/>
  <c r="L233" i="68"/>
  <c r="N225" i="68"/>
  <c r="P217" i="68"/>
  <c r="Q179" i="68"/>
  <c r="N167" i="68"/>
  <c r="Q158" i="68"/>
  <c r="I134" i="68"/>
  <c r="P129" i="68"/>
  <c r="K103" i="68"/>
  <c r="N78" i="68"/>
  <c r="Q73" i="68"/>
  <c r="O71" i="68"/>
  <c r="Q54" i="68"/>
  <c r="N49" i="68"/>
  <c r="P47" i="68"/>
  <c r="N42" i="68"/>
  <c r="N41" i="68"/>
  <c r="L21" i="68"/>
  <c r="O14" i="68"/>
  <c r="P339" i="68"/>
  <c r="M338" i="68"/>
  <c r="Q331" i="68"/>
  <c r="K326" i="68"/>
  <c r="I312" i="68"/>
  <c r="P298" i="68"/>
  <c r="O279" i="68"/>
  <c r="N274" i="68"/>
  <c r="H261" i="68"/>
  <c r="Q257" i="68"/>
  <c r="G247" i="68"/>
  <c r="Q241" i="68"/>
  <c r="J233" i="68"/>
  <c r="K225" i="68"/>
  <c r="O219" i="68"/>
  <c r="M217" i="68"/>
  <c r="N179" i="68"/>
  <c r="G167" i="68"/>
  <c r="L161" i="68"/>
  <c r="O135" i="68"/>
  <c r="G134" i="68"/>
  <c r="N129" i="68"/>
  <c r="J103" i="68"/>
  <c r="G83" i="68"/>
  <c r="I78" i="68"/>
  <c r="J73" i="68"/>
  <c r="N71" i="68"/>
  <c r="N68" i="68"/>
  <c r="H54" i="68"/>
  <c r="M49" i="68"/>
  <c r="N47" i="68"/>
  <c r="M42" i="68"/>
  <c r="H41" i="68"/>
  <c r="K29" i="68"/>
  <c r="J21" i="68"/>
  <c r="H14" i="68"/>
  <c r="N10" i="68"/>
  <c r="O5" i="68"/>
  <c r="J142" i="69"/>
  <c r="Q49" i="69"/>
  <c r="O14" i="69"/>
  <c r="N279" i="68"/>
  <c r="L274" i="68"/>
  <c r="M257" i="68"/>
  <c r="O241" i="68"/>
  <c r="O227" i="68"/>
  <c r="L217" i="68"/>
  <c r="Q214" i="68"/>
  <c r="M186" i="68"/>
  <c r="M129" i="68"/>
  <c r="G78" i="68"/>
  <c r="I73" i="68"/>
  <c r="L71" i="68"/>
  <c r="J49" i="68"/>
  <c r="K47" i="68"/>
  <c r="Q11" i="68"/>
  <c r="P7" i="68"/>
  <c r="P244" i="69"/>
  <c r="L33" i="69"/>
  <c r="I112" i="70"/>
  <c r="F118" i="70" s="1"/>
  <c r="Q448" i="69"/>
  <c r="J413" i="69"/>
  <c r="N376" i="69"/>
  <c r="J373" i="69"/>
  <c r="I307" i="69"/>
  <c r="P219" i="69"/>
  <c r="M212" i="69"/>
  <c r="M142" i="69"/>
  <c r="O124" i="69"/>
  <c r="Q113" i="69"/>
  <c r="N106" i="69"/>
  <c r="P56" i="69"/>
  <c r="Q418" i="69"/>
  <c r="H346" i="69"/>
  <c r="Q339" i="69"/>
  <c r="K300" i="69"/>
  <c r="I271" i="69"/>
  <c r="H248" i="69"/>
  <c r="K230" i="69"/>
  <c r="H142" i="69"/>
  <c r="H33" i="69"/>
  <c r="G346" i="69"/>
  <c r="N339" i="69"/>
  <c r="O292" i="69"/>
  <c r="P408" i="69"/>
  <c r="O311" i="69"/>
  <c r="N292" i="69"/>
  <c r="G159" i="69"/>
  <c r="H43" i="69"/>
  <c r="P13" i="69"/>
  <c r="P453" i="69"/>
  <c r="N381" i="69"/>
  <c r="N374" i="69"/>
  <c r="H314" i="69"/>
  <c r="N311" i="69"/>
  <c r="K292" i="69"/>
  <c r="M229" i="69"/>
  <c r="I292" i="69"/>
  <c r="N243" i="69"/>
  <c r="I104" i="69"/>
  <c r="J408" i="69"/>
  <c r="L398" i="69"/>
  <c r="Q392" i="69"/>
  <c r="J381" i="69"/>
  <c r="K368" i="69"/>
  <c r="I322" i="69"/>
  <c r="M307" i="69"/>
  <c r="Q303" i="69"/>
  <c r="K296" i="69"/>
  <c r="N291" i="69"/>
  <c r="H284" i="69"/>
  <c r="N266" i="69"/>
  <c r="N256" i="69"/>
  <c r="M243" i="69"/>
  <c r="P203" i="69"/>
  <c r="N200" i="69"/>
  <c r="P197" i="69"/>
  <c r="J187" i="69"/>
  <c r="G165" i="69"/>
  <c r="L132" i="69"/>
  <c r="G131" i="69"/>
  <c r="G87" i="69"/>
  <c r="J25" i="69"/>
  <c r="I3" i="69"/>
  <c r="I408" i="69"/>
  <c r="Q395" i="69"/>
  <c r="G389" i="69"/>
  <c r="I386" i="69"/>
  <c r="G381" i="69"/>
  <c r="P343" i="69"/>
  <c r="H329" i="69"/>
  <c r="H318" i="69"/>
  <c r="K307" i="69"/>
  <c r="H243" i="69"/>
  <c r="J200" i="69"/>
  <c r="M382" i="69"/>
  <c r="Q247" i="69"/>
  <c r="I117" i="69"/>
  <c r="O464" i="69"/>
  <c r="L439" i="69"/>
  <c r="H432" i="69"/>
  <c r="I413" i="69"/>
  <c r="I400" i="69"/>
  <c r="O397" i="69"/>
  <c r="H382" i="69"/>
  <c r="O339" i="69"/>
  <c r="M311" i="69"/>
  <c r="G307" i="69"/>
  <c r="L292" i="69"/>
  <c r="P271" i="69"/>
  <c r="O268" i="69"/>
  <c r="G265" i="69"/>
  <c r="Q255" i="69"/>
  <c r="O249" i="69"/>
  <c r="I247" i="69"/>
  <c r="K219" i="69"/>
  <c r="N209" i="69"/>
  <c r="N151" i="69"/>
  <c r="J148" i="69"/>
  <c r="Q131" i="69"/>
  <c r="G117" i="69"/>
  <c r="L89" i="69"/>
  <c r="M82" i="69"/>
  <c r="H59" i="69"/>
  <c r="M255" i="69"/>
  <c r="Q225" i="69"/>
  <c r="M157" i="69"/>
  <c r="O131" i="69"/>
  <c r="Q44" i="69"/>
  <c r="N466" i="69"/>
  <c r="P448" i="69"/>
  <c r="O390" i="69"/>
  <c r="I339" i="69"/>
  <c r="Q307" i="69"/>
  <c r="N304" i="69"/>
  <c r="K255" i="69"/>
  <c r="Q243" i="69"/>
  <c r="N234" i="69"/>
  <c r="J228" i="69"/>
  <c r="N225" i="69"/>
  <c r="G221" i="69"/>
  <c r="Q195" i="69"/>
  <c r="L188" i="69"/>
  <c r="H181" i="69"/>
  <c r="Q170" i="69"/>
  <c r="P159" i="69"/>
  <c r="J157" i="69"/>
  <c r="K137" i="69"/>
  <c r="N131" i="69"/>
  <c r="Q129" i="69"/>
  <c r="P44" i="69"/>
  <c r="H8" i="69"/>
  <c r="M466" i="69"/>
  <c r="I448" i="69"/>
  <c r="P413" i="69"/>
  <c r="L406" i="69"/>
  <c r="K390" i="69"/>
  <c r="Q381" i="69"/>
  <c r="L379" i="69"/>
  <c r="G355" i="69"/>
  <c r="P307" i="69"/>
  <c r="H264" i="69"/>
  <c r="H255" i="69"/>
  <c r="P243" i="69"/>
  <c r="P230" i="69"/>
  <c r="H225" i="69"/>
  <c r="Q214" i="69"/>
  <c r="K195" i="69"/>
  <c r="I177" i="69"/>
  <c r="M159" i="69"/>
  <c r="G157" i="69"/>
  <c r="M131" i="69"/>
  <c r="I129" i="69"/>
  <c r="O91" i="69"/>
  <c r="L61" i="69"/>
  <c r="N44" i="69"/>
  <c r="Q452" i="69"/>
  <c r="G432" i="69"/>
  <c r="N418" i="69"/>
  <c r="Q408" i="69"/>
  <c r="O406" i="69"/>
  <c r="J398" i="69"/>
  <c r="J382" i="69"/>
  <c r="M381" i="69"/>
  <c r="Q376" i="69"/>
  <c r="I373" i="69"/>
  <c r="I368" i="69"/>
  <c r="H336" i="69"/>
  <c r="G329" i="69"/>
  <c r="H322" i="69"/>
  <c r="J313" i="69"/>
  <c r="I311" i="69"/>
  <c r="N305" i="69"/>
  <c r="G303" i="69"/>
  <c r="I300" i="69"/>
  <c r="P297" i="69"/>
  <c r="L291" i="69"/>
  <c r="G288" i="69"/>
  <c r="L255" i="69"/>
  <c r="M247" i="69"/>
  <c r="O231" i="69"/>
  <c r="O229" i="69"/>
  <c r="H228" i="69"/>
  <c r="N189" i="69"/>
  <c r="I187" i="69"/>
  <c r="Q178" i="69"/>
  <c r="Q171" i="69"/>
  <c r="G133" i="69"/>
  <c r="P98" i="69"/>
  <c r="Q91" i="69"/>
  <c r="H76" i="69"/>
  <c r="M56" i="69"/>
  <c r="P49" i="69"/>
  <c r="K33" i="69"/>
  <c r="G3" i="69"/>
  <c r="O49" i="69"/>
  <c r="K468" i="69"/>
  <c r="K462" i="69"/>
  <c r="K452" i="69"/>
  <c r="Q435" i="69"/>
  <c r="Q432" i="69"/>
  <c r="J414" i="69"/>
  <c r="J406" i="69"/>
  <c r="N395" i="69"/>
  <c r="N392" i="69"/>
  <c r="H384" i="69"/>
  <c r="H381" i="69"/>
  <c r="H374" i="69"/>
  <c r="Q365" i="69"/>
  <c r="N350" i="69"/>
  <c r="N345" i="69"/>
  <c r="Q322" i="69"/>
  <c r="N293" i="69"/>
  <c r="J292" i="69"/>
  <c r="J271" i="69"/>
  <c r="P268" i="69"/>
  <c r="I255" i="69"/>
  <c r="H247" i="69"/>
  <c r="N244" i="69"/>
  <c r="I229" i="69"/>
  <c r="K225" i="69"/>
  <c r="H221" i="69"/>
  <c r="N219" i="69"/>
  <c r="L212" i="69"/>
  <c r="G194" i="69"/>
  <c r="I157" i="69"/>
  <c r="L142" i="69"/>
  <c r="L131" i="69"/>
  <c r="K129" i="69"/>
  <c r="G124" i="69"/>
  <c r="N121" i="69"/>
  <c r="I113" i="69"/>
  <c r="O106" i="69"/>
  <c r="O104" i="69"/>
  <c r="I91" i="69"/>
  <c r="J88" i="69"/>
  <c r="H86" i="69"/>
  <c r="N49" i="69"/>
  <c r="G33" i="69"/>
  <c r="P432" i="69"/>
  <c r="G374" i="69"/>
  <c r="G372" i="69"/>
  <c r="P365" i="69"/>
  <c r="N322" i="69"/>
  <c r="K49" i="69"/>
  <c r="P375" i="69"/>
  <c r="O365" i="69"/>
  <c r="N336" i="69"/>
  <c r="M322" i="69"/>
  <c r="Q317" i="69"/>
  <c r="M283" i="69"/>
  <c r="N232" i="69"/>
  <c r="P213" i="69"/>
  <c r="O190" i="69"/>
  <c r="N163" i="69"/>
  <c r="J158" i="69"/>
  <c r="H150" i="69"/>
  <c r="Q143" i="69"/>
  <c r="O125" i="69"/>
  <c r="H106" i="69"/>
  <c r="I49" i="69"/>
  <c r="P37" i="69"/>
  <c r="I17" i="69"/>
  <c r="K14" i="69"/>
  <c r="N432" i="69"/>
  <c r="P473" i="69"/>
  <c r="O466" i="69"/>
  <c r="M432" i="69"/>
  <c r="Q413" i="69"/>
  <c r="P398" i="69"/>
  <c r="H386" i="69"/>
  <c r="P381" i="69"/>
  <c r="M375" i="69"/>
  <c r="P368" i="69"/>
  <c r="P366" i="69"/>
  <c r="N365" i="69"/>
  <c r="Q355" i="69"/>
  <c r="Q349" i="69"/>
  <c r="P346" i="69"/>
  <c r="H339" i="69"/>
  <c r="K336" i="69"/>
  <c r="Q329" i="69"/>
  <c r="P327" i="69"/>
  <c r="O324" i="69"/>
  <c r="K322" i="69"/>
  <c r="P317" i="69"/>
  <c r="N298" i="69"/>
  <c r="Q292" i="69"/>
  <c r="L283" i="69"/>
  <c r="N276" i="69"/>
  <c r="O255" i="69"/>
  <c r="J232" i="69"/>
  <c r="M228" i="69"/>
  <c r="N215" i="69"/>
  <c r="O213" i="69"/>
  <c r="I163" i="69"/>
  <c r="I158" i="69"/>
  <c r="P143" i="69"/>
  <c r="H125" i="69"/>
  <c r="N123" i="69"/>
  <c r="M117" i="69"/>
  <c r="N87" i="69"/>
  <c r="Q74" i="69"/>
  <c r="H49" i="69"/>
  <c r="Q33" i="69"/>
  <c r="L432" i="69"/>
  <c r="M398" i="69"/>
  <c r="O381" i="69"/>
  <c r="G380" i="69"/>
  <c r="G375" i="69"/>
  <c r="M373" i="69"/>
  <c r="Q371" i="69"/>
  <c r="N368" i="69"/>
  <c r="N366" i="69"/>
  <c r="H365" i="69"/>
  <c r="P355" i="69"/>
  <c r="O349" i="69"/>
  <c r="O340" i="69"/>
  <c r="J336" i="69"/>
  <c r="P329" i="69"/>
  <c r="N327" i="69"/>
  <c r="J322" i="69"/>
  <c r="L317" i="69"/>
  <c r="P291" i="69"/>
  <c r="H279" i="69"/>
  <c r="J276" i="69"/>
  <c r="N267" i="69"/>
  <c r="N255" i="69"/>
  <c r="K241" i="69"/>
  <c r="L228" i="69"/>
  <c r="N220" i="69"/>
  <c r="H213" i="69"/>
  <c r="J198" i="69"/>
  <c r="N187" i="69"/>
  <c r="G163" i="69"/>
  <c r="H143" i="69"/>
  <c r="G125" i="69"/>
  <c r="M87" i="69"/>
  <c r="J74" i="69"/>
  <c r="I59" i="69"/>
  <c r="Q56" i="69"/>
  <c r="G49" i="69"/>
  <c r="Q43" i="69"/>
  <c r="P33" i="69"/>
  <c r="P10" i="69"/>
  <c r="P3" i="69"/>
  <c r="Q12" i="69"/>
  <c r="Q471" i="69"/>
  <c r="I462" i="69"/>
  <c r="O459" i="69"/>
  <c r="M456" i="69"/>
  <c r="H406" i="69"/>
  <c r="I397" i="69"/>
  <c r="I379" i="69"/>
  <c r="H373" i="69"/>
  <c r="O355" i="69"/>
  <c r="M350" i="69"/>
  <c r="P303" i="69"/>
  <c r="H229" i="69"/>
  <c r="G225" i="69"/>
  <c r="P184" i="69"/>
  <c r="Q173" i="69"/>
  <c r="Q172" i="69"/>
  <c r="P167" i="69"/>
  <c r="Q145" i="69"/>
  <c r="Q133" i="69"/>
  <c r="I123" i="69"/>
  <c r="O99" i="69"/>
  <c r="J96" i="69"/>
  <c r="M91" i="69"/>
  <c r="I87" i="69"/>
  <c r="N76" i="69"/>
  <c r="I74" i="69"/>
  <c r="P12" i="69"/>
  <c r="Q184" i="69"/>
  <c r="L463" i="69"/>
  <c r="P402" i="69"/>
  <c r="N355" i="69"/>
  <c r="P354" i="69"/>
  <c r="L350" i="69"/>
  <c r="Q313" i="69"/>
  <c r="O303" i="69"/>
  <c r="M295" i="69"/>
  <c r="P279" i="69"/>
  <c r="P216" i="69"/>
  <c r="N184" i="69"/>
  <c r="O173" i="69"/>
  <c r="N172" i="69"/>
  <c r="O167" i="69"/>
  <c r="Q165" i="69"/>
  <c r="Q149" i="69"/>
  <c r="N147" i="69"/>
  <c r="N145" i="69"/>
  <c r="P133" i="69"/>
  <c r="N99" i="69"/>
  <c r="Q97" i="69"/>
  <c r="O53" i="69"/>
  <c r="H51" i="69"/>
  <c r="Q45" i="69"/>
  <c r="N25" i="69"/>
  <c r="L18" i="69"/>
  <c r="L16" i="69"/>
  <c r="M12" i="69"/>
  <c r="Q8" i="69"/>
  <c r="I7" i="69"/>
  <c r="L471" i="69"/>
  <c r="N419" i="69"/>
  <c r="K471" i="69"/>
  <c r="N468" i="69"/>
  <c r="H463" i="69"/>
  <c r="Q451" i="69"/>
  <c r="J448" i="69"/>
  <c r="K433" i="69"/>
  <c r="L419" i="69"/>
  <c r="O414" i="69"/>
  <c r="N402" i="69"/>
  <c r="H398" i="69"/>
  <c r="P394" i="69"/>
  <c r="H392" i="69"/>
  <c r="N387" i="69"/>
  <c r="P374" i="69"/>
  <c r="Q373" i="69"/>
  <c r="H368" i="69"/>
  <c r="H366" i="69"/>
  <c r="G365" i="69"/>
  <c r="P359" i="69"/>
  <c r="M356" i="69"/>
  <c r="L355" i="69"/>
  <c r="O354" i="69"/>
  <c r="J352" i="69"/>
  <c r="K350" i="69"/>
  <c r="N348" i="69"/>
  <c r="N343" i="69"/>
  <c r="N340" i="69"/>
  <c r="Q336" i="69"/>
  <c r="P318" i="69"/>
  <c r="Q314" i="69"/>
  <c r="O313" i="69"/>
  <c r="N303" i="69"/>
  <c r="M299" i="69"/>
  <c r="J295" i="69"/>
  <c r="H292" i="69"/>
  <c r="P284" i="69"/>
  <c r="N279" i="69"/>
  <c r="P275" i="69"/>
  <c r="K273" i="69"/>
  <c r="L268" i="69"/>
  <c r="M266" i="69"/>
  <c r="G264" i="69"/>
  <c r="P255" i="69"/>
  <c r="G255" i="69"/>
  <c r="P247" i="69"/>
  <c r="L244" i="69"/>
  <c r="N237" i="69"/>
  <c r="K234" i="69"/>
  <c r="P227" i="69"/>
  <c r="P225" i="69"/>
  <c r="O216" i="69"/>
  <c r="M214" i="69"/>
  <c r="G213" i="69"/>
  <c r="M204" i="69"/>
  <c r="G197" i="69"/>
  <c r="N192" i="69"/>
  <c r="Q187" i="69"/>
  <c r="M184" i="69"/>
  <c r="P174" i="69"/>
  <c r="N173" i="69"/>
  <c r="L172" i="69"/>
  <c r="M167" i="69"/>
  <c r="O165" i="69"/>
  <c r="Q157" i="69"/>
  <c r="P150" i="69"/>
  <c r="N149" i="69"/>
  <c r="K147" i="69"/>
  <c r="K145" i="69"/>
  <c r="O133" i="69"/>
  <c r="Q125" i="69"/>
  <c r="M99" i="69"/>
  <c r="O97" i="69"/>
  <c r="H91" i="69"/>
  <c r="N81" i="69"/>
  <c r="N78" i="69"/>
  <c r="M53" i="69"/>
  <c r="P45" i="69"/>
  <c r="L12" i="69"/>
  <c r="O8" i="69"/>
  <c r="I471" i="69"/>
  <c r="G463" i="69"/>
  <c r="N414" i="69"/>
  <c r="N394" i="69"/>
  <c r="O382" i="69"/>
  <c r="Q378" i="69"/>
  <c r="O374" i="69"/>
  <c r="O373" i="69"/>
  <c r="O372" i="69"/>
  <c r="P362" i="69"/>
  <c r="G356" i="69"/>
  <c r="J355" i="69"/>
  <c r="N354" i="69"/>
  <c r="J350" i="69"/>
  <c r="P336" i="69"/>
  <c r="N328" i="69"/>
  <c r="N318" i="69"/>
  <c r="P314" i="69"/>
  <c r="N313" i="69"/>
  <c r="Q311" i="69"/>
  <c r="M303" i="69"/>
  <c r="I299" i="69"/>
  <c r="H295" i="69"/>
  <c r="I284" i="69"/>
  <c r="M279" i="69"/>
  <c r="O275" i="69"/>
  <c r="N251" i="69"/>
  <c r="N247" i="69"/>
  <c r="Q239" i="69"/>
  <c r="M227" i="69"/>
  <c r="O225" i="69"/>
  <c r="G216" i="69"/>
  <c r="L204" i="69"/>
  <c r="J192" i="69"/>
  <c r="P187" i="69"/>
  <c r="L184" i="69"/>
  <c r="O174" i="69"/>
  <c r="L173" i="69"/>
  <c r="G172" i="69"/>
  <c r="J167" i="69"/>
  <c r="N165" i="69"/>
  <c r="Q163" i="69"/>
  <c r="O157" i="69"/>
  <c r="N150" i="69"/>
  <c r="I149" i="69"/>
  <c r="I147" i="69"/>
  <c r="Q135" i="69"/>
  <c r="N133" i="69"/>
  <c r="P125" i="69"/>
  <c r="O119" i="69"/>
  <c r="M106" i="69"/>
  <c r="L104" i="69"/>
  <c r="H99" i="69"/>
  <c r="K97" i="69"/>
  <c r="K92" i="69"/>
  <c r="J81" i="69"/>
  <c r="I78" i="69"/>
  <c r="Q55" i="69"/>
  <c r="K53" i="69"/>
  <c r="M49" i="69"/>
  <c r="N45" i="69"/>
  <c r="L44" i="69"/>
  <c r="P38" i="69"/>
  <c r="N35" i="69"/>
  <c r="O33" i="69"/>
  <c r="N13" i="69"/>
  <c r="K12" i="69"/>
  <c r="J10" i="69"/>
  <c r="N8" i="69"/>
  <c r="O3" i="69"/>
  <c r="M414" i="69"/>
  <c r="K384" i="69"/>
  <c r="I355" i="69"/>
  <c r="I354" i="69"/>
  <c r="I338" i="69"/>
  <c r="O316" i="69"/>
  <c r="M314" i="69"/>
  <c r="M313" i="69"/>
  <c r="K303" i="69"/>
  <c r="P296" i="69"/>
  <c r="L279" i="69"/>
  <c r="N275" i="69"/>
  <c r="P260" i="69"/>
  <c r="O248" i="69"/>
  <c r="I184" i="69"/>
  <c r="J174" i="69"/>
  <c r="J173" i="69"/>
  <c r="L165" i="69"/>
  <c r="M150" i="69"/>
  <c r="O141" i="69"/>
  <c r="J133" i="69"/>
  <c r="K111" i="69"/>
  <c r="I97" i="69"/>
  <c r="P86" i="69"/>
  <c r="L69" i="69"/>
  <c r="I62" i="69"/>
  <c r="K55" i="69"/>
  <c r="H53" i="69"/>
  <c r="O50" i="69"/>
  <c r="L49" i="69"/>
  <c r="I45" i="69"/>
  <c r="J41" i="69"/>
  <c r="J35" i="69"/>
  <c r="M33" i="69"/>
  <c r="N17" i="69"/>
  <c r="H13" i="69"/>
  <c r="I12" i="69"/>
  <c r="H10" i="69"/>
  <c r="J8" i="69"/>
  <c r="N3" i="69"/>
  <c r="N472" i="69"/>
  <c r="I457" i="69"/>
  <c r="K438" i="69"/>
  <c r="K472" i="69"/>
  <c r="H457" i="69"/>
  <c r="P452" i="69"/>
  <c r="M450" i="69"/>
  <c r="J438" i="69"/>
  <c r="K414" i="69"/>
  <c r="M406" i="69"/>
  <c r="Q397" i="69"/>
  <c r="P386" i="69"/>
  <c r="J384" i="69"/>
  <c r="L382" i="69"/>
  <c r="N375" i="69"/>
  <c r="M374" i="69"/>
  <c r="L373" i="69"/>
  <c r="L358" i="69"/>
  <c r="H355" i="69"/>
  <c r="H354" i="69"/>
  <c r="H338" i="69"/>
  <c r="J316" i="69"/>
  <c r="J314" i="69"/>
  <c r="K313" i="69"/>
  <c r="H303" i="69"/>
  <c r="Q300" i="69"/>
  <c r="L296" i="69"/>
  <c r="Q291" i="69"/>
  <c r="K279" i="69"/>
  <c r="O276" i="69"/>
  <c r="M275" i="69"/>
  <c r="Q267" i="69"/>
  <c r="J265" i="69"/>
  <c r="O260" i="69"/>
  <c r="K248" i="69"/>
  <c r="L247" i="69"/>
  <c r="N245" i="69"/>
  <c r="Q233" i="69"/>
  <c r="N229" i="69"/>
  <c r="L225" i="69"/>
  <c r="N212" i="69"/>
  <c r="K187" i="69"/>
  <c r="H184" i="69"/>
  <c r="N176" i="69"/>
  <c r="G174" i="69"/>
  <c r="G173" i="69"/>
  <c r="I165" i="69"/>
  <c r="L163" i="69"/>
  <c r="N158" i="69"/>
  <c r="L157" i="69"/>
  <c r="Q151" i="69"/>
  <c r="L150" i="69"/>
  <c r="P142" i="69"/>
  <c r="L141" i="69"/>
  <c r="I133" i="69"/>
  <c r="K125" i="69"/>
  <c r="H111" i="69"/>
  <c r="P100" i="69"/>
  <c r="G97" i="69"/>
  <c r="L94" i="69"/>
  <c r="Q87" i="69"/>
  <c r="L86" i="69"/>
  <c r="O72" i="69"/>
  <c r="J69" i="69"/>
  <c r="H62" i="69"/>
  <c r="P59" i="69"/>
  <c r="H45" i="69"/>
  <c r="M17" i="69"/>
  <c r="H12" i="69"/>
  <c r="I8" i="69"/>
  <c r="J3" i="69"/>
  <c r="M184" i="67"/>
  <c r="O96" i="67"/>
  <c r="Q82" i="67"/>
  <c r="M20" i="67"/>
  <c r="G444" i="67"/>
  <c r="I288" i="67"/>
  <c r="L184" i="67"/>
  <c r="Q136" i="67"/>
  <c r="N96" i="67"/>
  <c r="N53" i="67"/>
  <c r="K20" i="67"/>
  <c r="H17" i="67"/>
  <c r="G462" i="67"/>
  <c r="Q426" i="67"/>
  <c r="M404" i="67"/>
  <c r="O296" i="67"/>
  <c r="N272" i="67"/>
  <c r="N145" i="67"/>
  <c r="O124" i="67"/>
  <c r="H115" i="67"/>
  <c r="I108" i="67"/>
  <c r="Q34" i="67"/>
  <c r="O24" i="67"/>
  <c r="N217" i="67"/>
  <c r="M124" i="67"/>
  <c r="O40" i="67"/>
  <c r="I34" i="67"/>
  <c r="M388" i="67"/>
  <c r="G361" i="67"/>
  <c r="N358" i="67"/>
  <c r="O347" i="67"/>
  <c r="N309" i="67"/>
  <c r="O298" i="67"/>
  <c r="N292" i="67"/>
  <c r="L217" i="67"/>
  <c r="G192" i="67"/>
  <c r="I170" i="67"/>
  <c r="H151" i="67"/>
  <c r="L134" i="67"/>
  <c r="P65" i="67"/>
  <c r="P43" i="67"/>
  <c r="N40" i="67"/>
  <c r="H448" i="67"/>
  <c r="K405" i="67"/>
  <c r="P388" i="67"/>
  <c r="O349" i="67"/>
  <c r="N344" i="67"/>
  <c r="O341" i="67"/>
  <c r="G298" i="67"/>
  <c r="M296" i="67"/>
  <c r="H288" i="67"/>
  <c r="G274" i="67"/>
  <c r="H230" i="67"/>
  <c r="O188" i="67"/>
  <c r="K184" i="67"/>
  <c r="G170" i="67"/>
  <c r="O147" i="67"/>
  <c r="O145" i="67"/>
  <c r="P125" i="67"/>
  <c r="N349" i="67"/>
  <c r="N188" i="67"/>
  <c r="P159" i="67"/>
  <c r="M147" i="67"/>
  <c r="M125" i="67"/>
  <c r="L98" i="67"/>
  <c r="G24" i="67"/>
  <c r="O461" i="67"/>
  <c r="P365" i="67"/>
  <c r="K349" i="67"/>
  <c r="N333" i="67"/>
  <c r="M300" i="67"/>
  <c r="O292" i="67"/>
  <c r="N276" i="67"/>
  <c r="N271" i="67"/>
  <c r="Q218" i="67"/>
  <c r="J196" i="67"/>
  <c r="L188" i="67"/>
  <c r="P172" i="67"/>
  <c r="M159" i="67"/>
  <c r="K153" i="67"/>
  <c r="L147" i="67"/>
  <c r="K125" i="67"/>
  <c r="N114" i="67"/>
  <c r="H101" i="67"/>
  <c r="I70" i="67"/>
  <c r="P188" i="67"/>
  <c r="O218" i="67"/>
  <c r="Q192" i="67"/>
  <c r="K188" i="67"/>
  <c r="L159" i="67"/>
  <c r="O137" i="67"/>
  <c r="I125" i="67"/>
  <c r="M114" i="67"/>
  <c r="O452" i="67"/>
  <c r="O449" i="67"/>
  <c r="N443" i="67"/>
  <c r="G435" i="67"/>
  <c r="J425" i="67"/>
  <c r="J404" i="67"/>
  <c r="O389" i="67"/>
  <c r="G379" i="67"/>
  <c r="O354" i="67"/>
  <c r="L329" i="67"/>
  <c r="G313" i="67"/>
  <c r="G297" i="67"/>
  <c r="M292" i="67"/>
  <c r="O289" i="67"/>
  <c r="O225" i="67"/>
  <c r="N218" i="67"/>
  <c r="P212" i="67"/>
  <c r="P192" i="67"/>
  <c r="J188" i="67"/>
  <c r="K159" i="67"/>
  <c r="O32" i="67"/>
  <c r="N20" i="67"/>
  <c r="P11" i="67"/>
  <c r="M460" i="67"/>
  <c r="N449" i="67"/>
  <c r="H438" i="67"/>
  <c r="I431" i="67"/>
  <c r="M389" i="67"/>
  <c r="G354" i="67"/>
  <c r="M348" i="67"/>
  <c r="N282" i="67"/>
  <c r="Q220" i="67"/>
  <c r="J218" i="67"/>
  <c r="O192" i="67"/>
  <c r="G188" i="67"/>
  <c r="N164" i="67"/>
  <c r="H159" i="67"/>
  <c r="M115" i="67"/>
  <c r="N90" i="67"/>
  <c r="K48" i="67"/>
  <c r="M32" i="67"/>
  <c r="Q229" i="67"/>
  <c r="L435" i="67"/>
  <c r="L431" i="67"/>
  <c r="H424" i="67"/>
  <c r="M337" i="67"/>
  <c r="M320" i="67"/>
  <c r="Q288" i="67"/>
  <c r="J280" i="67"/>
  <c r="J235" i="67"/>
  <c r="K233" i="67"/>
  <c r="J229" i="67"/>
  <c r="P217" i="67"/>
  <c r="L196" i="67"/>
  <c r="L176" i="67"/>
  <c r="K170" i="67"/>
  <c r="L169" i="67"/>
  <c r="Q151" i="67"/>
  <c r="G74" i="67"/>
  <c r="J66" i="67"/>
  <c r="K44" i="67"/>
  <c r="N25" i="67"/>
  <c r="Q404" i="67"/>
  <c r="N396" i="67"/>
  <c r="N462" i="67"/>
  <c r="L444" i="67"/>
  <c r="H435" i="67"/>
  <c r="K431" i="67"/>
  <c r="G424" i="67"/>
  <c r="P404" i="67"/>
  <c r="O402" i="67"/>
  <c r="L396" i="67"/>
  <c r="O393" i="67"/>
  <c r="P349" i="67"/>
  <c r="I337" i="67"/>
  <c r="L320" i="67"/>
  <c r="L313" i="67"/>
  <c r="O297" i="67"/>
  <c r="J288" i="67"/>
  <c r="I280" i="67"/>
  <c r="O261" i="67"/>
  <c r="P244" i="67"/>
  <c r="G235" i="67"/>
  <c r="I233" i="67"/>
  <c r="G229" i="67"/>
  <c r="O217" i="67"/>
  <c r="K196" i="67"/>
  <c r="N184" i="67"/>
  <c r="I176" i="67"/>
  <c r="J170" i="67"/>
  <c r="H169" i="67"/>
  <c r="N159" i="67"/>
  <c r="O151" i="67"/>
  <c r="P124" i="67"/>
  <c r="N122" i="67"/>
  <c r="O114" i="67"/>
  <c r="L109" i="67"/>
  <c r="Q92" i="67"/>
  <c r="P89" i="67"/>
  <c r="K70" i="67"/>
  <c r="H66" i="67"/>
  <c r="N451" i="67"/>
  <c r="G449" i="67"/>
  <c r="Q431" i="67"/>
  <c r="G431" i="67"/>
  <c r="H409" i="67"/>
  <c r="H404" i="67"/>
  <c r="P401" i="67"/>
  <c r="M395" i="67"/>
  <c r="N389" i="67"/>
  <c r="H388" i="67"/>
  <c r="M385" i="67"/>
  <c r="H358" i="67"/>
  <c r="M349" i="67"/>
  <c r="N295" i="67"/>
  <c r="G288" i="67"/>
  <c r="Q260" i="67"/>
  <c r="K246" i="67"/>
  <c r="Q243" i="67"/>
  <c r="O229" i="67"/>
  <c r="N225" i="67"/>
  <c r="H217" i="67"/>
  <c r="P181" i="67"/>
  <c r="P156" i="67"/>
  <c r="N136" i="67"/>
  <c r="N134" i="67"/>
  <c r="G124" i="67"/>
  <c r="I114" i="67"/>
  <c r="P108" i="67"/>
  <c r="Q88" i="67"/>
  <c r="K78" i="67"/>
  <c r="O62" i="67"/>
  <c r="L55" i="67"/>
  <c r="K40" i="67"/>
  <c r="L32" i="67"/>
  <c r="G26" i="67"/>
  <c r="P13" i="67"/>
  <c r="J11" i="67"/>
  <c r="N229" i="67"/>
  <c r="P66" i="67"/>
  <c r="I40" i="67"/>
  <c r="P435" i="67"/>
  <c r="O431" i="67"/>
  <c r="O424" i="67"/>
  <c r="K389" i="67"/>
  <c r="I349" i="67"/>
  <c r="O337" i="67"/>
  <c r="Q235" i="67"/>
  <c r="P233" i="67"/>
  <c r="L229" i="67"/>
  <c r="N196" i="67"/>
  <c r="P169" i="67"/>
  <c r="J136" i="67"/>
  <c r="I134" i="67"/>
  <c r="H108" i="67"/>
  <c r="M74" i="67"/>
  <c r="N66" i="67"/>
  <c r="G32" i="67"/>
  <c r="N19" i="67"/>
  <c r="H13" i="67"/>
  <c r="Q435" i="67"/>
  <c r="P431" i="67"/>
  <c r="P452" i="67"/>
  <c r="N450" i="67"/>
  <c r="O448" i="67"/>
  <c r="O435" i="67"/>
  <c r="J433" i="67"/>
  <c r="N431" i="67"/>
  <c r="J430" i="67"/>
  <c r="K424" i="67"/>
  <c r="Q396" i="67"/>
  <c r="I389" i="67"/>
  <c r="N387" i="67"/>
  <c r="Q384" i="67"/>
  <c r="O377" i="67"/>
  <c r="G349" i="67"/>
  <c r="N337" i="67"/>
  <c r="Q320" i="67"/>
  <c r="N296" i="67"/>
  <c r="I287" i="67"/>
  <c r="P280" i="67"/>
  <c r="O272" i="67"/>
  <c r="G251" i="67"/>
  <c r="P242" i="67"/>
  <c r="K235" i="67"/>
  <c r="O233" i="67"/>
  <c r="K229" i="67"/>
  <c r="Q212" i="67"/>
  <c r="M196" i="67"/>
  <c r="N192" i="67"/>
  <c r="H188" i="67"/>
  <c r="O176" i="67"/>
  <c r="O170" i="67"/>
  <c r="N169" i="67"/>
  <c r="O149" i="67"/>
  <c r="K147" i="67"/>
  <c r="G136" i="67"/>
  <c r="G134" i="67"/>
  <c r="J116" i="67"/>
  <c r="G108" i="67"/>
  <c r="P98" i="67"/>
  <c r="L96" i="67"/>
  <c r="H68" i="67"/>
  <c r="H57" i="67"/>
  <c r="O25" i="67"/>
  <c r="N10" i="67"/>
  <c r="L7" i="67"/>
  <c r="J353" i="67"/>
  <c r="I353" i="67"/>
  <c r="L353" i="67"/>
  <c r="P353" i="67"/>
  <c r="J304" i="67"/>
  <c r="M304" i="67"/>
  <c r="N304" i="67"/>
  <c r="O304" i="67"/>
  <c r="H202" i="67"/>
  <c r="G202" i="67"/>
  <c r="N202" i="67"/>
  <c r="O202" i="67"/>
  <c r="Q202" i="67"/>
  <c r="K163" i="67"/>
  <c r="I163" i="67"/>
  <c r="L163" i="67"/>
  <c r="M163" i="67"/>
  <c r="N163" i="67"/>
  <c r="O163" i="67"/>
  <c r="M80" i="67"/>
  <c r="N80" i="67"/>
  <c r="O80" i="67"/>
  <c r="Q80" i="67"/>
  <c r="I442" i="68"/>
  <c r="H442" i="68"/>
  <c r="P442" i="68"/>
  <c r="G442" i="68"/>
  <c r="N442" i="68"/>
  <c r="G311" i="68"/>
  <c r="N311" i="68"/>
  <c r="G297" i="68"/>
  <c r="I297" i="68"/>
  <c r="M297" i="68"/>
  <c r="Q297" i="68"/>
  <c r="P9" i="68"/>
  <c r="I9" i="68"/>
  <c r="K9" i="68"/>
  <c r="L9" i="68"/>
  <c r="N9" i="68"/>
  <c r="Q9" i="68"/>
  <c r="G9" i="68"/>
  <c r="H9" i="68"/>
  <c r="G4" i="68"/>
  <c r="M4" i="68"/>
  <c r="N4" i="68"/>
  <c r="O4" i="68"/>
  <c r="P4" i="68"/>
  <c r="Q4" i="68"/>
  <c r="J4" i="68"/>
  <c r="L4" i="68"/>
  <c r="H452" i="67"/>
  <c r="N448" i="67"/>
  <c r="P441" i="67"/>
  <c r="M438" i="67"/>
  <c r="H430" i="67"/>
  <c r="N415" i="67"/>
  <c r="I405" i="67"/>
  <c r="Q401" i="67"/>
  <c r="L389" i="67"/>
  <c r="J388" i="67"/>
  <c r="N386" i="67"/>
  <c r="O357" i="67"/>
  <c r="H339" i="67"/>
  <c r="N339" i="67"/>
  <c r="I334" i="67"/>
  <c r="J334" i="67"/>
  <c r="L334" i="67"/>
  <c r="O334" i="67"/>
  <c r="J76" i="67"/>
  <c r="G76" i="67"/>
  <c r="I76" i="67"/>
  <c r="O76" i="67"/>
  <c r="P76" i="67"/>
  <c r="Q76" i="67"/>
  <c r="I351" i="68"/>
  <c r="N351" i="68"/>
  <c r="N441" i="67"/>
  <c r="Q427" i="67"/>
  <c r="M362" i="67"/>
  <c r="G362" i="67"/>
  <c r="M352" i="67"/>
  <c r="N352" i="67"/>
  <c r="J286" i="67"/>
  <c r="N286" i="67"/>
  <c r="K14" i="67"/>
  <c r="I14" i="67"/>
  <c r="I363" i="68"/>
  <c r="G363" i="68"/>
  <c r="H363" i="68"/>
  <c r="K363" i="68"/>
  <c r="M363" i="68"/>
  <c r="N363" i="68"/>
  <c r="O363" i="68"/>
  <c r="L363" i="68"/>
  <c r="P363" i="68"/>
  <c r="O457" i="67"/>
  <c r="P427" i="67"/>
  <c r="O395" i="67"/>
  <c r="Q364" i="67"/>
  <c r="M354" i="67"/>
  <c r="K354" i="67"/>
  <c r="L354" i="67"/>
  <c r="K330" i="67"/>
  <c r="L330" i="67"/>
  <c r="J327" i="67"/>
  <c r="N327" i="67"/>
  <c r="Q95" i="67"/>
  <c r="I95" i="67"/>
  <c r="L95" i="67"/>
  <c r="L451" i="68"/>
  <c r="K451" i="68"/>
  <c r="P451" i="68"/>
  <c r="G451" i="68"/>
  <c r="H451" i="68"/>
  <c r="J451" i="68"/>
  <c r="N451" i="68"/>
  <c r="O451" i="68"/>
  <c r="Q451" i="68"/>
  <c r="P457" i="67"/>
  <c r="H441" i="67"/>
  <c r="K462" i="67"/>
  <c r="G457" i="67"/>
  <c r="G441" i="67"/>
  <c r="M435" i="67"/>
  <c r="O427" i="67"/>
  <c r="P414" i="67"/>
  <c r="O405" i="67"/>
  <c r="N395" i="67"/>
  <c r="O385" i="67"/>
  <c r="N379" i="67"/>
  <c r="G374" i="67"/>
  <c r="K374" i="67"/>
  <c r="K356" i="67"/>
  <c r="P356" i="67"/>
  <c r="M338" i="67"/>
  <c r="G338" i="67"/>
  <c r="H338" i="67"/>
  <c r="K338" i="67"/>
  <c r="O338" i="67"/>
  <c r="P338" i="67"/>
  <c r="L240" i="67"/>
  <c r="I240" i="67"/>
  <c r="J240" i="67"/>
  <c r="Q240" i="67"/>
  <c r="G204" i="67"/>
  <c r="N204" i="67"/>
  <c r="K106" i="67"/>
  <c r="L106" i="67"/>
  <c r="N106" i="67"/>
  <c r="Q106" i="67"/>
  <c r="M384" i="68"/>
  <c r="I384" i="68"/>
  <c r="K384" i="68"/>
  <c r="N384" i="68"/>
  <c r="Q384" i="68"/>
  <c r="N405" i="67"/>
  <c r="K364" i="67"/>
  <c r="M364" i="67"/>
  <c r="O353" i="67"/>
  <c r="J333" i="67"/>
  <c r="I333" i="67"/>
  <c r="K333" i="67"/>
  <c r="L333" i="67"/>
  <c r="O333" i="67"/>
  <c r="P333" i="67"/>
  <c r="I326" i="67"/>
  <c r="J326" i="67"/>
  <c r="L326" i="67"/>
  <c r="G72" i="67"/>
  <c r="M72" i="67"/>
  <c r="G393" i="68"/>
  <c r="N393" i="68"/>
  <c r="Q447" i="67"/>
  <c r="N427" i="67"/>
  <c r="N414" i="67"/>
  <c r="Q452" i="67"/>
  <c r="N447" i="67"/>
  <c r="Q444" i="67"/>
  <c r="N442" i="67"/>
  <c r="I435" i="67"/>
  <c r="M431" i="67"/>
  <c r="Q430" i="67"/>
  <c r="N428" i="67"/>
  <c r="I427" i="67"/>
  <c r="K414" i="67"/>
  <c r="M405" i="67"/>
  <c r="L402" i="67"/>
  <c r="G395" i="67"/>
  <c r="Q392" i="67"/>
  <c r="Q388" i="67"/>
  <c r="G387" i="67"/>
  <c r="G366" i="67"/>
  <c r="H366" i="67"/>
  <c r="J361" i="67"/>
  <c r="N361" i="67"/>
  <c r="P361" i="67"/>
  <c r="N353" i="67"/>
  <c r="G301" i="67"/>
  <c r="P301" i="67"/>
  <c r="G42" i="67"/>
  <c r="I42" i="67"/>
  <c r="H42" i="67"/>
  <c r="M42" i="67"/>
  <c r="P42" i="67"/>
  <c r="Q42" i="67"/>
  <c r="L435" i="68"/>
  <c r="M435" i="68"/>
  <c r="N435" i="68"/>
  <c r="G435" i="68"/>
  <c r="Q435" i="68"/>
  <c r="J435" i="68"/>
  <c r="H435" i="68"/>
  <c r="K435" i="68"/>
  <c r="O435" i="68"/>
  <c r="P435" i="68"/>
  <c r="G406" i="68"/>
  <c r="N406" i="68"/>
  <c r="M406" i="68"/>
  <c r="H456" i="67"/>
  <c r="L447" i="67"/>
  <c r="M430" i="67"/>
  <c r="L428" i="67"/>
  <c r="G427" i="67"/>
  <c r="H414" i="67"/>
  <c r="L405" i="67"/>
  <c r="N399" i="67"/>
  <c r="N381" i="67"/>
  <c r="M376" i="67"/>
  <c r="Q376" i="67"/>
  <c r="J369" i="67"/>
  <c r="I369" i="67"/>
  <c r="G353" i="67"/>
  <c r="J324" i="67"/>
  <c r="N324" i="67"/>
  <c r="O324" i="67"/>
  <c r="I120" i="67"/>
  <c r="G120" i="67"/>
  <c r="O120" i="67"/>
  <c r="I341" i="67"/>
  <c r="P329" i="67"/>
  <c r="K320" i="67"/>
  <c r="N298" i="67"/>
  <c r="K297" i="67"/>
  <c r="P293" i="67"/>
  <c r="H280" i="67"/>
  <c r="K277" i="67"/>
  <c r="H276" i="67"/>
  <c r="G272" i="67"/>
  <c r="P269" i="67"/>
  <c r="L267" i="67"/>
  <c r="J264" i="67"/>
  <c r="O260" i="67"/>
  <c r="P254" i="67"/>
  <c r="K250" i="67"/>
  <c r="L236" i="67"/>
  <c r="G233" i="67"/>
  <c r="K227" i="67"/>
  <c r="O212" i="67"/>
  <c r="N208" i="67"/>
  <c r="N174" i="67"/>
  <c r="O172" i="67"/>
  <c r="J159" i="67"/>
  <c r="H137" i="67"/>
  <c r="H131" i="67"/>
  <c r="O102" i="67"/>
  <c r="P101" i="67"/>
  <c r="O100" i="67"/>
  <c r="J98" i="67"/>
  <c r="P92" i="67"/>
  <c r="N62" i="67"/>
  <c r="G34" i="67"/>
  <c r="M34" i="67"/>
  <c r="P26" i="67"/>
  <c r="H24" i="67"/>
  <c r="I24" i="67"/>
  <c r="Q16" i="67"/>
  <c r="M456" i="68"/>
  <c r="Q456" i="68"/>
  <c r="H456" i="68"/>
  <c r="K456" i="68"/>
  <c r="N449" i="68"/>
  <c r="N440" i="68"/>
  <c r="M403" i="68"/>
  <c r="K403" i="68"/>
  <c r="L403" i="68"/>
  <c r="J293" i="68"/>
  <c r="H293" i="68"/>
  <c r="I293" i="68"/>
  <c r="K293" i="68"/>
  <c r="N293" i="68"/>
  <c r="P293" i="68"/>
  <c r="Q293" i="68"/>
  <c r="M286" i="68"/>
  <c r="L286" i="68"/>
  <c r="P286" i="68"/>
  <c r="M262" i="68"/>
  <c r="H262" i="68"/>
  <c r="I262" i="68"/>
  <c r="L262" i="68"/>
  <c r="N262" i="68"/>
  <c r="Q262" i="68"/>
  <c r="J61" i="68"/>
  <c r="M61" i="68"/>
  <c r="N61" i="68"/>
  <c r="O329" i="67"/>
  <c r="H320" i="67"/>
  <c r="O305" i="67"/>
  <c r="Q303" i="67"/>
  <c r="P300" i="67"/>
  <c r="H297" i="67"/>
  <c r="N293" i="67"/>
  <c r="O282" i="67"/>
  <c r="Q280" i="67"/>
  <c r="G280" i="67"/>
  <c r="H277" i="67"/>
  <c r="G276" i="67"/>
  <c r="O269" i="67"/>
  <c r="J267" i="67"/>
  <c r="H264" i="67"/>
  <c r="P261" i="67"/>
  <c r="O254" i="67"/>
  <c r="K251" i="67"/>
  <c r="I250" i="67"/>
  <c r="J236" i="67"/>
  <c r="I229" i="67"/>
  <c r="J227" i="67"/>
  <c r="K218" i="67"/>
  <c r="N212" i="67"/>
  <c r="M208" i="67"/>
  <c r="K176" i="67"/>
  <c r="K174" i="67"/>
  <c r="K172" i="67"/>
  <c r="Q170" i="67"/>
  <c r="Q159" i="67"/>
  <c r="I159" i="67"/>
  <c r="J151" i="67"/>
  <c r="I147" i="67"/>
  <c r="Q141" i="67"/>
  <c r="G131" i="67"/>
  <c r="L125" i="67"/>
  <c r="H124" i="67"/>
  <c r="K119" i="67"/>
  <c r="K115" i="67"/>
  <c r="J114" i="67"/>
  <c r="N102" i="67"/>
  <c r="N101" i="67"/>
  <c r="G94" i="67"/>
  <c r="O92" i="67"/>
  <c r="Q79" i="67"/>
  <c r="N75" i="67"/>
  <c r="J74" i="67"/>
  <c r="H74" i="67"/>
  <c r="I62" i="67"/>
  <c r="K53" i="67"/>
  <c r="J41" i="67"/>
  <c r="N26" i="67"/>
  <c r="Q472" i="68"/>
  <c r="M462" i="68"/>
  <c r="P459" i="68"/>
  <c r="L449" i="68"/>
  <c r="Q437" i="68"/>
  <c r="Q413" i="68"/>
  <c r="K411" i="68"/>
  <c r="M411" i="68"/>
  <c r="N411" i="68"/>
  <c r="G411" i="68"/>
  <c r="J411" i="68"/>
  <c r="I396" i="68"/>
  <c r="G396" i="68"/>
  <c r="H396" i="68"/>
  <c r="M396" i="68"/>
  <c r="P396" i="68"/>
  <c r="K371" i="68"/>
  <c r="H371" i="68"/>
  <c r="J371" i="68"/>
  <c r="M371" i="68"/>
  <c r="P371" i="68"/>
  <c r="G329" i="68"/>
  <c r="J329" i="68"/>
  <c r="K329" i="68"/>
  <c r="M329" i="68"/>
  <c r="G327" i="68"/>
  <c r="N327" i="68"/>
  <c r="M310" i="68"/>
  <c r="K310" i="68"/>
  <c r="L310" i="68"/>
  <c r="J296" i="68"/>
  <c r="N296" i="68"/>
  <c r="Q296" i="68"/>
  <c r="K240" i="68"/>
  <c r="J240" i="68"/>
  <c r="N240" i="68"/>
  <c r="Q240" i="68"/>
  <c r="I226" i="68"/>
  <c r="G226" i="68"/>
  <c r="H226" i="68"/>
  <c r="N226" i="68"/>
  <c r="O226" i="68"/>
  <c r="P226" i="68"/>
  <c r="J216" i="68"/>
  <c r="I216" i="68"/>
  <c r="Q216" i="68"/>
  <c r="G320" i="67"/>
  <c r="O308" i="67"/>
  <c r="J212" i="67"/>
  <c r="N180" i="67"/>
  <c r="J172" i="67"/>
  <c r="Q168" i="67"/>
  <c r="J119" i="67"/>
  <c r="M102" i="67"/>
  <c r="L101" i="67"/>
  <c r="G98" i="67"/>
  <c r="M98" i="67"/>
  <c r="M92" i="67"/>
  <c r="Q47" i="67"/>
  <c r="P45" i="67"/>
  <c r="K45" i="67"/>
  <c r="M26" i="67"/>
  <c r="H16" i="67"/>
  <c r="O16" i="67"/>
  <c r="H8" i="67"/>
  <c r="K8" i="67"/>
  <c r="P472" i="68"/>
  <c r="P464" i="68"/>
  <c r="N459" i="68"/>
  <c r="P455" i="68"/>
  <c r="K449" i="68"/>
  <c r="K440" i="68"/>
  <c r="J440" i="68"/>
  <c r="Q440" i="68"/>
  <c r="N437" i="68"/>
  <c r="O413" i="68"/>
  <c r="G353" i="68"/>
  <c r="J353" i="68"/>
  <c r="K353" i="68"/>
  <c r="M353" i="68"/>
  <c r="H313" i="68"/>
  <c r="I313" i="68"/>
  <c r="K313" i="68"/>
  <c r="N313" i="68"/>
  <c r="K280" i="68"/>
  <c r="I280" i="68"/>
  <c r="J280" i="68"/>
  <c r="Q280" i="68"/>
  <c r="I258" i="68"/>
  <c r="G258" i="68"/>
  <c r="H258" i="68"/>
  <c r="L258" i="68"/>
  <c r="N258" i="68"/>
  <c r="O258" i="68"/>
  <c r="G162" i="68"/>
  <c r="N162" i="68"/>
  <c r="P162" i="68"/>
  <c r="Q284" i="67"/>
  <c r="J282" i="67"/>
  <c r="O280" i="67"/>
  <c r="N261" i="67"/>
  <c r="Q259" i="67"/>
  <c r="I243" i="67"/>
  <c r="N219" i="67"/>
  <c r="I218" i="67"/>
  <c r="I212" i="67"/>
  <c r="K208" i="67"/>
  <c r="J205" i="67"/>
  <c r="Q191" i="67"/>
  <c r="P184" i="67"/>
  <c r="K180" i="67"/>
  <c r="G176" i="67"/>
  <c r="H172" i="67"/>
  <c r="N170" i="67"/>
  <c r="O169" i="67"/>
  <c r="P168" i="67"/>
  <c r="J165" i="67"/>
  <c r="O161" i="67"/>
  <c r="O159" i="67"/>
  <c r="N138" i="67"/>
  <c r="I119" i="67"/>
  <c r="O108" i="67"/>
  <c r="K102" i="67"/>
  <c r="K101" i="67"/>
  <c r="H96" i="67"/>
  <c r="Q96" i="67"/>
  <c r="I92" i="67"/>
  <c r="I90" i="67"/>
  <c r="O90" i="67"/>
  <c r="L73" i="67"/>
  <c r="P49" i="67"/>
  <c r="L47" i="67"/>
  <c r="H32" i="67"/>
  <c r="N32" i="67"/>
  <c r="I32" i="67"/>
  <c r="K26" i="67"/>
  <c r="L472" i="68"/>
  <c r="Q466" i="68"/>
  <c r="N464" i="68"/>
  <c r="L459" i="68"/>
  <c r="G457" i="68"/>
  <c r="N457" i="68"/>
  <c r="N455" i="68"/>
  <c r="I449" i="68"/>
  <c r="N446" i="68"/>
  <c r="I437" i="68"/>
  <c r="O433" i="68"/>
  <c r="M413" i="68"/>
  <c r="I412" i="68"/>
  <c r="M412" i="68"/>
  <c r="N412" i="68"/>
  <c r="G412" i="68"/>
  <c r="J402" i="68"/>
  <c r="N402" i="68"/>
  <c r="G295" i="68"/>
  <c r="M295" i="68"/>
  <c r="N295" i="68"/>
  <c r="G178" i="68"/>
  <c r="L178" i="68"/>
  <c r="N178" i="68"/>
  <c r="O178" i="68"/>
  <c r="P178" i="68"/>
  <c r="N123" i="68"/>
  <c r="H123" i="68"/>
  <c r="P123" i="68"/>
  <c r="G123" i="68"/>
  <c r="K123" i="68"/>
  <c r="I109" i="68"/>
  <c r="M109" i="68"/>
  <c r="M365" i="67"/>
  <c r="N363" i="67"/>
  <c r="L349" i="67"/>
  <c r="I348" i="67"/>
  <c r="N342" i="67"/>
  <c r="I329" i="67"/>
  <c r="M323" i="67"/>
  <c r="P320" i="67"/>
  <c r="P309" i="67"/>
  <c r="P292" i="67"/>
  <c r="O290" i="67"/>
  <c r="P288" i="67"/>
  <c r="O284" i="67"/>
  <c r="G282" i="67"/>
  <c r="N280" i="67"/>
  <c r="Q276" i="67"/>
  <c r="I275" i="67"/>
  <c r="N263" i="67"/>
  <c r="L261" i="67"/>
  <c r="M259" i="67"/>
  <c r="O253" i="67"/>
  <c r="G243" i="67"/>
  <c r="H212" i="67"/>
  <c r="I208" i="67"/>
  <c r="J191" i="67"/>
  <c r="J180" i="67"/>
  <c r="G177" i="67"/>
  <c r="G173" i="67"/>
  <c r="G172" i="67"/>
  <c r="O168" i="67"/>
  <c r="K161" i="67"/>
  <c r="Q147" i="67"/>
  <c r="Q140" i="67"/>
  <c r="J138" i="67"/>
  <c r="I130" i="67"/>
  <c r="G119" i="67"/>
  <c r="N78" i="67"/>
  <c r="Q74" i="67"/>
  <c r="N57" i="67"/>
  <c r="I47" i="67"/>
  <c r="Q32" i="67"/>
  <c r="Q24" i="67"/>
  <c r="I450" i="68"/>
  <c r="H450" i="68"/>
  <c r="G439" i="68"/>
  <c r="N439" i="68"/>
  <c r="I391" i="68"/>
  <c r="H391" i="68"/>
  <c r="M391" i="68"/>
  <c r="N391" i="68"/>
  <c r="H255" i="68"/>
  <c r="G255" i="68"/>
  <c r="O255" i="68"/>
  <c r="H170" i="68"/>
  <c r="O170" i="68"/>
  <c r="O320" i="67"/>
  <c r="K280" i="67"/>
  <c r="O276" i="67"/>
  <c r="P268" i="67"/>
  <c r="J259" i="67"/>
  <c r="Q250" i="67"/>
  <c r="Q237" i="67"/>
  <c r="M231" i="67"/>
  <c r="G212" i="67"/>
  <c r="I180" i="67"/>
  <c r="G168" i="67"/>
  <c r="O155" i="67"/>
  <c r="O140" i="67"/>
  <c r="H93" i="67"/>
  <c r="N93" i="67"/>
  <c r="J92" i="67"/>
  <c r="K92" i="67"/>
  <c r="I49" i="67"/>
  <c r="H49" i="67"/>
  <c r="I38" i="67"/>
  <c r="Q38" i="67"/>
  <c r="Q15" i="67"/>
  <c r="I15" i="67"/>
  <c r="M472" i="68"/>
  <c r="N472" i="68"/>
  <c r="M464" i="68"/>
  <c r="J464" i="68"/>
  <c r="M459" i="68"/>
  <c r="K459" i="68"/>
  <c r="J455" i="68"/>
  <c r="Q455" i="68"/>
  <c r="G455" i="68"/>
  <c r="M455" i="68"/>
  <c r="M449" i="68"/>
  <c r="H449" i="68"/>
  <c r="P449" i="68"/>
  <c r="J449" i="68"/>
  <c r="J437" i="68"/>
  <c r="O437" i="68"/>
  <c r="P437" i="68"/>
  <c r="H437" i="68"/>
  <c r="M437" i="68"/>
  <c r="G417" i="68"/>
  <c r="N417" i="68"/>
  <c r="L379" i="68"/>
  <c r="K379" i="68"/>
  <c r="N379" i="68"/>
  <c r="J359" i="68"/>
  <c r="O359" i="68"/>
  <c r="P359" i="68"/>
  <c r="Q359" i="68"/>
  <c r="H359" i="68"/>
  <c r="K359" i="68"/>
  <c r="M359" i="68"/>
  <c r="I323" i="68"/>
  <c r="K323" i="68"/>
  <c r="M323" i="68"/>
  <c r="P323" i="68"/>
  <c r="I26" i="67"/>
  <c r="L26" i="67"/>
  <c r="O26" i="67"/>
  <c r="I7" i="67"/>
  <c r="Q7" i="67"/>
  <c r="K466" i="68"/>
  <c r="I466" i="68"/>
  <c r="Q449" i="68"/>
  <c r="M446" i="68"/>
  <c r="K446" i="68"/>
  <c r="Q446" i="68"/>
  <c r="M433" i="68"/>
  <c r="G433" i="68"/>
  <c r="H433" i="68"/>
  <c r="N433" i="68"/>
  <c r="P433" i="68"/>
  <c r="L413" i="68"/>
  <c r="I413" i="68"/>
  <c r="J413" i="68"/>
  <c r="N413" i="68"/>
  <c r="G413" i="68"/>
  <c r="P413" i="68"/>
  <c r="G390" i="68"/>
  <c r="K390" i="68"/>
  <c r="N390" i="68"/>
  <c r="M318" i="68"/>
  <c r="K318" i="68"/>
  <c r="L318" i="68"/>
  <c r="N318" i="68"/>
  <c r="G287" i="68"/>
  <c r="N287" i="68"/>
  <c r="N197" i="68"/>
  <c r="H197" i="68"/>
  <c r="I197" i="68"/>
  <c r="M197" i="68"/>
  <c r="P197" i="68"/>
  <c r="G194" i="68"/>
  <c r="H194" i="68"/>
  <c r="L194" i="68"/>
  <c r="M194" i="68"/>
  <c r="P194" i="68"/>
  <c r="N441" i="68"/>
  <c r="P400" i="68"/>
  <c r="J395" i="68"/>
  <c r="G388" i="68"/>
  <c r="L387" i="68"/>
  <c r="H381" i="68"/>
  <c r="M375" i="68"/>
  <c r="H368" i="68"/>
  <c r="N342" i="68"/>
  <c r="G338" i="68"/>
  <c r="H336" i="68"/>
  <c r="H330" i="68"/>
  <c r="N324" i="68"/>
  <c r="J315" i="68"/>
  <c r="H314" i="68"/>
  <c r="H307" i="68"/>
  <c r="H301" i="68"/>
  <c r="K289" i="68"/>
  <c r="H283" i="68"/>
  <c r="O281" i="68"/>
  <c r="O274" i="68"/>
  <c r="P270" i="68"/>
  <c r="Q264" i="68"/>
  <c r="N256" i="68"/>
  <c r="N253" i="68"/>
  <c r="O251" i="68"/>
  <c r="O250" i="68"/>
  <c r="O249" i="68"/>
  <c r="I246" i="68"/>
  <c r="J243" i="68"/>
  <c r="M242" i="68"/>
  <c r="M241" i="68"/>
  <c r="N236" i="68"/>
  <c r="G234" i="68"/>
  <c r="K233" i="68"/>
  <c r="J225" i="68"/>
  <c r="I224" i="68"/>
  <c r="Q221" i="68"/>
  <c r="M219" i="68"/>
  <c r="G218" i="68"/>
  <c r="J217" i="68"/>
  <c r="J211" i="68"/>
  <c r="K201" i="68"/>
  <c r="H195" i="68"/>
  <c r="N188" i="68"/>
  <c r="O175" i="68"/>
  <c r="N174" i="68"/>
  <c r="N172" i="68"/>
  <c r="J171" i="68"/>
  <c r="P166" i="68"/>
  <c r="K151" i="68"/>
  <c r="N151" i="68"/>
  <c r="J150" i="68"/>
  <c r="I150" i="68"/>
  <c r="Q145" i="68"/>
  <c r="N143" i="68"/>
  <c r="O126" i="68"/>
  <c r="M125" i="68"/>
  <c r="N125" i="68"/>
  <c r="P121" i="68"/>
  <c r="P110" i="68"/>
  <c r="I106" i="68"/>
  <c r="M106" i="68"/>
  <c r="K106" i="68"/>
  <c r="L106" i="68"/>
  <c r="H24" i="68"/>
  <c r="Q24" i="68"/>
  <c r="I315" i="68"/>
  <c r="N312" i="68"/>
  <c r="J289" i="68"/>
  <c r="N264" i="68"/>
  <c r="J256" i="68"/>
  <c r="I253" i="68"/>
  <c r="H243" i="68"/>
  <c r="L242" i="68"/>
  <c r="Q225" i="68"/>
  <c r="I225" i="68"/>
  <c r="P145" i="68"/>
  <c r="G135" i="68"/>
  <c r="M135" i="68"/>
  <c r="J135" i="68"/>
  <c r="G113" i="68"/>
  <c r="N113" i="68"/>
  <c r="K113" i="68"/>
  <c r="M46" i="68"/>
  <c r="G46" i="68"/>
  <c r="P46" i="68"/>
  <c r="J46" i="68"/>
  <c r="K46" i="68"/>
  <c r="L46" i="68"/>
  <c r="N46" i="68"/>
  <c r="O46" i="68"/>
  <c r="H46" i="68"/>
  <c r="I46" i="68"/>
  <c r="O443" i="68"/>
  <c r="L441" i="68"/>
  <c r="P395" i="68"/>
  <c r="H395" i="68"/>
  <c r="J387" i="68"/>
  <c r="M373" i="68"/>
  <c r="P372" i="68"/>
  <c r="P365" i="68"/>
  <c r="Q344" i="68"/>
  <c r="Q336" i="68"/>
  <c r="Q333" i="68"/>
  <c r="P328" i="68"/>
  <c r="Q325" i="68"/>
  <c r="O322" i="68"/>
  <c r="P320" i="68"/>
  <c r="N317" i="68"/>
  <c r="Q315" i="68"/>
  <c r="H315" i="68"/>
  <c r="J312" i="68"/>
  <c r="I289" i="68"/>
  <c r="P285" i="68"/>
  <c r="M281" i="68"/>
  <c r="L278" i="68"/>
  <c r="Q275" i="68"/>
  <c r="M274" i="68"/>
  <c r="N273" i="68"/>
  <c r="J272" i="68"/>
  <c r="K270" i="68"/>
  <c r="Q265" i="68"/>
  <c r="J264" i="68"/>
  <c r="N261" i="68"/>
  <c r="O257" i="68"/>
  <c r="I256" i="68"/>
  <c r="L254" i="68"/>
  <c r="H253" i="68"/>
  <c r="K251" i="68"/>
  <c r="M250" i="68"/>
  <c r="O247" i="68"/>
  <c r="G243" i="68"/>
  <c r="H242" i="68"/>
  <c r="I233" i="68"/>
  <c r="N228" i="68"/>
  <c r="P225" i="68"/>
  <c r="H225" i="68"/>
  <c r="H217" i="68"/>
  <c r="M212" i="68"/>
  <c r="M193" i="68"/>
  <c r="L177" i="68"/>
  <c r="K175" i="68"/>
  <c r="K174" i="68"/>
  <c r="H171" i="68"/>
  <c r="O169" i="68"/>
  <c r="K166" i="68"/>
  <c r="L157" i="68"/>
  <c r="G153" i="68"/>
  <c r="K153" i="68"/>
  <c r="I149" i="68"/>
  <c r="M145" i="68"/>
  <c r="I137" i="68"/>
  <c r="G137" i="68"/>
  <c r="M134" i="68"/>
  <c r="N134" i="68"/>
  <c r="L134" i="68"/>
  <c r="G131" i="68"/>
  <c r="Q131" i="68"/>
  <c r="I131" i="68"/>
  <c r="L126" i="68"/>
  <c r="J124" i="68"/>
  <c r="M121" i="68"/>
  <c r="N118" i="68"/>
  <c r="I118" i="68"/>
  <c r="K110" i="68"/>
  <c r="K39" i="68"/>
  <c r="G39" i="68"/>
  <c r="H39" i="68"/>
  <c r="I264" i="68"/>
  <c r="Q233" i="68"/>
  <c r="G233" i="68"/>
  <c r="M228" i="68"/>
  <c r="O225" i="68"/>
  <c r="G225" i="68"/>
  <c r="P218" i="68"/>
  <c r="P195" i="68"/>
  <c r="G175" i="68"/>
  <c r="Q171" i="68"/>
  <c r="K169" i="68"/>
  <c r="I163" i="68"/>
  <c r="N163" i="68"/>
  <c r="I161" i="68"/>
  <c r="Q161" i="68"/>
  <c r="I145" i="68"/>
  <c r="M127" i="68"/>
  <c r="G105" i="68"/>
  <c r="K105" i="68"/>
  <c r="M105" i="68"/>
  <c r="N105" i="68"/>
  <c r="Q105" i="68"/>
  <c r="I105" i="68"/>
  <c r="J105" i="68"/>
  <c r="K86" i="68"/>
  <c r="I86" i="68"/>
  <c r="J86" i="68"/>
  <c r="L86" i="68"/>
  <c r="M86" i="68"/>
  <c r="O86" i="68"/>
  <c r="G86" i="68"/>
  <c r="Q86" i="68"/>
  <c r="H86" i="68"/>
  <c r="I63" i="68"/>
  <c r="J63" i="68"/>
  <c r="K63" i="68"/>
  <c r="L63" i="68"/>
  <c r="M63" i="68"/>
  <c r="N63" i="68"/>
  <c r="G63" i="68"/>
  <c r="P63" i="68"/>
  <c r="H63" i="68"/>
  <c r="Q63" i="68"/>
  <c r="O388" i="68"/>
  <c r="Q381" i="68"/>
  <c r="P338" i="68"/>
  <c r="N336" i="68"/>
  <c r="O218" i="68"/>
  <c r="M205" i="68"/>
  <c r="O195" i="68"/>
  <c r="P189" i="68"/>
  <c r="L171" i="68"/>
  <c r="N171" i="68"/>
  <c r="J169" i="68"/>
  <c r="K124" i="68"/>
  <c r="L124" i="68"/>
  <c r="G102" i="68"/>
  <c r="O102" i="68"/>
  <c r="P102" i="68"/>
  <c r="I443" i="68"/>
  <c r="H441" i="68"/>
  <c r="L430" i="68"/>
  <c r="I418" i="68"/>
  <c r="N416" i="68"/>
  <c r="P415" i="68"/>
  <c r="Q410" i="68"/>
  <c r="P408" i="68"/>
  <c r="M398" i="68"/>
  <c r="M395" i="68"/>
  <c r="N388" i="68"/>
  <c r="O387" i="68"/>
  <c r="O381" i="68"/>
  <c r="I373" i="68"/>
  <c r="M372" i="68"/>
  <c r="J365" i="68"/>
  <c r="O352" i="68"/>
  <c r="G346" i="68"/>
  <c r="M339" i="68"/>
  <c r="O338" i="68"/>
  <c r="N337" i="68"/>
  <c r="L336" i="68"/>
  <c r="N334" i="68"/>
  <c r="K333" i="68"/>
  <c r="I331" i="68"/>
  <c r="J328" i="68"/>
  <c r="N326" i="68"/>
  <c r="H325" i="68"/>
  <c r="J320" i="68"/>
  <c r="N315" i="68"/>
  <c r="N309" i="68"/>
  <c r="O307" i="68"/>
  <c r="H298" i="68"/>
  <c r="H294" i="68"/>
  <c r="O289" i="68"/>
  <c r="N283" i="68"/>
  <c r="G281" i="68"/>
  <c r="M277" i="68"/>
  <c r="G274" i="68"/>
  <c r="N271" i="68"/>
  <c r="G265" i="68"/>
  <c r="G251" i="68"/>
  <c r="G250" i="68"/>
  <c r="O243" i="68"/>
  <c r="P242" i="68"/>
  <c r="P234" i="68"/>
  <c r="N233" i="68"/>
  <c r="M225" i="68"/>
  <c r="P222" i="68"/>
  <c r="N218" i="68"/>
  <c r="N217" i="68"/>
  <c r="O211" i="68"/>
  <c r="H205" i="68"/>
  <c r="N195" i="68"/>
  <c r="I189" i="68"/>
  <c r="N176" i="68"/>
  <c r="O171" i="68"/>
  <c r="H167" i="68"/>
  <c r="K167" i="68"/>
  <c r="N160" i="68"/>
  <c r="Q133" i="68"/>
  <c r="O133" i="68"/>
  <c r="M126" i="68"/>
  <c r="I126" i="68"/>
  <c r="K126" i="68"/>
  <c r="H126" i="68"/>
  <c r="Q126" i="68"/>
  <c r="G121" i="68"/>
  <c r="J121" i="68"/>
  <c r="L121" i="68"/>
  <c r="I121" i="68"/>
  <c r="M110" i="68"/>
  <c r="J110" i="68"/>
  <c r="L110" i="68"/>
  <c r="N110" i="68"/>
  <c r="I110" i="68"/>
  <c r="N51" i="68"/>
  <c r="O51" i="68"/>
  <c r="P51" i="68"/>
  <c r="G51" i="68"/>
  <c r="K51" i="68"/>
  <c r="M388" i="68"/>
  <c r="N381" i="68"/>
  <c r="Q373" i="68"/>
  <c r="H373" i="68"/>
  <c r="L372" i="68"/>
  <c r="N368" i="68"/>
  <c r="N352" i="68"/>
  <c r="K339" i="68"/>
  <c r="N338" i="68"/>
  <c r="I337" i="68"/>
  <c r="J336" i="68"/>
  <c r="L334" i="68"/>
  <c r="I333" i="68"/>
  <c r="I328" i="68"/>
  <c r="L326" i="68"/>
  <c r="I320" i="68"/>
  <c r="M315" i="68"/>
  <c r="O314" i="68"/>
  <c r="P301" i="68"/>
  <c r="N289" i="68"/>
  <c r="M283" i="68"/>
  <c r="N243" i="68"/>
  <c r="O242" i="68"/>
  <c r="M234" i="68"/>
  <c r="Q224" i="68"/>
  <c r="L218" i="68"/>
  <c r="L169" i="68"/>
  <c r="I169" i="68"/>
  <c r="Q135" i="68"/>
  <c r="P113" i="68"/>
  <c r="I70" i="68"/>
  <c r="J70" i="68"/>
  <c r="L70" i="68"/>
  <c r="N70" i="68"/>
  <c r="P70" i="68"/>
  <c r="Q70" i="68"/>
  <c r="G70" i="68"/>
  <c r="H70" i="68"/>
  <c r="G44" i="68"/>
  <c r="K44" i="68"/>
  <c r="J44" i="68"/>
  <c r="N44" i="68"/>
  <c r="O129" i="68"/>
  <c r="O103" i="68"/>
  <c r="N100" i="68"/>
  <c r="G99" i="68"/>
  <c r="G96" i="68"/>
  <c r="L95" i="68"/>
  <c r="N84" i="68"/>
  <c r="K83" i="68"/>
  <c r="L82" i="68"/>
  <c r="P78" i="68"/>
  <c r="N77" i="68"/>
  <c r="M73" i="68"/>
  <c r="G71" i="68"/>
  <c r="H66" i="68"/>
  <c r="J65" i="68"/>
  <c r="N57" i="68"/>
  <c r="J55" i="68"/>
  <c r="J54" i="68"/>
  <c r="P49" i="68"/>
  <c r="N48" i="68"/>
  <c r="I42" i="68"/>
  <c r="K42" i="68"/>
  <c r="P37" i="68"/>
  <c r="G37" i="68"/>
  <c r="J23" i="68"/>
  <c r="K21" i="68"/>
  <c r="H21" i="68"/>
  <c r="K19" i="68"/>
  <c r="N16" i="68"/>
  <c r="K13" i="68"/>
  <c r="H10" i="68"/>
  <c r="L8" i="68"/>
  <c r="G7" i="68"/>
  <c r="I5" i="68"/>
  <c r="G473" i="69"/>
  <c r="H473" i="69"/>
  <c r="M471" i="69"/>
  <c r="N470" i="69"/>
  <c r="Q468" i="69"/>
  <c r="P466" i="69"/>
  <c r="N465" i="69"/>
  <c r="N462" i="69"/>
  <c r="P456" i="69"/>
  <c r="J455" i="69"/>
  <c r="L455" i="69"/>
  <c r="N445" i="69"/>
  <c r="O433" i="69"/>
  <c r="H407" i="69"/>
  <c r="K84" i="68"/>
  <c r="H83" i="68"/>
  <c r="K82" i="68"/>
  <c r="K73" i="68"/>
  <c r="I65" i="68"/>
  <c r="I54" i="68"/>
  <c r="L43" i="68"/>
  <c r="H43" i="68"/>
  <c r="P26" i="68"/>
  <c r="H23" i="68"/>
  <c r="J13" i="68"/>
  <c r="K8" i="68"/>
  <c r="I475" i="69"/>
  <c r="H475" i="69"/>
  <c r="L459" i="69"/>
  <c r="K459" i="69"/>
  <c r="N456" i="69"/>
  <c r="P454" i="69"/>
  <c r="G452" i="69"/>
  <c r="L452" i="69"/>
  <c r="Q438" i="69"/>
  <c r="M433" i="69"/>
  <c r="O420" i="69"/>
  <c r="L40" i="68"/>
  <c r="P469" i="69"/>
  <c r="H415" i="69"/>
  <c r="N415" i="69"/>
  <c r="Q410" i="69"/>
  <c r="J402" i="69"/>
  <c r="I402" i="69"/>
  <c r="Q402" i="69"/>
  <c r="I390" i="69"/>
  <c r="H390" i="69"/>
  <c r="J390" i="69"/>
  <c r="M390" i="69"/>
  <c r="G390" i="69"/>
  <c r="I383" i="69"/>
  <c r="P383" i="69"/>
  <c r="G383" i="69"/>
  <c r="M383" i="69"/>
  <c r="N383" i="69"/>
  <c r="H103" i="68"/>
  <c r="Q101" i="68"/>
  <c r="J97" i="68"/>
  <c r="P95" i="68"/>
  <c r="H95" i="68"/>
  <c r="I89" i="68"/>
  <c r="Q85" i="68"/>
  <c r="H78" i="68"/>
  <c r="K76" i="68"/>
  <c r="H73" i="68"/>
  <c r="M71" i="68"/>
  <c r="P65" i="68"/>
  <c r="P62" i="68"/>
  <c r="J60" i="68"/>
  <c r="O54" i="68"/>
  <c r="P50" i="68"/>
  <c r="N45" i="68"/>
  <c r="P43" i="68"/>
  <c r="K37" i="68"/>
  <c r="O35" i="68"/>
  <c r="Q23" i="68"/>
  <c r="Q8" i="68"/>
  <c r="G471" i="69"/>
  <c r="M469" i="69"/>
  <c r="M463" i="69"/>
  <c r="K463" i="69"/>
  <c r="H462" i="69"/>
  <c r="P459" i="69"/>
  <c r="M452" i="69"/>
  <c r="K444" i="69"/>
  <c r="N444" i="69"/>
  <c r="I438" i="69"/>
  <c r="J418" i="69"/>
  <c r="H418" i="69"/>
  <c r="P418" i="69"/>
  <c r="N410" i="69"/>
  <c r="J394" i="69"/>
  <c r="I394" i="69"/>
  <c r="Q394" i="69"/>
  <c r="G103" i="68"/>
  <c r="I101" i="68"/>
  <c r="P99" i="68"/>
  <c r="I85" i="68"/>
  <c r="P83" i="68"/>
  <c r="P82" i="68"/>
  <c r="Q81" i="68"/>
  <c r="N65" i="68"/>
  <c r="N64" i="68"/>
  <c r="N62" i="68"/>
  <c r="N54" i="68"/>
  <c r="O43" i="68"/>
  <c r="N40" i="68"/>
  <c r="I40" i="68"/>
  <c r="O38" i="68"/>
  <c r="L38" i="68"/>
  <c r="H26" i="68"/>
  <c r="Q26" i="68"/>
  <c r="P23" i="68"/>
  <c r="O22" i="68"/>
  <c r="P8" i="68"/>
  <c r="J468" i="69"/>
  <c r="H468" i="69"/>
  <c r="H466" i="69"/>
  <c r="I466" i="69"/>
  <c r="G464" i="69"/>
  <c r="P464" i="69"/>
  <c r="H433" i="69"/>
  <c r="N433" i="69"/>
  <c r="G433" i="69"/>
  <c r="K99" i="68"/>
  <c r="O83" i="68"/>
  <c r="N82" i="68"/>
  <c r="P73" i="68"/>
  <c r="J71" i="68"/>
  <c r="L66" i="68"/>
  <c r="M65" i="68"/>
  <c r="P55" i="68"/>
  <c r="M54" i="68"/>
  <c r="N43" i="68"/>
  <c r="O23" i="68"/>
  <c r="J17" i="68"/>
  <c r="K17" i="68"/>
  <c r="G469" i="69"/>
  <c r="J469" i="69"/>
  <c r="Q462" i="69"/>
  <c r="N459" i="69"/>
  <c r="N455" i="69"/>
  <c r="J452" i="69"/>
  <c r="P103" i="68"/>
  <c r="H99" i="68"/>
  <c r="J96" i="68"/>
  <c r="N83" i="68"/>
  <c r="M82" i="68"/>
  <c r="N73" i="68"/>
  <c r="K65" i="68"/>
  <c r="M55" i="68"/>
  <c r="G47" i="68"/>
  <c r="K43" i="68"/>
  <c r="H42" i="68"/>
  <c r="G41" i="68"/>
  <c r="Q37" i="68"/>
  <c r="H37" i="68"/>
  <c r="N23" i="68"/>
  <c r="N13" i="68"/>
  <c r="M8" i="68"/>
  <c r="K7" i="68"/>
  <c r="K5" i="68"/>
  <c r="K473" i="69"/>
  <c r="N471" i="69"/>
  <c r="Q466" i="69"/>
  <c r="Q465" i="69"/>
  <c r="P463" i="69"/>
  <c r="P462" i="69"/>
  <c r="M459" i="69"/>
  <c r="G455" i="69"/>
  <c r="G453" i="69"/>
  <c r="K453" i="69"/>
  <c r="I452" i="69"/>
  <c r="J450" i="69"/>
  <c r="G448" i="69"/>
  <c r="M419" i="69"/>
  <c r="K419" i="69"/>
  <c r="Q419" i="69"/>
  <c r="M407" i="69"/>
  <c r="P390" i="69"/>
  <c r="N406" i="69"/>
  <c r="O398" i="69"/>
  <c r="N386" i="69"/>
  <c r="P384" i="69"/>
  <c r="N382" i="69"/>
  <c r="I381" i="69"/>
  <c r="Q379" i="69"/>
  <c r="H376" i="69"/>
  <c r="J374" i="69"/>
  <c r="N373" i="69"/>
  <c r="I371" i="69"/>
  <c r="Q368" i="69"/>
  <c r="M367" i="69"/>
  <c r="J365" i="69"/>
  <c r="N363" i="69"/>
  <c r="H359" i="69"/>
  <c r="H358" i="69"/>
  <c r="N356" i="69"/>
  <c r="Q354" i="69"/>
  <c r="P350" i="69"/>
  <c r="I346" i="69"/>
  <c r="N344" i="69"/>
  <c r="K342" i="69"/>
  <c r="I341" i="69"/>
  <c r="J339" i="69"/>
  <c r="N338" i="69"/>
  <c r="P335" i="69"/>
  <c r="I331" i="69"/>
  <c r="I329" i="69"/>
  <c r="Q327" i="69"/>
  <c r="G324" i="69"/>
  <c r="I319" i="69"/>
  <c r="H317" i="69"/>
  <c r="K311" i="69"/>
  <c r="Q309" i="69"/>
  <c r="L300" i="69"/>
  <c r="N299" i="69"/>
  <c r="M296" i="69"/>
  <c r="N295" i="69"/>
  <c r="N290" i="69"/>
  <c r="K288" i="69"/>
  <c r="L287" i="69"/>
  <c r="K285" i="69"/>
  <c r="K284" i="69"/>
  <c r="N283" i="69"/>
  <c r="N281" i="69"/>
  <c r="L272" i="69"/>
  <c r="K271" i="69"/>
  <c r="H267" i="69"/>
  <c r="K265" i="69"/>
  <c r="K264" i="69"/>
  <c r="Q260" i="69"/>
  <c r="G260" i="69"/>
  <c r="K239" i="69"/>
  <c r="I236" i="69"/>
  <c r="H233" i="69"/>
  <c r="G217" i="69"/>
  <c r="L217" i="69"/>
  <c r="N217" i="69"/>
  <c r="G211" i="69"/>
  <c r="P211" i="69"/>
  <c r="H211" i="69"/>
  <c r="K211" i="69"/>
  <c r="K134" i="69"/>
  <c r="H134" i="69"/>
  <c r="J134" i="69"/>
  <c r="M134" i="69"/>
  <c r="N134" i="69"/>
  <c r="P134" i="69"/>
  <c r="O109" i="65"/>
  <c r="L115" i="65" s="1"/>
  <c r="G109" i="65"/>
  <c r="G49" i="65"/>
  <c r="I344" i="69"/>
  <c r="G341" i="69"/>
  <c r="H335" i="69"/>
  <c r="H331" i="69"/>
  <c r="H319" i="69"/>
  <c r="M309" i="69"/>
  <c r="J290" i="69"/>
  <c r="I287" i="69"/>
  <c r="N248" i="69"/>
  <c r="O244" i="69"/>
  <c r="M230" i="69"/>
  <c r="N230" i="69"/>
  <c r="G230" i="69"/>
  <c r="Q230" i="69"/>
  <c r="N199" i="69"/>
  <c r="M199" i="69"/>
  <c r="H190" i="69"/>
  <c r="J190" i="69"/>
  <c r="M190" i="69"/>
  <c r="N190" i="69"/>
  <c r="I180" i="69"/>
  <c r="K180" i="69"/>
  <c r="N180" i="69"/>
  <c r="Q180" i="69"/>
  <c r="J118" i="69"/>
  <c r="L118" i="69"/>
  <c r="P118" i="69"/>
  <c r="K9" i="69"/>
  <c r="H9" i="69"/>
  <c r="L9" i="69"/>
  <c r="N9" i="69"/>
  <c r="P9" i="69"/>
  <c r="J236" i="69"/>
  <c r="G236" i="69"/>
  <c r="P236" i="69"/>
  <c r="K236" i="69"/>
  <c r="L233" i="69"/>
  <c r="J233" i="69"/>
  <c r="N233" i="69"/>
  <c r="G201" i="69"/>
  <c r="N201" i="69"/>
  <c r="J139" i="69"/>
  <c r="G139" i="69"/>
  <c r="I139" i="69"/>
  <c r="L139" i="69"/>
  <c r="O139" i="69"/>
  <c r="H79" i="69"/>
  <c r="G79" i="69"/>
  <c r="I79" i="69"/>
  <c r="K79" i="69"/>
  <c r="M79" i="69"/>
  <c r="N79" i="69"/>
  <c r="O79" i="69"/>
  <c r="Q79" i="69"/>
  <c r="L68" i="69"/>
  <c r="J68" i="69"/>
  <c r="P68" i="69"/>
  <c r="G11" i="69"/>
  <c r="I11" i="69"/>
  <c r="M11" i="69"/>
  <c r="L414" i="69"/>
  <c r="K408" i="69"/>
  <c r="K406" i="69"/>
  <c r="K398" i="69"/>
  <c r="N397" i="69"/>
  <c r="I384" i="69"/>
  <c r="K382" i="69"/>
  <c r="P376" i="69"/>
  <c r="N370" i="69"/>
  <c r="P358" i="69"/>
  <c r="O357" i="69"/>
  <c r="K349" i="69"/>
  <c r="Q341" i="69"/>
  <c r="P339" i="69"/>
  <c r="G339" i="69"/>
  <c r="I327" i="69"/>
  <c r="M323" i="69"/>
  <c r="N317" i="69"/>
  <c r="P316" i="69"/>
  <c r="L304" i="69"/>
  <c r="H300" i="69"/>
  <c r="H299" i="69"/>
  <c r="H296" i="69"/>
  <c r="I295" i="69"/>
  <c r="K293" i="69"/>
  <c r="Q284" i="69"/>
  <c r="G284" i="69"/>
  <c r="G283" i="69"/>
  <c r="Q271" i="69"/>
  <c r="H271" i="69"/>
  <c r="P267" i="69"/>
  <c r="N260" i="69"/>
  <c r="G239" i="69"/>
  <c r="I239" i="69"/>
  <c r="Q236" i="69"/>
  <c r="P233" i="69"/>
  <c r="G223" i="69"/>
  <c r="P223" i="69"/>
  <c r="M358" i="69"/>
  <c r="I357" i="69"/>
  <c r="H349" i="69"/>
  <c r="Q346" i="69"/>
  <c r="P341" i="69"/>
  <c r="Q331" i="69"/>
  <c r="P324" i="69"/>
  <c r="Q319" i="69"/>
  <c r="M317" i="69"/>
  <c r="P308" i="69"/>
  <c r="H304" i="69"/>
  <c r="L260" i="69"/>
  <c r="G249" i="69"/>
  <c r="G248" i="69"/>
  <c r="K245" i="69"/>
  <c r="K244" i="69"/>
  <c r="P239" i="69"/>
  <c r="O236" i="69"/>
  <c r="O233" i="69"/>
  <c r="O230" i="69"/>
  <c r="G218" i="69"/>
  <c r="M218" i="69"/>
  <c r="Q211" i="69"/>
  <c r="G206" i="69"/>
  <c r="M206" i="69"/>
  <c r="G196" i="69"/>
  <c r="L196" i="69"/>
  <c r="G185" i="69"/>
  <c r="K185" i="69"/>
  <c r="L185" i="69"/>
  <c r="I112" i="69"/>
  <c r="H112" i="69"/>
  <c r="P112" i="69"/>
  <c r="M67" i="69"/>
  <c r="G67" i="69"/>
  <c r="J67" i="69"/>
  <c r="K67" i="69"/>
  <c r="N67" i="69"/>
  <c r="O67" i="69"/>
  <c r="P67" i="69"/>
  <c r="K376" i="69"/>
  <c r="O341" i="69"/>
  <c r="P331" i="69"/>
  <c r="P319" i="69"/>
  <c r="Q287" i="69"/>
  <c r="O284" i="69"/>
  <c r="G279" i="69"/>
  <c r="L275" i="69"/>
  <c r="N271" i="69"/>
  <c r="K268" i="69"/>
  <c r="M267" i="69"/>
  <c r="P264" i="69"/>
  <c r="N263" i="69"/>
  <c r="N261" i="69"/>
  <c r="J260" i="69"/>
  <c r="O252" i="69"/>
  <c r="N250" i="69"/>
  <c r="I244" i="69"/>
  <c r="N239" i="69"/>
  <c r="N236" i="69"/>
  <c r="M233" i="69"/>
  <c r="M211" i="69"/>
  <c r="G198" i="69"/>
  <c r="I198" i="69"/>
  <c r="K198" i="69"/>
  <c r="M198" i="69"/>
  <c r="Q198" i="69"/>
  <c r="I146" i="69"/>
  <c r="L146" i="69"/>
  <c r="J135" i="69"/>
  <c r="G135" i="69"/>
  <c r="I135" i="69"/>
  <c r="M135" i="69"/>
  <c r="N135" i="69"/>
  <c r="O135" i="69"/>
  <c r="P135" i="69"/>
  <c r="G101" i="69"/>
  <c r="H101" i="69"/>
  <c r="K101" i="69"/>
  <c r="N101" i="69"/>
  <c r="P101" i="69"/>
  <c r="H95" i="69"/>
  <c r="G95" i="69"/>
  <c r="I95" i="69"/>
  <c r="K95" i="69"/>
  <c r="M95" i="69"/>
  <c r="N95" i="69"/>
  <c r="O95" i="69"/>
  <c r="Q95" i="69"/>
  <c r="K73" i="69"/>
  <c r="H73" i="69"/>
  <c r="N73" i="69"/>
  <c r="O73" i="69"/>
  <c r="P73" i="69"/>
  <c r="I48" i="69"/>
  <c r="J48" i="69"/>
  <c r="L48" i="69"/>
  <c r="M48" i="69"/>
  <c r="O48" i="69"/>
  <c r="P48" i="69"/>
  <c r="H414" i="69"/>
  <c r="P406" i="69"/>
  <c r="G406" i="69"/>
  <c r="G398" i="69"/>
  <c r="H397" i="69"/>
  <c r="Q386" i="69"/>
  <c r="P382" i="69"/>
  <c r="G382" i="69"/>
  <c r="L381" i="69"/>
  <c r="J376" i="69"/>
  <c r="H375" i="69"/>
  <c r="L374" i="69"/>
  <c r="P373" i="69"/>
  <c r="G373" i="69"/>
  <c r="L371" i="69"/>
  <c r="K366" i="69"/>
  <c r="M365" i="69"/>
  <c r="H362" i="69"/>
  <c r="N359" i="69"/>
  <c r="K358" i="69"/>
  <c r="G354" i="69"/>
  <c r="H350" i="69"/>
  <c r="O346" i="69"/>
  <c r="N341" i="69"/>
  <c r="M340" i="69"/>
  <c r="M339" i="69"/>
  <c r="Q338" i="69"/>
  <c r="P333" i="69"/>
  <c r="N331" i="69"/>
  <c r="O329" i="69"/>
  <c r="P326" i="69"/>
  <c r="N324" i="69"/>
  <c r="N319" i="69"/>
  <c r="K317" i="69"/>
  <c r="P300" i="69"/>
  <c r="Q299" i="69"/>
  <c r="O296" i="69"/>
  <c r="Q295" i="69"/>
  <c r="N287" i="69"/>
  <c r="O285" i="69"/>
  <c r="N284" i="69"/>
  <c r="Q283" i="69"/>
  <c r="I275" i="69"/>
  <c r="M271" i="69"/>
  <c r="J268" i="69"/>
  <c r="L267" i="69"/>
  <c r="O264" i="69"/>
  <c r="M263" i="69"/>
  <c r="I260" i="69"/>
  <c r="N252" i="69"/>
  <c r="M250" i="69"/>
  <c r="H244" i="69"/>
  <c r="L243" i="69"/>
  <c r="J241" i="69"/>
  <c r="M239" i="69"/>
  <c r="M236" i="69"/>
  <c r="K233" i="69"/>
  <c r="J230" i="69"/>
  <c r="K226" i="69"/>
  <c r="J226" i="69"/>
  <c r="M217" i="69"/>
  <c r="M216" i="69"/>
  <c r="H216" i="69"/>
  <c r="N216" i="69"/>
  <c r="L211" i="69"/>
  <c r="G209" i="69"/>
  <c r="K209" i="69"/>
  <c r="M209" i="69"/>
  <c r="I205" i="69"/>
  <c r="O205" i="69"/>
  <c r="G203" i="69"/>
  <c r="N203" i="69"/>
  <c r="G193" i="69"/>
  <c r="L193" i="69"/>
  <c r="J181" i="69"/>
  <c r="N181" i="69"/>
  <c r="O181" i="69"/>
  <c r="G181" i="69"/>
  <c r="K166" i="69"/>
  <c r="G166" i="69"/>
  <c r="H166" i="69"/>
  <c r="N166" i="69"/>
  <c r="O166" i="69"/>
  <c r="P166" i="69"/>
  <c r="Q166" i="69"/>
  <c r="I75" i="69"/>
  <c r="H75" i="69"/>
  <c r="P75" i="69"/>
  <c r="Q75" i="69"/>
  <c r="I57" i="69"/>
  <c r="J57" i="69"/>
  <c r="N57" i="69"/>
  <c r="G6" i="69"/>
  <c r="K6" i="69"/>
  <c r="P6" i="69"/>
  <c r="P414" i="69"/>
  <c r="G414" i="69"/>
  <c r="Q411" i="69"/>
  <c r="Q384" i="69"/>
  <c r="I376" i="69"/>
  <c r="K374" i="69"/>
  <c r="K371" i="69"/>
  <c r="K365" i="69"/>
  <c r="P363" i="69"/>
  <c r="M359" i="69"/>
  <c r="J358" i="69"/>
  <c r="O356" i="69"/>
  <c r="N346" i="69"/>
  <c r="J341" i="69"/>
  <c r="G340" i="69"/>
  <c r="L339" i="69"/>
  <c r="O338" i="69"/>
  <c r="I333" i="69"/>
  <c r="K331" i="69"/>
  <c r="N329" i="69"/>
  <c r="N326" i="69"/>
  <c r="J324" i="69"/>
  <c r="P322" i="69"/>
  <c r="K319" i="69"/>
  <c r="I317" i="69"/>
  <c r="L311" i="69"/>
  <c r="G305" i="69"/>
  <c r="N300" i="69"/>
  <c r="P299" i="69"/>
  <c r="M298" i="69"/>
  <c r="N296" i="69"/>
  <c r="P295" i="69"/>
  <c r="P292" i="69"/>
  <c r="G292" i="69"/>
  <c r="O288" i="69"/>
  <c r="M287" i="69"/>
  <c r="N285" i="69"/>
  <c r="L284" i="69"/>
  <c r="P283" i="69"/>
  <c r="O279" i="69"/>
  <c r="H275" i="69"/>
  <c r="P272" i="69"/>
  <c r="L271" i="69"/>
  <c r="G268" i="69"/>
  <c r="I267" i="69"/>
  <c r="O265" i="69"/>
  <c r="L264" i="69"/>
  <c r="J263" i="69"/>
  <c r="H260" i="69"/>
  <c r="N257" i="69"/>
  <c r="J252" i="69"/>
  <c r="J250" i="69"/>
  <c r="P248" i="69"/>
  <c r="Q244" i="69"/>
  <c r="G244" i="69"/>
  <c r="I243" i="69"/>
  <c r="L239" i="69"/>
  <c r="L236" i="69"/>
  <c r="I233" i="69"/>
  <c r="I230" i="69"/>
  <c r="P228" i="69"/>
  <c r="I228" i="69"/>
  <c r="K228" i="69"/>
  <c r="J217" i="69"/>
  <c r="G214" i="69"/>
  <c r="J214" i="69"/>
  <c r="N214" i="69"/>
  <c r="I211" i="69"/>
  <c r="K190" i="69"/>
  <c r="L134" i="69"/>
  <c r="P90" i="69"/>
  <c r="H90" i="69"/>
  <c r="J90" i="69"/>
  <c r="L90" i="69"/>
  <c r="M90" i="69"/>
  <c r="N90" i="69"/>
  <c r="K200" i="69"/>
  <c r="N177" i="69"/>
  <c r="I173" i="69"/>
  <c r="J172" i="69"/>
  <c r="N167" i="69"/>
  <c r="K163" i="69"/>
  <c r="H158" i="69"/>
  <c r="K155" i="69"/>
  <c r="G151" i="69"/>
  <c r="G147" i="69"/>
  <c r="O143" i="69"/>
  <c r="N141" i="69"/>
  <c r="Q137" i="69"/>
  <c r="H133" i="69"/>
  <c r="M119" i="69"/>
  <c r="P107" i="69"/>
  <c r="P88" i="69"/>
  <c r="K87" i="69"/>
  <c r="I86" i="69"/>
  <c r="K76" i="69"/>
  <c r="G74" i="69"/>
  <c r="G62" i="69"/>
  <c r="Q59" i="69"/>
  <c r="G59" i="69"/>
  <c r="I53" i="69"/>
  <c r="K45" i="69"/>
  <c r="M44" i="69"/>
  <c r="P43" i="69"/>
  <c r="N41" i="69"/>
  <c r="L37" i="69"/>
  <c r="O35" i="69"/>
  <c r="I33" i="69"/>
  <c r="L31" i="69"/>
  <c r="L23" i="69"/>
  <c r="M18" i="69"/>
  <c r="Q14" i="69"/>
  <c r="J12" i="69"/>
  <c r="G10" i="69"/>
  <c r="M3" i="69"/>
  <c r="N143" i="69"/>
  <c r="N107" i="69"/>
  <c r="P89" i="69"/>
  <c r="O27" i="69"/>
  <c r="O234" i="69"/>
  <c r="M225" i="69"/>
  <c r="G200" i="69"/>
  <c r="L167" i="69"/>
  <c r="Q158" i="69"/>
  <c r="P151" i="69"/>
  <c r="Q147" i="69"/>
  <c r="K143" i="69"/>
  <c r="G141" i="69"/>
  <c r="I137" i="69"/>
  <c r="O117" i="69"/>
  <c r="K107" i="69"/>
  <c r="M100" i="69"/>
  <c r="N97" i="69"/>
  <c r="N96" i="69"/>
  <c r="N89" i="69"/>
  <c r="O80" i="69"/>
  <c r="O74" i="69"/>
  <c r="O59" i="69"/>
  <c r="J44" i="69"/>
  <c r="J38" i="69"/>
  <c r="N27" i="69"/>
  <c r="P19" i="69"/>
  <c r="O10" i="69"/>
  <c r="M112" i="70"/>
  <c r="J118" i="70" s="1"/>
  <c r="X55" i="65"/>
  <c r="K167" i="69"/>
  <c r="O158" i="69"/>
  <c r="O151" i="69"/>
  <c r="O147" i="69"/>
  <c r="I143" i="69"/>
  <c r="M125" i="69"/>
  <c r="N117" i="69"/>
  <c r="O108" i="69"/>
  <c r="M97" i="69"/>
  <c r="L96" i="69"/>
  <c r="M89" i="69"/>
  <c r="N80" i="69"/>
  <c r="N74" i="69"/>
  <c r="N65" i="69"/>
  <c r="Q62" i="69"/>
  <c r="N59" i="69"/>
  <c r="I44" i="69"/>
  <c r="H38" i="69"/>
  <c r="P36" i="69"/>
  <c r="I35" i="69"/>
  <c r="K27" i="69"/>
  <c r="N19" i="69"/>
  <c r="M10" i="69"/>
  <c r="E111" i="70"/>
  <c r="L80" i="69"/>
  <c r="M74" i="69"/>
  <c r="J65" i="69"/>
  <c r="P62" i="69"/>
  <c r="M59" i="69"/>
  <c r="P53" i="69"/>
  <c r="Q52" i="69"/>
  <c r="H44" i="69"/>
  <c r="P42" i="69"/>
  <c r="O40" i="69"/>
  <c r="G38" i="69"/>
  <c r="N36" i="69"/>
  <c r="G35" i="69"/>
  <c r="N33" i="69"/>
  <c r="J27" i="69"/>
  <c r="J19" i="69"/>
  <c r="Q17" i="69"/>
  <c r="L10" i="69"/>
  <c r="M8" i="69"/>
  <c r="O112" i="70"/>
  <c r="P113" i="70" s="1"/>
  <c r="I225" i="69"/>
  <c r="H178" i="69"/>
  <c r="J176" i="69"/>
  <c r="N174" i="69"/>
  <c r="M173" i="69"/>
  <c r="O172" i="69"/>
  <c r="G167" i="69"/>
  <c r="J165" i="69"/>
  <c r="O163" i="69"/>
  <c r="O159" i="69"/>
  <c r="L158" i="69"/>
  <c r="N157" i="69"/>
  <c r="G156" i="69"/>
  <c r="M151" i="69"/>
  <c r="L147" i="69"/>
  <c r="G143" i="69"/>
  <c r="L133" i="69"/>
  <c r="J132" i="69"/>
  <c r="K131" i="69"/>
  <c r="N129" i="69"/>
  <c r="I125" i="69"/>
  <c r="Q119" i="69"/>
  <c r="J108" i="69"/>
  <c r="Q103" i="69"/>
  <c r="Q99" i="69"/>
  <c r="J98" i="69"/>
  <c r="J97" i="69"/>
  <c r="G96" i="69"/>
  <c r="J91" i="69"/>
  <c r="H89" i="69"/>
  <c r="O87" i="69"/>
  <c r="Q86" i="69"/>
  <c r="G80" i="69"/>
  <c r="K74" i="69"/>
  <c r="N62" i="69"/>
  <c r="K59" i="69"/>
  <c r="J42" i="69"/>
  <c r="L36" i="69"/>
  <c r="L32" i="69"/>
  <c r="I27" i="69"/>
  <c r="M21" i="69"/>
  <c r="I19" i="69"/>
  <c r="Q15" i="69"/>
  <c r="H112" i="70"/>
  <c r="E118" i="70" s="1"/>
  <c r="X56" i="66"/>
  <c r="K151" i="69"/>
  <c r="P119" i="69"/>
  <c r="W472" i="67"/>
  <c r="Y472" i="67"/>
  <c r="N457" i="67"/>
  <c r="M452" i="67"/>
  <c r="I451" i="67"/>
  <c r="L448" i="67"/>
  <c r="M443" i="67"/>
  <c r="N440" i="67"/>
  <c r="K428" i="67"/>
  <c r="M427" i="67"/>
  <c r="N426" i="67"/>
  <c r="N423" i="67"/>
  <c r="O411" i="67"/>
  <c r="Q369" i="67"/>
  <c r="H369" i="67"/>
  <c r="O365" i="67"/>
  <c r="N357" i="67"/>
  <c r="N355" i="67"/>
  <c r="U472" i="67"/>
  <c r="P342" i="67"/>
  <c r="Q341" i="67"/>
  <c r="H341" i="67"/>
  <c r="L337" i="67"/>
  <c r="H326" i="67"/>
  <c r="M324" i="67"/>
  <c r="L309" i="67"/>
  <c r="N308" i="67"/>
  <c r="L304" i="67"/>
  <c r="N303" i="67"/>
  <c r="O301" i="67"/>
  <c r="L296" i="67"/>
  <c r="N290" i="67"/>
  <c r="N289" i="67"/>
  <c r="P285" i="67"/>
  <c r="O268" i="67"/>
  <c r="M260" i="67"/>
  <c r="N253" i="67"/>
  <c r="P237" i="67"/>
  <c r="O220" i="67"/>
  <c r="Q157" i="67"/>
  <c r="N155" i="67"/>
  <c r="P110" i="67"/>
  <c r="J100" i="67"/>
  <c r="G100" i="67"/>
  <c r="H100" i="67"/>
  <c r="N87" i="67"/>
  <c r="Q87" i="67"/>
  <c r="H56" i="67"/>
  <c r="J56" i="67"/>
  <c r="M56" i="67"/>
  <c r="Q56" i="67"/>
  <c r="J36" i="67"/>
  <c r="H36" i="67"/>
  <c r="I36" i="67"/>
  <c r="K36" i="67"/>
  <c r="Q36" i="67"/>
  <c r="Q4" i="67"/>
  <c r="I460" i="68"/>
  <c r="H460" i="68"/>
  <c r="L460" i="68"/>
  <c r="N460" i="68"/>
  <c r="O460" i="68"/>
  <c r="P460" i="68"/>
  <c r="L389" i="68"/>
  <c r="G389" i="68"/>
  <c r="P389" i="68"/>
  <c r="H389" i="68"/>
  <c r="Q389" i="68"/>
  <c r="I389" i="68"/>
  <c r="J389" i="68"/>
  <c r="K389" i="68"/>
  <c r="M389" i="68"/>
  <c r="N389" i="68"/>
  <c r="J362" i="68"/>
  <c r="H362" i="68"/>
  <c r="I362" i="68"/>
  <c r="N362" i="68"/>
  <c r="P362" i="68"/>
  <c r="Q362" i="68"/>
  <c r="K142" i="68"/>
  <c r="M142" i="68"/>
  <c r="N142" i="68"/>
  <c r="G142" i="68"/>
  <c r="H142" i="68"/>
  <c r="I142" i="68"/>
  <c r="J142" i="68"/>
  <c r="L142" i="68"/>
  <c r="O142" i="68"/>
  <c r="P142" i="68"/>
  <c r="Q142" i="68"/>
  <c r="L75" i="68"/>
  <c r="P75" i="68"/>
  <c r="K75" i="68"/>
  <c r="N75" i="68"/>
  <c r="O75" i="68"/>
  <c r="G75" i="68"/>
  <c r="H75" i="68"/>
  <c r="G458" i="69"/>
  <c r="P458" i="69"/>
  <c r="O401" i="67"/>
  <c r="P382" i="67"/>
  <c r="M381" i="67"/>
  <c r="M457" i="67"/>
  <c r="Q456" i="67"/>
  <c r="K452" i="67"/>
  <c r="H451" i="67"/>
  <c r="K449" i="67"/>
  <c r="J448" i="67"/>
  <c r="P444" i="67"/>
  <c r="I443" i="67"/>
  <c r="M440" i="67"/>
  <c r="Q438" i="67"/>
  <c r="O436" i="67"/>
  <c r="G428" i="67"/>
  <c r="L427" i="67"/>
  <c r="I426" i="67"/>
  <c r="M423" i="67"/>
  <c r="J411" i="67"/>
  <c r="J405" i="67"/>
  <c r="N402" i="67"/>
  <c r="N401" i="67"/>
  <c r="P397" i="67"/>
  <c r="J389" i="67"/>
  <c r="K382" i="67"/>
  <c r="L381" i="67"/>
  <c r="Q380" i="67"/>
  <c r="O379" i="67"/>
  <c r="Q377" i="67"/>
  <c r="P369" i="67"/>
  <c r="G369" i="67"/>
  <c r="P366" i="67"/>
  <c r="N365" i="67"/>
  <c r="P364" i="67"/>
  <c r="O361" i="67"/>
  <c r="K358" i="67"/>
  <c r="M357" i="67"/>
  <c r="Q356" i="67"/>
  <c r="J355" i="67"/>
  <c r="P350" i="67"/>
  <c r="Q344" i="67"/>
  <c r="O342" i="67"/>
  <c r="P341" i="67"/>
  <c r="G341" i="67"/>
  <c r="K337" i="67"/>
  <c r="N335" i="67"/>
  <c r="O330" i="67"/>
  <c r="K329" i="67"/>
  <c r="G326" i="67"/>
  <c r="L324" i="67"/>
  <c r="P321" i="67"/>
  <c r="O316" i="67"/>
  <c r="H309" i="67"/>
  <c r="M308" i="67"/>
  <c r="K304" i="67"/>
  <c r="I303" i="67"/>
  <c r="N301" i="67"/>
  <c r="K296" i="67"/>
  <c r="I295" i="67"/>
  <c r="K293" i="67"/>
  <c r="M290" i="67"/>
  <c r="L289" i="67"/>
  <c r="O288" i="67"/>
  <c r="N285" i="67"/>
  <c r="H284" i="67"/>
  <c r="P277" i="67"/>
  <c r="K272" i="67"/>
  <c r="L269" i="67"/>
  <c r="N268" i="67"/>
  <c r="I267" i="67"/>
  <c r="Q264" i="67"/>
  <c r="K260" i="67"/>
  <c r="L259" i="67"/>
  <c r="O257" i="67"/>
  <c r="M253" i="67"/>
  <c r="G250" i="67"/>
  <c r="N237" i="67"/>
  <c r="P221" i="67"/>
  <c r="N220" i="67"/>
  <c r="M204" i="67"/>
  <c r="M202" i="67"/>
  <c r="O201" i="67"/>
  <c r="Q196" i="67"/>
  <c r="I196" i="67"/>
  <c r="M192" i="67"/>
  <c r="N168" i="67"/>
  <c r="O157" i="67"/>
  <c r="M155" i="67"/>
  <c r="P141" i="67"/>
  <c r="M140" i="67"/>
  <c r="P131" i="67"/>
  <c r="Q128" i="67"/>
  <c r="Q126" i="67"/>
  <c r="O110" i="67"/>
  <c r="Q104" i="67"/>
  <c r="I89" i="67"/>
  <c r="H89" i="67"/>
  <c r="L89" i="67"/>
  <c r="N89" i="67"/>
  <c r="J84" i="67"/>
  <c r="I84" i="67"/>
  <c r="K84" i="67"/>
  <c r="O81" i="67"/>
  <c r="H72" i="67"/>
  <c r="L72" i="67"/>
  <c r="N72" i="67"/>
  <c r="O72" i="67"/>
  <c r="G51" i="67"/>
  <c r="H51" i="67"/>
  <c r="J51" i="67"/>
  <c r="K448" i="68"/>
  <c r="I448" i="68"/>
  <c r="J448" i="68"/>
  <c r="N448" i="68"/>
  <c r="Q448" i="68"/>
  <c r="G345" i="68"/>
  <c r="O345" i="68"/>
  <c r="H345" i="68"/>
  <c r="P345" i="68"/>
  <c r="I345" i="68"/>
  <c r="Q345" i="68"/>
  <c r="J345" i="68"/>
  <c r="K345" i="68"/>
  <c r="L345" i="68"/>
  <c r="M345" i="68"/>
  <c r="J321" i="68"/>
  <c r="L321" i="68"/>
  <c r="G321" i="68"/>
  <c r="Q321" i="68"/>
  <c r="H321" i="68"/>
  <c r="I321" i="68"/>
  <c r="K321" i="68"/>
  <c r="M321" i="68"/>
  <c r="N321" i="68"/>
  <c r="O321" i="68"/>
  <c r="G199" i="68"/>
  <c r="K199" i="68"/>
  <c r="N199" i="68"/>
  <c r="G180" i="68"/>
  <c r="N180" i="68"/>
  <c r="O423" i="67"/>
  <c r="L401" i="67"/>
  <c r="N397" i="67"/>
  <c r="K381" i="67"/>
  <c r="P380" i="67"/>
  <c r="L357" i="67"/>
  <c r="O350" i="67"/>
  <c r="Q345" i="67"/>
  <c r="Z472" i="67"/>
  <c r="X472" i="67"/>
  <c r="K324" i="67"/>
  <c r="O321" i="67"/>
  <c r="N316" i="67"/>
  <c r="K314" i="67"/>
  <c r="O312" i="67"/>
  <c r="L308" i="67"/>
  <c r="I304" i="67"/>
  <c r="L301" i="67"/>
  <c r="N299" i="67"/>
  <c r="I296" i="67"/>
  <c r="H293" i="67"/>
  <c r="J290" i="67"/>
  <c r="K289" i="67"/>
  <c r="N288" i="67"/>
  <c r="L285" i="67"/>
  <c r="O277" i="67"/>
  <c r="J272" i="67"/>
  <c r="K269" i="67"/>
  <c r="I268" i="67"/>
  <c r="P264" i="67"/>
  <c r="I260" i="67"/>
  <c r="K253" i="67"/>
  <c r="N245" i="67"/>
  <c r="M237" i="67"/>
  <c r="P230" i="67"/>
  <c r="L221" i="67"/>
  <c r="M220" i="67"/>
  <c r="G218" i="67"/>
  <c r="G217" i="67"/>
  <c r="M212" i="67"/>
  <c r="Q208" i="67"/>
  <c r="H208" i="67"/>
  <c r="N205" i="67"/>
  <c r="K202" i="67"/>
  <c r="N201" i="67"/>
  <c r="P196" i="67"/>
  <c r="H196" i="67"/>
  <c r="L192" i="67"/>
  <c r="I191" i="67"/>
  <c r="Q184" i="67"/>
  <c r="G184" i="67"/>
  <c r="N172" i="67"/>
  <c r="M168" i="67"/>
  <c r="N166" i="67"/>
  <c r="H163" i="67"/>
  <c r="N157" i="67"/>
  <c r="L156" i="67"/>
  <c r="L155" i="67"/>
  <c r="P147" i="67"/>
  <c r="G147" i="67"/>
  <c r="M141" i="67"/>
  <c r="K140" i="67"/>
  <c r="O131" i="67"/>
  <c r="P130" i="67"/>
  <c r="I126" i="67"/>
  <c r="G114" i="67"/>
  <c r="N110" i="67"/>
  <c r="J108" i="67"/>
  <c r="Q108" i="67"/>
  <c r="N104" i="67"/>
  <c r="M99" i="67"/>
  <c r="N81" i="67"/>
  <c r="I73" i="67"/>
  <c r="J73" i="67"/>
  <c r="I66" i="67"/>
  <c r="Q66" i="67"/>
  <c r="K66" i="67"/>
  <c r="L66" i="67"/>
  <c r="O48" i="67"/>
  <c r="H45" i="67"/>
  <c r="G35" i="67"/>
  <c r="H35" i="67"/>
  <c r="J35" i="67"/>
  <c r="Q30" i="67"/>
  <c r="K30" i="67"/>
  <c r="I9" i="67"/>
  <c r="H9" i="67"/>
  <c r="J9" i="67"/>
  <c r="L9" i="67"/>
  <c r="N9" i="67"/>
  <c r="P9" i="67"/>
  <c r="Q463" i="68"/>
  <c r="P461" i="68"/>
  <c r="H454" i="68"/>
  <c r="P454" i="68"/>
  <c r="I454" i="68"/>
  <c r="Q454" i="68"/>
  <c r="J454" i="68"/>
  <c r="K454" i="68"/>
  <c r="L454" i="68"/>
  <c r="M454" i="68"/>
  <c r="I434" i="68"/>
  <c r="H434" i="68"/>
  <c r="N434" i="68"/>
  <c r="O434" i="68"/>
  <c r="P434" i="68"/>
  <c r="I380" i="68"/>
  <c r="G380" i="68"/>
  <c r="H380" i="68"/>
  <c r="L380" i="68"/>
  <c r="M380" i="68"/>
  <c r="N380" i="68"/>
  <c r="O380" i="68"/>
  <c r="P380" i="68"/>
  <c r="L440" i="67"/>
  <c r="N436" i="67"/>
  <c r="L423" i="67"/>
  <c r="K457" i="67"/>
  <c r="M456" i="67"/>
  <c r="G452" i="67"/>
  <c r="G448" i="67"/>
  <c r="N446" i="67"/>
  <c r="I444" i="67"/>
  <c r="K440" i="67"/>
  <c r="J438" i="67"/>
  <c r="L436" i="67"/>
  <c r="N435" i="67"/>
  <c r="Q434" i="67"/>
  <c r="O432" i="67"/>
  <c r="H427" i="67"/>
  <c r="K423" i="67"/>
  <c r="Q408" i="67"/>
  <c r="Q405" i="67"/>
  <c r="G405" i="67"/>
  <c r="G402" i="67"/>
  <c r="I401" i="67"/>
  <c r="L397" i="67"/>
  <c r="N394" i="67"/>
  <c r="I392" i="67"/>
  <c r="Q389" i="67"/>
  <c r="G389" i="67"/>
  <c r="K386" i="67"/>
  <c r="I384" i="67"/>
  <c r="J381" i="67"/>
  <c r="N380" i="67"/>
  <c r="J379" i="67"/>
  <c r="M377" i="67"/>
  <c r="O373" i="67"/>
  <c r="O370" i="67"/>
  <c r="N369" i="67"/>
  <c r="K366" i="67"/>
  <c r="L365" i="67"/>
  <c r="J364" i="67"/>
  <c r="L362" i="67"/>
  <c r="L361" i="67"/>
  <c r="K357" i="67"/>
  <c r="M356" i="67"/>
  <c r="L350" i="67"/>
  <c r="Q348" i="67"/>
  <c r="N347" i="67"/>
  <c r="O345" i="67"/>
  <c r="K342" i="67"/>
  <c r="N341" i="67"/>
  <c r="Q337" i="67"/>
  <c r="H337" i="67"/>
  <c r="G329" i="67"/>
  <c r="P326" i="67"/>
  <c r="I324" i="67"/>
  <c r="O322" i="67"/>
  <c r="L321" i="67"/>
  <c r="N320" i="67"/>
  <c r="Q319" i="67"/>
  <c r="P317" i="67"/>
  <c r="L316" i="67"/>
  <c r="G314" i="67"/>
  <c r="N312" i="67"/>
  <c r="K308" i="67"/>
  <c r="O306" i="67"/>
  <c r="Q304" i="67"/>
  <c r="H304" i="67"/>
  <c r="K301" i="67"/>
  <c r="Q296" i="67"/>
  <c r="H296" i="67"/>
  <c r="G290" i="67"/>
  <c r="H289" i="67"/>
  <c r="M288" i="67"/>
  <c r="K285" i="67"/>
  <c r="M280" i="67"/>
  <c r="N279" i="67"/>
  <c r="N277" i="67"/>
  <c r="P276" i="67"/>
  <c r="L275" i="67"/>
  <c r="I272" i="67"/>
  <c r="N270" i="67"/>
  <c r="J269" i="67"/>
  <c r="H268" i="67"/>
  <c r="N264" i="67"/>
  <c r="H260" i="67"/>
  <c r="I259" i="67"/>
  <c r="J253" i="67"/>
  <c r="Q251" i="67"/>
  <c r="P250" i="67"/>
  <c r="Q247" i="67"/>
  <c r="M245" i="67"/>
  <c r="O243" i="67"/>
  <c r="L237" i="67"/>
  <c r="L230" i="67"/>
  <c r="M229" i="67"/>
  <c r="J228" i="67"/>
  <c r="N226" i="67"/>
  <c r="J221" i="67"/>
  <c r="L220" i="67"/>
  <c r="L212" i="67"/>
  <c r="P208" i="67"/>
  <c r="G208" i="67"/>
  <c r="L205" i="67"/>
  <c r="J202" i="67"/>
  <c r="L201" i="67"/>
  <c r="O196" i="67"/>
  <c r="K192" i="67"/>
  <c r="P173" i="67"/>
  <c r="M172" i="67"/>
  <c r="L168" i="67"/>
  <c r="P160" i="67"/>
  <c r="M157" i="67"/>
  <c r="K155" i="67"/>
  <c r="P148" i="67"/>
  <c r="P142" i="67"/>
  <c r="I141" i="67"/>
  <c r="J140" i="67"/>
  <c r="N131" i="67"/>
  <c r="P119" i="67"/>
  <c r="P118" i="67"/>
  <c r="M110" i="67"/>
  <c r="M106" i="67"/>
  <c r="I106" i="67"/>
  <c r="L104" i="67"/>
  <c r="Q100" i="67"/>
  <c r="I98" i="67"/>
  <c r="N98" i="67"/>
  <c r="O98" i="67"/>
  <c r="L90" i="67"/>
  <c r="G90" i="67"/>
  <c r="J90" i="67"/>
  <c r="K90" i="67"/>
  <c r="Q86" i="67"/>
  <c r="K86" i="67"/>
  <c r="N86" i="67"/>
  <c r="L81" i="67"/>
  <c r="H80" i="67"/>
  <c r="K80" i="67"/>
  <c r="L80" i="67"/>
  <c r="J60" i="67"/>
  <c r="H60" i="67"/>
  <c r="I60" i="67"/>
  <c r="M48" i="67"/>
  <c r="G43" i="67"/>
  <c r="H43" i="67"/>
  <c r="M43" i="67"/>
  <c r="N43" i="67"/>
  <c r="J42" i="67"/>
  <c r="L42" i="67"/>
  <c r="N42" i="67"/>
  <c r="O42" i="67"/>
  <c r="O469" i="68"/>
  <c r="P463" i="68"/>
  <c r="O461" i="68"/>
  <c r="M392" i="68"/>
  <c r="H392" i="68"/>
  <c r="I392" i="68"/>
  <c r="J392" i="68"/>
  <c r="K392" i="68"/>
  <c r="L392" i="68"/>
  <c r="N392" i="68"/>
  <c r="P392" i="68"/>
  <c r="G332" i="68"/>
  <c r="M332" i="68"/>
  <c r="N332" i="68"/>
  <c r="L457" i="67"/>
  <c r="P456" i="67"/>
  <c r="I440" i="67"/>
  <c r="K436" i="67"/>
  <c r="N434" i="67"/>
  <c r="K432" i="67"/>
  <c r="I423" i="67"/>
  <c r="N410" i="67"/>
  <c r="I408" i="67"/>
  <c r="H401" i="67"/>
  <c r="J397" i="67"/>
  <c r="K394" i="67"/>
  <c r="Q381" i="67"/>
  <c r="I381" i="67"/>
  <c r="M380" i="67"/>
  <c r="K377" i="67"/>
  <c r="M373" i="67"/>
  <c r="L370" i="67"/>
  <c r="M369" i="67"/>
  <c r="I365" i="67"/>
  <c r="K361" i="67"/>
  <c r="AA472" i="67"/>
  <c r="I357" i="67"/>
  <c r="J356" i="67"/>
  <c r="J350" i="67"/>
  <c r="N348" i="67"/>
  <c r="J347" i="67"/>
  <c r="M345" i="67"/>
  <c r="H342" i="67"/>
  <c r="M341" i="67"/>
  <c r="N340" i="67"/>
  <c r="P337" i="67"/>
  <c r="G337" i="67"/>
  <c r="O326" i="67"/>
  <c r="Q324" i="67"/>
  <c r="H324" i="67"/>
  <c r="K322" i="67"/>
  <c r="H321" i="67"/>
  <c r="N319" i="67"/>
  <c r="O317" i="67"/>
  <c r="K316" i="67"/>
  <c r="L312" i="67"/>
  <c r="I308" i="67"/>
  <c r="J306" i="67"/>
  <c r="P304" i="67"/>
  <c r="G304" i="67"/>
  <c r="N302" i="67"/>
  <c r="P296" i="67"/>
  <c r="G296" i="67"/>
  <c r="N294" i="67"/>
  <c r="G289" i="67"/>
  <c r="J285" i="67"/>
  <c r="I283" i="67"/>
  <c r="L277" i="67"/>
  <c r="J275" i="67"/>
  <c r="H272" i="67"/>
  <c r="G268" i="67"/>
  <c r="G266" i="67"/>
  <c r="K264" i="67"/>
  <c r="G260" i="67"/>
  <c r="I253" i="67"/>
  <c r="O251" i="67"/>
  <c r="O250" i="67"/>
  <c r="Q249" i="67"/>
  <c r="J247" i="67"/>
  <c r="K245" i="67"/>
  <c r="K237" i="67"/>
  <c r="J230" i="67"/>
  <c r="L226" i="67"/>
  <c r="H221" i="67"/>
  <c r="K220" i="67"/>
  <c r="K205" i="67"/>
  <c r="I202" i="67"/>
  <c r="H201" i="67"/>
  <c r="H192" i="67"/>
  <c r="M188" i="67"/>
  <c r="O184" i="67"/>
  <c r="Q180" i="67"/>
  <c r="P176" i="67"/>
  <c r="J175" i="67"/>
  <c r="O173" i="67"/>
  <c r="L172" i="67"/>
  <c r="H168" i="67"/>
  <c r="N165" i="67"/>
  <c r="Q163" i="67"/>
  <c r="N160" i="67"/>
  <c r="J157" i="67"/>
  <c r="I155" i="67"/>
  <c r="O148" i="67"/>
  <c r="N147" i="67"/>
  <c r="O142" i="67"/>
  <c r="H141" i="67"/>
  <c r="H140" i="67"/>
  <c r="O136" i="67"/>
  <c r="M131" i="67"/>
  <c r="Q124" i="67"/>
  <c r="K123" i="67"/>
  <c r="O119" i="67"/>
  <c r="L118" i="67"/>
  <c r="Q114" i="67"/>
  <c r="P111" i="67"/>
  <c r="L110" i="67"/>
  <c r="K104" i="67"/>
  <c r="P100" i="67"/>
  <c r="Q72" i="67"/>
  <c r="L71" i="67"/>
  <c r="Q71" i="67"/>
  <c r="I68" i="67"/>
  <c r="O66" i="67"/>
  <c r="I57" i="67"/>
  <c r="J57" i="67"/>
  <c r="O57" i="67"/>
  <c r="P57" i="67"/>
  <c r="G303" i="68"/>
  <c r="N303" i="68"/>
  <c r="O440" i="67"/>
  <c r="I457" i="67"/>
  <c r="L456" i="67"/>
  <c r="N460" i="67"/>
  <c r="Q457" i="67"/>
  <c r="H457" i="67"/>
  <c r="J456" i="67"/>
  <c r="P448" i="67"/>
  <c r="Q440" i="67"/>
  <c r="H440" i="67"/>
  <c r="G436" i="67"/>
  <c r="I434" i="67"/>
  <c r="H432" i="67"/>
  <c r="O428" i="67"/>
  <c r="Q423" i="67"/>
  <c r="H423" i="67"/>
  <c r="I412" i="67"/>
  <c r="N403" i="67"/>
  <c r="G401" i="67"/>
  <c r="N398" i="67"/>
  <c r="H397" i="67"/>
  <c r="O387" i="67"/>
  <c r="P381" i="67"/>
  <c r="H381" i="67"/>
  <c r="J380" i="67"/>
  <c r="H377" i="67"/>
  <c r="G370" i="67"/>
  <c r="L369" i="67"/>
  <c r="G365" i="67"/>
  <c r="I361" i="67"/>
  <c r="N359" i="67"/>
  <c r="Q357" i="67"/>
  <c r="H357" i="67"/>
  <c r="H356" i="67"/>
  <c r="H350" i="67"/>
  <c r="G347" i="67"/>
  <c r="K345" i="67"/>
  <c r="G342" i="67"/>
  <c r="L341" i="67"/>
  <c r="M340" i="67"/>
  <c r="O331" i="67"/>
  <c r="N326" i="67"/>
  <c r="P324" i="67"/>
  <c r="G324" i="67"/>
  <c r="J322" i="67"/>
  <c r="G321" i="67"/>
  <c r="I319" i="67"/>
  <c r="J317" i="67"/>
  <c r="I316" i="67"/>
  <c r="K312" i="67"/>
  <c r="Q308" i="67"/>
  <c r="H308" i="67"/>
  <c r="G306" i="67"/>
  <c r="Q253" i="67"/>
  <c r="H253" i="67"/>
  <c r="O249" i="67"/>
  <c r="I237" i="67"/>
  <c r="N222" i="67"/>
  <c r="I220" i="67"/>
  <c r="Q178" i="67"/>
  <c r="J160" i="67"/>
  <c r="I157" i="67"/>
  <c r="Q155" i="67"/>
  <c r="H155" i="67"/>
  <c r="L148" i="67"/>
  <c r="N146" i="67"/>
  <c r="P144" i="67"/>
  <c r="H142" i="67"/>
  <c r="J131" i="67"/>
  <c r="O127" i="67"/>
  <c r="O113" i="67"/>
  <c r="H111" i="67"/>
  <c r="I110" i="67"/>
  <c r="N105" i="67"/>
  <c r="I81" i="67"/>
  <c r="G81" i="67"/>
  <c r="H81" i="67"/>
  <c r="H37" i="67"/>
  <c r="N37" i="67"/>
  <c r="L469" i="68"/>
  <c r="G469" i="68"/>
  <c r="P469" i="68"/>
  <c r="H469" i="68"/>
  <c r="Q469" i="68"/>
  <c r="I469" i="68"/>
  <c r="J469" i="68"/>
  <c r="K469" i="68"/>
  <c r="M469" i="68"/>
  <c r="J463" i="68"/>
  <c r="H463" i="68"/>
  <c r="I463" i="68"/>
  <c r="K463" i="68"/>
  <c r="M463" i="68"/>
  <c r="N463" i="68"/>
  <c r="O463" i="68"/>
  <c r="L461" i="68"/>
  <c r="H461" i="68"/>
  <c r="Q461" i="68"/>
  <c r="I461" i="68"/>
  <c r="J461" i="68"/>
  <c r="K461" i="68"/>
  <c r="M461" i="68"/>
  <c r="N461" i="68"/>
  <c r="L397" i="68"/>
  <c r="G397" i="68"/>
  <c r="P397" i="68"/>
  <c r="H397" i="68"/>
  <c r="Q397" i="68"/>
  <c r="I397" i="68"/>
  <c r="J397" i="68"/>
  <c r="K397" i="68"/>
  <c r="M397" i="68"/>
  <c r="N397" i="68"/>
  <c r="I358" i="68"/>
  <c r="H358" i="68"/>
  <c r="J358" i="68"/>
  <c r="K358" i="68"/>
  <c r="L358" i="68"/>
  <c r="M358" i="68"/>
  <c r="N358" i="68"/>
  <c r="P358" i="68"/>
  <c r="P440" i="67"/>
  <c r="G440" i="67"/>
  <c r="G432" i="67"/>
  <c r="P423" i="67"/>
  <c r="G423" i="67"/>
  <c r="H398" i="67"/>
  <c r="O381" i="67"/>
  <c r="H380" i="67"/>
  <c r="K369" i="67"/>
  <c r="N367" i="67"/>
  <c r="H361" i="67"/>
  <c r="P357" i="67"/>
  <c r="G357" i="67"/>
  <c r="N351" i="67"/>
  <c r="G350" i="67"/>
  <c r="H345" i="67"/>
  <c r="K341" i="67"/>
  <c r="K331" i="67"/>
  <c r="G322" i="67"/>
  <c r="G317" i="67"/>
  <c r="I312" i="67"/>
  <c r="P308" i="67"/>
  <c r="G308" i="67"/>
  <c r="N278" i="67"/>
  <c r="J277" i="67"/>
  <c r="Q268" i="67"/>
  <c r="I264" i="67"/>
  <c r="P260" i="67"/>
  <c r="G258" i="67"/>
  <c r="O255" i="67"/>
  <c r="P253" i="67"/>
  <c r="G253" i="67"/>
  <c r="J251" i="67"/>
  <c r="H249" i="67"/>
  <c r="H237" i="67"/>
  <c r="N231" i="67"/>
  <c r="K222" i="67"/>
  <c r="G220" i="67"/>
  <c r="G178" i="67"/>
  <c r="H160" i="67"/>
  <c r="P155" i="67"/>
  <c r="G155" i="67"/>
  <c r="H148" i="67"/>
  <c r="J144" i="67"/>
  <c r="O132" i="67"/>
  <c r="O129" i="67"/>
  <c r="G110" i="67"/>
  <c r="G105" i="67"/>
  <c r="H104" i="67"/>
  <c r="O104" i="67"/>
  <c r="O94" i="67"/>
  <c r="Q94" i="67"/>
  <c r="O89" i="67"/>
  <c r="K72" i="67"/>
  <c r="L56" i="67"/>
  <c r="K54" i="67"/>
  <c r="I54" i="67"/>
  <c r="J52" i="67"/>
  <c r="M52" i="67"/>
  <c r="H48" i="67"/>
  <c r="Q48" i="67"/>
  <c r="G48" i="67"/>
  <c r="J48" i="67"/>
  <c r="J28" i="67"/>
  <c r="H28" i="67"/>
  <c r="I28" i="67"/>
  <c r="M438" i="68"/>
  <c r="H438" i="68"/>
  <c r="I438" i="68"/>
  <c r="J438" i="68"/>
  <c r="K438" i="68"/>
  <c r="L438" i="68"/>
  <c r="N438" i="68"/>
  <c r="I404" i="68"/>
  <c r="G404" i="68"/>
  <c r="H404" i="68"/>
  <c r="L404" i="68"/>
  <c r="M404" i="68"/>
  <c r="N404" i="68"/>
  <c r="O404" i="68"/>
  <c r="P404" i="68"/>
  <c r="G366" i="68"/>
  <c r="K366" i="68"/>
  <c r="M366" i="68"/>
  <c r="N366" i="68"/>
  <c r="K100" i="67"/>
  <c r="J89" i="67"/>
  <c r="L87" i="67"/>
  <c r="K82" i="67"/>
  <c r="I82" i="67"/>
  <c r="J82" i="67"/>
  <c r="I72" i="67"/>
  <c r="G56" i="67"/>
  <c r="J44" i="67"/>
  <c r="N44" i="67"/>
  <c r="Q44" i="67"/>
  <c r="P36" i="67"/>
  <c r="J471" i="68"/>
  <c r="G471" i="68"/>
  <c r="H471" i="68"/>
  <c r="I471" i="68"/>
  <c r="M471" i="68"/>
  <c r="N471" i="68"/>
  <c r="O471" i="68"/>
  <c r="I468" i="68"/>
  <c r="G468" i="68"/>
  <c r="H468" i="68"/>
  <c r="L468" i="68"/>
  <c r="N468" i="68"/>
  <c r="O468" i="68"/>
  <c r="P468" i="68"/>
  <c r="O389" i="68"/>
  <c r="M40" i="67"/>
  <c r="L34" i="67"/>
  <c r="J25" i="67"/>
  <c r="L16" i="67"/>
  <c r="N11" i="67"/>
  <c r="K472" i="68"/>
  <c r="N470" i="68"/>
  <c r="J459" i="68"/>
  <c r="J458" i="68"/>
  <c r="P456" i="68"/>
  <c r="G456" i="68"/>
  <c r="I455" i="68"/>
  <c r="I451" i="68"/>
  <c r="L450" i="68"/>
  <c r="N447" i="68"/>
  <c r="J446" i="68"/>
  <c r="N445" i="68"/>
  <c r="M444" i="68"/>
  <c r="K443" i="68"/>
  <c r="O442" i="68"/>
  <c r="O441" i="68"/>
  <c r="G441" i="68"/>
  <c r="H440" i="68"/>
  <c r="J433" i="68"/>
  <c r="N432" i="68"/>
  <c r="H430" i="68"/>
  <c r="H418" i="68"/>
  <c r="M414" i="68"/>
  <c r="P411" i="68"/>
  <c r="H411" i="68"/>
  <c r="H410" i="68"/>
  <c r="N408" i="68"/>
  <c r="Q407" i="68"/>
  <c r="M405" i="68"/>
  <c r="J403" i="68"/>
  <c r="I402" i="68"/>
  <c r="N400" i="68"/>
  <c r="Q399" i="68"/>
  <c r="N398" i="68"/>
  <c r="N394" i="68"/>
  <c r="M390" i="68"/>
  <c r="N386" i="68"/>
  <c r="P384" i="68"/>
  <c r="P383" i="68"/>
  <c r="K382" i="68"/>
  <c r="M381" i="68"/>
  <c r="J379" i="68"/>
  <c r="I378" i="68"/>
  <c r="N375" i="68"/>
  <c r="J374" i="68"/>
  <c r="Q371" i="68"/>
  <c r="I371" i="68"/>
  <c r="L368" i="68"/>
  <c r="M367" i="68"/>
  <c r="I365" i="68"/>
  <c r="M364" i="68"/>
  <c r="K360" i="68"/>
  <c r="Q355" i="68"/>
  <c r="H355" i="68"/>
  <c r="G354" i="68"/>
  <c r="L353" i="68"/>
  <c r="Q352" i="68"/>
  <c r="K351" i="68"/>
  <c r="N349" i="68"/>
  <c r="I347" i="68"/>
  <c r="H346" i="68"/>
  <c r="M341" i="68"/>
  <c r="H340" i="68"/>
  <c r="P337" i="68"/>
  <c r="H337" i="68"/>
  <c r="H331" i="68"/>
  <c r="G330" i="68"/>
  <c r="L329" i="68"/>
  <c r="N323" i="68"/>
  <c r="M313" i="68"/>
  <c r="L307" i="68"/>
  <c r="G307" i="68"/>
  <c r="P307" i="68"/>
  <c r="J307" i="68"/>
  <c r="M307" i="68"/>
  <c r="N307" i="68"/>
  <c r="G284" i="68"/>
  <c r="M284" i="68"/>
  <c r="N284" i="68"/>
  <c r="H76" i="67"/>
  <c r="P74" i="67"/>
  <c r="K62" i="67"/>
  <c r="L41" i="67"/>
  <c r="L40" i="67"/>
  <c r="K34" i="67"/>
  <c r="H29" i="67"/>
  <c r="H26" i="67"/>
  <c r="H25" i="67"/>
  <c r="O17" i="67"/>
  <c r="K16" i="67"/>
  <c r="M11" i="67"/>
  <c r="O8" i="67"/>
  <c r="J472" i="68"/>
  <c r="M470" i="68"/>
  <c r="P467" i="68"/>
  <c r="K464" i="68"/>
  <c r="N462" i="68"/>
  <c r="Q459" i="68"/>
  <c r="I459" i="68"/>
  <c r="I458" i="68"/>
  <c r="I446" i="68"/>
  <c r="M445" i="68"/>
  <c r="J443" i="68"/>
  <c r="Q433" i="68"/>
  <c r="I433" i="68"/>
  <c r="J432" i="68"/>
  <c r="L408" i="68"/>
  <c r="P407" i="68"/>
  <c r="K405" i="68"/>
  <c r="Q403" i="68"/>
  <c r="I403" i="68"/>
  <c r="L400" i="68"/>
  <c r="P399" i="68"/>
  <c r="N383" i="68"/>
  <c r="Q379" i="68"/>
  <c r="I379" i="68"/>
  <c r="G316" i="68"/>
  <c r="N316" i="68"/>
  <c r="M305" i="68"/>
  <c r="H305" i="68"/>
  <c r="P305" i="68"/>
  <c r="J305" i="68"/>
  <c r="K305" i="68"/>
  <c r="M302" i="68"/>
  <c r="K302" i="68"/>
  <c r="L302" i="68"/>
  <c r="N302" i="68"/>
  <c r="G291" i="68"/>
  <c r="O291" i="68"/>
  <c r="H291" i="68"/>
  <c r="P291" i="68"/>
  <c r="I291" i="68"/>
  <c r="Q291" i="68"/>
  <c r="J291" i="68"/>
  <c r="K291" i="68"/>
  <c r="L291" i="68"/>
  <c r="M291" i="68"/>
  <c r="M198" i="68"/>
  <c r="P198" i="68"/>
  <c r="H198" i="68"/>
  <c r="I198" i="68"/>
  <c r="K198" i="68"/>
  <c r="L198" i="68"/>
  <c r="N198" i="68"/>
  <c r="Q198" i="68"/>
  <c r="J165" i="68"/>
  <c r="H165" i="68"/>
  <c r="I165" i="68"/>
  <c r="M165" i="68"/>
  <c r="N165" i="68"/>
  <c r="P165" i="68"/>
  <c r="Q165" i="68"/>
  <c r="K408" i="68"/>
  <c r="N407" i="68"/>
  <c r="J405" i="68"/>
  <c r="P403" i="68"/>
  <c r="H403" i="68"/>
  <c r="K400" i="68"/>
  <c r="N399" i="68"/>
  <c r="J398" i="68"/>
  <c r="O396" i="68"/>
  <c r="J390" i="68"/>
  <c r="L384" i="68"/>
  <c r="M383" i="68"/>
  <c r="J381" i="68"/>
  <c r="P379" i="68"/>
  <c r="H379" i="68"/>
  <c r="H375" i="68"/>
  <c r="O371" i="68"/>
  <c r="G371" i="68"/>
  <c r="N369" i="68"/>
  <c r="I368" i="68"/>
  <c r="P331" i="68"/>
  <c r="G319" i="68"/>
  <c r="N319" i="68"/>
  <c r="M238" i="68"/>
  <c r="H238" i="68"/>
  <c r="I238" i="68"/>
  <c r="K238" i="68"/>
  <c r="L238" i="68"/>
  <c r="N238" i="68"/>
  <c r="P238" i="68"/>
  <c r="Q238" i="68"/>
  <c r="G235" i="68"/>
  <c r="O235" i="68"/>
  <c r="H235" i="68"/>
  <c r="P235" i="68"/>
  <c r="I235" i="68"/>
  <c r="Q235" i="68"/>
  <c r="J235" i="68"/>
  <c r="K235" i="68"/>
  <c r="L235" i="68"/>
  <c r="M235" i="68"/>
  <c r="L203" i="68"/>
  <c r="H203" i="68"/>
  <c r="G203" i="68"/>
  <c r="Q203" i="68"/>
  <c r="I203" i="68"/>
  <c r="J203" i="68"/>
  <c r="K203" i="68"/>
  <c r="M203" i="68"/>
  <c r="N203" i="68"/>
  <c r="O203" i="68"/>
  <c r="N74" i="67"/>
  <c r="H41" i="67"/>
  <c r="J40" i="67"/>
  <c r="H34" i="67"/>
  <c r="Q23" i="67"/>
  <c r="M19" i="67"/>
  <c r="G17" i="67"/>
  <c r="G16" i="67"/>
  <c r="M12" i="67"/>
  <c r="H11" i="67"/>
  <c r="H472" i="68"/>
  <c r="N465" i="68"/>
  <c r="H464" i="68"/>
  <c r="O459" i="68"/>
  <c r="G459" i="68"/>
  <c r="L456" i="68"/>
  <c r="H445" i="68"/>
  <c r="Q443" i="68"/>
  <c r="H443" i="68"/>
  <c r="N409" i="68"/>
  <c r="J408" i="68"/>
  <c r="M407" i="68"/>
  <c r="I405" i="68"/>
  <c r="O403" i="68"/>
  <c r="G403" i="68"/>
  <c r="N401" i="68"/>
  <c r="X489" i="68" s="1"/>
  <c r="J400" i="68"/>
  <c r="M399" i="68"/>
  <c r="H383" i="68"/>
  <c r="I381" i="68"/>
  <c r="O379" i="68"/>
  <c r="G379" i="68"/>
  <c r="N377" i="68"/>
  <c r="N355" i="68"/>
  <c r="Q353" i="68"/>
  <c r="I353" i="68"/>
  <c r="Q350" i="68"/>
  <c r="P347" i="68"/>
  <c r="N344" i="68"/>
  <c r="K342" i="68"/>
  <c r="Q339" i="68"/>
  <c r="H339" i="68"/>
  <c r="H338" i="68"/>
  <c r="M337" i="68"/>
  <c r="N331" i="68"/>
  <c r="P330" i="68"/>
  <c r="Q329" i="68"/>
  <c r="I329" i="68"/>
  <c r="M328" i="68"/>
  <c r="P325" i="68"/>
  <c r="M324" i="68"/>
  <c r="J323" i="68"/>
  <c r="I314" i="68"/>
  <c r="M314" i="68"/>
  <c r="P314" i="68"/>
  <c r="G314" i="68"/>
  <c r="K309" i="68"/>
  <c r="Q305" i="68"/>
  <c r="I114" i="68"/>
  <c r="K114" i="68"/>
  <c r="L114" i="68"/>
  <c r="N114" i="68"/>
  <c r="P114" i="68"/>
  <c r="H114" i="68"/>
  <c r="M114" i="68"/>
  <c r="K12" i="67"/>
  <c r="P446" i="68"/>
  <c r="G445" i="68"/>
  <c r="P443" i="68"/>
  <c r="G443" i="68"/>
  <c r="P440" i="68"/>
  <c r="I408" i="68"/>
  <c r="I407" i="68"/>
  <c r="Q405" i="68"/>
  <c r="H405" i="68"/>
  <c r="I400" i="68"/>
  <c r="I399" i="68"/>
  <c r="J363" i="68"/>
  <c r="Q360" i="68"/>
  <c r="G359" i="68"/>
  <c r="M355" i="68"/>
  <c r="P354" i="68"/>
  <c r="P353" i="68"/>
  <c r="H353" i="68"/>
  <c r="P350" i="68"/>
  <c r="N347" i="68"/>
  <c r="P346" i="68"/>
  <c r="I344" i="68"/>
  <c r="P340" i="68"/>
  <c r="L337" i="68"/>
  <c r="M331" i="68"/>
  <c r="O330" i="68"/>
  <c r="P329" i="68"/>
  <c r="H329" i="68"/>
  <c r="N325" i="68"/>
  <c r="I322" i="68"/>
  <c r="G322" i="68"/>
  <c r="G313" i="68"/>
  <c r="O313" i="68"/>
  <c r="J313" i="68"/>
  <c r="L313" i="68"/>
  <c r="O305" i="68"/>
  <c r="J237" i="68"/>
  <c r="H237" i="68"/>
  <c r="I237" i="68"/>
  <c r="M237" i="68"/>
  <c r="N237" i="68"/>
  <c r="P237" i="68"/>
  <c r="Q237" i="68"/>
  <c r="I202" i="68"/>
  <c r="L202" i="68"/>
  <c r="G202" i="68"/>
  <c r="H202" i="68"/>
  <c r="M202" i="68"/>
  <c r="N202" i="68"/>
  <c r="O202" i="68"/>
  <c r="P202" i="68"/>
  <c r="P34" i="67"/>
  <c r="P25" i="67"/>
  <c r="J456" i="68"/>
  <c r="O455" i="68"/>
  <c r="M451" i="68"/>
  <c r="P450" i="68"/>
  <c r="I435" i="68"/>
  <c r="K430" i="68"/>
  <c r="P418" i="68"/>
  <c r="P410" i="68"/>
  <c r="H408" i="68"/>
  <c r="H407" i="68"/>
  <c r="P405" i="68"/>
  <c r="G405" i="68"/>
  <c r="H400" i="68"/>
  <c r="H399" i="68"/>
  <c r="L396" i="68"/>
  <c r="L388" i="68"/>
  <c r="H384" i="68"/>
  <c r="P381" i="68"/>
  <c r="G381" i="68"/>
  <c r="M379" i="68"/>
  <c r="N374" i="68"/>
  <c r="G372" i="68"/>
  <c r="L371" i="68"/>
  <c r="Q370" i="68"/>
  <c r="Q368" i="68"/>
  <c r="M365" i="68"/>
  <c r="P364" i="68"/>
  <c r="Q363" i="68"/>
  <c r="P360" i="68"/>
  <c r="K355" i="68"/>
  <c r="O354" i="68"/>
  <c r="O353" i="68"/>
  <c r="I350" i="68"/>
  <c r="M348" i="68"/>
  <c r="M347" i="68"/>
  <c r="O346" i="68"/>
  <c r="H344" i="68"/>
  <c r="N340" i="68"/>
  <c r="K337" i="68"/>
  <c r="N335" i="68"/>
  <c r="K331" i="68"/>
  <c r="N330" i="68"/>
  <c r="O329" i="68"/>
  <c r="L323" i="68"/>
  <c r="H323" i="68"/>
  <c r="J309" i="68"/>
  <c r="H309" i="68"/>
  <c r="M309" i="68"/>
  <c r="P309" i="68"/>
  <c r="Q309" i="68"/>
  <c r="N305" i="68"/>
  <c r="K304" i="68"/>
  <c r="I304" i="68"/>
  <c r="L304" i="68"/>
  <c r="N304" i="68"/>
  <c r="G207" i="68"/>
  <c r="K207" i="68"/>
  <c r="N207" i="68"/>
  <c r="J192" i="68"/>
  <c r="N192" i="68"/>
  <c r="K116" i="68"/>
  <c r="N116" i="68"/>
  <c r="I116" i="68"/>
  <c r="J116" i="68"/>
  <c r="Q378" i="68"/>
  <c r="M374" i="68"/>
  <c r="N370" i="68"/>
  <c r="P368" i="68"/>
  <c r="P367" i="68"/>
  <c r="K365" i="68"/>
  <c r="O364" i="68"/>
  <c r="J355" i="68"/>
  <c r="N354" i="68"/>
  <c r="Q351" i="68"/>
  <c r="K347" i="68"/>
  <c r="N346" i="68"/>
  <c r="P341" i="68"/>
  <c r="M340" i="68"/>
  <c r="J331" i="68"/>
  <c r="M330" i="68"/>
  <c r="P313" i="68"/>
  <c r="L305" i="68"/>
  <c r="N301" i="68"/>
  <c r="M300" i="68"/>
  <c r="K299" i="68"/>
  <c r="N298" i="68"/>
  <c r="L297" i="68"/>
  <c r="I296" i="68"/>
  <c r="P294" i="68"/>
  <c r="N292" i="68"/>
  <c r="K286" i="68"/>
  <c r="J283" i="68"/>
  <c r="N282" i="68"/>
  <c r="K278" i="68"/>
  <c r="I277" i="68"/>
  <c r="P275" i="68"/>
  <c r="H275" i="68"/>
  <c r="Q272" i="68"/>
  <c r="G271" i="68"/>
  <c r="H270" i="68"/>
  <c r="H269" i="68"/>
  <c r="O267" i="68"/>
  <c r="G267" i="68"/>
  <c r="H266" i="68"/>
  <c r="L265" i="68"/>
  <c r="L257" i="68"/>
  <c r="L249" i="68"/>
  <c r="L241" i="68"/>
  <c r="I232" i="68"/>
  <c r="N230" i="68"/>
  <c r="P229" i="68"/>
  <c r="K227" i="68"/>
  <c r="N222" i="68"/>
  <c r="P221" i="68"/>
  <c r="K219" i="68"/>
  <c r="L214" i="68"/>
  <c r="N213" i="68"/>
  <c r="N210" i="68"/>
  <c r="G196" i="68"/>
  <c r="N196" i="68"/>
  <c r="L193" i="68"/>
  <c r="N190" i="68"/>
  <c r="N189" i="68"/>
  <c r="L187" i="68"/>
  <c r="H187" i="68"/>
  <c r="Q187" i="68"/>
  <c r="I186" i="68"/>
  <c r="L186" i="68"/>
  <c r="P182" i="68"/>
  <c r="P181" i="68"/>
  <c r="K177" i="68"/>
  <c r="Q173" i="68"/>
  <c r="N170" i="68"/>
  <c r="K163" i="68"/>
  <c r="M162" i="68"/>
  <c r="K161" i="68"/>
  <c r="J160" i="68"/>
  <c r="L158" i="68"/>
  <c r="M158" i="68"/>
  <c r="I156" i="68"/>
  <c r="J156" i="68"/>
  <c r="K156" i="68"/>
  <c r="P152" i="68"/>
  <c r="M151" i="68"/>
  <c r="Q147" i="68"/>
  <c r="M143" i="68"/>
  <c r="L137" i="68"/>
  <c r="M137" i="68"/>
  <c r="M118" i="68"/>
  <c r="G118" i="68"/>
  <c r="P118" i="68"/>
  <c r="H118" i="68"/>
  <c r="Q118" i="68"/>
  <c r="J118" i="68"/>
  <c r="K118" i="68"/>
  <c r="G112" i="68"/>
  <c r="M112" i="68"/>
  <c r="N112" i="68"/>
  <c r="M18" i="68"/>
  <c r="O18" i="68"/>
  <c r="G476" i="69"/>
  <c r="P476" i="69"/>
  <c r="H476" i="69"/>
  <c r="I476" i="69"/>
  <c r="K476" i="69"/>
  <c r="L476" i="69"/>
  <c r="N476" i="69"/>
  <c r="Q476" i="69"/>
  <c r="Q312" i="68"/>
  <c r="M301" i="68"/>
  <c r="J299" i="68"/>
  <c r="M298" i="68"/>
  <c r="K297" i="68"/>
  <c r="H296" i="68"/>
  <c r="N294" i="68"/>
  <c r="M292" i="68"/>
  <c r="H286" i="68"/>
  <c r="Q283" i="68"/>
  <c r="I283" i="68"/>
  <c r="M282" i="68"/>
  <c r="H278" i="68"/>
  <c r="H277" i="68"/>
  <c r="O275" i="68"/>
  <c r="G275" i="68"/>
  <c r="N272" i="68"/>
  <c r="K265" i="68"/>
  <c r="K257" i="68"/>
  <c r="K249" i="68"/>
  <c r="K241" i="68"/>
  <c r="L230" i="68"/>
  <c r="N229" i="68"/>
  <c r="J227" i="68"/>
  <c r="L222" i="68"/>
  <c r="N221" i="68"/>
  <c r="J219" i="68"/>
  <c r="K214" i="68"/>
  <c r="M213" i="68"/>
  <c r="I211" i="68"/>
  <c r="M210" i="68"/>
  <c r="N209" i="68"/>
  <c r="Q206" i="68"/>
  <c r="H201" i="68"/>
  <c r="M201" i="68"/>
  <c r="K193" i="68"/>
  <c r="O191" i="68"/>
  <c r="L190" i="68"/>
  <c r="N182" i="68"/>
  <c r="N181" i="68"/>
  <c r="L179" i="68"/>
  <c r="G179" i="68"/>
  <c r="P179" i="68"/>
  <c r="I178" i="68"/>
  <c r="H178" i="68"/>
  <c r="J177" i="68"/>
  <c r="P173" i="68"/>
  <c r="M170" i="68"/>
  <c r="N169" i="68"/>
  <c r="M166" i="68"/>
  <c r="H166" i="68"/>
  <c r="J163" i="68"/>
  <c r="H162" i="68"/>
  <c r="J161" i="68"/>
  <c r="I160" i="68"/>
  <c r="O158" i="68"/>
  <c r="N152" i="68"/>
  <c r="L151" i="68"/>
  <c r="P147" i="68"/>
  <c r="L143" i="68"/>
  <c r="G141" i="68"/>
  <c r="I141" i="68"/>
  <c r="I139" i="68"/>
  <c r="K139" i="68"/>
  <c r="O137" i="68"/>
  <c r="N102" i="68"/>
  <c r="L91" i="68"/>
  <c r="G91" i="68"/>
  <c r="H91" i="68"/>
  <c r="K91" i="68"/>
  <c r="N91" i="68"/>
  <c r="O91" i="68"/>
  <c r="G89" i="68"/>
  <c r="J89" i="68"/>
  <c r="K89" i="68"/>
  <c r="M89" i="68"/>
  <c r="N89" i="68"/>
  <c r="P89" i="68"/>
  <c r="P81" i="68"/>
  <c r="I299" i="68"/>
  <c r="L294" i="68"/>
  <c r="J265" i="68"/>
  <c r="M259" i="68"/>
  <c r="J257" i="68"/>
  <c r="Q254" i="68"/>
  <c r="M251" i="68"/>
  <c r="J249" i="68"/>
  <c r="Q246" i="68"/>
  <c r="M243" i="68"/>
  <c r="J241" i="68"/>
  <c r="I240" i="68"/>
  <c r="O234" i="68"/>
  <c r="K230" i="68"/>
  <c r="M229" i="68"/>
  <c r="I227" i="68"/>
  <c r="M226" i="68"/>
  <c r="K222" i="68"/>
  <c r="M221" i="68"/>
  <c r="I219" i="68"/>
  <c r="M218" i="68"/>
  <c r="O217" i="68"/>
  <c r="G217" i="68"/>
  <c r="N215" i="68"/>
  <c r="I214" i="68"/>
  <c r="I213" i="68"/>
  <c r="Q211" i="68"/>
  <c r="H211" i="68"/>
  <c r="L210" i="68"/>
  <c r="M209" i="68"/>
  <c r="N208" i="68"/>
  <c r="P206" i="68"/>
  <c r="Q205" i="68"/>
  <c r="N204" i="68"/>
  <c r="O201" i="68"/>
  <c r="Q195" i="68"/>
  <c r="J193" i="68"/>
  <c r="N191" i="68"/>
  <c r="I190" i="68"/>
  <c r="N187" i="68"/>
  <c r="P186" i="68"/>
  <c r="O183" i="68"/>
  <c r="L182" i="68"/>
  <c r="M181" i="68"/>
  <c r="I177" i="68"/>
  <c r="N173" i="68"/>
  <c r="L170" i="68"/>
  <c r="M169" i="68"/>
  <c r="N158" i="68"/>
  <c r="Q155" i="68"/>
  <c r="J152" i="68"/>
  <c r="L149" i="68"/>
  <c r="N149" i="68"/>
  <c r="N147" i="68"/>
  <c r="H146" i="68"/>
  <c r="K146" i="68"/>
  <c r="G145" i="68"/>
  <c r="J145" i="68"/>
  <c r="K145" i="68"/>
  <c r="K143" i="68"/>
  <c r="N137" i="68"/>
  <c r="G136" i="68"/>
  <c r="H136" i="68"/>
  <c r="P128" i="68"/>
  <c r="H127" i="68"/>
  <c r="K127" i="68"/>
  <c r="L127" i="68"/>
  <c r="O127" i="68"/>
  <c r="O111" i="68"/>
  <c r="N104" i="68"/>
  <c r="H102" i="68"/>
  <c r="I87" i="68"/>
  <c r="Q87" i="68"/>
  <c r="J87" i="68"/>
  <c r="K87" i="68"/>
  <c r="L87" i="68"/>
  <c r="M87" i="68"/>
  <c r="G79" i="68"/>
  <c r="H79" i="68"/>
  <c r="P79" i="68"/>
  <c r="I79" i="68"/>
  <c r="Q79" i="68"/>
  <c r="J79" i="68"/>
  <c r="K79" i="68"/>
  <c r="L79" i="68"/>
  <c r="I74" i="68"/>
  <c r="P74" i="68"/>
  <c r="K74" i="68"/>
  <c r="L74" i="68"/>
  <c r="M74" i="68"/>
  <c r="N74" i="68"/>
  <c r="N320" i="68"/>
  <c r="Q317" i="68"/>
  <c r="L312" i="68"/>
  <c r="N310" i="68"/>
  <c r="I301" i="68"/>
  <c r="Q299" i="68"/>
  <c r="H299" i="68"/>
  <c r="K294" i="68"/>
  <c r="N290" i="68"/>
  <c r="O283" i="68"/>
  <c r="G283" i="68"/>
  <c r="H282" i="68"/>
  <c r="L281" i="68"/>
  <c r="N280" i="68"/>
  <c r="M275" i="68"/>
  <c r="J273" i="68"/>
  <c r="I272" i="68"/>
  <c r="Q270" i="68"/>
  <c r="Q269" i="68"/>
  <c r="N268" i="68"/>
  <c r="L267" i="68"/>
  <c r="P266" i="68"/>
  <c r="I265" i="68"/>
  <c r="P262" i="68"/>
  <c r="Q261" i="68"/>
  <c r="N260" i="68"/>
  <c r="L259" i="68"/>
  <c r="P258" i="68"/>
  <c r="I257" i="68"/>
  <c r="P254" i="68"/>
  <c r="Q253" i="68"/>
  <c r="N252" i="68"/>
  <c r="L251" i="68"/>
  <c r="P250" i="68"/>
  <c r="I249" i="68"/>
  <c r="P246" i="68"/>
  <c r="Q245" i="68"/>
  <c r="N244" i="68"/>
  <c r="L243" i="68"/>
  <c r="I241" i="68"/>
  <c r="N234" i="68"/>
  <c r="X485" i="68" s="1"/>
  <c r="N231" i="68"/>
  <c r="I230" i="68"/>
  <c r="I229" i="68"/>
  <c r="Q227" i="68"/>
  <c r="H227" i="68"/>
  <c r="L226" i="68"/>
  <c r="N223" i="68"/>
  <c r="I222" i="68"/>
  <c r="I221" i="68"/>
  <c r="Q219" i="68"/>
  <c r="H219" i="68"/>
  <c r="H214" i="68"/>
  <c r="H213" i="68"/>
  <c r="P211" i="68"/>
  <c r="G211" i="68"/>
  <c r="H210" i="68"/>
  <c r="L209" i="68"/>
  <c r="N206" i="68"/>
  <c r="P205" i="68"/>
  <c r="M204" i="68"/>
  <c r="N201" i="68"/>
  <c r="J200" i="68"/>
  <c r="N200" i="68"/>
  <c r="L195" i="68"/>
  <c r="K195" i="68"/>
  <c r="I194" i="68"/>
  <c r="O194" i="68"/>
  <c r="J189" i="68"/>
  <c r="M189" i="68"/>
  <c r="M187" i="68"/>
  <c r="O186" i="68"/>
  <c r="N183" i="68"/>
  <c r="K182" i="68"/>
  <c r="Q177" i="68"/>
  <c r="H177" i="68"/>
  <c r="M173" i="68"/>
  <c r="K168" i="68"/>
  <c r="N168" i="68"/>
  <c r="G163" i="68"/>
  <c r="O163" i="68"/>
  <c r="H163" i="68"/>
  <c r="P163" i="68"/>
  <c r="I162" i="68"/>
  <c r="J162" i="68"/>
  <c r="L162" i="68"/>
  <c r="K160" i="68"/>
  <c r="Q160" i="68"/>
  <c r="K147" i="68"/>
  <c r="J143" i="68"/>
  <c r="J140" i="68"/>
  <c r="M138" i="68"/>
  <c r="K137" i="68"/>
  <c r="H135" i="68"/>
  <c r="K135" i="68"/>
  <c r="L135" i="68"/>
  <c r="I125" i="68"/>
  <c r="G125" i="68"/>
  <c r="I117" i="68"/>
  <c r="L117" i="68"/>
  <c r="M117" i="68"/>
  <c r="H115" i="68"/>
  <c r="K115" i="68"/>
  <c r="P115" i="68"/>
  <c r="G104" i="68"/>
  <c r="G81" i="68"/>
  <c r="I81" i="68"/>
  <c r="J81" i="68"/>
  <c r="K81" i="68"/>
  <c r="M81" i="68"/>
  <c r="N81" i="68"/>
  <c r="G282" i="68"/>
  <c r="Q277" i="68"/>
  <c r="N276" i="68"/>
  <c r="L275" i="68"/>
  <c r="Q249" i="68"/>
  <c r="G249" i="68"/>
  <c r="H230" i="68"/>
  <c r="H229" i="68"/>
  <c r="P227" i="68"/>
  <c r="G227" i="68"/>
  <c r="H222" i="68"/>
  <c r="H221" i="68"/>
  <c r="P219" i="68"/>
  <c r="G219" i="68"/>
  <c r="G210" i="68"/>
  <c r="K209" i="68"/>
  <c r="L206" i="68"/>
  <c r="N205" i="68"/>
  <c r="H193" i="68"/>
  <c r="G193" i="68"/>
  <c r="Q193" i="68"/>
  <c r="H191" i="68"/>
  <c r="K191" i="68"/>
  <c r="M190" i="68"/>
  <c r="K190" i="68"/>
  <c r="J181" i="68"/>
  <c r="I181" i="68"/>
  <c r="P177" i="68"/>
  <c r="G177" i="68"/>
  <c r="I170" i="68"/>
  <c r="G170" i="68"/>
  <c r="Q163" i="68"/>
  <c r="H161" i="68"/>
  <c r="M161" i="68"/>
  <c r="N161" i="68"/>
  <c r="G157" i="68"/>
  <c r="O157" i="68"/>
  <c r="I151" i="68"/>
  <c r="G151" i="68"/>
  <c r="P151" i="68"/>
  <c r="H151" i="68"/>
  <c r="J128" i="68"/>
  <c r="O128" i="68"/>
  <c r="O118" i="68"/>
  <c r="H111" i="68"/>
  <c r="J111" i="68"/>
  <c r="K111" i="68"/>
  <c r="L111" i="68"/>
  <c r="M111" i="68"/>
  <c r="N111" i="68"/>
  <c r="I102" i="68"/>
  <c r="Q102" i="68"/>
  <c r="J102" i="68"/>
  <c r="K102" i="68"/>
  <c r="L102" i="68"/>
  <c r="M102" i="68"/>
  <c r="I90" i="68"/>
  <c r="H90" i="68"/>
  <c r="K90" i="68"/>
  <c r="L90" i="68"/>
  <c r="M90" i="68"/>
  <c r="N90" i="68"/>
  <c r="K12" i="68"/>
  <c r="I12" i="68"/>
  <c r="M12" i="68"/>
  <c r="N12" i="68"/>
  <c r="O12" i="68"/>
  <c r="P278" i="68"/>
  <c r="P277" i="68"/>
  <c r="K275" i="68"/>
  <c r="H183" i="68"/>
  <c r="G183" i="68"/>
  <c r="M182" i="68"/>
  <c r="I182" i="68"/>
  <c r="J173" i="68"/>
  <c r="H173" i="68"/>
  <c r="I159" i="68"/>
  <c r="O159" i="68"/>
  <c r="H147" i="68"/>
  <c r="I147" i="68"/>
  <c r="H143" i="68"/>
  <c r="P143" i="68"/>
  <c r="I143" i="68"/>
  <c r="Q143" i="68"/>
  <c r="H138" i="68"/>
  <c r="K138" i="68"/>
  <c r="L30" i="68"/>
  <c r="J30" i="68"/>
  <c r="G30" i="68"/>
  <c r="H30" i="68"/>
  <c r="K30" i="68"/>
  <c r="M30" i="68"/>
  <c r="N30" i="68"/>
  <c r="O30" i="68"/>
  <c r="P30" i="68"/>
  <c r="Q301" i="68"/>
  <c r="N299" i="68"/>
  <c r="N297" i="68"/>
  <c r="P296" i="68"/>
  <c r="H290" i="68"/>
  <c r="L289" i="68"/>
  <c r="N288" i="68"/>
  <c r="N286" i="68"/>
  <c r="P282" i="68"/>
  <c r="I281" i="68"/>
  <c r="N278" i="68"/>
  <c r="N277" i="68"/>
  <c r="O271" i="68"/>
  <c r="L270" i="68"/>
  <c r="M269" i="68"/>
  <c r="Q267" i="68"/>
  <c r="M266" i="68"/>
  <c r="N265" i="68"/>
  <c r="N263" i="68"/>
  <c r="K262" i="68"/>
  <c r="M261" i="68"/>
  <c r="Q259" i="68"/>
  <c r="M258" i="68"/>
  <c r="N257" i="68"/>
  <c r="N255" i="68"/>
  <c r="K254" i="68"/>
  <c r="M253" i="68"/>
  <c r="Q251" i="68"/>
  <c r="N249" i="68"/>
  <c r="N247" i="68"/>
  <c r="K246" i="68"/>
  <c r="M245" i="68"/>
  <c r="Q243" i="68"/>
  <c r="N241" i="68"/>
  <c r="H234" i="68"/>
  <c r="N232" i="68"/>
  <c r="Q230" i="68"/>
  <c r="N227" i="68"/>
  <c r="N224" i="68"/>
  <c r="Q222" i="68"/>
  <c r="N219" i="68"/>
  <c r="N216" i="68"/>
  <c r="P214" i="68"/>
  <c r="Q213" i="68"/>
  <c r="N212" i="68"/>
  <c r="M211" i="68"/>
  <c r="P210" i="68"/>
  <c r="I209" i="68"/>
  <c r="I206" i="68"/>
  <c r="I205" i="68"/>
  <c r="J201" i="68"/>
  <c r="J197" i="68"/>
  <c r="Q197" i="68"/>
  <c r="M195" i="68"/>
  <c r="N194" i="68"/>
  <c r="N193" i="68"/>
  <c r="Q190" i="68"/>
  <c r="Q189" i="68"/>
  <c r="I187" i="68"/>
  <c r="H186" i="68"/>
  <c r="J179" i="68"/>
  <c r="M178" i="68"/>
  <c r="N177" i="68"/>
  <c r="M174" i="68"/>
  <c r="H174" i="68"/>
  <c r="P170" i="68"/>
  <c r="Q169" i="68"/>
  <c r="H169" i="68"/>
  <c r="L166" i="68"/>
  <c r="M163" i="68"/>
  <c r="O162" i="68"/>
  <c r="O161" i="68"/>
  <c r="O160" i="68"/>
  <c r="H158" i="68"/>
  <c r="Q156" i="68"/>
  <c r="O151" i="68"/>
  <c r="K150" i="68"/>
  <c r="L150" i="68"/>
  <c r="M150" i="68"/>
  <c r="I148" i="68"/>
  <c r="J148" i="68"/>
  <c r="N145" i="68"/>
  <c r="O143" i="68"/>
  <c r="Q139" i="68"/>
  <c r="H137" i="68"/>
  <c r="N135" i="68"/>
  <c r="N127" i="68"/>
  <c r="L118" i="68"/>
  <c r="J92" i="68"/>
  <c r="K92" i="68"/>
  <c r="G3" i="68"/>
  <c r="O3" i="68"/>
  <c r="G119" i="68"/>
  <c r="Q113" i="68"/>
  <c r="H113" i="68"/>
  <c r="J108" i="68"/>
  <c r="G107" i="68"/>
  <c r="H106" i="68"/>
  <c r="I97" i="68"/>
  <c r="K78" i="68"/>
  <c r="L78" i="68"/>
  <c r="H71" i="68"/>
  <c r="P71" i="68"/>
  <c r="K68" i="68"/>
  <c r="I66" i="68"/>
  <c r="P66" i="68"/>
  <c r="M62" i="68"/>
  <c r="P59" i="68"/>
  <c r="M57" i="68"/>
  <c r="H55" i="68"/>
  <c r="L50" i="68"/>
  <c r="I47" i="68"/>
  <c r="H47" i="68"/>
  <c r="J41" i="68"/>
  <c r="K41" i="68"/>
  <c r="H40" i="68"/>
  <c r="L39" i="68"/>
  <c r="Q39" i="68"/>
  <c r="K34" i="68"/>
  <c r="N26" i="68"/>
  <c r="Q25" i="68"/>
  <c r="P24" i="68"/>
  <c r="K20" i="68"/>
  <c r="O20" i="68"/>
  <c r="H16" i="68"/>
  <c r="P16" i="68"/>
  <c r="L15" i="68"/>
  <c r="N15" i="68"/>
  <c r="Q13" i="68"/>
  <c r="G11" i="68"/>
  <c r="M10" i="68"/>
  <c r="K10" i="68"/>
  <c r="Q5" i="68"/>
  <c r="H5" i="68"/>
  <c r="H474" i="69"/>
  <c r="N474" i="69"/>
  <c r="H472" i="69"/>
  <c r="L470" i="69"/>
  <c r="I470" i="69"/>
  <c r="Q443" i="69"/>
  <c r="Q440" i="69"/>
  <c r="M436" i="69"/>
  <c r="K436" i="69"/>
  <c r="L416" i="69"/>
  <c r="M416" i="69"/>
  <c r="N416" i="69"/>
  <c r="I416" i="69"/>
  <c r="J416" i="69"/>
  <c r="K416" i="69"/>
  <c r="P416" i="69"/>
  <c r="Q416" i="69"/>
  <c r="H97" i="68"/>
  <c r="J88" i="68"/>
  <c r="J68" i="68"/>
  <c r="L67" i="68"/>
  <c r="P67" i="68"/>
  <c r="L62" i="68"/>
  <c r="N59" i="68"/>
  <c r="K57" i="68"/>
  <c r="L26" i="68"/>
  <c r="O25" i="68"/>
  <c r="G13" i="68"/>
  <c r="O13" i="68"/>
  <c r="P5" i="68"/>
  <c r="G5" i="68"/>
  <c r="P475" i="69"/>
  <c r="I473" i="69"/>
  <c r="J473" i="69"/>
  <c r="H469" i="69"/>
  <c r="K469" i="69"/>
  <c r="I465" i="69"/>
  <c r="L465" i="69"/>
  <c r="J465" i="69"/>
  <c r="M465" i="69"/>
  <c r="K405" i="69"/>
  <c r="L405" i="69"/>
  <c r="H405" i="69"/>
  <c r="I405" i="69"/>
  <c r="J405" i="69"/>
  <c r="M405" i="69"/>
  <c r="N405" i="69"/>
  <c r="O405" i="69"/>
  <c r="G405" i="69"/>
  <c r="Q405" i="69"/>
  <c r="O72" i="68"/>
  <c r="I62" i="68"/>
  <c r="K59" i="68"/>
  <c r="J57" i="68"/>
  <c r="I55" i="68"/>
  <c r="L55" i="68"/>
  <c r="I50" i="68"/>
  <c r="K50" i="68"/>
  <c r="M34" i="68"/>
  <c r="O34" i="68"/>
  <c r="M25" i="68"/>
  <c r="I24" i="68"/>
  <c r="L24" i="68"/>
  <c r="J472" i="69"/>
  <c r="M472" i="69"/>
  <c r="G443" i="69"/>
  <c r="J443" i="69"/>
  <c r="K443" i="69"/>
  <c r="I443" i="69"/>
  <c r="L443" i="69"/>
  <c r="M443" i="69"/>
  <c r="N443" i="69"/>
  <c r="P443" i="69"/>
  <c r="G440" i="69"/>
  <c r="O440" i="69"/>
  <c r="H440" i="69"/>
  <c r="P440" i="69"/>
  <c r="J440" i="69"/>
  <c r="K440" i="69"/>
  <c r="L440" i="69"/>
  <c r="M440" i="69"/>
  <c r="N440" i="69"/>
  <c r="H153" i="68"/>
  <c r="K129" i="68"/>
  <c r="Q124" i="68"/>
  <c r="O123" i="68"/>
  <c r="N122" i="68"/>
  <c r="N119" i="68"/>
  <c r="M113" i="68"/>
  <c r="P107" i="68"/>
  <c r="P106" i="68"/>
  <c r="N103" i="68"/>
  <c r="O99" i="68"/>
  <c r="N98" i="68"/>
  <c r="P97" i="68"/>
  <c r="L94" i="68"/>
  <c r="M78" i="68"/>
  <c r="N72" i="68"/>
  <c r="K70" i="68"/>
  <c r="M70" i="68"/>
  <c r="N66" i="68"/>
  <c r="H62" i="68"/>
  <c r="N60" i="68"/>
  <c r="H59" i="68"/>
  <c r="I57" i="68"/>
  <c r="O55" i="68"/>
  <c r="L51" i="68"/>
  <c r="H51" i="68"/>
  <c r="G49" i="68"/>
  <c r="K49" i="68"/>
  <c r="M47" i="68"/>
  <c r="M41" i="68"/>
  <c r="P40" i="68"/>
  <c r="P39" i="68"/>
  <c r="K36" i="68"/>
  <c r="J36" i="68"/>
  <c r="I26" i="68"/>
  <c r="L25" i="68"/>
  <c r="O15" i="68"/>
  <c r="M14" i="68"/>
  <c r="M13" i="68"/>
  <c r="N11" i="68"/>
  <c r="Q10" i="68"/>
  <c r="J9" i="68"/>
  <c r="M9" i="68"/>
  <c r="N5" i="68"/>
  <c r="M475" i="69"/>
  <c r="O473" i="69"/>
  <c r="P472" i="69"/>
  <c r="O469" i="69"/>
  <c r="M468" i="69"/>
  <c r="G468" i="69"/>
  <c r="O468" i="69"/>
  <c r="G461" i="69"/>
  <c r="P461" i="69"/>
  <c r="G457" i="69"/>
  <c r="J457" i="69"/>
  <c r="K457" i="69"/>
  <c r="L457" i="69"/>
  <c r="M457" i="69"/>
  <c r="N457" i="69"/>
  <c r="P457" i="69"/>
  <c r="N124" i="68"/>
  <c r="M122" i="68"/>
  <c r="M119" i="68"/>
  <c r="L113" i="68"/>
  <c r="O107" i="68"/>
  <c r="N106" i="68"/>
  <c r="P105" i="68"/>
  <c r="M103" i="68"/>
  <c r="N99" i="68"/>
  <c r="M98" i="68"/>
  <c r="N97" i="68"/>
  <c r="J94" i="68"/>
  <c r="N86" i="68"/>
  <c r="J78" i="68"/>
  <c r="K71" i="68"/>
  <c r="O70" i="68"/>
  <c r="O67" i="68"/>
  <c r="M66" i="68"/>
  <c r="O64" i="68"/>
  <c r="Q62" i="68"/>
  <c r="K60" i="68"/>
  <c r="I58" i="68"/>
  <c r="N58" i="68"/>
  <c r="N55" i="68"/>
  <c r="K54" i="68"/>
  <c r="G54" i="68"/>
  <c r="P54" i="68"/>
  <c r="G52" i="68"/>
  <c r="K52" i="68"/>
  <c r="Q49" i="68"/>
  <c r="L47" i="68"/>
  <c r="L41" i="68"/>
  <c r="M40" i="68"/>
  <c r="O39" i="68"/>
  <c r="P36" i="68"/>
  <c r="O33" i="68"/>
  <c r="H32" i="68"/>
  <c r="P32" i="68"/>
  <c r="K28" i="68"/>
  <c r="H28" i="68"/>
  <c r="L23" i="68"/>
  <c r="M23" i="68"/>
  <c r="N21" i="68"/>
  <c r="K15" i="68"/>
  <c r="L13" i="68"/>
  <c r="M11" i="68"/>
  <c r="O10" i="68"/>
  <c r="O9" i="68"/>
  <c r="L5" i="68"/>
  <c r="K4" i="68"/>
  <c r="H4" i="68"/>
  <c r="N473" i="69"/>
  <c r="O472" i="69"/>
  <c r="H471" i="69"/>
  <c r="P471" i="69"/>
  <c r="J471" i="69"/>
  <c r="N469" i="69"/>
  <c r="P468" i="69"/>
  <c r="G447" i="69"/>
  <c r="O447" i="69"/>
  <c r="P447" i="69"/>
  <c r="L447" i="69"/>
  <c r="M447" i="69"/>
  <c r="N447" i="69"/>
  <c r="G435" i="69"/>
  <c r="M435" i="69"/>
  <c r="N435" i="69"/>
  <c r="I435" i="69"/>
  <c r="J435" i="69"/>
  <c r="K435" i="69"/>
  <c r="L435" i="69"/>
  <c r="P435" i="69"/>
  <c r="M417" i="69"/>
  <c r="M69" i="68"/>
  <c r="N69" i="68"/>
  <c r="K62" i="68"/>
  <c r="J62" i="68"/>
  <c r="L59" i="68"/>
  <c r="O59" i="68"/>
  <c r="G57" i="68"/>
  <c r="P57" i="68"/>
  <c r="J25" i="68"/>
  <c r="N25" i="68"/>
  <c r="O62" i="68"/>
  <c r="Q57" i="68"/>
  <c r="K55" i="68"/>
  <c r="N50" i="68"/>
  <c r="L31" i="68"/>
  <c r="O31" i="68"/>
  <c r="M26" i="68"/>
  <c r="J26" i="68"/>
  <c r="G14" i="68"/>
  <c r="N14" i="68"/>
  <c r="J5" i="68"/>
  <c r="K475" i="69"/>
  <c r="Q475" i="69"/>
  <c r="L472" i="69"/>
  <c r="G446" i="69"/>
  <c r="N446" i="69"/>
  <c r="Q446" i="69"/>
  <c r="I446" i="69"/>
  <c r="J446" i="69"/>
  <c r="K446" i="69"/>
  <c r="L446" i="69"/>
  <c r="M446" i="69"/>
  <c r="G441" i="69"/>
  <c r="M441" i="69"/>
  <c r="N441" i="69"/>
  <c r="J441" i="69"/>
  <c r="K441" i="69"/>
  <c r="L441" i="69"/>
  <c r="I434" i="69"/>
  <c r="P434" i="69"/>
  <c r="G434" i="69"/>
  <c r="H434" i="69"/>
  <c r="M434" i="69"/>
  <c r="N434" i="69"/>
  <c r="O434" i="69"/>
  <c r="M403" i="69"/>
  <c r="I403" i="69"/>
  <c r="K403" i="69"/>
  <c r="N403" i="69"/>
  <c r="Q403" i="69"/>
  <c r="L403" i="69"/>
  <c r="H412" i="69"/>
  <c r="N412" i="69"/>
  <c r="O412" i="69"/>
  <c r="I399" i="69"/>
  <c r="N399" i="69"/>
  <c r="O399" i="69"/>
  <c r="I391" i="69"/>
  <c r="H391" i="69"/>
  <c r="N391" i="69"/>
  <c r="O391" i="69"/>
  <c r="M191" i="69"/>
  <c r="N191" i="69"/>
  <c r="H186" i="69"/>
  <c r="G186" i="69"/>
  <c r="N186" i="69"/>
  <c r="O186" i="69"/>
  <c r="J321" i="69"/>
  <c r="G321" i="69"/>
  <c r="H321" i="69"/>
  <c r="I321" i="69"/>
  <c r="N321" i="69"/>
  <c r="O321" i="69"/>
  <c r="P321" i="69"/>
  <c r="Q321" i="69"/>
  <c r="L400" i="69"/>
  <c r="K400" i="69"/>
  <c r="M400" i="69"/>
  <c r="M389" i="69"/>
  <c r="H389" i="69"/>
  <c r="P389" i="69"/>
  <c r="J389" i="69"/>
  <c r="K389" i="69"/>
  <c r="M387" i="69"/>
  <c r="L387" i="69"/>
  <c r="I387" i="69"/>
  <c r="J387" i="69"/>
  <c r="L360" i="69"/>
  <c r="H360" i="69"/>
  <c r="I360" i="69"/>
  <c r="J360" i="69"/>
  <c r="K360" i="69"/>
  <c r="N360" i="69"/>
  <c r="P360" i="69"/>
  <c r="Q360" i="69"/>
  <c r="G347" i="69"/>
  <c r="O347" i="69"/>
  <c r="H347" i="69"/>
  <c r="P347" i="69"/>
  <c r="I347" i="69"/>
  <c r="Q347" i="69"/>
  <c r="J347" i="69"/>
  <c r="K347" i="69"/>
  <c r="L347" i="69"/>
  <c r="M347" i="69"/>
  <c r="L466" i="69"/>
  <c r="J459" i="69"/>
  <c r="P451" i="69"/>
  <c r="K448" i="69"/>
  <c r="L448" i="69"/>
  <c r="G438" i="69"/>
  <c r="M438" i="69"/>
  <c r="N438" i="69"/>
  <c r="N411" i="69"/>
  <c r="J410" i="69"/>
  <c r="H410" i="69"/>
  <c r="I410" i="69"/>
  <c r="I407" i="69"/>
  <c r="O407" i="69"/>
  <c r="P407" i="69"/>
  <c r="L392" i="69"/>
  <c r="P392" i="69"/>
  <c r="I392" i="69"/>
  <c r="K392" i="69"/>
  <c r="M392" i="69"/>
  <c r="H332" i="69"/>
  <c r="G332" i="69"/>
  <c r="N332" i="69"/>
  <c r="O332" i="69"/>
  <c r="G325" i="69"/>
  <c r="H325" i="69"/>
  <c r="J325" i="69"/>
  <c r="K325" i="69"/>
  <c r="L325" i="69"/>
  <c r="M325" i="69"/>
  <c r="N325" i="69"/>
  <c r="P325" i="69"/>
  <c r="I459" i="69"/>
  <c r="O448" i="69"/>
  <c r="G445" i="69"/>
  <c r="Q445" i="69"/>
  <c r="J432" i="69"/>
  <c r="K432" i="69"/>
  <c r="M415" i="69"/>
  <c r="L411" i="69"/>
  <c r="H404" i="69"/>
  <c r="N404" i="69"/>
  <c r="O404" i="69"/>
  <c r="Q400" i="69"/>
  <c r="P399" i="69"/>
  <c r="M397" i="69"/>
  <c r="J397" i="69"/>
  <c r="K397" i="69"/>
  <c r="M395" i="69"/>
  <c r="L395" i="69"/>
  <c r="I395" i="69"/>
  <c r="J395" i="69"/>
  <c r="Q389" i="69"/>
  <c r="H364" i="69"/>
  <c r="G364" i="69"/>
  <c r="M364" i="69"/>
  <c r="N364" i="69"/>
  <c r="O364" i="69"/>
  <c r="G462" i="69"/>
  <c r="J462" i="69"/>
  <c r="Q459" i="69"/>
  <c r="H459" i="69"/>
  <c r="N448" i="69"/>
  <c r="O432" i="69"/>
  <c r="K413" i="69"/>
  <c r="L413" i="69"/>
  <c r="L408" i="69"/>
  <c r="M408" i="69"/>
  <c r="N408" i="69"/>
  <c r="P400" i="69"/>
  <c r="M399" i="69"/>
  <c r="P397" i="69"/>
  <c r="P391" i="69"/>
  <c r="O389" i="69"/>
  <c r="H388" i="69"/>
  <c r="G388" i="69"/>
  <c r="N388" i="69"/>
  <c r="J378" i="69"/>
  <c r="P378" i="69"/>
  <c r="H378" i="69"/>
  <c r="I378" i="69"/>
  <c r="I351" i="69"/>
  <c r="H351" i="69"/>
  <c r="N351" i="69"/>
  <c r="P351" i="69"/>
  <c r="G334" i="69"/>
  <c r="H334" i="69"/>
  <c r="Q334" i="69"/>
  <c r="I334" i="69"/>
  <c r="J334" i="69"/>
  <c r="K334" i="69"/>
  <c r="L334" i="69"/>
  <c r="M334" i="69"/>
  <c r="N334" i="69"/>
  <c r="M411" i="69"/>
  <c r="J411" i="69"/>
  <c r="K411" i="69"/>
  <c r="N400" i="69"/>
  <c r="H399" i="69"/>
  <c r="M391" i="69"/>
  <c r="N389" i="69"/>
  <c r="I415" i="69"/>
  <c r="O415" i="69"/>
  <c r="P415" i="69"/>
  <c r="G412" i="69"/>
  <c r="N407" i="69"/>
  <c r="J400" i="69"/>
  <c r="G399" i="69"/>
  <c r="H396" i="69"/>
  <c r="G396" i="69"/>
  <c r="N396" i="69"/>
  <c r="G391" i="69"/>
  <c r="L389" i="69"/>
  <c r="Q387" i="69"/>
  <c r="L444" i="69"/>
  <c r="I437" i="69"/>
  <c r="G420" i="69"/>
  <c r="I419" i="69"/>
  <c r="N384" i="69"/>
  <c r="O380" i="69"/>
  <c r="K379" i="69"/>
  <c r="I370" i="69"/>
  <c r="P367" i="69"/>
  <c r="J363" i="69"/>
  <c r="N362" i="69"/>
  <c r="N358" i="69"/>
  <c r="Q357" i="69"/>
  <c r="H357" i="69"/>
  <c r="K355" i="69"/>
  <c r="N353" i="69"/>
  <c r="I352" i="69"/>
  <c r="J349" i="69"/>
  <c r="M348" i="69"/>
  <c r="K344" i="69"/>
  <c r="H343" i="69"/>
  <c r="J342" i="69"/>
  <c r="M341" i="69"/>
  <c r="G338" i="69"/>
  <c r="O335" i="69"/>
  <c r="H333" i="69"/>
  <c r="J331" i="69"/>
  <c r="H327" i="69"/>
  <c r="I324" i="69"/>
  <c r="G323" i="69"/>
  <c r="L322" i="69"/>
  <c r="J319" i="69"/>
  <c r="J317" i="69"/>
  <c r="N316" i="69"/>
  <c r="O315" i="69"/>
  <c r="H313" i="69"/>
  <c r="P311" i="69"/>
  <c r="G311" i="69"/>
  <c r="J307" i="69"/>
  <c r="N307" i="69"/>
  <c r="K305" i="69"/>
  <c r="J303" i="69"/>
  <c r="N297" i="69"/>
  <c r="G235" i="69"/>
  <c r="H235" i="69"/>
  <c r="I235" i="69"/>
  <c r="L235" i="69"/>
  <c r="M235" i="69"/>
  <c r="N235" i="69"/>
  <c r="P235" i="69"/>
  <c r="Q235" i="69"/>
  <c r="N398" i="69"/>
  <c r="N390" i="69"/>
  <c r="M384" i="69"/>
  <c r="O383" i="69"/>
  <c r="N380" i="69"/>
  <c r="J379" i="69"/>
  <c r="M376" i="69"/>
  <c r="O375" i="69"/>
  <c r="N372" i="69"/>
  <c r="J371" i="69"/>
  <c r="H370" i="69"/>
  <c r="M368" i="69"/>
  <c r="N367" i="69"/>
  <c r="L366" i="69"/>
  <c r="Q363" i="69"/>
  <c r="I363" i="69"/>
  <c r="I362" i="69"/>
  <c r="P357" i="69"/>
  <c r="G357" i="69"/>
  <c r="H352" i="69"/>
  <c r="I349" i="69"/>
  <c r="G348" i="69"/>
  <c r="J344" i="69"/>
  <c r="H342" i="69"/>
  <c r="N335" i="69"/>
  <c r="Q333" i="69"/>
  <c r="G333" i="69"/>
  <c r="Q324" i="69"/>
  <c r="H324" i="69"/>
  <c r="N320" i="69"/>
  <c r="M316" i="69"/>
  <c r="I303" i="69"/>
  <c r="M297" i="69"/>
  <c r="M240" i="69"/>
  <c r="G240" i="69"/>
  <c r="H240" i="69"/>
  <c r="K240" i="69"/>
  <c r="L240" i="69"/>
  <c r="N240" i="69"/>
  <c r="O240" i="69"/>
  <c r="P240" i="69"/>
  <c r="I175" i="69"/>
  <c r="G175" i="69"/>
  <c r="P175" i="69"/>
  <c r="H175" i="69"/>
  <c r="J175" i="69"/>
  <c r="K175" i="69"/>
  <c r="L175" i="69"/>
  <c r="M175" i="69"/>
  <c r="N175" i="69"/>
  <c r="J306" i="69"/>
  <c r="L306" i="69"/>
  <c r="L277" i="69"/>
  <c r="K277" i="69"/>
  <c r="N277" i="69"/>
  <c r="H182" i="69"/>
  <c r="G182" i="69"/>
  <c r="Q182" i="69"/>
  <c r="I182" i="69"/>
  <c r="J182" i="69"/>
  <c r="K182" i="69"/>
  <c r="L182" i="69"/>
  <c r="M182" i="69"/>
  <c r="N182" i="69"/>
  <c r="J368" i="69"/>
  <c r="H367" i="69"/>
  <c r="J366" i="69"/>
  <c r="O363" i="69"/>
  <c r="G363" i="69"/>
  <c r="N357" i="69"/>
  <c r="Q352" i="69"/>
  <c r="P349" i="69"/>
  <c r="G349" i="69"/>
  <c r="H344" i="69"/>
  <c r="P342" i="69"/>
  <c r="H341" i="69"/>
  <c r="P338" i="69"/>
  <c r="N337" i="69"/>
  <c r="G335" i="69"/>
  <c r="O333" i="69"/>
  <c r="O331" i="69"/>
  <c r="G331" i="69"/>
  <c r="I316" i="69"/>
  <c r="O312" i="69"/>
  <c r="H305" i="69"/>
  <c r="J305" i="69"/>
  <c r="I297" i="69"/>
  <c r="G297" i="69"/>
  <c r="H297" i="69"/>
  <c r="O297" i="69"/>
  <c r="G259" i="69"/>
  <c r="H259" i="69"/>
  <c r="I259" i="69"/>
  <c r="L259" i="69"/>
  <c r="M259" i="69"/>
  <c r="N259" i="69"/>
  <c r="P259" i="69"/>
  <c r="Q259" i="69"/>
  <c r="L253" i="69"/>
  <c r="K253" i="69"/>
  <c r="N253" i="69"/>
  <c r="K242" i="69"/>
  <c r="J242" i="69"/>
  <c r="M242" i="69"/>
  <c r="N242" i="69"/>
  <c r="M357" i="69"/>
  <c r="P352" i="69"/>
  <c r="N342" i="69"/>
  <c r="N333" i="69"/>
  <c r="H316" i="69"/>
  <c r="H312" i="69"/>
  <c r="L308" i="69"/>
  <c r="M280" i="69"/>
  <c r="O280" i="69"/>
  <c r="P280" i="69"/>
  <c r="G280" i="69"/>
  <c r="H280" i="69"/>
  <c r="K280" i="69"/>
  <c r="L280" i="69"/>
  <c r="I127" i="69"/>
  <c r="G127" i="69"/>
  <c r="H127" i="69"/>
  <c r="K127" i="69"/>
  <c r="M127" i="69"/>
  <c r="N127" i="69"/>
  <c r="O127" i="69"/>
  <c r="P127" i="69"/>
  <c r="Q370" i="69"/>
  <c r="M363" i="69"/>
  <c r="K357" i="69"/>
  <c r="N352" i="69"/>
  <c r="N349" i="69"/>
  <c r="Q344" i="69"/>
  <c r="M342" i="69"/>
  <c r="M333" i="69"/>
  <c r="M331" i="69"/>
  <c r="K327" i="69"/>
  <c r="H326" i="69"/>
  <c r="M324" i="69"/>
  <c r="O323" i="69"/>
  <c r="O322" i="69"/>
  <c r="Q316" i="69"/>
  <c r="G316" i="69"/>
  <c r="H289" i="69"/>
  <c r="K289" i="69"/>
  <c r="N289" i="69"/>
  <c r="O289" i="69"/>
  <c r="K153" i="69"/>
  <c r="I153" i="69"/>
  <c r="M140" i="69"/>
  <c r="G140" i="69"/>
  <c r="J140" i="69"/>
  <c r="L140" i="69"/>
  <c r="N140" i="69"/>
  <c r="O140" i="69"/>
  <c r="J115" i="69"/>
  <c r="O115" i="69"/>
  <c r="K115" i="69"/>
  <c r="M115" i="69"/>
  <c r="G115" i="69"/>
  <c r="I115" i="69"/>
  <c r="L115" i="69"/>
  <c r="N115" i="69"/>
  <c r="Q115" i="69"/>
  <c r="N379" i="69"/>
  <c r="N371" i="69"/>
  <c r="P370" i="69"/>
  <c r="I365" i="69"/>
  <c r="Q362" i="69"/>
  <c r="J357" i="69"/>
  <c r="K352" i="69"/>
  <c r="M349" i="69"/>
  <c r="O348" i="69"/>
  <c r="P344" i="69"/>
  <c r="L342" i="69"/>
  <c r="J333" i="69"/>
  <c r="J327" i="69"/>
  <c r="K324" i="69"/>
  <c r="N323" i="69"/>
  <c r="K282" i="69"/>
  <c r="J282" i="69"/>
  <c r="N282" i="69"/>
  <c r="G222" i="69"/>
  <c r="I222" i="69"/>
  <c r="J222" i="69"/>
  <c r="K222" i="69"/>
  <c r="L222" i="69"/>
  <c r="M222" i="69"/>
  <c r="N222" i="69"/>
  <c r="Q222" i="69"/>
  <c r="G208" i="69"/>
  <c r="O208" i="69"/>
  <c r="H208" i="69"/>
  <c r="P208" i="69"/>
  <c r="I208" i="69"/>
  <c r="Q208" i="69"/>
  <c r="J208" i="69"/>
  <c r="K208" i="69"/>
  <c r="L208" i="69"/>
  <c r="M208" i="69"/>
  <c r="K126" i="69"/>
  <c r="H126" i="69"/>
  <c r="J126" i="69"/>
  <c r="L126" i="69"/>
  <c r="M126" i="69"/>
  <c r="N126" i="69"/>
  <c r="P126" i="69"/>
  <c r="G296" i="69"/>
  <c r="L295" i="69"/>
  <c r="I291" i="69"/>
  <c r="N288" i="69"/>
  <c r="P287" i="69"/>
  <c r="H287" i="69"/>
  <c r="K281" i="69"/>
  <c r="I276" i="69"/>
  <c r="N274" i="69"/>
  <c r="J273" i="69"/>
  <c r="K272" i="69"/>
  <c r="Q263" i="69"/>
  <c r="I263" i="69"/>
  <c r="K257" i="69"/>
  <c r="L256" i="69"/>
  <c r="I252" i="69"/>
  <c r="M251" i="69"/>
  <c r="K237" i="69"/>
  <c r="J234" i="69"/>
  <c r="N231" i="69"/>
  <c r="P226" i="69"/>
  <c r="J219" i="69"/>
  <c r="H218" i="69"/>
  <c r="K216" i="69"/>
  <c r="L206" i="69"/>
  <c r="N205" i="69"/>
  <c r="J203" i="69"/>
  <c r="M201" i="69"/>
  <c r="O197" i="69"/>
  <c r="J195" i="69"/>
  <c r="Q192" i="69"/>
  <c r="I192" i="69"/>
  <c r="I189" i="69"/>
  <c r="J180" i="69"/>
  <c r="K178" i="69"/>
  <c r="M177" i="69"/>
  <c r="M176" i="69"/>
  <c r="I174" i="69"/>
  <c r="O171" i="69"/>
  <c r="I155" i="69"/>
  <c r="P149" i="69"/>
  <c r="H149" i="69"/>
  <c r="G148" i="69"/>
  <c r="M116" i="69"/>
  <c r="O116" i="69"/>
  <c r="G116" i="69"/>
  <c r="L116" i="69"/>
  <c r="K110" i="69"/>
  <c r="L110" i="69"/>
  <c r="N110" i="69"/>
  <c r="L109" i="69"/>
  <c r="I109" i="69"/>
  <c r="N109" i="69"/>
  <c r="G109" i="69"/>
  <c r="P109" i="69"/>
  <c r="L102" i="69"/>
  <c r="H102" i="69"/>
  <c r="J102" i="69"/>
  <c r="K102" i="69"/>
  <c r="K295" i="69"/>
  <c r="H291" i="69"/>
  <c r="L288" i="69"/>
  <c r="O287" i="69"/>
  <c r="G287" i="69"/>
  <c r="J284" i="69"/>
  <c r="O283" i="69"/>
  <c r="J281" i="69"/>
  <c r="Q276" i="69"/>
  <c r="H276" i="69"/>
  <c r="M274" i="69"/>
  <c r="G273" i="69"/>
  <c r="H272" i="69"/>
  <c r="N268" i="69"/>
  <c r="N265" i="69"/>
  <c r="N264" i="69"/>
  <c r="P263" i="69"/>
  <c r="H263" i="69"/>
  <c r="K261" i="69"/>
  <c r="K260" i="69"/>
  <c r="N258" i="69"/>
  <c r="J257" i="69"/>
  <c r="K256" i="69"/>
  <c r="Q252" i="69"/>
  <c r="H252" i="69"/>
  <c r="L251" i="69"/>
  <c r="K247" i="69"/>
  <c r="O241" i="69"/>
  <c r="Q234" i="69"/>
  <c r="H234" i="69"/>
  <c r="M231" i="69"/>
  <c r="N226" i="69"/>
  <c r="P221" i="69"/>
  <c r="I219" i="69"/>
  <c r="J216" i="69"/>
  <c r="N207" i="69"/>
  <c r="K206" i="69"/>
  <c r="H205" i="69"/>
  <c r="I203" i="69"/>
  <c r="L201" i="69"/>
  <c r="M200" i="69"/>
  <c r="L198" i="69"/>
  <c r="N197" i="69"/>
  <c r="I195" i="69"/>
  <c r="P192" i="69"/>
  <c r="H192" i="69"/>
  <c r="Q190" i="69"/>
  <c r="G190" i="69"/>
  <c r="H189" i="69"/>
  <c r="H187" i="69"/>
  <c r="N185" i="69"/>
  <c r="O184" i="69"/>
  <c r="G184" i="69"/>
  <c r="Q181" i="69"/>
  <c r="G180" i="69"/>
  <c r="K177" i="69"/>
  <c r="K176" i="69"/>
  <c r="Q174" i="69"/>
  <c r="H174" i="69"/>
  <c r="N171" i="69"/>
  <c r="N159" i="69"/>
  <c r="G155" i="69"/>
  <c r="P152" i="69"/>
  <c r="O149" i="69"/>
  <c r="G149" i="69"/>
  <c r="M141" i="69"/>
  <c r="G132" i="69"/>
  <c r="M124" i="69"/>
  <c r="L124" i="69"/>
  <c r="J123" i="69"/>
  <c r="G123" i="69"/>
  <c r="M123" i="69"/>
  <c r="L121" i="69"/>
  <c r="K121" i="69"/>
  <c r="M105" i="69"/>
  <c r="I105" i="69"/>
  <c r="Q105" i="69"/>
  <c r="K105" i="69"/>
  <c r="L105" i="69"/>
  <c r="L83" i="69"/>
  <c r="N83" i="69"/>
  <c r="G83" i="69"/>
  <c r="P83" i="69"/>
  <c r="H83" i="69"/>
  <c r="Q83" i="69"/>
  <c r="I83" i="69"/>
  <c r="J83" i="69"/>
  <c r="K83" i="69"/>
  <c r="M83" i="69"/>
  <c r="G281" i="69"/>
  <c r="P276" i="69"/>
  <c r="G276" i="69"/>
  <c r="J274" i="69"/>
  <c r="G272" i="69"/>
  <c r="N269" i="69"/>
  <c r="O263" i="69"/>
  <c r="G263" i="69"/>
  <c r="M258" i="69"/>
  <c r="G257" i="69"/>
  <c r="H256" i="69"/>
  <c r="P252" i="69"/>
  <c r="G252" i="69"/>
  <c r="I251" i="69"/>
  <c r="J247" i="69"/>
  <c r="N241" i="69"/>
  <c r="P234" i="69"/>
  <c r="G234" i="69"/>
  <c r="O232" i="69"/>
  <c r="J231" i="69"/>
  <c r="L230" i="69"/>
  <c r="Q229" i="69"/>
  <c r="M226" i="69"/>
  <c r="O221" i="69"/>
  <c r="Q219" i="69"/>
  <c r="H219" i="69"/>
  <c r="Q216" i="69"/>
  <c r="I216" i="69"/>
  <c r="N211" i="69"/>
  <c r="J206" i="69"/>
  <c r="G205" i="69"/>
  <c r="Q203" i="69"/>
  <c r="H203" i="69"/>
  <c r="K201" i="69"/>
  <c r="L200" i="69"/>
  <c r="H197" i="69"/>
  <c r="H195" i="69"/>
  <c r="N193" i="69"/>
  <c r="O192" i="69"/>
  <c r="G192" i="69"/>
  <c r="G189" i="69"/>
  <c r="J111" i="69"/>
  <c r="O111" i="69"/>
  <c r="I111" i="69"/>
  <c r="M111" i="69"/>
  <c r="Q109" i="69"/>
  <c r="K103" i="69"/>
  <c r="M103" i="69"/>
  <c r="G103" i="69"/>
  <c r="I103" i="69"/>
  <c r="K269" i="69"/>
  <c r="J258" i="69"/>
  <c r="G256" i="69"/>
  <c r="H251" i="69"/>
  <c r="I231" i="69"/>
  <c r="O210" i="69"/>
  <c r="I206" i="69"/>
  <c r="H177" i="69"/>
  <c r="H176" i="69"/>
  <c r="H167" i="69"/>
  <c r="M166" i="69"/>
  <c r="L159" i="69"/>
  <c r="P158" i="69"/>
  <c r="G158" i="69"/>
  <c r="Q155" i="69"/>
  <c r="H151" i="69"/>
  <c r="J150" i="69"/>
  <c r="M149" i="69"/>
  <c r="K141" i="69"/>
  <c r="N139" i="69"/>
  <c r="Q123" i="69"/>
  <c r="N120" i="69"/>
  <c r="K119" i="69"/>
  <c r="K118" i="69"/>
  <c r="H118" i="69"/>
  <c r="N118" i="69"/>
  <c r="O109" i="69"/>
  <c r="L107" i="69"/>
  <c r="I107" i="69"/>
  <c r="O107" i="69"/>
  <c r="G107" i="69"/>
  <c r="Q107" i="69"/>
  <c r="H107" i="69"/>
  <c r="P105" i="69"/>
  <c r="P195" i="69"/>
  <c r="M192" i="69"/>
  <c r="Q189" i="69"/>
  <c r="K159" i="69"/>
  <c r="O155" i="69"/>
  <c r="L149" i="69"/>
  <c r="O148" i="69"/>
  <c r="J141" i="69"/>
  <c r="M139" i="69"/>
  <c r="H135" i="69"/>
  <c r="M133" i="69"/>
  <c r="N125" i="69"/>
  <c r="O123" i="69"/>
  <c r="L117" i="69"/>
  <c r="H117" i="69"/>
  <c r="P117" i="69"/>
  <c r="J117" i="69"/>
  <c r="Q111" i="69"/>
  <c r="P110" i="69"/>
  <c r="M109" i="69"/>
  <c r="O105" i="69"/>
  <c r="Q102" i="69"/>
  <c r="O295" i="69"/>
  <c r="K287" i="69"/>
  <c r="I283" i="69"/>
  <c r="J279" i="69"/>
  <c r="L276" i="69"/>
  <c r="Q275" i="69"/>
  <c r="G275" i="69"/>
  <c r="O273" i="69"/>
  <c r="O272" i="69"/>
  <c r="I268" i="69"/>
  <c r="J266" i="69"/>
  <c r="L263" i="69"/>
  <c r="P256" i="69"/>
  <c r="L252" i="69"/>
  <c r="Q251" i="69"/>
  <c r="K249" i="69"/>
  <c r="L248" i="69"/>
  <c r="O247" i="69"/>
  <c r="J244" i="69"/>
  <c r="G241" i="69"/>
  <c r="M234" i="69"/>
  <c r="M219" i="69"/>
  <c r="Q206" i="69"/>
  <c r="N204" i="69"/>
  <c r="M203" i="69"/>
  <c r="Q200" i="69"/>
  <c r="I200" i="69"/>
  <c r="N195" i="69"/>
  <c r="O194" i="69"/>
  <c r="K193" i="69"/>
  <c r="L192" i="69"/>
  <c r="L190" i="69"/>
  <c r="P189" i="69"/>
  <c r="N188" i="69"/>
  <c r="L187" i="69"/>
  <c r="K184" i="69"/>
  <c r="I181" i="69"/>
  <c r="M180" i="69"/>
  <c r="Q177" i="69"/>
  <c r="M174" i="69"/>
  <c r="P170" i="69"/>
  <c r="J166" i="69"/>
  <c r="J159" i="69"/>
  <c r="N155" i="69"/>
  <c r="K149" i="69"/>
  <c r="N148" i="69"/>
  <c r="Q146" i="69"/>
  <c r="Q141" i="69"/>
  <c r="I141" i="69"/>
  <c r="O132" i="69"/>
  <c r="I120" i="69"/>
  <c r="P120" i="69"/>
  <c r="I119" i="69"/>
  <c r="G119" i="69"/>
  <c r="N119" i="69"/>
  <c r="P111" i="69"/>
  <c r="M110" i="69"/>
  <c r="K109" i="69"/>
  <c r="N105" i="69"/>
  <c r="P102" i="69"/>
  <c r="I93" i="69"/>
  <c r="K93" i="69"/>
  <c r="N93" i="69"/>
  <c r="O93" i="69"/>
  <c r="Q93" i="69"/>
  <c r="M291" i="69"/>
  <c r="P288" i="69"/>
  <c r="H283" i="69"/>
  <c r="O281" i="69"/>
  <c r="Q279" i="69"/>
  <c r="K276" i="69"/>
  <c r="N273" i="69"/>
  <c r="N272" i="69"/>
  <c r="Q268" i="69"/>
  <c r="H268" i="69"/>
  <c r="O257" i="69"/>
  <c r="O256" i="69"/>
  <c r="K252" i="69"/>
  <c r="P251" i="69"/>
  <c r="J249" i="69"/>
  <c r="L234" i="69"/>
  <c r="L219" i="69"/>
  <c r="O218" i="69"/>
  <c r="K217" i="69"/>
  <c r="L214" i="69"/>
  <c r="N213" i="69"/>
  <c r="J211" i="69"/>
  <c r="N206" i="69"/>
  <c r="P205" i="69"/>
  <c r="L203" i="69"/>
  <c r="P200" i="69"/>
  <c r="N196" i="69"/>
  <c r="L195" i="69"/>
  <c r="O189" i="69"/>
  <c r="M188" i="69"/>
  <c r="L180" i="69"/>
  <c r="L174" i="69"/>
  <c r="I166" i="69"/>
  <c r="M165" i="69"/>
  <c r="H159" i="69"/>
  <c r="M158" i="69"/>
  <c r="L155" i="69"/>
  <c r="L148" i="69"/>
  <c r="M147" i="69"/>
  <c r="N146" i="69"/>
  <c r="M143" i="69"/>
  <c r="N142" i="69"/>
  <c r="P141" i="69"/>
  <c r="K139" i="69"/>
  <c r="N137" i="69"/>
  <c r="N132" i="69"/>
  <c r="L125" i="69"/>
  <c r="N124" i="69"/>
  <c r="L123" i="69"/>
  <c r="Q121" i="69"/>
  <c r="N116" i="69"/>
  <c r="L113" i="69"/>
  <c r="N113" i="69"/>
  <c r="N111" i="69"/>
  <c r="J110" i="69"/>
  <c r="J109" i="69"/>
  <c r="J105" i="69"/>
  <c r="N102" i="69"/>
  <c r="J99" i="69"/>
  <c r="M98" i="69"/>
  <c r="P92" i="69"/>
  <c r="J89" i="69"/>
  <c r="K84" i="69"/>
  <c r="P82" i="69"/>
  <c r="P81" i="69"/>
  <c r="H81" i="69"/>
  <c r="M75" i="69"/>
  <c r="J73" i="69"/>
  <c r="Q70" i="69"/>
  <c r="H68" i="69"/>
  <c r="P65" i="69"/>
  <c r="H65" i="69"/>
  <c r="P57" i="69"/>
  <c r="H57" i="69"/>
  <c r="I55" i="69"/>
  <c r="O51" i="69"/>
  <c r="K50" i="69"/>
  <c r="G48" i="69"/>
  <c r="K43" i="69"/>
  <c r="L42" i="69"/>
  <c r="P41" i="69"/>
  <c r="H41" i="69"/>
  <c r="M40" i="69"/>
  <c r="O39" i="69"/>
  <c r="H37" i="69"/>
  <c r="H32" i="69"/>
  <c r="J31" i="69"/>
  <c r="K29" i="69"/>
  <c r="P27" i="69"/>
  <c r="G27" i="69"/>
  <c r="P25" i="69"/>
  <c r="H25" i="69"/>
  <c r="H21" i="69"/>
  <c r="K17" i="69"/>
  <c r="O16" i="69"/>
  <c r="I15" i="69"/>
  <c r="I14" i="69"/>
  <c r="K13" i="69"/>
  <c r="J9" i="69"/>
  <c r="I6" i="69"/>
  <c r="I4" i="69"/>
  <c r="N112" i="69"/>
  <c r="I99" i="69"/>
  <c r="L98" i="69"/>
  <c r="N92" i="69"/>
  <c r="N91" i="69"/>
  <c r="Q89" i="69"/>
  <c r="I89" i="69"/>
  <c r="H84" i="69"/>
  <c r="N82" i="69"/>
  <c r="O81" i="69"/>
  <c r="G81" i="69"/>
  <c r="Q77" i="69"/>
  <c r="K75" i="69"/>
  <c r="I73" i="69"/>
  <c r="P71" i="69"/>
  <c r="L70" i="69"/>
  <c r="Q68" i="69"/>
  <c r="G68" i="69"/>
  <c r="O65" i="69"/>
  <c r="G65" i="69"/>
  <c r="N61" i="69"/>
  <c r="O57" i="69"/>
  <c r="G57" i="69"/>
  <c r="G55" i="69"/>
  <c r="J51" i="69"/>
  <c r="J50" i="69"/>
  <c r="I43" i="69"/>
  <c r="K42" i="69"/>
  <c r="O41" i="69"/>
  <c r="G41" i="69"/>
  <c r="L40" i="69"/>
  <c r="Q37" i="69"/>
  <c r="G37" i="69"/>
  <c r="M34" i="69"/>
  <c r="G32" i="69"/>
  <c r="I31" i="69"/>
  <c r="O25" i="69"/>
  <c r="G25" i="69"/>
  <c r="G21" i="69"/>
  <c r="J17" i="69"/>
  <c r="N16" i="69"/>
  <c r="G15" i="69"/>
  <c r="I13" i="69"/>
  <c r="P11" i="69"/>
  <c r="Q9" i="69"/>
  <c r="I9" i="69"/>
  <c r="K112" i="70"/>
  <c r="H118" i="70" s="1"/>
  <c r="E49" i="66"/>
  <c r="N77" i="69"/>
  <c r="O71" i="69"/>
  <c r="J40" i="69"/>
  <c r="K34" i="69"/>
  <c r="P99" i="69"/>
  <c r="G99" i="69"/>
  <c r="H98" i="69"/>
  <c r="L97" i="69"/>
  <c r="P96" i="69"/>
  <c r="H92" i="69"/>
  <c r="K91" i="69"/>
  <c r="O89" i="69"/>
  <c r="G89" i="69"/>
  <c r="J82" i="69"/>
  <c r="M81" i="69"/>
  <c r="K77" i="69"/>
  <c r="G75" i="69"/>
  <c r="L74" i="69"/>
  <c r="Q73" i="69"/>
  <c r="G73" i="69"/>
  <c r="L71" i="69"/>
  <c r="O68" i="69"/>
  <c r="M65" i="69"/>
  <c r="K61" i="69"/>
  <c r="M57" i="69"/>
  <c r="O55" i="69"/>
  <c r="L53" i="69"/>
  <c r="M52" i="69"/>
  <c r="G51" i="69"/>
  <c r="N48" i="69"/>
  <c r="O47" i="69"/>
  <c r="M45" i="69"/>
  <c r="G43" i="69"/>
  <c r="H42" i="69"/>
  <c r="M41" i="69"/>
  <c r="I40" i="69"/>
  <c r="O37" i="69"/>
  <c r="J34" i="69"/>
  <c r="Q28" i="69"/>
  <c r="M27" i="69"/>
  <c r="N26" i="69"/>
  <c r="M25" i="69"/>
  <c r="Q21" i="69"/>
  <c r="P17" i="69"/>
  <c r="H17" i="69"/>
  <c r="J16" i="69"/>
  <c r="Q13" i="69"/>
  <c r="G13" i="69"/>
  <c r="K11" i="69"/>
  <c r="O9" i="69"/>
  <c r="G9" i="69"/>
  <c r="L8" i="69"/>
  <c r="P5" i="69"/>
  <c r="H82" i="69"/>
  <c r="L81" i="69"/>
  <c r="J71" i="69"/>
  <c r="N68" i="69"/>
  <c r="L65" i="69"/>
  <c r="L64" i="69"/>
  <c r="I61" i="69"/>
  <c r="L57" i="69"/>
  <c r="M55" i="69"/>
  <c r="O54" i="69"/>
  <c r="K52" i="69"/>
  <c r="G42" i="69"/>
  <c r="L41" i="69"/>
  <c r="Q40" i="69"/>
  <c r="H40" i="69"/>
  <c r="N37" i="69"/>
  <c r="H34" i="69"/>
  <c r="N31" i="69"/>
  <c r="P30" i="69"/>
  <c r="H26" i="69"/>
  <c r="L25" i="69"/>
  <c r="P21" i="69"/>
  <c r="O17" i="69"/>
  <c r="G17" i="69"/>
  <c r="O5" i="69"/>
  <c r="V54" i="70"/>
  <c r="M109" i="65"/>
  <c r="J115" i="65" s="1"/>
  <c r="E109" i="65"/>
  <c r="K81" i="69"/>
  <c r="G71" i="69"/>
  <c r="K68" i="69"/>
  <c r="K65" i="69"/>
  <c r="K57" i="69"/>
  <c r="L55" i="69"/>
  <c r="K41" i="69"/>
  <c r="P40" i="69"/>
  <c r="G40" i="69"/>
  <c r="M37" i="69"/>
  <c r="G34" i="69"/>
  <c r="Q32" i="69"/>
  <c r="M31" i="69"/>
  <c r="K25" i="69"/>
  <c r="O21" i="69"/>
  <c r="O13" i="69"/>
  <c r="M9" i="69"/>
  <c r="Y58" i="65"/>
  <c r="R53" i="65"/>
  <c r="N51" i="70"/>
  <c r="J51" i="70"/>
  <c r="O49" i="65"/>
  <c r="H110" i="66"/>
  <c r="E116" i="66" s="1"/>
  <c r="K106" i="69"/>
  <c r="O101" i="69"/>
  <c r="K100" i="69"/>
  <c r="K99" i="69"/>
  <c r="P97" i="69"/>
  <c r="H96" i="69"/>
  <c r="L95" i="69"/>
  <c r="P91" i="69"/>
  <c r="G91" i="69"/>
  <c r="N88" i="69"/>
  <c r="L87" i="69"/>
  <c r="P84" i="69"/>
  <c r="Q81" i="69"/>
  <c r="J80" i="69"/>
  <c r="L79" i="69"/>
  <c r="O75" i="69"/>
  <c r="P74" i="69"/>
  <c r="L73" i="69"/>
  <c r="I68" i="69"/>
  <c r="Q65" i="69"/>
  <c r="J59" i="69"/>
  <c r="Q57" i="69"/>
  <c r="H56" i="69"/>
  <c r="Q53" i="69"/>
  <c r="G53" i="69"/>
  <c r="Q51" i="69"/>
  <c r="M50" i="69"/>
  <c r="Q41" i="69"/>
  <c r="N40" i="69"/>
  <c r="H36" i="69"/>
  <c r="I32" i="69"/>
  <c r="Q27" i="69"/>
  <c r="H27" i="69"/>
  <c r="Q25" i="69"/>
  <c r="I21" i="69"/>
  <c r="H18" i="69"/>
  <c r="J14" i="69"/>
  <c r="P8" i="69"/>
  <c r="G8" i="69"/>
  <c r="J6" i="69"/>
  <c r="K3" i="69"/>
  <c r="N49" i="65"/>
  <c r="M461" i="67"/>
  <c r="P458" i="67"/>
  <c r="J209" i="67"/>
  <c r="G209" i="67"/>
  <c r="H209" i="67"/>
  <c r="L209" i="67"/>
  <c r="N209" i="67"/>
  <c r="O209" i="67"/>
  <c r="P209" i="67"/>
  <c r="J185" i="67"/>
  <c r="G185" i="67"/>
  <c r="H185" i="67"/>
  <c r="L185" i="67"/>
  <c r="N185" i="67"/>
  <c r="O185" i="67"/>
  <c r="P185" i="67"/>
  <c r="K413" i="67"/>
  <c r="P412" i="67"/>
  <c r="L410" i="67"/>
  <c r="N409" i="67"/>
  <c r="P405" i="67"/>
  <c r="L404" i="67"/>
  <c r="M403" i="67"/>
  <c r="K402" i="67"/>
  <c r="M401" i="67"/>
  <c r="Q400" i="67"/>
  <c r="P398" i="67"/>
  <c r="O397" i="67"/>
  <c r="G397" i="67"/>
  <c r="J396" i="67"/>
  <c r="J395" i="67"/>
  <c r="G394" i="67"/>
  <c r="L393" i="67"/>
  <c r="N392" i="67"/>
  <c r="O390" i="67"/>
  <c r="P389" i="67"/>
  <c r="L388" i="67"/>
  <c r="J387" i="67"/>
  <c r="G386" i="67"/>
  <c r="L385" i="67"/>
  <c r="N384" i="67"/>
  <c r="N382" i="67"/>
  <c r="I380" i="67"/>
  <c r="I377" i="67"/>
  <c r="H374" i="67"/>
  <c r="L373" i="67"/>
  <c r="P372" i="67"/>
  <c r="N370" i="67"/>
  <c r="Q365" i="67"/>
  <c r="H365" i="67"/>
  <c r="L364" i="67"/>
  <c r="M363" i="67"/>
  <c r="K362" i="67"/>
  <c r="M361" i="67"/>
  <c r="Q360" i="67"/>
  <c r="P358" i="67"/>
  <c r="I356" i="67"/>
  <c r="G355" i="67"/>
  <c r="K353" i="67"/>
  <c r="I352" i="67"/>
  <c r="N350" i="67"/>
  <c r="Q349" i="67"/>
  <c r="H349" i="67"/>
  <c r="J348" i="67"/>
  <c r="I345" i="67"/>
  <c r="L342" i="67"/>
  <c r="K339" i="67"/>
  <c r="L338" i="67"/>
  <c r="H334" i="67"/>
  <c r="M333" i="67"/>
  <c r="N332" i="67"/>
  <c r="J331" i="67"/>
  <c r="H330" i="67"/>
  <c r="M329" i="67"/>
  <c r="Q328" i="67"/>
  <c r="J323" i="67"/>
  <c r="N317" i="67"/>
  <c r="Q316" i="67"/>
  <c r="H316" i="67"/>
  <c r="P313" i="67"/>
  <c r="Q312" i="67"/>
  <c r="H312" i="67"/>
  <c r="K309" i="67"/>
  <c r="N306" i="67"/>
  <c r="N305" i="67"/>
  <c r="H301" i="67"/>
  <c r="L300" i="67"/>
  <c r="M299" i="67"/>
  <c r="H298" i="67"/>
  <c r="K298" i="67"/>
  <c r="M297" i="67"/>
  <c r="L297" i="67"/>
  <c r="K252" i="67"/>
  <c r="I252" i="67"/>
  <c r="O252" i="67"/>
  <c r="I248" i="67"/>
  <c r="H248" i="67"/>
  <c r="M248" i="67"/>
  <c r="P248" i="67"/>
  <c r="Q248" i="67"/>
  <c r="J200" i="67"/>
  <c r="G200" i="67"/>
  <c r="P200" i="67"/>
  <c r="H200" i="67"/>
  <c r="Q200" i="67"/>
  <c r="I200" i="67"/>
  <c r="K200" i="67"/>
  <c r="L200" i="67"/>
  <c r="M200" i="67"/>
  <c r="N200" i="67"/>
  <c r="H194" i="67"/>
  <c r="G194" i="67"/>
  <c r="I194" i="67"/>
  <c r="J194" i="67"/>
  <c r="K194" i="67"/>
  <c r="M194" i="67"/>
  <c r="N194" i="67"/>
  <c r="O194" i="67"/>
  <c r="G143" i="67"/>
  <c r="O143" i="67"/>
  <c r="H143" i="67"/>
  <c r="L143" i="67"/>
  <c r="I143" i="67"/>
  <c r="J143" i="67"/>
  <c r="K143" i="67"/>
  <c r="M143" i="67"/>
  <c r="N143" i="67"/>
  <c r="P143" i="67"/>
  <c r="Q143" i="67"/>
  <c r="H58" i="67"/>
  <c r="P58" i="67"/>
  <c r="I58" i="67"/>
  <c r="Q58" i="67"/>
  <c r="J58" i="67"/>
  <c r="K58" i="67"/>
  <c r="L58" i="67"/>
  <c r="M58" i="67"/>
  <c r="G58" i="67"/>
  <c r="N58" i="67"/>
  <c r="O58" i="67"/>
  <c r="K461" i="67"/>
  <c r="N458" i="67"/>
  <c r="O454" i="67"/>
  <c r="I447" i="67"/>
  <c r="N445" i="67"/>
  <c r="O444" i="67"/>
  <c r="P438" i="67"/>
  <c r="P430" i="67"/>
  <c r="J413" i="67"/>
  <c r="N412" i="67"/>
  <c r="K410" i="67"/>
  <c r="M409" i="67"/>
  <c r="P406" i="67"/>
  <c r="J403" i="67"/>
  <c r="N400" i="67"/>
  <c r="I396" i="67"/>
  <c r="K393" i="67"/>
  <c r="N390" i="67"/>
  <c r="K385" i="67"/>
  <c r="K373" i="67"/>
  <c r="N372" i="67"/>
  <c r="O371" i="67"/>
  <c r="J363" i="67"/>
  <c r="J339" i="67"/>
  <c r="G334" i="67"/>
  <c r="M332" i="67"/>
  <c r="G331" i="67"/>
  <c r="G330" i="67"/>
  <c r="N328" i="67"/>
  <c r="I320" i="67"/>
  <c r="L317" i="67"/>
  <c r="P316" i="67"/>
  <c r="G316" i="67"/>
  <c r="O314" i="67"/>
  <c r="O313" i="67"/>
  <c r="P312" i="67"/>
  <c r="G312" i="67"/>
  <c r="N310" i="67"/>
  <c r="J309" i="67"/>
  <c r="K306" i="67"/>
  <c r="L305" i="67"/>
  <c r="K300" i="67"/>
  <c r="J299" i="67"/>
  <c r="J292" i="67"/>
  <c r="H292" i="67"/>
  <c r="Q292" i="67"/>
  <c r="I292" i="67"/>
  <c r="K292" i="67"/>
  <c r="L292" i="67"/>
  <c r="L413" i="67"/>
  <c r="Q412" i="67"/>
  <c r="V472" i="67"/>
  <c r="L461" i="67"/>
  <c r="O458" i="67"/>
  <c r="J447" i="67"/>
  <c r="O445" i="67"/>
  <c r="T472" i="67"/>
  <c r="I461" i="67"/>
  <c r="K458" i="67"/>
  <c r="I456" i="67"/>
  <c r="N454" i="67"/>
  <c r="N452" i="67"/>
  <c r="H449" i="67"/>
  <c r="M448" i="67"/>
  <c r="H447" i="67"/>
  <c r="L445" i="67"/>
  <c r="N444" i="67"/>
  <c r="Q443" i="67"/>
  <c r="N438" i="67"/>
  <c r="N437" i="67"/>
  <c r="K435" i="67"/>
  <c r="M434" i="67"/>
  <c r="P432" i="67"/>
  <c r="N430" i="67"/>
  <c r="N429" i="67"/>
  <c r="K427" i="67"/>
  <c r="M426" i="67"/>
  <c r="P424" i="67"/>
  <c r="Q413" i="67"/>
  <c r="I413" i="67"/>
  <c r="M412" i="67"/>
  <c r="N411" i="67"/>
  <c r="G410" i="67"/>
  <c r="L409" i="67"/>
  <c r="N408" i="67"/>
  <c r="N406" i="67"/>
  <c r="I404" i="67"/>
  <c r="G403" i="67"/>
  <c r="K401" i="67"/>
  <c r="I400" i="67"/>
  <c r="K398" i="67"/>
  <c r="M397" i="67"/>
  <c r="H396" i="67"/>
  <c r="I393" i="67"/>
  <c r="K390" i="67"/>
  <c r="I388" i="67"/>
  <c r="I385" i="67"/>
  <c r="H382" i="67"/>
  <c r="O378" i="67"/>
  <c r="P377" i="67"/>
  <c r="G377" i="67"/>
  <c r="N375" i="67"/>
  <c r="I373" i="67"/>
  <c r="M372" i="67"/>
  <c r="N371" i="67"/>
  <c r="K370" i="67"/>
  <c r="Q368" i="67"/>
  <c r="I364" i="67"/>
  <c r="G363" i="67"/>
  <c r="I360" i="67"/>
  <c r="Q353" i="67"/>
  <c r="H353" i="67"/>
  <c r="K350" i="67"/>
  <c r="O346" i="67"/>
  <c r="P345" i="67"/>
  <c r="G345" i="67"/>
  <c r="N343" i="67"/>
  <c r="G339" i="67"/>
  <c r="Q336" i="67"/>
  <c r="J332" i="67"/>
  <c r="I328" i="67"/>
  <c r="K317" i="67"/>
  <c r="N314" i="67"/>
  <c r="N313" i="67"/>
  <c r="N307" i="67"/>
  <c r="K305" i="67"/>
  <c r="I301" i="67"/>
  <c r="J301" i="67"/>
  <c r="I300" i="67"/>
  <c r="M273" i="67"/>
  <c r="G273" i="67"/>
  <c r="K273" i="67"/>
  <c r="L273" i="67"/>
  <c r="N273" i="67"/>
  <c r="O273" i="67"/>
  <c r="G239" i="67"/>
  <c r="K239" i="67"/>
  <c r="M239" i="67"/>
  <c r="O239" i="67"/>
  <c r="Q239" i="67"/>
  <c r="J193" i="67"/>
  <c r="G193" i="67"/>
  <c r="H193" i="67"/>
  <c r="L193" i="67"/>
  <c r="N193" i="67"/>
  <c r="O193" i="67"/>
  <c r="P193" i="67"/>
  <c r="J171" i="67"/>
  <c r="N171" i="67"/>
  <c r="G27" i="67"/>
  <c r="J27" i="67"/>
  <c r="M27" i="67"/>
  <c r="N27" i="67"/>
  <c r="P27" i="67"/>
  <c r="H27" i="67"/>
  <c r="O409" i="67"/>
  <c r="M393" i="67"/>
  <c r="Q372" i="67"/>
  <c r="Q461" i="67"/>
  <c r="H461" i="67"/>
  <c r="N459" i="67"/>
  <c r="H458" i="67"/>
  <c r="P413" i="67"/>
  <c r="H413" i="67"/>
  <c r="L412" i="67"/>
  <c r="K409" i="67"/>
  <c r="K406" i="67"/>
  <c r="Q393" i="67"/>
  <c r="H393" i="67"/>
  <c r="H390" i="67"/>
  <c r="Q385" i="67"/>
  <c r="H385" i="67"/>
  <c r="N378" i="67"/>
  <c r="Q373" i="67"/>
  <c r="H373" i="67"/>
  <c r="L372" i="67"/>
  <c r="J371" i="67"/>
  <c r="N368" i="67"/>
  <c r="N346" i="67"/>
  <c r="N336" i="67"/>
  <c r="M307" i="67"/>
  <c r="H305" i="67"/>
  <c r="H300" i="67"/>
  <c r="H256" i="67"/>
  <c r="J256" i="67"/>
  <c r="P256" i="67"/>
  <c r="J241" i="67"/>
  <c r="G241" i="67"/>
  <c r="P241" i="67"/>
  <c r="H241" i="67"/>
  <c r="Q241" i="67"/>
  <c r="I241" i="67"/>
  <c r="K241" i="67"/>
  <c r="L241" i="67"/>
  <c r="M241" i="67"/>
  <c r="N241" i="67"/>
  <c r="N413" i="67"/>
  <c r="K454" i="67"/>
  <c r="K445" i="67"/>
  <c r="O462" i="67"/>
  <c r="P461" i="67"/>
  <c r="G461" i="67"/>
  <c r="K459" i="67"/>
  <c r="G458" i="67"/>
  <c r="G454" i="67"/>
  <c r="L452" i="67"/>
  <c r="P451" i="67"/>
  <c r="K448" i="67"/>
  <c r="P447" i="67"/>
  <c r="G445" i="67"/>
  <c r="K444" i="67"/>
  <c r="O441" i="67"/>
  <c r="L438" i="67"/>
  <c r="N432" i="67"/>
  <c r="L430" i="67"/>
  <c r="N424" i="67"/>
  <c r="O413" i="67"/>
  <c r="G413" i="67"/>
  <c r="J412" i="67"/>
  <c r="I409" i="67"/>
  <c r="H406" i="67"/>
  <c r="K397" i="67"/>
  <c r="P396" i="67"/>
  <c r="O394" i="67"/>
  <c r="P393" i="67"/>
  <c r="G393" i="67"/>
  <c r="N391" i="67"/>
  <c r="G390" i="67"/>
  <c r="O386" i="67"/>
  <c r="P385" i="67"/>
  <c r="G385" i="67"/>
  <c r="N383" i="67"/>
  <c r="L378" i="67"/>
  <c r="N377" i="67"/>
  <c r="P373" i="67"/>
  <c r="G373" i="67"/>
  <c r="J372" i="67"/>
  <c r="G371" i="67"/>
  <c r="I368" i="67"/>
  <c r="N356" i="67"/>
  <c r="O355" i="67"/>
  <c r="L346" i="67"/>
  <c r="N345" i="67"/>
  <c r="I336" i="67"/>
  <c r="N334" i="67"/>
  <c r="Q333" i="67"/>
  <c r="H333" i="67"/>
  <c r="P330" i="67"/>
  <c r="Q329" i="67"/>
  <c r="H329" i="67"/>
  <c r="K326" i="67"/>
  <c r="N322" i="67"/>
  <c r="N321" i="67"/>
  <c r="H317" i="67"/>
  <c r="M316" i="67"/>
  <c r="N315" i="67"/>
  <c r="J314" i="67"/>
  <c r="H313" i="67"/>
  <c r="M312" i="67"/>
  <c r="Q311" i="67"/>
  <c r="J307" i="67"/>
  <c r="G305" i="67"/>
  <c r="Q300" i="67"/>
  <c r="I291" i="67"/>
  <c r="H291" i="67"/>
  <c r="J291" i="67"/>
  <c r="M291" i="67"/>
  <c r="N291" i="67"/>
  <c r="M281" i="67"/>
  <c r="G281" i="67"/>
  <c r="H281" i="67"/>
  <c r="K281" i="67"/>
  <c r="L281" i="67"/>
  <c r="N281" i="67"/>
  <c r="O281" i="67"/>
  <c r="P281" i="67"/>
  <c r="G238" i="67"/>
  <c r="H238" i="67"/>
  <c r="J238" i="67"/>
  <c r="K238" i="67"/>
  <c r="L238" i="67"/>
  <c r="N238" i="67"/>
  <c r="P238" i="67"/>
  <c r="J183" i="67"/>
  <c r="N183" i="67"/>
  <c r="J162" i="67"/>
  <c r="N162" i="67"/>
  <c r="K346" i="67"/>
  <c r="M315" i="67"/>
  <c r="N311" i="67"/>
  <c r="J300" i="67"/>
  <c r="N300" i="67"/>
  <c r="J216" i="67"/>
  <c r="G216" i="67"/>
  <c r="P216" i="67"/>
  <c r="H216" i="67"/>
  <c r="Q216" i="67"/>
  <c r="I216" i="67"/>
  <c r="K216" i="67"/>
  <c r="L216" i="67"/>
  <c r="M216" i="67"/>
  <c r="N216" i="67"/>
  <c r="H210" i="67"/>
  <c r="G210" i="67"/>
  <c r="I210" i="67"/>
  <c r="J210" i="67"/>
  <c r="K210" i="67"/>
  <c r="M210" i="67"/>
  <c r="N210" i="67"/>
  <c r="O210" i="67"/>
  <c r="M186" i="67"/>
  <c r="G186" i="67"/>
  <c r="I186" i="67"/>
  <c r="J186" i="67"/>
  <c r="K186" i="67"/>
  <c r="N186" i="67"/>
  <c r="O186" i="67"/>
  <c r="Q186" i="67"/>
  <c r="K378" i="67"/>
  <c r="I372" i="67"/>
  <c r="L462" i="67"/>
  <c r="N461" i="67"/>
  <c r="N456" i="67"/>
  <c r="N455" i="67"/>
  <c r="I452" i="67"/>
  <c r="M451" i="67"/>
  <c r="P449" i="67"/>
  <c r="Q448" i="67"/>
  <c r="M447" i="67"/>
  <c r="H444" i="67"/>
  <c r="K441" i="67"/>
  <c r="I438" i="67"/>
  <c r="N433" i="67"/>
  <c r="J432" i="67"/>
  <c r="I430" i="67"/>
  <c r="N425" i="67"/>
  <c r="J424" i="67"/>
  <c r="H412" i="67"/>
  <c r="O410" i="67"/>
  <c r="P409" i="67"/>
  <c r="G409" i="67"/>
  <c r="N407" i="67"/>
  <c r="N404" i="67"/>
  <c r="O403" i="67"/>
  <c r="Q397" i="67"/>
  <c r="M396" i="67"/>
  <c r="L394" i="67"/>
  <c r="N393" i="67"/>
  <c r="N388" i="67"/>
  <c r="L386" i="67"/>
  <c r="N385" i="67"/>
  <c r="L380" i="67"/>
  <c r="G378" i="67"/>
  <c r="L377" i="67"/>
  <c r="N374" i="67"/>
  <c r="N373" i="67"/>
  <c r="H372" i="67"/>
  <c r="K365" i="67"/>
  <c r="N364" i="67"/>
  <c r="O363" i="67"/>
  <c r="N362" i="67"/>
  <c r="L356" i="67"/>
  <c r="M355" i="67"/>
  <c r="M353" i="67"/>
  <c r="Q352" i="67"/>
  <c r="G346" i="67"/>
  <c r="L345" i="67"/>
  <c r="O339" i="67"/>
  <c r="K334" i="67"/>
  <c r="N331" i="67"/>
  <c r="N330" i="67"/>
  <c r="N323" i="67"/>
  <c r="J315" i="67"/>
  <c r="I311" i="67"/>
  <c r="P305" i="67"/>
  <c r="O300" i="67"/>
  <c r="M265" i="67"/>
  <c r="G265" i="67"/>
  <c r="K265" i="67"/>
  <c r="L265" i="67"/>
  <c r="N265" i="67"/>
  <c r="O265" i="67"/>
  <c r="G50" i="67"/>
  <c r="O50" i="67"/>
  <c r="H50" i="67"/>
  <c r="P50" i="67"/>
  <c r="I50" i="67"/>
  <c r="Q50" i="67"/>
  <c r="J50" i="67"/>
  <c r="K50" i="67"/>
  <c r="L50" i="67"/>
  <c r="M50" i="67"/>
  <c r="N50" i="67"/>
  <c r="P284" i="67"/>
  <c r="G284" i="67"/>
  <c r="I279" i="67"/>
  <c r="I271" i="67"/>
  <c r="I263" i="67"/>
  <c r="N254" i="67"/>
  <c r="I251" i="67"/>
  <c r="P249" i="67"/>
  <c r="G249" i="67"/>
  <c r="H246" i="67"/>
  <c r="L245" i="67"/>
  <c r="Q244" i="67"/>
  <c r="H240" i="67"/>
  <c r="J237" i="67"/>
  <c r="I235" i="67"/>
  <c r="Q233" i="67"/>
  <c r="H233" i="67"/>
  <c r="I227" i="67"/>
  <c r="H226" i="67"/>
  <c r="M225" i="67"/>
  <c r="Q224" i="67"/>
  <c r="M219" i="67"/>
  <c r="P213" i="67"/>
  <c r="K206" i="67"/>
  <c r="H205" i="67"/>
  <c r="L204" i="67"/>
  <c r="J203" i="67"/>
  <c r="P197" i="67"/>
  <c r="I192" i="67"/>
  <c r="P189" i="67"/>
  <c r="Q188" i="67"/>
  <c r="I184" i="67"/>
  <c r="N181" i="67"/>
  <c r="P180" i="67"/>
  <c r="H180" i="67"/>
  <c r="O178" i="67"/>
  <c r="P177" i="67"/>
  <c r="Q176" i="67"/>
  <c r="H176" i="67"/>
  <c r="O174" i="67"/>
  <c r="N173" i="67"/>
  <c r="Q172" i="67"/>
  <c r="K166" i="67"/>
  <c r="I165" i="67"/>
  <c r="H156" i="67"/>
  <c r="P152" i="67"/>
  <c r="P151" i="67"/>
  <c r="G151" i="67"/>
  <c r="N149" i="67"/>
  <c r="I145" i="67"/>
  <c r="G145" i="67"/>
  <c r="H138" i="67"/>
  <c r="K137" i="67"/>
  <c r="Q137" i="67"/>
  <c r="M137" i="67"/>
  <c r="K128" i="67"/>
  <c r="G128" i="67"/>
  <c r="I128" i="67"/>
  <c r="J128" i="67"/>
  <c r="L128" i="67"/>
  <c r="O128" i="67"/>
  <c r="H85" i="67"/>
  <c r="L85" i="67"/>
  <c r="N85" i="67"/>
  <c r="P85" i="67"/>
  <c r="H18" i="67"/>
  <c r="P18" i="67"/>
  <c r="I18" i="67"/>
  <c r="Q18" i="67"/>
  <c r="J18" i="67"/>
  <c r="K18" i="67"/>
  <c r="L18" i="67"/>
  <c r="M18" i="67"/>
  <c r="M254" i="67"/>
  <c r="G227" i="67"/>
  <c r="G226" i="67"/>
  <c r="L225" i="67"/>
  <c r="N224" i="67"/>
  <c r="J220" i="67"/>
  <c r="N213" i="67"/>
  <c r="K204" i="67"/>
  <c r="N197" i="67"/>
  <c r="N189" i="67"/>
  <c r="O182" i="67"/>
  <c r="L181" i="67"/>
  <c r="O180" i="67"/>
  <c r="G180" i="67"/>
  <c r="N178" i="67"/>
  <c r="O177" i="67"/>
  <c r="L173" i="67"/>
  <c r="J164" i="67"/>
  <c r="O164" i="67"/>
  <c r="N152" i="67"/>
  <c r="M149" i="67"/>
  <c r="H139" i="67"/>
  <c r="G139" i="67"/>
  <c r="L139" i="67"/>
  <c r="J130" i="67"/>
  <c r="K130" i="67"/>
  <c r="L130" i="67"/>
  <c r="M130" i="67"/>
  <c r="G130" i="67"/>
  <c r="O130" i="67"/>
  <c r="J126" i="67"/>
  <c r="L126" i="67"/>
  <c r="N126" i="67"/>
  <c r="O126" i="67"/>
  <c r="P126" i="67"/>
  <c r="G126" i="67"/>
  <c r="G122" i="67"/>
  <c r="O122" i="67"/>
  <c r="H122" i="67"/>
  <c r="P122" i="67"/>
  <c r="I122" i="67"/>
  <c r="Q122" i="67"/>
  <c r="J122" i="67"/>
  <c r="L122" i="67"/>
  <c r="G112" i="67"/>
  <c r="J112" i="67"/>
  <c r="L112" i="67"/>
  <c r="M112" i="67"/>
  <c r="O112" i="67"/>
  <c r="H64" i="67"/>
  <c r="I64" i="67"/>
  <c r="L64" i="67"/>
  <c r="M64" i="67"/>
  <c r="N64" i="67"/>
  <c r="O64" i="67"/>
  <c r="Q64" i="67"/>
  <c r="L31" i="67"/>
  <c r="N31" i="67"/>
  <c r="Q31" i="67"/>
  <c r="G10" i="67"/>
  <c r="O10" i="67"/>
  <c r="H10" i="67"/>
  <c r="P10" i="67"/>
  <c r="I10" i="67"/>
  <c r="Q10" i="67"/>
  <c r="J10" i="67"/>
  <c r="K10" i="67"/>
  <c r="L10" i="67"/>
  <c r="N284" i="67"/>
  <c r="K261" i="67"/>
  <c r="N255" i="67"/>
  <c r="L254" i="67"/>
  <c r="N249" i="67"/>
  <c r="J245" i="67"/>
  <c r="M244" i="67"/>
  <c r="N243" i="67"/>
  <c r="P240" i="67"/>
  <c r="K225" i="67"/>
  <c r="J224" i="67"/>
  <c r="L213" i="67"/>
  <c r="J204" i="67"/>
  <c r="L197" i="67"/>
  <c r="O190" i="67"/>
  <c r="L189" i="67"/>
  <c r="N182" i="67"/>
  <c r="K181" i="67"/>
  <c r="K178" i="67"/>
  <c r="N177" i="67"/>
  <c r="K173" i="67"/>
  <c r="I166" i="67"/>
  <c r="O166" i="67"/>
  <c r="H165" i="67"/>
  <c r="M165" i="67"/>
  <c r="J156" i="67"/>
  <c r="N156" i="67"/>
  <c r="L152" i="67"/>
  <c r="N151" i="67"/>
  <c r="J149" i="67"/>
  <c r="L138" i="67"/>
  <c r="M138" i="67"/>
  <c r="I138" i="67"/>
  <c r="Q138" i="67"/>
  <c r="P135" i="67"/>
  <c r="H285" i="67"/>
  <c r="M284" i="67"/>
  <c r="Q283" i="67"/>
  <c r="O264" i="67"/>
  <c r="G264" i="67"/>
  <c r="N262" i="67"/>
  <c r="J261" i="67"/>
  <c r="N260" i="67"/>
  <c r="J255" i="67"/>
  <c r="J254" i="67"/>
  <c r="N251" i="67"/>
  <c r="H250" i="67"/>
  <c r="M249" i="67"/>
  <c r="Q245" i="67"/>
  <c r="I245" i="67"/>
  <c r="L244" i="67"/>
  <c r="M243" i="67"/>
  <c r="N240" i="67"/>
  <c r="O237" i="67"/>
  <c r="O235" i="67"/>
  <c r="N233" i="67"/>
  <c r="N230" i="67"/>
  <c r="P229" i="67"/>
  <c r="O227" i="67"/>
  <c r="I225" i="67"/>
  <c r="N221" i="67"/>
  <c r="P220" i="67"/>
  <c r="O214" i="67"/>
  <c r="K213" i="67"/>
  <c r="P205" i="67"/>
  <c r="Q204" i="67"/>
  <c r="I204" i="67"/>
  <c r="O198" i="67"/>
  <c r="K197" i="67"/>
  <c r="N190" i="67"/>
  <c r="K189" i="67"/>
  <c r="K182" i="67"/>
  <c r="J181" i="67"/>
  <c r="M180" i="67"/>
  <c r="J178" i="67"/>
  <c r="L177" i="67"/>
  <c r="N176" i="67"/>
  <c r="G174" i="67"/>
  <c r="J173" i="67"/>
  <c r="J168" i="67"/>
  <c r="K168" i="67"/>
  <c r="Q165" i="67"/>
  <c r="J163" i="67"/>
  <c r="G163" i="67"/>
  <c r="P163" i="67"/>
  <c r="G160" i="67"/>
  <c r="K160" i="67"/>
  <c r="H157" i="67"/>
  <c r="K157" i="67"/>
  <c r="O153" i="67"/>
  <c r="K152" i="67"/>
  <c r="M151" i="67"/>
  <c r="I149" i="67"/>
  <c r="N144" i="67"/>
  <c r="N142" i="67"/>
  <c r="P138" i="67"/>
  <c r="O135" i="67"/>
  <c r="I63" i="67"/>
  <c r="J63" i="67"/>
  <c r="L63" i="67"/>
  <c r="N63" i="67"/>
  <c r="Q63" i="67"/>
  <c r="I33" i="67"/>
  <c r="G33" i="67"/>
  <c r="H33" i="67"/>
  <c r="J33" i="67"/>
  <c r="L33" i="67"/>
  <c r="N33" i="67"/>
  <c r="O33" i="67"/>
  <c r="G285" i="67"/>
  <c r="L284" i="67"/>
  <c r="N283" i="67"/>
  <c r="M276" i="67"/>
  <c r="Q275" i="67"/>
  <c r="O274" i="67"/>
  <c r="H269" i="67"/>
  <c r="M268" i="67"/>
  <c r="Q267" i="67"/>
  <c r="O266" i="67"/>
  <c r="H261" i="67"/>
  <c r="O258" i="67"/>
  <c r="H254" i="67"/>
  <c r="M251" i="67"/>
  <c r="L249" i="67"/>
  <c r="P245" i="67"/>
  <c r="H245" i="67"/>
  <c r="J244" i="67"/>
  <c r="K243" i="67"/>
  <c r="M240" i="67"/>
  <c r="N235" i="67"/>
  <c r="N234" i="67"/>
  <c r="M233" i="67"/>
  <c r="N227" i="67"/>
  <c r="P226" i="67"/>
  <c r="Q225" i="67"/>
  <c r="H225" i="67"/>
  <c r="N214" i="67"/>
  <c r="J213" i="67"/>
  <c r="P204" i="67"/>
  <c r="H204" i="67"/>
  <c r="N198" i="67"/>
  <c r="J197" i="67"/>
  <c r="K190" i="67"/>
  <c r="J189" i="67"/>
  <c r="G182" i="67"/>
  <c r="H181" i="67"/>
  <c r="J179" i="67"/>
  <c r="I178" i="67"/>
  <c r="H177" i="67"/>
  <c r="M176" i="67"/>
  <c r="H173" i="67"/>
  <c r="O165" i="67"/>
  <c r="P164" i="67"/>
  <c r="I161" i="67"/>
  <c r="N161" i="67"/>
  <c r="K151" i="67"/>
  <c r="H150" i="67"/>
  <c r="N150" i="67"/>
  <c r="J148" i="67"/>
  <c r="N148" i="67"/>
  <c r="O138" i="67"/>
  <c r="P137" i="67"/>
  <c r="Q130" i="67"/>
  <c r="M127" i="67"/>
  <c r="I127" i="67"/>
  <c r="K127" i="67"/>
  <c r="L127" i="67"/>
  <c r="N127" i="67"/>
  <c r="P127" i="67"/>
  <c r="H123" i="67"/>
  <c r="L123" i="67"/>
  <c r="N123" i="67"/>
  <c r="O123" i="67"/>
  <c r="P123" i="67"/>
  <c r="G123" i="67"/>
  <c r="K121" i="67"/>
  <c r="H121" i="67"/>
  <c r="J121" i="67"/>
  <c r="L121" i="67"/>
  <c r="M121" i="67"/>
  <c r="Q121" i="67"/>
  <c r="G97" i="67"/>
  <c r="H97" i="67"/>
  <c r="L97" i="67"/>
  <c r="N97" i="67"/>
  <c r="O97" i="67"/>
  <c r="H88" i="67"/>
  <c r="G88" i="67"/>
  <c r="I88" i="67"/>
  <c r="K88" i="67"/>
  <c r="L88" i="67"/>
  <c r="M88" i="67"/>
  <c r="N88" i="67"/>
  <c r="L288" i="67"/>
  <c r="Q287" i="67"/>
  <c r="K284" i="67"/>
  <c r="M283" i="67"/>
  <c r="G277" i="67"/>
  <c r="L276" i="67"/>
  <c r="N275" i="67"/>
  <c r="N274" i="67"/>
  <c r="M272" i="67"/>
  <c r="G269" i="67"/>
  <c r="L268" i="67"/>
  <c r="N267" i="67"/>
  <c r="N266" i="67"/>
  <c r="M264" i="67"/>
  <c r="G261" i="67"/>
  <c r="L260" i="67"/>
  <c r="N259" i="67"/>
  <c r="N258" i="67"/>
  <c r="G254" i="67"/>
  <c r="K249" i="67"/>
  <c r="P246" i="67"/>
  <c r="O245" i="67"/>
  <c r="H244" i="67"/>
  <c r="M235" i="67"/>
  <c r="L234" i="67"/>
  <c r="L233" i="67"/>
  <c r="K230" i="67"/>
  <c r="M227" i="67"/>
  <c r="O226" i="67"/>
  <c r="P225" i="67"/>
  <c r="G225" i="67"/>
  <c r="K221" i="67"/>
  <c r="K214" i="67"/>
  <c r="H213" i="67"/>
  <c r="Q207" i="67"/>
  <c r="O204" i="67"/>
  <c r="K198" i="67"/>
  <c r="H197" i="67"/>
  <c r="G190" i="67"/>
  <c r="H189" i="67"/>
  <c r="J187" i="67"/>
  <c r="G152" i="67"/>
  <c r="H152" i="67"/>
  <c r="H149" i="67"/>
  <c r="K149" i="67"/>
  <c r="M135" i="67"/>
  <c r="K135" i="67"/>
  <c r="J67" i="67"/>
  <c r="M67" i="67"/>
  <c r="N67" i="67"/>
  <c r="P67" i="67"/>
  <c r="O18" i="67"/>
  <c r="N287" i="67"/>
  <c r="O285" i="67"/>
  <c r="I284" i="67"/>
  <c r="J283" i="67"/>
  <c r="Q279" i="67"/>
  <c r="K276" i="67"/>
  <c r="M275" i="67"/>
  <c r="J274" i="67"/>
  <c r="Q271" i="67"/>
  <c r="K268" i="67"/>
  <c r="M267" i="67"/>
  <c r="J266" i="67"/>
  <c r="Q263" i="67"/>
  <c r="J258" i="67"/>
  <c r="I249" i="67"/>
  <c r="K165" i="67"/>
  <c r="L164" i="67"/>
  <c r="O156" i="67"/>
  <c r="I153" i="67"/>
  <c r="G153" i="67"/>
  <c r="I151" i="67"/>
  <c r="Q149" i="67"/>
  <c r="G144" i="67"/>
  <c r="L144" i="67"/>
  <c r="H144" i="67"/>
  <c r="J142" i="67"/>
  <c r="L142" i="67"/>
  <c r="M142" i="67"/>
  <c r="G142" i="67"/>
  <c r="Q142" i="67"/>
  <c r="K138" i="67"/>
  <c r="H133" i="67"/>
  <c r="P133" i="67"/>
  <c r="N130" i="67"/>
  <c r="H117" i="67"/>
  <c r="P117" i="67"/>
  <c r="M111" i="67"/>
  <c r="J111" i="67"/>
  <c r="K111" i="67"/>
  <c r="N111" i="67"/>
  <c r="O111" i="67"/>
  <c r="G111" i="67"/>
  <c r="Q111" i="67"/>
  <c r="J107" i="67"/>
  <c r="L107" i="67"/>
  <c r="M107" i="67"/>
  <c r="N107" i="67"/>
  <c r="H91" i="67"/>
  <c r="N91" i="67"/>
  <c r="H77" i="67"/>
  <c r="K77" i="67"/>
  <c r="L77" i="67"/>
  <c r="N77" i="67"/>
  <c r="P77" i="67"/>
  <c r="K69" i="67"/>
  <c r="L69" i="67"/>
  <c r="N69" i="67"/>
  <c r="P69" i="67"/>
  <c r="I65" i="67"/>
  <c r="G65" i="67"/>
  <c r="H65" i="67"/>
  <c r="J65" i="67"/>
  <c r="L65" i="67"/>
  <c r="M65" i="67"/>
  <c r="N65" i="67"/>
  <c r="K46" i="67"/>
  <c r="N46" i="67"/>
  <c r="Q46" i="67"/>
  <c r="N18" i="67"/>
  <c r="L136" i="67"/>
  <c r="K134" i="67"/>
  <c r="Q120" i="67"/>
  <c r="N119" i="67"/>
  <c r="O118" i="67"/>
  <c r="O116" i="67"/>
  <c r="L115" i="67"/>
  <c r="P114" i="67"/>
  <c r="H114" i="67"/>
  <c r="J106" i="67"/>
  <c r="I104" i="67"/>
  <c r="H84" i="67"/>
  <c r="P82" i="67"/>
  <c r="H82" i="67"/>
  <c r="N79" i="67"/>
  <c r="I52" i="67"/>
  <c r="J19" i="67"/>
  <c r="I12" i="67"/>
  <c r="I8" i="67"/>
  <c r="N4" i="67"/>
  <c r="N3" i="67"/>
  <c r="H92" i="67"/>
  <c r="P90" i="67"/>
  <c r="H90" i="67"/>
  <c r="Q84" i="67"/>
  <c r="G84" i="67"/>
  <c r="O82" i="67"/>
  <c r="G82" i="67"/>
  <c r="G73" i="67"/>
  <c r="Q68" i="67"/>
  <c r="Q60" i="67"/>
  <c r="I56" i="67"/>
  <c r="H52" i="67"/>
  <c r="O49" i="67"/>
  <c r="I48" i="67"/>
  <c r="M44" i="67"/>
  <c r="G41" i="67"/>
  <c r="J34" i="67"/>
  <c r="N30" i="67"/>
  <c r="Q28" i="67"/>
  <c r="Q26" i="67"/>
  <c r="L25" i="67"/>
  <c r="N24" i="67"/>
  <c r="I20" i="67"/>
  <c r="H19" i="67"/>
  <c r="P17" i="67"/>
  <c r="I16" i="67"/>
  <c r="H12" i="67"/>
  <c r="O9" i="67"/>
  <c r="Q8" i="67"/>
  <c r="G8" i="67"/>
  <c r="M4" i="67"/>
  <c r="M3" i="67"/>
  <c r="L120" i="67"/>
  <c r="G118" i="67"/>
  <c r="N108" i="67"/>
  <c r="P106" i="67"/>
  <c r="H106" i="67"/>
  <c r="P68" i="67"/>
  <c r="N49" i="67"/>
  <c r="P28" i="67"/>
  <c r="K4" i="67"/>
  <c r="J3" i="67"/>
  <c r="M108" i="67"/>
  <c r="O106" i="67"/>
  <c r="G106" i="67"/>
  <c r="M100" i="67"/>
  <c r="K98" i="67"/>
  <c r="M96" i="67"/>
  <c r="O84" i="67"/>
  <c r="M82" i="67"/>
  <c r="I80" i="67"/>
  <c r="N76" i="67"/>
  <c r="L74" i="67"/>
  <c r="P73" i="67"/>
  <c r="Q70" i="67"/>
  <c r="N68" i="67"/>
  <c r="N60" i="67"/>
  <c r="Q52" i="67"/>
  <c r="M49" i="67"/>
  <c r="I44" i="67"/>
  <c r="P41" i="67"/>
  <c r="P35" i="67"/>
  <c r="N28" i="67"/>
  <c r="L24" i="67"/>
  <c r="N17" i="67"/>
  <c r="Q12" i="67"/>
  <c r="N8" i="67"/>
  <c r="K5" i="67"/>
  <c r="I4" i="67"/>
  <c r="H3" i="67"/>
  <c r="P134" i="67"/>
  <c r="J129" i="67"/>
  <c r="P115" i="67"/>
  <c r="L114" i="67"/>
  <c r="M90" i="67"/>
  <c r="N84" i="67"/>
  <c r="N83" i="67"/>
  <c r="L82" i="67"/>
  <c r="P81" i="67"/>
  <c r="G80" i="67"/>
  <c r="Q78" i="67"/>
  <c r="M76" i="67"/>
  <c r="K74" i="67"/>
  <c r="O73" i="67"/>
  <c r="O70" i="67"/>
  <c r="M68" i="67"/>
  <c r="G62" i="67"/>
  <c r="M60" i="67"/>
  <c r="M57" i="67"/>
  <c r="O56" i="67"/>
  <c r="P52" i="67"/>
  <c r="P51" i="67"/>
  <c r="L49" i="67"/>
  <c r="N48" i="67"/>
  <c r="H44" i="67"/>
  <c r="K42" i="67"/>
  <c r="O41" i="67"/>
  <c r="Q40" i="67"/>
  <c r="G40" i="67"/>
  <c r="N36" i="67"/>
  <c r="N35" i="67"/>
  <c r="O34" i="67"/>
  <c r="M28" i="67"/>
  <c r="G25" i="67"/>
  <c r="K24" i="67"/>
  <c r="Q20" i="67"/>
  <c r="L17" i="67"/>
  <c r="N16" i="67"/>
  <c r="P12" i="67"/>
  <c r="M8" i="67"/>
  <c r="H4" i="67"/>
  <c r="O134" i="67"/>
  <c r="M104" i="67"/>
  <c r="I100" i="67"/>
  <c r="Q98" i="67"/>
  <c r="K96" i="67"/>
  <c r="P93" i="67"/>
  <c r="N92" i="67"/>
  <c r="M84" i="67"/>
  <c r="K76" i="67"/>
  <c r="N73" i="67"/>
  <c r="K68" i="67"/>
  <c r="K60" i="67"/>
  <c r="L57" i="67"/>
  <c r="N56" i="67"/>
  <c r="N55" i="67"/>
  <c r="N52" i="67"/>
  <c r="N51" i="67"/>
  <c r="J49" i="67"/>
  <c r="N41" i="67"/>
  <c r="P37" i="67"/>
  <c r="M36" i="67"/>
  <c r="M35" i="67"/>
  <c r="K28" i="67"/>
  <c r="J24" i="67"/>
  <c r="Q22" i="67"/>
  <c r="P20" i="67"/>
  <c r="P19" i="67"/>
  <c r="J17" i="67"/>
  <c r="M16" i="67"/>
  <c r="N15" i="67"/>
  <c r="N12" i="67"/>
  <c r="L8" i="67"/>
  <c r="J8" i="67"/>
  <c r="P4" i="67"/>
  <c r="P3" i="67"/>
  <c r="L49" i="52"/>
  <c r="G49" i="52"/>
  <c r="K49" i="52"/>
  <c r="J49" i="52"/>
  <c r="N49" i="52"/>
  <c r="K105" i="90"/>
  <c r="F105" i="90"/>
  <c r="G105" i="90"/>
  <c r="I105" i="90"/>
  <c r="E105" i="90"/>
  <c r="J102" i="90"/>
  <c r="J105" i="90" s="1"/>
  <c r="H105" i="90"/>
  <c r="D105" i="90"/>
  <c r="M116" i="91"/>
  <c r="M121" i="91" s="1"/>
  <c r="M51" i="81"/>
  <c r="G110" i="66"/>
  <c r="Y56" i="66"/>
  <c r="U52" i="66"/>
  <c r="Y53" i="66"/>
  <c r="U55" i="66"/>
  <c r="O49" i="66"/>
  <c r="J109" i="66"/>
  <c r="G115" i="66" s="1"/>
  <c r="N109" i="66"/>
  <c r="K115" i="66" s="1"/>
  <c r="F109" i="66"/>
  <c r="F49" i="66"/>
  <c r="W55" i="66"/>
  <c r="E110" i="66"/>
  <c r="V52" i="66"/>
  <c r="V55" i="66"/>
  <c r="U58" i="66"/>
  <c r="N49" i="66"/>
  <c r="E109" i="66"/>
  <c r="W53" i="66"/>
  <c r="X53" i="66"/>
  <c r="O110" i="65"/>
  <c r="G110" i="65"/>
  <c r="F110" i="65"/>
  <c r="J117" i="65"/>
  <c r="E49" i="65"/>
  <c r="W58" i="65"/>
  <c r="S55" i="65"/>
  <c r="I49" i="65"/>
  <c r="J49" i="65"/>
  <c r="E112" i="70"/>
  <c r="H111" i="70"/>
  <c r="E117" i="70" s="1"/>
  <c r="E119" i="70" s="1"/>
  <c r="J111" i="70"/>
  <c r="G117" i="70" s="1"/>
  <c r="K111" i="70"/>
  <c r="H117" i="70" s="1"/>
  <c r="H119" i="70" s="1"/>
  <c r="O111" i="70"/>
  <c r="L117" i="70" s="1"/>
  <c r="M51" i="70"/>
  <c r="M111" i="70"/>
  <c r="J117" i="70" s="1"/>
  <c r="N111" i="70"/>
  <c r="K117" i="70" s="1"/>
  <c r="L118" i="70"/>
  <c r="N112" i="70"/>
  <c r="K118" i="70" s="1"/>
  <c r="E51" i="70"/>
  <c r="X487" i="68"/>
  <c r="J462" i="67"/>
  <c r="L460" i="67"/>
  <c r="Q459" i="67"/>
  <c r="I459" i="67"/>
  <c r="M455" i="67"/>
  <c r="J454" i="67"/>
  <c r="L451" i="67"/>
  <c r="Q450" i="67"/>
  <c r="I450" i="67"/>
  <c r="M446" i="67"/>
  <c r="J445" i="67"/>
  <c r="L443" i="67"/>
  <c r="Q442" i="67"/>
  <c r="I442" i="67"/>
  <c r="M437" i="67"/>
  <c r="J436" i="67"/>
  <c r="L434" i="67"/>
  <c r="Q433" i="67"/>
  <c r="I433" i="67"/>
  <c r="M429" i="67"/>
  <c r="J428" i="67"/>
  <c r="L426" i="67"/>
  <c r="Q425" i="67"/>
  <c r="I425" i="67"/>
  <c r="Q415" i="67"/>
  <c r="I415" i="67"/>
  <c r="M411" i="67"/>
  <c r="J410" i="67"/>
  <c r="L408" i="67"/>
  <c r="Q407" i="67"/>
  <c r="I407" i="67"/>
  <c r="J402" i="67"/>
  <c r="L400" i="67"/>
  <c r="Q399" i="67"/>
  <c r="I399" i="67"/>
  <c r="J394" i="67"/>
  <c r="L392" i="67"/>
  <c r="Q391" i="67"/>
  <c r="I391" i="67"/>
  <c r="M387" i="67"/>
  <c r="J386" i="67"/>
  <c r="L384" i="67"/>
  <c r="Q383" i="67"/>
  <c r="I383" i="67"/>
  <c r="M379" i="67"/>
  <c r="J378" i="67"/>
  <c r="L376" i="67"/>
  <c r="Q375" i="67"/>
  <c r="I375" i="67"/>
  <c r="M371" i="67"/>
  <c r="J370" i="67"/>
  <c r="L368" i="67"/>
  <c r="Q367" i="67"/>
  <c r="I367" i="67"/>
  <c r="J362" i="67"/>
  <c r="L360" i="67"/>
  <c r="Q359" i="67"/>
  <c r="I359" i="67"/>
  <c r="J354" i="67"/>
  <c r="L352" i="67"/>
  <c r="Q351" i="67"/>
  <c r="I351" i="67"/>
  <c r="P348" i="67"/>
  <c r="H348" i="67"/>
  <c r="M347" i="67"/>
  <c r="J346" i="67"/>
  <c r="L344" i="67"/>
  <c r="Q343" i="67"/>
  <c r="I343" i="67"/>
  <c r="P340" i="67"/>
  <c r="H340" i="67"/>
  <c r="M339" i="67"/>
  <c r="J338" i="67"/>
  <c r="L336" i="67"/>
  <c r="Q335" i="67"/>
  <c r="I335" i="67"/>
  <c r="P332" i="67"/>
  <c r="H332" i="67"/>
  <c r="M331" i="67"/>
  <c r="J330" i="67"/>
  <c r="L328" i="67"/>
  <c r="Q327" i="67"/>
  <c r="I327" i="67"/>
  <c r="P323" i="67"/>
  <c r="H323" i="67"/>
  <c r="M322" i="67"/>
  <c r="J321" i="67"/>
  <c r="L319" i="67"/>
  <c r="Q318" i="67"/>
  <c r="I318" i="67"/>
  <c r="P315" i="67"/>
  <c r="H315" i="67"/>
  <c r="M314" i="67"/>
  <c r="J313" i="67"/>
  <c r="L311" i="67"/>
  <c r="Q310" i="67"/>
  <c r="I310" i="67"/>
  <c r="P307" i="67"/>
  <c r="H307" i="67"/>
  <c r="M306" i="67"/>
  <c r="J305" i="67"/>
  <c r="L303" i="67"/>
  <c r="Q302" i="67"/>
  <c r="I302" i="67"/>
  <c r="P299" i="67"/>
  <c r="H299" i="67"/>
  <c r="M298" i="67"/>
  <c r="J297" i="67"/>
  <c r="L295" i="67"/>
  <c r="Q294" i="67"/>
  <c r="I294" i="67"/>
  <c r="J289" i="67"/>
  <c r="L287" i="67"/>
  <c r="Q286" i="67"/>
  <c r="I286" i="67"/>
  <c r="P283" i="67"/>
  <c r="H283" i="67"/>
  <c r="M282" i="67"/>
  <c r="J281" i="67"/>
  <c r="L279" i="67"/>
  <c r="Q278" i="67"/>
  <c r="I278" i="67"/>
  <c r="P275" i="67"/>
  <c r="H275" i="67"/>
  <c r="M274" i="67"/>
  <c r="J273" i="67"/>
  <c r="L271" i="67"/>
  <c r="Q270" i="67"/>
  <c r="I270" i="67"/>
  <c r="P267" i="67"/>
  <c r="H267" i="67"/>
  <c r="M266" i="67"/>
  <c r="J265" i="67"/>
  <c r="L263" i="67"/>
  <c r="Q262" i="67"/>
  <c r="I262" i="67"/>
  <c r="P259" i="67"/>
  <c r="H259" i="67"/>
  <c r="M258" i="67"/>
  <c r="I257" i="67"/>
  <c r="M256" i="67"/>
  <c r="Q255" i="67"/>
  <c r="H255" i="67"/>
  <c r="M252" i="67"/>
  <c r="K248" i="67"/>
  <c r="N247" i="67"/>
  <c r="I246" i="67"/>
  <c r="Q246" i="67"/>
  <c r="M246" i="67"/>
  <c r="J242" i="67"/>
  <c r="I239" i="67"/>
  <c r="J232" i="67"/>
  <c r="K231" i="67"/>
  <c r="L224" i="67"/>
  <c r="M224" i="67"/>
  <c r="G224" i="67"/>
  <c r="O224" i="67"/>
  <c r="H224" i="67"/>
  <c r="P224" i="67"/>
  <c r="K224" i="67"/>
  <c r="H219" i="67"/>
  <c r="P219" i="67"/>
  <c r="I219" i="67"/>
  <c r="Q219" i="67"/>
  <c r="K219" i="67"/>
  <c r="L219" i="67"/>
  <c r="G219" i="67"/>
  <c r="O219" i="67"/>
  <c r="N215" i="67"/>
  <c r="N211" i="67"/>
  <c r="N199" i="67"/>
  <c r="N195" i="67"/>
  <c r="H171" i="67"/>
  <c r="P171" i="67"/>
  <c r="I171" i="67"/>
  <c r="Q171" i="67"/>
  <c r="K171" i="67"/>
  <c r="L171" i="67"/>
  <c r="M171" i="67"/>
  <c r="G171" i="67"/>
  <c r="O171" i="67"/>
  <c r="L162" i="67"/>
  <c r="M162" i="67"/>
  <c r="G162" i="67"/>
  <c r="O162" i="67"/>
  <c r="H162" i="67"/>
  <c r="P162" i="67"/>
  <c r="I162" i="67"/>
  <c r="Q162" i="67"/>
  <c r="K162" i="67"/>
  <c r="L154" i="67"/>
  <c r="M154" i="67"/>
  <c r="G154" i="67"/>
  <c r="O154" i="67"/>
  <c r="H154" i="67"/>
  <c r="P154" i="67"/>
  <c r="I154" i="67"/>
  <c r="Q154" i="67"/>
  <c r="J154" i="67"/>
  <c r="K154" i="67"/>
  <c r="Q462" i="67"/>
  <c r="I462" i="67"/>
  <c r="K460" i="67"/>
  <c r="P459" i="67"/>
  <c r="H459" i="67"/>
  <c r="M458" i="67"/>
  <c r="O456" i="67"/>
  <c r="G456" i="67"/>
  <c r="L455" i="67"/>
  <c r="Q454" i="67"/>
  <c r="I454" i="67"/>
  <c r="K451" i="67"/>
  <c r="P450" i="67"/>
  <c r="H450" i="67"/>
  <c r="M449" i="67"/>
  <c r="O447" i="67"/>
  <c r="G447" i="67"/>
  <c r="L446" i="67"/>
  <c r="Q445" i="67"/>
  <c r="I445" i="67"/>
  <c r="K443" i="67"/>
  <c r="P442" i="67"/>
  <c r="H442" i="67"/>
  <c r="M441" i="67"/>
  <c r="O438" i="67"/>
  <c r="G438" i="67"/>
  <c r="L437" i="67"/>
  <c r="Q436" i="67"/>
  <c r="I436" i="67"/>
  <c r="K434" i="67"/>
  <c r="P433" i="67"/>
  <c r="H433" i="67"/>
  <c r="M432" i="67"/>
  <c r="O430" i="67"/>
  <c r="G430" i="67"/>
  <c r="L429" i="67"/>
  <c r="Q428" i="67"/>
  <c r="I428" i="67"/>
  <c r="K426" i="67"/>
  <c r="P425" i="67"/>
  <c r="H425" i="67"/>
  <c r="M424" i="67"/>
  <c r="P415" i="67"/>
  <c r="H415" i="67"/>
  <c r="M414" i="67"/>
  <c r="O412" i="67"/>
  <c r="G412" i="67"/>
  <c r="L411" i="67"/>
  <c r="Q410" i="67"/>
  <c r="I410" i="67"/>
  <c r="K408" i="67"/>
  <c r="P407" i="67"/>
  <c r="H407" i="67"/>
  <c r="M406" i="67"/>
  <c r="O404" i="67"/>
  <c r="G404" i="67"/>
  <c r="L403" i="67"/>
  <c r="Q402" i="67"/>
  <c r="I402" i="67"/>
  <c r="K400" i="67"/>
  <c r="P399" i="67"/>
  <c r="H399" i="67"/>
  <c r="M398" i="67"/>
  <c r="O396" i="67"/>
  <c r="G396" i="67"/>
  <c r="L395" i="67"/>
  <c r="Q394" i="67"/>
  <c r="I394" i="67"/>
  <c r="K392" i="67"/>
  <c r="P391" i="67"/>
  <c r="H391" i="67"/>
  <c r="M390" i="67"/>
  <c r="O388" i="67"/>
  <c r="G388" i="67"/>
  <c r="L387" i="67"/>
  <c r="Q386" i="67"/>
  <c r="I386" i="67"/>
  <c r="K384" i="67"/>
  <c r="P383" i="67"/>
  <c r="H383" i="67"/>
  <c r="M382" i="67"/>
  <c r="O380" i="67"/>
  <c r="G380" i="67"/>
  <c r="L379" i="67"/>
  <c r="Q378" i="67"/>
  <c r="I378" i="67"/>
  <c r="K376" i="67"/>
  <c r="P375" i="67"/>
  <c r="H375" i="67"/>
  <c r="M374" i="67"/>
  <c r="O372" i="67"/>
  <c r="G372" i="67"/>
  <c r="L371" i="67"/>
  <c r="Q370" i="67"/>
  <c r="I370" i="67"/>
  <c r="K368" i="67"/>
  <c r="P367" i="67"/>
  <c r="H367" i="67"/>
  <c r="M366" i="67"/>
  <c r="O364" i="67"/>
  <c r="G364" i="67"/>
  <c r="L363" i="67"/>
  <c r="Q362" i="67"/>
  <c r="I362" i="67"/>
  <c r="K360" i="67"/>
  <c r="P359" i="67"/>
  <c r="H359" i="67"/>
  <c r="M358" i="67"/>
  <c r="O356" i="67"/>
  <c r="G356" i="67"/>
  <c r="L355" i="67"/>
  <c r="Q354" i="67"/>
  <c r="I354" i="67"/>
  <c r="K352" i="67"/>
  <c r="P351" i="67"/>
  <c r="H351" i="67"/>
  <c r="M350" i="67"/>
  <c r="O348" i="67"/>
  <c r="G348" i="67"/>
  <c r="L347" i="67"/>
  <c r="Q346" i="67"/>
  <c r="I346" i="67"/>
  <c r="K344" i="67"/>
  <c r="P343" i="67"/>
  <c r="H343" i="67"/>
  <c r="M342" i="67"/>
  <c r="O340" i="67"/>
  <c r="G340" i="67"/>
  <c r="L339" i="67"/>
  <c r="Q338" i="67"/>
  <c r="I338" i="67"/>
  <c r="K336" i="67"/>
  <c r="P335" i="67"/>
  <c r="H335" i="67"/>
  <c r="M334" i="67"/>
  <c r="O332" i="67"/>
  <c r="G332" i="67"/>
  <c r="L331" i="67"/>
  <c r="Q330" i="67"/>
  <c r="I330" i="67"/>
  <c r="K328" i="67"/>
  <c r="P327" i="67"/>
  <c r="H327" i="67"/>
  <c r="M326" i="67"/>
  <c r="O323" i="67"/>
  <c r="G323" i="67"/>
  <c r="L322" i="67"/>
  <c r="Q321" i="67"/>
  <c r="I321" i="67"/>
  <c r="K319" i="67"/>
  <c r="P318" i="67"/>
  <c r="H318" i="67"/>
  <c r="M317" i="67"/>
  <c r="O315" i="67"/>
  <c r="G315" i="67"/>
  <c r="L314" i="67"/>
  <c r="Q313" i="67"/>
  <c r="I313" i="67"/>
  <c r="K311" i="67"/>
  <c r="P310" i="67"/>
  <c r="H310" i="67"/>
  <c r="M309" i="67"/>
  <c r="O307" i="67"/>
  <c r="G307" i="67"/>
  <c r="L306" i="67"/>
  <c r="Q305" i="67"/>
  <c r="I305" i="67"/>
  <c r="K303" i="67"/>
  <c r="P302" i="67"/>
  <c r="H302" i="67"/>
  <c r="M301" i="67"/>
  <c r="O299" i="67"/>
  <c r="G299" i="67"/>
  <c r="L298" i="67"/>
  <c r="Q297" i="67"/>
  <c r="I297" i="67"/>
  <c r="K295" i="67"/>
  <c r="P294" i="67"/>
  <c r="H294" i="67"/>
  <c r="M293" i="67"/>
  <c r="O291" i="67"/>
  <c r="G291" i="67"/>
  <c r="L290" i="67"/>
  <c r="Q289" i="67"/>
  <c r="I289" i="67"/>
  <c r="K287" i="67"/>
  <c r="P286" i="67"/>
  <c r="H286" i="67"/>
  <c r="M285" i="67"/>
  <c r="O283" i="67"/>
  <c r="G283" i="67"/>
  <c r="L282" i="67"/>
  <c r="Q281" i="67"/>
  <c r="I281" i="67"/>
  <c r="K279" i="67"/>
  <c r="P278" i="67"/>
  <c r="H278" i="67"/>
  <c r="M277" i="67"/>
  <c r="O275" i="67"/>
  <c r="G275" i="67"/>
  <c r="L274" i="67"/>
  <c r="Q273" i="67"/>
  <c r="I273" i="67"/>
  <c r="K271" i="67"/>
  <c r="P270" i="67"/>
  <c r="H270" i="67"/>
  <c r="M269" i="67"/>
  <c r="O267" i="67"/>
  <c r="G267" i="67"/>
  <c r="L266" i="67"/>
  <c r="Q265" i="67"/>
  <c r="I265" i="67"/>
  <c r="K263" i="67"/>
  <c r="P262" i="67"/>
  <c r="H262" i="67"/>
  <c r="M261" i="67"/>
  <c r="O259" i="67"/>
  <c r="G259" i="67"/>
  <c r="L258" i="67"/>
  <c r="Q257" i="67"/>
  <c r="H257" i="67"/>
  <c r="L256" i="67"/>
  <c r="P255" i="67"/>
  <c r="G255" i="67"/>
  <c r="L252" i="67"/>
  <c r="H251" i="67"/>
  <c r="P251" i="67"/>
  <c r="J250" i="67"/>
  <c r="J248" i="67"/>
  <c r="M247" i="67"/>
  <c r="O246" i="67"/>
  <c r="N244" i="67"/>
  <c r="H243" i="67"/>
  <c r="P243" i="67"/>
  <c r="L243" i="67"/>
  <c r="H242" i="67"/>
  <c r="G240" i="67"/>
  <c r="O240" i="67"/>
  <c r="K240" i="67"/>
  <c r="N236" i="67"/>
  <c r="P234" i="67"/>
  <c r="I232" i="67"/>
  <c r="N228" i="67"/>
  <c r="J215" i="67"/>
  <c r="I214" i="67"/>
  <c r="Q214" i="67"/>
  <c r="J214" i="67"/>
  <c r="L214" i="67"/>
  <c r="M214" i="67"/>
  <c r="H214" i="67"/>
  <c r="P214" i="67"/>
  <c r="M211" i="67"/>
  <c r="O206" i="67"/>
  <c r="J199" i="67"/>
  <c r="I198" i="67"/>
  <c r="Q198" i="67"/>
  <c r="J198" i="67"/>
  <c r="L198" i="67"/>
  <c r="M198" i="67"/>
  <c r="H198" i="67"/>
  <c r="P198" i="67"/>
  <c r="M195" i="67"/>
  <c r="L167" i="67"/>
  <c r="M167" i="67"/>
  <c r="G167" i="67"/>
  <c r="O167" i="67"/>
  <c r="H167" i="67"/>
  <c r="P167" i="67"/>
  <c r="I167" i="67"/>
  <c r="Q167" i="67"/>
  <c r="K167" i="67"/>
  <c r="P462" i="67"/>
  <c r="H462" i="67"/>
  <c r="J460" i="67"/>
  <c r="O459" i="67"/>
  <c r="G459" i="67"/>
  <c r="L458" i="67"/>
  <c r="K455" i="67"/>
  <c r="P454" i="67"/>
  <c r="H454" i="67"/>
  <c r="J451" i="67"/>
  <c r="O450" i="67"/>
  <c r="G450" i="67"/>
  <c r="L449" i="67"/>
  <c r="K446" i="67"/>
  <c r="P445" i="67"/>
  <c r="H445" i="67"/>
  <c r="M444" i="67"/>
  <c r="J443" i="67"/>
  <c r="O442" i="67"/>
  <c r="G442" i="67"/>
  <c r="L441" i="67"/>
  <c r="K437" i="67"/>
  <c r="P436" i="67"/>
  <c r="H436" i="67"/>
  <c r="J434" i="67"/>
  <c r="O433" i="67"/>
  <c r="G433" i="67"/>
  <c r="L432" i="67"/>
  <c r="K429" i="67"/>
  <c r="P428" i="67"/>
  <c r="H428" i="67"/>
  <c r="J426" i="67"/>
  <c r="O425" i="67"/>
  <c r="G425" i="67"/>
  <c r="L424" i="67"/>
  <c r="O415" i="67"/>
  <c r="G415" i="67"/>
  <c r="L414" i="67"/>
  <c r="K411" i="67"/>
  <c r="P410" i="67"/>
  <c r="H410" i="67"/>
  <c r="J408" i="67"/>
  <c r="O407" i="67"/>
  <c r="G407" i="67"/>
  <c r="L406" i="67"/>
  <c r="K403" i="67"/>
  <c r="P402" i="67"/>
  <c r="H402" i="67"/>
  <c r="J400" i="67"/>
  <c r="O399" i="67"/>
  <c r="G399" i="67"/>
  <c r="L398" i="67"/>
  <c r="K395" i="67"/>
  <c r="P394" i="67"/>
  <c r="H394" i="67"/>
  <c r="J392" i="67"/>
  <c r="O391" i="67"/>
  <c r="G391" i="67"/>
  <c r="L390" i="67"/>
  <c r="K387" i="67"/>
  <c r="P386" i="67"/>
  <c r="H386" i="67"/>
  <c r="J384" i="67"/>
  <c r="O383" i="67"/>
  <c r="G383" i="67"/>
  <c r="L382" i="67"/>
  <c r="K379" i="67"/>
  <c r="P378" i="67"/>
  <c r="H378" i="67"/>
  <c r="J376" i="67"/>
  <c r="O375" i="67"/>
  <c r="G375" i="67"/>
  <c r="L374" i="67"/>
  <c r="K371" i="67"/>
  <c r="P370" i="67"/>
  <c r="H370" i="67"/>
  <c r="J368" i="67"/>
  <c r="O367" i="67"/>
  <c r="G367" i="67"/>
  <c r="L366" i="67"/>
  <c r="K363" i="67"/>
  <c r="P362" i="67"/>
  <c r="H362" i="67"/>
  <c r="J360" i="67"/>
  <c r="O359" i="67"/>
  <c r="G359" i="67"/>
  <c r="L358" i="67"/>
  <c r="K355" i="67"/>
  <c r="P354" i="67"/>
  <c r="H354" i="67"/>
  <c r="J352" i="67"/>
  <c r="O351" i="67"/>
  <c r="G351" i="67"/>
  <c r="K347" i="67"/>
  <c r="P346" i="67"/>
  <c r="H346" i="67"/>
  <c r="J344" i="67"/>
  <c r="O343" i="67"/>
  <c r="G343" i="67"/>
  <c r="J336" i="67"/>
  <c r="O335" i="67"/>
  <c r="G335" i="67"/>
  <c r="J328" i="67"/>
  <c r="O327" i="67"/>
  <c r="G327" i="67"/>
  <c r="J319" i="67"/>
  <c r="O318" i="67"/>
  <c r="G318" i="67"/>
  <c r="J311" i="67"/>
  <c r="O310" i="67"/>
  <c r="G310" i="67"/>
  <c r="J303" i="67"/>
  <c r="O302" i="67"/>
  <c r="G302" i="67"/>
  <c r="J295" i="67"/>
  <c r="O294" i="67"/>
  <c r="G294" i="67"/>
  <c r="L293" i="67"/>
  <c r="K290" i="67"/>
  <c r="J287" i="67"/>
  <c r="O286" i="67"/>
  <c r="G286" i="67"/>
  <c r="K282" i="67"/>
  <c r="J279" i="67"/>
  <c r="O278" i="67"/>
  <c r="G278" i="67"/>
  <c r="K274" i="67"/>
  <c r="P273" i="67"/>
  <c r="H273" i="67"/>
  <c r="J271" i="67"/>
  <c r="O270" i="67"/>
  <c r="G270" i="67"/>
  <c r="K266" i="67"/>
  <c r="P265" i="67"/>
  <c r="H265" i="67"/>
  <c r="J263" i="67"/>
  <c r="O262" i="67"/>
  <c r="G262" i="67"/>
  <c r="K258" i="67"/>
  <c r="P257" i="67"/>
  <c r="G257" i="67"/>
  <c r="K256" i="67"/>
  <c r="J252" i="67"/>
  <c r="K247" i="67"/>
  <c r="N246" i="67"/>
  <c r="J239" i="67"/>
  <c r="L239" i="67"/>
  <c r="H239" i="67"/>
  <c r="P239" i="67"/>
  <c r="O234" i="67"/>
  <c r="I231" i="67"/>
  <c r="Q231" i="67"/>
  <c r="J231" i="67"/>
  <c r="L231" i="67"/>
  <c r="H231" i="67"/>
  <c r="P231" i="67"/>
  <c r="O222" i="67"/>
  <c r="N206" i="67"/>
  <c r="Q460" i="67"/>
  <c r="I460" i="67"/>
  <c r="J455" i="67"/>
  <c r="J446" i="67"/>
  <c r="J437" i="67"/>
  <c r="J429" i="67"/>
  <c r="M242" i="67"/>
  <c r="I242" i="67"/>
  <c r="Q242" i="67"/>
  <c r="L232" i="67"/>
  <c r="M232" i="67"/>
  <c r="G232" i="67"/>
  <c r="O232" i="67"/>
  <c r="K232" i="67"/>
  <c r="L215" i="67"/>
  <c r="M215" i="67"/>
  <c r="G215" i="67"/>
  <c r="O215" i="67"/>
  <c r="H215" i="67"/>
  <c r="P215" i="67"/>
  <c r="K215" i="67"/>
  <c r="H211" i="67"/>
  <c r="P211" i="67"/>
  <c r="I211" i="67"/>
  <c r="Q211" i="67"/>
  <c r="K211" i="67"/>
  <c r="L211" i="67"/>
  <c r="G211" i="67"/>
  <c r="O211" i="67"/>
  <c r="L199" i="67"/>
  <c r="M199" i="67"/>
  <c r="G199" i="67"/>
  <c r="O199" i="67"/>
  <c r="H199" i="67"/>
  <c r="P199" i="67"/>
  <c r="K199" i="67"/>
  <c r="H195" i="67"/>
  <c r="P195" i="67"/>
  <c r="I195" i="67"/>
  <c r="Q195" i="67"/>
  <c r="K195" i="67"/>
  <c r="L195" i="67"/>
  <c r="G195" i="67"/>
  <c r="O195" i="67"/>
  <c r="P460" i="67"/>
  <c r="H460" i="67"/>
  <c r="M459" i="67"/>
  <c r="J458" i="67"/>
  <c r="Q455" i="67"/>
  <c r="I455" i="67"/>
  <c r="M450" i="67"/>
  <c r="J449" i="67"/>
  <c r="Q446" i="67"/>
  <c r="I446" i="67"/>
  <c r="P443" i="67"/>
  <c r="H443" i="67"/>
  <c r="M442" i="67"/>
  <c r="J441" i="67"/>
  <c r="Q437" i="67"/>
  <c r="I437" i="67"/>
  <c r="P434" i="67"/>
  <c r="H434" i="67"/>
  <c r="M433" i="67"/>
  <c r="Q429" i="67"/>
  <c r="I429" i="67"/>
  <c r="P426" i="67"/>
  <c r="H426" i="67"/>
  <c r="M425" i="67"/>
  <c r="M415" i="67"/>
  <c r="J414" i="67"/>
  <c r="Q411" i="67"/>
  <c r="I411" i="67"/>
  <c r="P408" i="67"/>
  <c r="H408" i="67"/>
  <c r="M407" i="67"/>
  <c r="J406" i="67"/>
  <c r="Q403" i="67"/>
  <c r="I403" i="67"/>
  <c r="P400" i="67"/>
  <c r="H400" i="67"/>
  <c r="M399" i="67"/>
  <c r="J398" i="67"/>
  <c r="Q395" i="67"/>
  <c r="I395" i="67"/>
  <c r="P392" i="67"/>
  <c r="H392" i="67"/>
  <c r="M391" i="67"/>
  <c r="J390" i="67"/>
  <c r="Q387" i="67"/>
  <c r="I387" i="67"/>
  <c r="P384" i="67"/>
  <c r="H384" i="67"/>
  <c r="M383" i="67"/>
  <c r="J382" i="67"/>
  <c r="Q379" i="67"/>
  <c r="I379" i="67"/>
  <c r="P376" i="67"/>
  <c r="H376" i="67"/>
  <c r="M375" i="67"/>
  <c r="J374" i="67"/>
  <c r="Q371" i="67"/>
  <c r="I371" i="67"/>
  <c r="P368" i="67"/>
  <c r="H368" i="67"/>
  <c r="M367" i="67"/>
  <c r="J366" i="67"/>
  <c r="Q363" i="67"/>
  <c r="I363" i="67"/>
  <c r="P360" i="67"/>
  <c r="H360" i="67"/>
  <c r="M359" i="67"/>
  <c r="J358" i="67"/>
  <c r="Q355" i="67"/>
  <c r="I355" i="67"/>
  <c r="P352" i="67"/>
  <c r="H352" i="67"/>
  <c r="M351" i="67"/>
  <c r="Q347" i="67"/>
  <c r="I347" i="67"/>
  <c r="P344" i="67"/>
  <c r="H344" i="67"/>
  <c r="M343" i="67"/>
  <c r="J342" i="67"/>
  <c r="L340" i="67"/>
  <c r="Q339" i="67"/>
  <c r="I339" i="67"/>
  <c r="P336" i="67"/>
  <c r="H336" i="67"/>
  <c r="M335" i="67"/>
  <c r="L332" i="67"/>
  <c r="Q331" i="67"/>
  <c r="I331" i="67"/>
  <c r="P328" i="67"/>
  <c r="H328" i="67"/>
  <c r="M327" i="67"/>
  <c r="L323" i="67"/>
  <c r="Q322" i="67"/>
  <c r="I322" i="67"/>
  <c r="P319" i="67"/>
  <c r="H319" i="67"/>
  <c r="M318" i="67"/>
  <c r="L315" i="67"/>
  <c r="Q314" i="67"/>
  <c r="I314" i="67"/>
  <c r="P311" i="67"/>
  <c r="H311" i="67"/>
  <c r="M310" i="67"/>
  <c r="L307" i="67"/>
  <c r="Q306" i="67"/>
  <c r="I306" i="67"/>
  <c r="P303" i="67"/>
  <c r="H303" i="67"/>
  <c r="M302" i="67"/>
  <c r="L299" i="67"/>
  <c r="Q298" i="67"/>
  <c r="I298" i="67"/>
  <c r="P295" i="67"/>
  <c r="H295" i="67"/>
  <c r="M294" i="67"/>
  <c r="J293" i="67"/>
  <c r="L291" i="67"/>
  <c r="Q290" i="67"/>
  <c r="I290" i="67"/>
  <c r="P287" i="67"/>
  <c r="H287" i="67"/>
  <c r="M286" i="67"/>
  <c r="L283" i="67"/>
  <c r="Q282" i="67"/>
  <c r="I282" i="67"/>
  <c r="P279" i="67"/>
  <c r="H279" i="67"/>
  <c r="M278" i="67"/>
  <c r="Q274" i="67"/>
  <c r="I274" i="67"/>
  <c r="P271" i="67"/>
  <c r="H271" i="67"/>
  <c r="M270" i="67"/>
  <c r="Q266" i="67"/>
  <c r="I266" i="67"/>
  <c r="P263" i="67"/>
  <c r="H263" i="67"/>
  <c r="M262" i="67"/>
  <c r="Q258" i="67"/>
  <c r="I258" i="67"/>
  <c r="N257" i="67"/>
  <c r="I256" i="67"/>
  <c r="M255" i="67"/>
  <c r="Q252" i="67"/>
  <c r="H252" i="67"/>
  <c r="G248" i="67"/>
  <c r="O248" i="67"/>
  <c r="I247" i="67"/>
  <c r="O242" i="67"/>
  <c r="H228" i="67"/>
  <c r="P228" i="67"/>
  <c r="I228" i="67"/>
  <c r="Q228" i="67"/>
  <c r="K228" i="67"/>
  <c r="L228" i="67"/>
  <c r="G228" i="67"/>
  <c r="O228" i="67"/>
  <c r="N207" i="67"/>
  <c r="N203" i="67"/>
  <c r="O460" i="67"/>
  <c r="L459" i="67"/>
  <c r="Q458" i="67"/>
  <c r="P455" i="67"/>
  <c r="H455" i="67"/>
  <c r="M454" i="67"/>
  <c r="O451" i="67"/>
  <c r="L450" i="67"/>
  <c r="Q449" i="67"/>
  <c r="P446" i="67"/>
  <c r="H446" i="67"/>
  <c r="O443" i="67"/>
  <c r="L442" i="67"/>
  <c r="Q441" i="67"/>
  <c r="P437" i="67"/>
  <c r="H437" i="67"/>
  <c r="O434" i="67"/>
  <c r="L433" i="67"/>
  <c r="Q432" i="67"/>
  <c r="P429" i="67"/>
  <c r="H429" i="67"/>
  <c r="O426" i="67"/>
  <c r="L425" i="67"/>
  <c r="Q424" i="67"/>
  <c r="L415" i="67"/>
  <c r="Q414" i="67"/>
  <c r="I414" i="67"/>
  <c r="P411" i="67"/>
  <c r="H411" i="67"/>
  <c r="O408" i="67"/>
  <c r="G408" i="67"/>
  <c r="L407" i="67"/>
  <c r="Q406" i="67"/>
  <c r="I406" i="67"/>
  <c r="P403" i="67"/>
  <c r="O400" i="67"/>
  <c r="G400" i="67"/>
  <c r="L399" i="67"/>
  <c r="Q398" i="67"/>
  <c r="I398" i="67"/>
  <c r="P395" i="67"/>
  <c r="O392" i="67"/>
  <c r="G392" i="67"/>
  <c r="L391" i="67"/>
  <c r="Q390" i="67"/>
  <c r="P387" i="67"/>
  <c r="O384" i="67"/>
  <c r="G384" i="67"/>
  <c r="L383" i="67"/>
  <c r="Q382" i="67"/>
  <c r="I382" i="67"/>
  <c r="P379" i="67"/>
  <c r="O376" i="67"/>
  <c r="G376" i="67"/>
  <c r="L375" i="67"/>
  <c r="Q374" i="67"/>
  <c r="I374" i="67"/>
  <c r="P371" i="67"/>
  <c r="O368" i="67"/>
  <c r="G368" i="67"/>
  <c r="L367" i="67"/>
  <c r="Q366" i="67"/>
  <c r="I366" i="67"/>
  <c r="P363" i="67"/>
  <c r="O360" i="67"/>
  <c r="G360" i="67"/>
  <c r="L359" i="67"/>
  <c r="Q358" i="67"/>
  <c r="I358" i="67"/>
  <c r="P355" i="67"/>
  <c r="O352" i="67"/>
  <c r="G352" i="67"/>
  <c r="L351" i="67"/>
  <c r="Q350" i="67"/>
  <c r="P347" i="67"/>
  <c r="O344" i="67"/>
  <c r="G344" i="67"/>
  <c r="L343" i="67"/>
  <c r="Q342" i="67"/>
  <c r="K340" i="67"/>
  <c r="P339" i="67"/>
  <c r="O336" i="67"/>
  <c r="G336" i="67"/>
  <c r="L335" i="67"/>
  <c r="Q334" i="67"/>
  <c r="K332" i="67"/>
  <c r="P331" i="67"/>
  <c r="M330" i="67"/>
  <c r="O328" i="67"/>
  <c r="G328" i="67"/>
  <c r="L327" i="67"/>
  <c r="Q326" i="67"/>
  <c r="K323" i="67"/>
  <c r="P322" i="67"/>
  <c r="M321" i="67"/>
  <c r="O319" i="67"/>
  <c r="G319" i="67"/>
  <c r="L318" i="67"/>
  <c r="Q317" i="67"/>
  <c r="K315" i="67"/>
  <c r="P314" i="67"/>
  <c r="M313" i="67"/>
  <c r="O311" i="67"/>
  <c r="G311" i="67"/>
  <c r="L310" i="67"/>
  <c r="Q309" i="67"/>
  <c r="K307" i="67"/>
  <c r="P306" i="67"/>
  <c r="O303" i="67"/>
  <c r="G303" i="67"/>
  <c r="L302" i="67"/>
  <c r="Q301" i="67"/>
  <c r="K299" i="67"/>
  <c r="P298" i="67"/>
  <c r="O295" i="67"/>
  <c r="G295" i="67"/>
  <c r="L294" i="67"/>
  <c r="Q293" i="67"/>
  <c r="I293" i="67"/>
  <c r="K291" i="67"/>
  <c r="P290" i="67"/>
  <c r="O287" i="67"/>
  <c r="G287" i="67"/>
  <c r="L286" i="67"/>
  <c r="Q285" i="67"/>
  <c r="P282" i="67"/>
  <c r="O279" i="67"/>
  <c r="G279" i="67"/>
  <c r="L278" i="67"/>
  <c r="Q277" i="67"/>
  <c r="P274" i="67"/>
  <c r="O271" i="67"/>
  <c r="G271" i="67"/>
  <c r="L270" i="67"/>
  <c r="Q269" i="67"/>
  <c r="P266" i="67"/>
  <c r="O263" i="67"/>
  <c r="G263" i="67"/>
  <c r="L262" i="67"/>
  <c r="Q261" i="67"/>
  <c r="P258" i="67"/>
  <c r="M257" i="67"/>
  <c r="Q256" i="67"/>
  <c r="K255" i="67"/>
  <c r="I254" i="67"/>
  <c r="Q254" i="67"/>
  <c r="P252" i="67"/>
  <c r="G252" i="67"/>
  <c r="N248" i="67"/>
  <c r="J246" i="67"/>
  <c r="N242" i="67"/>
  <c r="N239" i="67"/>
  <c r="H236" i="67"/>
  <c r="P236" i="67"/>
  <c r="I236" i="67"/>
  <c r="Q236" i="67"/>
  <c r="K236" i="67"/>
  <c r="G236" i="67"/>
  <c r="O236" i="67"/>
  <c r="H234" i="67"/>
  <c r="Q232" i="67"/>
  <c r="O231" i="67"/>
  <c r="J207" i="67"/>
  <c r="I206" i="67"/>
  <c r="Q206" i="67"/>
  <c r="J206" i="67"/>
  <c r="L206" i="67"/>
  <c r="M206" i="67"/>
  <c r="H206" i="67"/>
  <c r="P206" i="67"/>
  <c r="N158" i="67"/>
  <c r="O455" i="67"/>
  <c r="K450" i="67"/>
  <c r="O446" i="67"/>
  <c r="K442" i="67"/>
  <c r="O437" i="67"/>
  <c r="O429" i="67"/>
  <c r="K415" i="67"/>
  <c r="K407" i="67"/>
  <c r="K399" i="67"/>
  <c r="K391" i="67"/>
  <c r="K383" i="67"/>
  <c r="K375" i="67"/>
  <c r="K367" i="67"/>
  <c r="K359" i="67"/>
  <c r="K351" i="67"/>
  <c r="K343" i="67"/>
  <c r="J340" i="67"/>
  <c r="K335" i="67"/>
  <c r="K327" i="67"/>
  <c r="K318" i="67"/>
  <c r="K310" i="67"/>
  <c r="K302" i="67"/>
  <c r="K294" i="67"/>
  <c r="K286" i="67"/>
  <c r="K278" i="67"/>
  <c r="K270" i="67"/>
  <c r="K262" i="67"/>
  <c r="L257" i="67"/>
  <c r="G256" i="67"/>
  <c r="O256" i="67"/>
  <c r="L247" i="67"/>
  <c r="H247" i="67"/>
  <c r="P247" i="67"/>
  <c r="L242" i="67"/>
  <c r="P232" i="67"/>
  <c r="I222" i="67"/>
  <c r="Q222" i="67"/>
  <c r="J222" i="67"/>
  <c r="L222" i="67"/>
  <c r="M222" i="67"/>
  <c r="H222" i="67"/>
  <c r="P222" i="67"/>
  <c r="H187" i="67"/>
  <c r="P187" i="67"/>
  <c r="I187" i="67"/>
  <c r="Q187" i="67"/>
  <c r="K187" i="67"/>
  <c r="L187" i="67"/>
  <c r="M187" i="67"/>
  <c r="G187" i="67"/>
  <c r="O187" i="67"/>
  <c r="H179" i="67"/>
  <c r="P179" i="67"/>
  <c r="I179" i="67"/>
  <c r="Q179" i="67"/>
  <c r="K179" i="67"/>
  <c r="L179" i="67"/>
  <c r="M179" i="67"/>
  <c r="G179" i="67"/>
  <c r="O179" i="67"/>
  <c r="O414" i="67"/>
  <c r="O406" i="67"/>
  <c r="O398" i="67"/>
  <c r="O382" i="67"/>
  <c r="O374" i="67"/>
  <c r="O366" i="67"/>
  <c r="O358" i="67"/>
  <c r="Q340" i="67"/>
  <c r="Q332" i="67"/>
  <c r="Q323" i="67"/>
  <c r="Q315" i="67"/>
  <c r="Q307" i="67"/>
  <c r="Q299" i="67"/>
  <c r="O293" i="67"/>
  <c r="Q291" i="67"/>
  <c r="K257" i="67"/>
  <c r="N256" i="67"/>
  <c r="I255" i="67"/>
  <c r="N252" i="67"/>
  <c r="L248" i="67"/>
  <c r="O247" i="67"/>
  <c r="G246" i="67"/>
  <c r="K244" i="67"/>
  <c r="G244" i="67"/>
  <c r="O244" i="67"/>
  <c r="K242" i="67"/>
  <c r="J234" i="67"/>
  <c r="K234" i="67"/>
  <c r="M234" i="67"/>
  <c r="I234" i="67"/>
  <c r="Q234" i="67"/>
  <c r="N232" i="67"/>
  <c r="Q215" i="67"/>
  <c r="L207" i="67"/>
  <c r="M207" i="67"/>
  <c r="G207" i="67"/>
  <c r="O207" i="67"/>
  <c r="H207" i="67"/>
  <c r="P207" i="67"/>
  <c r="K207" i="67"/>
  <c r="H203" i="67"/>
  <c r="P203" i="67"/>
  <c r="I203" i="67"/>
  <c r="Q203" i="67"/>
  <c r="K203" i="67"/>
  <c r="L203" i="67"/>
  <c r="G203" i="67"/>
  <c r="O203" i="67"/>
  <c r="Q199" i="67"/>
  <c r="L191" i="67"/>
  <c r="M191" i="67"/>
  <c r="G191" i="67"/>
  <c r="O191" i="67"/>
  <c r="H191" i="67"/>
  <c r="P191" i="67"/>
  <c r="K191" i="67"/>
  <c r="L183" i="67"/>
  <c r="M183" i="67"/>
  <c r="G183" i="67"/>
  <c r="O183" i="67"/>
  <c r="H183" i="67"/>
  <c r="P183" i="67"/>
  <c r="I183" i="67"/>
  <c r="Q183" i="67"/>
  <c r="K183" i="67"/>
  <c r="L175" i="67"/>
  <c r="M175" i="67"/>
  <c r="G175" i="67"/>
  <c r="O175" i="67"/>
  <c r="H175" i="67"/>
  <c r="P175" i="67"/>
  <c r="I175" i="67"/>
  <c r="Q175" i="67"/>
  <c r="K175" i="67"/>
  <c r="N167" i="67"/>
  <c r="H158" i="67"/>
  <c r="P158" i="67"/>
  <c r="I158" i="67"/>
  <c r="Q158" i="67"/>
  <c r="K158" i="67"/>
  <c r="L158" i="67"/>
  <c r="M158" i="67"/>
  <c r="G158" i="67"/>
  <c r="O158" i="67"/>
  <c r="M238" i="67"/>
  <c r="L235" i="67"/>
  <c r="M230" i="67"/>
  <c r="L227" i="67"/>
  <c r="Q226" i="67"/>
  <c r="I226" i="67"/>
  <c r="M221" i="67"/>
  <c r="L218" i="67"/>
  <c r="Q217" i="67"/>
  <c r="I217" i="67"/>
  <c r="M213" i="67"/>
  <c r="L210" i="67"/>
  <c r="Q209" i="67"/>
  <c r="I209" i="67"/>
  <c r="M205" i="67"/>
  <c r="L202" i="67"/>
  <c r="Q201" i="67"/>
  <c r="I201" i="67"/>
  <c r="M197" i="67"/>
  <c r="L194" i="67"/>
  <c r="Q193" i="67"/>
  <c r="I193" i="67"/>
  <c r="P190" i="67"/>
  <c r="H190" i="67"/>
  <c r="M189" i="67"/>
  <c r="L186" i="67"/>
  <c r="Q185" i="67"/>
  <c r="I185" i="67"/>
  <c r="P182" i="67"/>
  <c r="H182" i="67"/>
  <c r="M181" i="67"/>
  <c r="L178" i="67"/>
  <c r="Q177" i="67"/>
  <c r="I177" i="67"/>
  <c r="P174" i="67"/>
  <c r="H174" i="67"/>
  <c r="M173" i="67"/>
  <c r="L170" i="67"/>
  <c r="Q169" i="67"/>
  <c r="I169" i="67"/>
  <c r="P166" i="67"/>
  <c r="H166" i="67"/>
  <c r="L165" i="67"/>
  <c r="Q164" i="67"/>
  <c r="I164" i="67"/>
  <c r="P161" i="67"/>
  <c r="H161" i="67"/>
  <c r="M160" i="67"/>
  <c r="L157" i="67"/>
  <c r="Q156" i="67"/>
  <c r="I156" i="67"/>
  <c r="P153" i="67"/>
  <c r="H153" i="67"/>
  <c r="M152" i="67"/>
  <c r="O150" i="67"/>
  <c r="G150" i="67"/>
  <c r="L149" i="67"/>
  <c r="Q148" i="67"/>
  <c r="I148" i="67"/>
  <c r="K146" i="67"/>
  <c r="P145" i="67"/>
  <c r="H145" i="67"/>
  <c r="M144" i="67"/>
  <c r="N140" i="67"/>
  <c r="I137" i="67"/>
  <c r="M136" i="67"/>
  <c r="Q135" i="67"/>
  <c r="H135" i="67"/>
  <c r="M134" i="67"/>
  <c r="Q133" i="67"/>
  <c r="K132" i="67"/>
  <c r="I131" i="67"/>
  <c r="Q131" i="67"/>
  <c r="P129" i="67"/>
  <c r="G129" i="67"/>
  <c r="K126" i="67"/>
  <c r="N125" i="67"/>
  <c r="I124" i="67"/>
  <c r="M123" i="67"/>
  <c r="N121" i="67"/>
  <c r="L119" i="67"/>
  <c r="Q118" i="67"/>
  <c r="H118" i="67"/>
  <c r="L117" i="67"/>
  <c r="P116" i="67"/>
  <c r="G116" i="67"/>
  <c r="L113" i="67"/>
  <c r="H112" i="67"/>
  <c r="P112" i="67"/>
  <c r="N103" i="67"/>
  <c r="P97" i="67"/>
  <c r="K95" i="67"/>
  <c r="M95" i="67"/>
  <c r="G95" i="67"/>
  <c r="O95" i="67"/>
  <c r="H95" i="67"/>
  <c r="P95" i="67"/>
  <c r="H94" i="67"/>
  <c r="P94" i="67"/>
  <c r="J94" i="67"/>
  <c r="L94" i="67"/>
  <c r="M94" i="67"/>
  <c r="K87" i="67"/>
  <c r="M87" i="67"/>
  <c r="G87" i="67"/>
  <c r="O87" i="67"/>
  <c r="H87" i="67"/>
  <c r="P87" i="67"/>
  <c r="H86" i="67"/>
  <c r="P86" i="67"/>
  <c r="J86" i="67"/>
  <c r="L86" i="67"/>
  <c r="M86" i="67"/>
  <c r="K79" i="67"/>
  <c r="M79" i="67"/>
  <c r="G79" i="67"/>
  <c r="O79" i="67"/>
  <c r="H79" i="67"/>
  <c r="P79" i="67"/>
  <c r="H78" i="67"/>
  <c r="P78" i="67"/>
  <c r="J78" i="67"/>
  <c r="L78" i="67"/>
  <c r="M78" i="67"/>
  <c r="K71" i="67"/>
  <c r="M71" i="67"/>
  <c r="G71" i="67"/>
  <c r="O71" i="67"/>
  <c r="H71" i="67"/>
  <c r="P71" i="67"/>
  <c r="H70" i="67"/>
  <c r="P70" i="67"/>
  <c r="J70" i="67"/>
  <c r="L70" i="67"/>
  <c r="M70" i="67"/>
  <c r="P61" i="67"/>
  <c r="P59" i="67"/>
  <c r="L53" i="67"/>
  <c r="M53" i="67"/>
  <c r="G53" i="67"/>
  <c r="O53" i="67"/>
  <c r="I53" i="67"/>
  <c r="Q53" i="67"/>
  <c r="J53" i="67"/>
  <c r="J47" i="67"/>
  <c r="K47" i="67"/>
  <c r="M47" i="67"/>
  <c r="G47" i="67"/>
  <c r="O47" i="67"/>
  <c r="H47" i="67"/>
  <c r="P47" i="67"/>
  <c r="N39" i="67"/>
  <c r="L13" i="67"/>
  <c r="M13" i="67"/>
  <c r="G13" i="67"/>
  <c r="O13" i="67"/>
  <c r="I13" i="67"/>
  <c r="Q13" i="67"/>
  <c r="J13" i="67"/>
  <c r="N5" i="67"/>
  <c r="J146" i="67"/>
  <c r="G133" i="67"/>
  <c r="O133" i="67"/>
  <c r="J132" i="67"/>
  <c r="K117" i="67"/>
  <c r="J113" i="67"/>
  <c r="G109" i="67"/>
  <c r="O109" i="67"/>
  <c r="I109" i="67"/>
  <c r="Q109" i="67"/>
  <c r="L103" i="67"/>
  <c r="G99" i="67"/>
  <c r="O99" i="67"/>
  <c r="I99" i="67"/>
  <c r="Q99" i="67"/>
  <c r="K99" i="67"/>
  <c r="G91" i="67"/>
  <c r="O91" i="67"/>
  <c r="I91" i="67"/>
  <c r="Q91" i="67"/>
  <c r="K91" i="67"/>
  <c r="L91" i="67"/>
  <c r="G83" i="67"/>
  <c r="O83" i="67"/>
  <c r="I83" i="67"/>
  <c r="Q83" i="67"/>
  <c r="K83" i="67"/>
  <c r="L83" i="67"/>
  <c r="G75" i="67"/>
  <c r="O75" i="67"/>
  <c r="I75" i="67"/>
  <c r="Q75" i="67"/>
  <c r="K75" i="67"/>
  <c r="L75" i="67"/>
  <c r="N61" i="67"/>
  <c r="N59" i="67"/>
  <c r="G38" i="67"/>
  <c r="O38" i="67"/>
  <c r="H38" i="67"/>
  <c r="P38" i="67"/>
  <c r="J38" i="67"/>
  <c r="L38" i="67"/>
  <c r="M38" i="67"/>
  <c r="J23" i="67"/>
  <c r="K23" i="67"/>
  <c r="M23" i="67"/>
  <c r="G23" i="67"/>
  <c r="O23" i="67"/>
  <c r="H23" i="67"/>
  <c r="P23" i="67"/>
  <c r="P21" i="67"/>
  <c r="Q6" i="67"/>
  <c r="M150" i="67"/>
  <c r="Q146" i="67"/>
  <c r="I146" i="67"/>
  <c r="I139" i="67"/>
  <c r="Q139" i="67"/>
  <c r="N133" i="67"/>
  <c r="I132" i="67"/>
  <c r="N129" i="67"/>
  <c r="H120" i="67"/>
  <c r="P120" i="67"/>
  <c r="J117" i="67"/>
  <c r="N116" i="67"/>
  <c r="I113" i="67"/>
  <c r="P109" i="67"/>
  <c r="I105" i="67"/>
  <c r="Q105" i="67"/>
  <c r="K105" i="67"/>
  <c r="M105" i="67"/>
  <c r="J103" i="67"/>
  <c r="L61" i="67"/>
  <c r="M59" i="67"/>
  <c r="G54" i="67"/>
  <c r="O54" i="67"/>
  <c r="H54" i="67"/>
  <c r="P54" i="67"/>
  <c r="J54" i="67"/>
  <c r="L54" i="67"/>
  <c r="M54" i="67"/>
  <c r="L29" i="67"/>
  <c r="M29" i="67"/>
  <c r="G29" i="67"/>
  <c r="O29" i="67"/>
  <c r="I29" i="67"/>
  <c r="Q29" i="67"/>
  <c r="J29" i="67"/>
  <c r="N21" i="67"/>
  <c r="G14" i="67"/>
  <c r="O14" i="67"/>
  <c r="H14" i="67"/>
  <c r="P14" i="67"/>
  <c r="J14" i="67"/>
  <c r="L14" i="67"/>
  <c r="M14" i="67"/>
  <c r="N6" i="67"/>
  <c r="M190" i="67"/>
  <c r="M182" i="67"/>
  <c r="M174" i="67"/>
  <c r="M166" i="67"/>
  <c r="M161" i="67"/>
  <c r="M153" i="67"/>
  <c r="L150" i="67"/>
  <c r="P146" i="67"/>
  <c r="H146" i="67"/>
  <c r="M145" i="67"/>
  <c r="G141" i="67"/>
  <c r="O141" i="67"/>
  <c r="N139" i="67"/>
  <c r="N135" i="67"/>
  <c r="M133" i="67"/>
  <c r="Q132" i="67"/>
  <c r="H132" i="67"/>
  <c r="M129" i="67"/>
  <c r="N120" i="67"/>
  <c r="N118" i="67"/>
  <c r="I117" i="67"/>
  <c r="M116" i="67"/>
  <c r="Q113" i="67"/>
  <c r="H113" i="67"/>
  <c r="N109" i="67"/>
  <c r="P105" i="67"/>
  <c r="I103" i="67"/>
  <c r="P99" i="67"/>
  <c r="K61" i="67"/>
  <c r="J59" i="67"/>
  <c r="J39" i="67"/>
  <c r="K39" i="67"/>
  <c r="M39" i="67"/>
  <c r="G39" i="67"/>
  <c r="O39" i="67"/>
  <c r="H39" i="67"/>
  <c r="P39" i="67"/>
  <c r="K21" i="67"/>
  <c r="K6" i="67"/>
  <c r="L5" i="67"/>
  <c r="M5" i="67"/>
  <c r="G5" i="67"/>
  <c r="O5" i="67"/>
  <c r="I5" i="67"/>
  <c r="Q5" i="67"/>
  <c r="J5" i="67"/>
  <c r="Q238" i="67"/>
  <c r="I238" i="67"/>
  <c r="P235" i="67"/>
  <c r="Q230" i="67"/>
  <c r="I230" i="67"/>
  <c r="P227" i="67"/>
  <c r="M226" i="67"/>
  <c r="Q221" i="67"/>
  <c r="I221" i="67"/>
  <c r="P218" i="67"/>
  <c r="H218" i="67"/>
  <c r="M217" i="67"/>
  <c r="Q213" i="67"/>
  <c r="I213" i="67"/>
  <c r="P210" i="67"/>
  <c r="M209" i="67"/>
  <c r="Q205" i="67"/>
  <c r="I205" i="67"/>
  <c r="P202" i="67"/>
  <c r="M201" i="67"/>
  <c r="Q197" i="67"/>
  <c r="I197" i="67"/>
  <c r="P194" i="67"/>
  <c r="M193" i="67"/>
  <c r="L190" i="67"/>
  <c r="Q189" i="67"/>
  <c r="I189" i="67"/>
  <c r="P186" i="67"/>
  <c r="H186" i="67"/>
  <c r="M185" i="67"/>
  <c r="L182" i="67"/>
  <c r="Q181" i="67"/>
  <c r="I181" i="67"/>
  <c r="P178" i="67"/>
  <c r="H178" i="67"/>
  <c r="M177" i="67"/>
  <c r="L174" i="67"/>
  <c r="Q173" i="67"/>
  <c r="P170" i="67"/>
  <c r="H170" i="67"/>
  <c r="M169" i="67"/>
  <c r="L166" i="67"/>
  <c r="P165" i="67"/>
  <c r="M164" i="67"/>
  <c r="L161" i="67"/>
  <c r="Q160" i="67"/>
  <c r="I160" i="67"/>
  <c r="P157" i="67"/>
  <c r="M156" i="67"/>
  <c r="L153" i="67"/>
  <c r="Q152" i="67"/>
  <c r="I152" i="67"/>
  <c r="K150" i="67"/>
  <c r="P149" i="67"/>
  <c r="M148" i="67"/>
  <c r="O146" i="67"/>
  <c r="G146" i="67"/>
  <c r="L145" i="67"/>
  <c r="Q144" i="67"/>
  <c r="I144" i="67"/>
  <c r="K142" i="67"/>
  <c r="N141" i="67"/>
  <c r="I140" i="67"/>
  <c r="M139" i="67"/>
  <c r="N137" i="67"/>
  <c r="L135" i="67"/>
  <c r="Q134" i="67"/>
  <c r="H134" i="67"/>
  <c r="L133" i="67"/>
  <c r="P132" i="67"/>
  <c r="G132" i="67"/>
  <c r="K131" i="67"/>
  <c r="L129" i="67"/>
  <c r="H128" i="67"/>
  <c r="P128" i="67"/>
  <c r="J127" i="67"/>
  <c r="J125" i="67"/>
  <c r="N124" i="67"/>
  <c r="I121" i="67"/>
  <c r="M120" i="67"/>
  <c r="Q119" i="67"/>
  <c r="H119" i="67"/>
  <c r="M118" i="67"/>
  <c r="Q117" i="67"/>
  <c r="K116" i="67"/>
  <c r="I115" i="67"/>
  <c r="Q115" i="67"/>
  <c r="P113" i="67"/>
  <c r="G113" i="67"/>
  <c r="K112" i="67"/>
  <c r="K110" i="67"/>
  <c r="M109" i="67"/>
  <c r="G107" i="67"/>
  <c r="O107" i="67"/>
  <c r="I107" i="67"/>
  <c r="Q107" i="67"/>
  <c r="K107" i="67"/>
  <c r="O105" i="67"/>
  <c r="N99" i="67"/>
  <c r="J97" i="67"/>
  <c r="N95" i="67"/>
  <c r="N94" i="67"/>
  <c r="L93" i="67"/>
  <c r="P91" i="67"/>
  <c r="P83" i="67"/>
  <c r="P75" i="67"/>
  <c r="J55" i="67"/>
  <c r="K55" i="67"/>
  <c r="M55" i="67"/>
  <c r="G55" i="67"/>
  <c r="O55" i="67"/>
  <c r="H55" i="67"/>
  <c r="P55" i="67"/>
  <c r="L45" i="67"/>
  <c r="M45" i="67"/>
  <c r="G45" i="67"/>
  <c r="O45" i="67"/>
  <c r="I45" i="67"/>
  <c r="Q45" i="67"/>
  <c r="J45" i="67"/>
  <c r="G30" i="67"/>
  <c r="O30" i="67"/>
  <c r="H30" i="67"/>
  <c r="P30" i="67"/>
  <c r="J30" i="67"/>
  <c r="L30" i="67"/>
  <c r="M30" i="67"/>
  <c r="J15" i="67"/>
  <c r="K15" i="67"/>
  <c r="M15" i="67"/>
  <c r="G15" i="67"/>
  <c r="O15" i="67"/>
  <c r="H15" i="67"/>
  <c r="P15" i="67"/>
  <c r="G117" i="67"/>
  <c r="O117" i="67"/>
  <c r="K103" i="67"/>
  <c r="M103" i="67"/>
  <c r="G103" i="67"/>
  <c r="O103" i="67"/>
  <c r="M61" i="67"/>
  <c r="G61" i="67"/>
  <c r="O61" i="67"/>
  <c r="I61" i="67"/>
  <c r="Q61" i="67"/>
  <c r="J61" i="67"/>
  <c r="G59" i="67"/>
  <c r="O59" i="67"/>
  <c r="I59" i="67"/>
  <c r="Q59" i="67"/>
  <c r="K59" i="67"/>
  <c r="L59" i="67"/>
  <c r="L21" i="67"/>
  <c r="M21" i="67"/>
  <c r="G21" i="67"/>
  <c r="O21" i="67"/>
  <c r="I21" i="67"/>
  <c r="Q21" i="67"/>
  <c r="J21" i="67"/>
  <c r="G6" i="67"/>
  <c r="O6" i="67"/>
  <c r="H6" i="67"/>
  <c r="P6" i="67"/>
  <c r="J6" i="67"/>
  <c r="L6" i="67"/>
  <c r="M6" i="67"/>
  <c r="O238" i="67"/>
  <c r="O230" i="67"/>
  <c r="K226" i="67"/>
  <c r="O221" i="67"/>
  <c r="K217" i="67"/>
  <c r="O213" i="67"/>
  <c r="K209" i="67"/>
  <c r="O205" i="67"/>
  <c r="K201" i="67"/>
  <c r="O197" i="67"/>
  <c r="K193" i="67"/>
  <c r="J190" i="67"/>
  <c r="O189" i="67"/>
  <c r="K185" i="67"/>
  <c r="J182" i="67"/>
  <c r="O181" i="67"/>
  <c r="K177" i="67"/>
  <c r="J174" i="67"/>
  <c r="K169" i="67"/>
  <c r="J166" i="67"/>
  <c r="K164" i="67"/>
  <c r="J161" i="67"/>
  <c r="O160" i="67"/>
  <c r="K156" i="67"/>
  <c r="J153" i="67"/>
  <c r="O152" i="67"/>
  <c r="Q150" i="67"/>
  <c r="I150" i="67"/>
  <c r="K148" i="67"/>
  <c r="M146" i="67"/>
  <c r="J145" i="67"/>
  <c r="O144" i="67"/>
  <c r="L141" i="67"/>
  <c r="P140" i="67"/>
  <c r="G140" i="67"/>
  <c r="K139" i="67"/>
  <c r="L137" i="67"/>
  <c r="H136" i="67"/>
  <c r="P136" i="67"/>
  <c r="J135" i="67"/>
  <c r="J133" i="67"/>
  <c r="N132" i="67"/>
  <c r="I129" i="67"/>
  <c r="M128" i="67"/>
  <c r="Q127" i="67"/>
  <c r="H127" i="67"/>
  <c r="M126" i="67"/>
  <c r="Q125" i="67"/>
  <c r="K124" i="67"/>
  <c r="I123" i="67"/>
  <c r="Q123" i="67"/>
  <c r="P121" i="67"/>
  <c r="G121" i="67"/>
  <c r="K120" i="67"/>
  <c r="K118" i="67"/>
  <c r="N117" i="67"/>
  <c r="I116" i="67"/>
  <c r="N113" i="67"/>
  <c r="I112" i="67"/>
  <c r="L111" i="67"/>
  <c r="Q110" i="67"/>
  <c r="H110" i="67"/>
  <c r="K109" i="67"/>
  <c r="P107" i="67"/>
  <c r="L105" i="67"/>
  <c r="Q103" i="67"/>
  <c r="H102" i="67"/>
  <c r="P102" i="67"/>
  <c r="J102" i="67"/>
  <c r="L102" i="67"/>
  <c r="M101" i="67"/>
  <c r="G101" i="67"/>
  <c r="O101" i="67"/>
  <c r="I101" i="67"/>
  <c r="Q101" i="67"/>
  <c r="L99" i="67"/>
  <c r="J95" i="67"/>
  <c r="I94" i="67"/>
  <c r="M91" i="67"/>
  <c r="J87" i="67"/>
  <c r="I86" i="67"/>
  <c r="M83" i="67"/>
  <c r="J79" i="67"/>
  <c r="I78" i="67"/>
  <c r="M75" i="67"/>
  <c r="J71" i="67"/>
  <c r="K63" i="67"/>
  <c r="M63" i="67"/>
  <c r="G63" i="67"/>
  <c r="O63" i="67"/>
  <c r="H63" i="67"/>
  <c r="P63" i="67"/>
  <c r="H62" i="67"/>
  <c r="P62" i="67"/>
  <c r="J62" i="67"/>
  <c r="L62" i="67"/>
  <c r="M62" i="67"/>
  <c r="Q54" i="67"/>
  <c r="G46" i="67"/>
  <c r="O46" i="67"/>
  <c r="H46" i="67"/>
  <c r="P46" i="67"/>
  <c r="J46" i="67"/>
  <c r="L46" i="67"/>
  <c r="M46" i="67"/>
  <c r="N38" i="67"/>
  <c r="J31" i="67"/>
  <c r="K31" i="67"/>
  <c r="M31" i="67"/>
  <c r="G31" i="67"/>
  <c r="O31" i="67"/>
  <c r="H31" i="67"/>
  <c r="P31" i="67"/>
  <c r="P29" i="67"/>
  <c r="N23" i="67"/>
  <c r="Q14" i="67"/>
  <c r="Q190" i="67"/>
  <c r="Q182" i="67"/>
  <c r="Q174" i="67"/>
  <c r="Q166" i="67"/>
  <c r="Q161" i="67"/>
  <c r="Q153" i="67"/>
  <c r="P150" i="67"/>
  <c r="Q145" i="67"/>
  <c r="K141" i="67"/>
  <c r="J139" i="67"/>
  <c r="J137" i="67"/>
  <c r="I135" i="67"/>
  <c r="I133" i="67"/>
  <c r="M132" i="67"/>
  <c r="Q129" i="67"/>
  <c r="H129" i="67"/>
  <c r="G125" i="67"/>
  <c r="O125" i="67"/>
  <c r="J124" i="67"/>
  <c r="J120" i="67"/>
  <c r="I118" i="67"/>
  <c r="M117" i="67"/>
  <c r="Q116" i="67"/>
  <c r="H116" i="67"/>
  <c r="M113" i="67"/>
  <c r="J109" i="67"/>
  <c r="J105" i="67"/>
  <c r="P103" i="67"/>
  <c r="J99" i="67"/>
  <c r="I97" i="67"/>
  <c r="Q97" i="67"/>
  <c r="K97" i="67"/>
  <c r="M97" i="67"/>
  <c r="M93" i="67"/>
  <c r="G93" i="67"/>
  <c r="O93" i="67"/>
  <c r="I93" i="67"/>
  <c r="Q93" i="67"/>
  <c r="J93" i="67"/>
  <c r="J91" i="67"/>
  <c r="I87" i="67"/>
  <c r="G86" i="67"/>
  <c r="M85" i="67"/>
  <c r="G85" i="67"/>
  <c r="O85" i="67"/>
  <c r="I85" i="67"/>
  <c r="Q85" i="67"/>
  <c r="J85" i="67"/>
  <c r="J83" i="67"/>
  <c r="I79" i="67"/>
  <c r="G78" i="67"/>
  <c r="M77" i="67"/>
  <c r="G77" i="67"/>
  <c r="O77" i="67"/>
  <c r="I77" i="67"/>
  <c r="Q77" i="67"/>
  <c r="J77" i="67"/>
  <c r="J75" i="67"/>
  <c r="I71" i="67"/>
  <c r="G70" i="67"/>
  <c r="M69" i="67"/>
  <c r="G69" i="67"/>
  <c r="O69" i="67"/>
  <c r="I69" i="67"/>
  <c r="Q69" i="67"/>
  <c r="J69" i="67"/>
  <c r="G67" i="67"/>
  <c r="O67" i="67"/>
  <c r="I67" i="67"/>
  <c r="Q67" i="67"/>
  <c r="K67" i="67"/>
  <c r="L67" i="67"/>
  <c r="N54" i="67"/>
  <c r="Q39" i="67"/>
  <c r="K38" i="67"/>
  <c r="L37" i="67"/>
  <c r="M37" i="67"/>
  <c r="G37" i="67"/>
  <c r="O37" i="67"/>
  <c r="I37" i="67"/>
  <c r="Q37" i="67"/>
  <c r="J37" i="67"/>
  <c r="N29" i="67"/>
  <c r="L23" i="67"/>
  <c r="G22" i="67"/>
  <c r="O22" i="67"/>
  <c r="H22" i="67"/>
  <c r="P22" i="67"/>
  <c r="J22" i="67"/>
  <c r="L22" i="67"/>
  <c r="M22" i="67"/>
  <c r="N14" i="67"/>
  <c r="J7" i="67"/>
  <c r="K7" i="67"/>
  <c r="M7" i="67"/>
  <c r="G7" i="67"/>
  <c r="O7" i="67"/>
  <c r="H7" i="67"/>
  <c r="P7" i="67"/>
  <c r="P5" i="67"/>
  <c r="G356" i="68"/>
  <c r="O356" i="68"/>
  <c r="I356" i="68"/>
  <c r="Q356" i="68"/>
  <c r="O68" i="67"/>
  <c r="G68" i="67"/>
  <c r="K64" i="67"/>
  <c r="O60" i="67"/>
  <c r="G60" i="67"/>
  <c r="K56" i="67"/>
  <c r="O52" i="67"/>
  <c r="G52" i="67"/>
  <c r="L51" i="67"/>
  <c r="O44" i="67"/>
  <c r="G44" i="67"/>
  <c r="L43" i="67"/>
  <c r="O36" i="67"/>
  <c r="G36" i="67"/>
  <c r="L35" i="67"/>
  <c r="O28" i="67"/>
  <c r="G28" i="67"/>
  <c r="L27" i="67"/>
  <c r="O20" i="67"/>
  <c r="G20" i="67"/>
  <c r="L19" i="67"/>
  <c r="O12" i="67"/>
  <c r="G12" i="67"/>
  <c r="L11" i="67"/>
  <c r="O4" i="67"/>
  <c r="G4" i="67"/>
  <c r="L3" i="67"/>
  <c r="L470" i="68"/>
  <c r="P466" i="68"/>
  <c r="H466" i="68"/>
  <c r="M465" i="68"/>
  <c r="L462" i="68"/>
  <c r="P458" i="68"/>
  <c r="H458" i="68"/>
  <c r="M457" i="68"/>
  <c r="P453" i="68"/>
  <c r="H453" i="68"/>
  <c r="M452" i="68"/>
  <c r="P448" i="68"/>
  <c r="H448" i="68"/>
  <c r="M447" i="68"/>
  <c r="L444" i="68"/>
  <c r="M439" i="68"/>
  <c r="L436" i="68"/>
  <c r="M431" i="68"/>
  <c r="M417" i="68"/>
  <c r="J416" i="68"/>
  <c r="O415" i="68"/>
  <c r="G415" i="68"/>
  <c r="L414" i="68"/>
  <c r="M409" i="68"/>
  <c r="O407" i="68"/>
  <c r="G407" i="68"/>
  <c r="L406" i="68"/>
  <c r="P402" i="68"/>
  <c r="H402" i="68"/>
  <c r="M401" i="68"/>
  <c r="O399" i="68"/>
  <c r="G399" i="68"/>
  <c r="L398" i="68"/>
  <c r="P394" i="68"/>
  <c r="H394" i="68"/>
  <c r="M393" i="68"/>
  <c r="O391" i="68"/>
  <c r="G391" i="68"/>
  <c r="L390" i="68"/>
  <c r="P386" i="68"/>
  <c r="H386" i="68"/>
  <c r="M385" i="68"/>
  <c r="J384" i="68"/>
  <c r="O383" i="68"/>
  <c r="G383" i="68"/>
  <c r="L382" i="68"/>
  <c r="P378" i="68"/>
  <c r="H378" i="68"/>
  <c r="M377" i="68"/>
  <c r="J376" i="68"/>
  <c r="O375" i="68"/>
  <c r="G375" i="68"/>
  <c r="L374" i="68"/>
  <c r="P370" i="68"/>
  <c r="H370" i="68"/>
  <c r="M369" i="68"/>
  <c r="J368" i="68"/>
  <c r="O367" i="68"/>
  <c r="G367" i="68"/>
  <c r="L366" i="68"/>
  <c r="M361" i="68"/>
  <c r="J360" i="68"/>
  <c r="N357" i="68"/>
  <c r="P356" i="68"/>
  <c r="M354" i="68"/>
  <c r="L352" i="68"/>
  <c r="M351" i="68"/>
  <c r="N350" i="68"/>
  <c r="M349" i="68"/>
  <c r="J104" i="67"/>
  <c r="J96" i="67"/>
  <c r="M89" i="67"/>
  <c r="J88" i="67"/>
  <c r="M81" i="67"/>
  <c r="J80" i="67"/>
  <c r="M73" i="67"/>
  <c r="J72" i="67"/>
  <c r="J64" i="67"/>
  <c r="K51" i="67"/>
  <c r="K43" i="67"/>
  <c r="M41" i="67"/>
  <c r="K35" i="67"/>
  <c r="M33" i="67"/>
  <c r="K27" i="67"/>
  <c r="M25" i="67"/>
  <c r="K19" i="67"/>
  <c r="M17" i="67"/>
  <c r="K11" i="67"/>
  <c r="M9" i="67"/>
  <c r="K3" i="67"/>
  <c r="K470" i="68"/>
  <c r="M468" i="68"/>
  <c r="O466" i="68"/>
  <c r="G466" i="68"/>
  <c r="L465" i="68"/>
  <c r="Q464" i="68"/>
  <c r="I464" i="68"/>
  <c r="K462" i="68"/>
  <c r="M460" i="68"/>
  <c r="O458" i="68"/>
  <c r="G458" i="68"/>
  <c r="L457" i="68"/>
  <c r="O453" i="68"/>
  <c r="G453" i="68"/>
  <c r="L452" i="68"/>
  <c r="M450" i="68"/>
  <c r="O448" i="68"/>
  <c r="G448" i="68"/>
  <c r="L447" i="68"/>
  <c r="K444" i="68"/>
  <c r="M442" i="68"/>
  <c r="O440" i="68"/>
  <c r="G440" i="68"/>
  <c r="L439" i="68"/>
  <c r="K436" i="68"/>
  <c r="M434" i="68"/>
  <c r="W487" i="68" s="1"/>
  <c r="O432" i="68"/>
  <c r="G432" i="68"/>
  <c r="L431" i="68"/>
  <c r="O418" i="68"/>
  <c r="G418" i="68"/>
  <c r="L417" i="68"/>
  <c r="K414" i="68"/>
  <c r="O410" i="68"/>
  <c r="G410" i="68"/>
  <c r="L409" i="68"/>
  <c r="K406" i="68"/>
  <c r="O402" i="68"/>
  <c r="G402" i="68"/>
  <c r="L401" i="68"/>
  <c r="K398" i="68"/>
  <c r="O394" i="68"/>
  <c r="G394" i="68"/>
  <c r="L393" i="68"/>
  <c r="O386" i="68"/>
  <c r="G386" i="68"/>
  <c r="L385" i="68"/>
  <c r="O378" i="68"/>
  <c r="G378" i="68"/>
  <c r="L377" i="68"/>
  <c r="O370" i="68"/>
  <c r="G370" i="68"/>
  <c r="L369" i="68"/>
  <c r="O362" i="68"/>
  <c r="G362" i="68"/>
  <c r="L361" i="68"/>
  <c r="M357" i="68"/>
  <c r="N356" i="68"/>
  <c r="L354" i="68"/>
  <c r="I352" i="68"/>
  <c r="L351" i="68"/>
  <c r="K350" i="68"/>
  <c r="J470" i="68"/>
  <c r="K465" i="68"/>
  <c r="J462" i="68"/>
  <c r="K457" i="68"/>
  <c r="K452" i="68"/>
  <c r="K447" i="68"/>
  <c r="J444" i="68"/>
  <c r="L442" i="68"/>
  <c r="K439" i="68"/>
  <c r="J436" i="68"/>
  <c r="L434" i="68"/>
  <c r="K431" i="68"/>
  <c r="K417" i="68"/>
  <c r="J414" i="68"/>
  <c r="L412" i="68"/>
  <c r="K409" i="68"/>
  <c r="J406" i="68"/>
  <c r="K401" i="68"/>
  <c r="K393" i="68"/>
  <c r="K385" i="68"/>
  <c r="K377" i="68"/>
  <c r="K369" i="68"/>
  <c r="J366" i="68"/>
  <c r="L364" i="68"/>
  <c r="K361" i="68"/>
  <c r="M356" i="68"/>
  <c r="I349" i="68"/>
  <c r="Q349" i="68"/>
  <c r="J349" i="68"/>
  <c r="K349" i="68"/>
  <c r="L349" i="68"/>
  <c r="G349" i="68"/>
  <c r="O349" i="68"/>
  <c r="G343" i="68"/>
  <c r="O343" i="68"/>
  <c r="H343" i="68"/>
  <c r="P343" i="68"/>
  <c r="I343" i="68"/>
  <c r="Q343" i="68"/>
  <c r="J343" i="68"/>
  <c r="K343" i="68"/>
  <c r="L343" i="68"/>
  <c r="M343" i="68"/>
  <c r="L108" i="67"/>
  <c r="P104" i="67"/>
  <c r="L100" i="67"/>
  <c r="P96" i="67"/>
  <c r="L92" i="67"/>
  <c r="K89" i="67"/>
  <c r="P88" i="67"/>
  <c r="L84" i="67"/>
  <c r="K81" i="67"/>
  <c r="P80" i="67"/>
  <c r="L76" i="67"/>
  <c r="K73" i="67"/>
  <c r="P72" i="67"/>
  <c r="L68" i="67"/>
  <c r="K65" i="67"/>
  <c r="P64" i="67"/>
  <c r="L60" i="67"/>
  <c r="K57" i="67"/>
  <c r="P56" i="67"/>
  <c r="L52" i="67"/>
  <c r="Q51" i="67"/>
  <c r="I51" i="67"/>
  <c r="K49" i="67"/>
  <c r="P48" i="67"/>
  <c r="L44" i="67"/>
  <c r="Q43" i="67"/>
  <c r="I43" i="67"/>
  <c r="K41" i="67"/>
  <c r="P40" i="67"/>
  <c r="L36" i="67"/>
  <c r="Q35" i="67"/>
  <c r="I35" i="67"/>
  <c r="K33" i="67"/>
  <c r="P32" i="67"/>
  <c r="L28" i="67"/>
  <c r="Q27" i="67"/>
  <c r="I27" i="67"/>
  <c r="K25" i="67"/>
  <c r="P24" i="67"/>
  <c r="L20" i="67"/>
  <c r="Q19" i="67"/>
  <c r="I19" i="67"/>
  <c r="K17" i="67"/>
  <c r="P16" i="67"/>
  <c r="L12" i="67"/>
  <c r="Q11" i="67"/>
  <c r="I11" i="67"/>
  <c r="K9" i="67"/>
  <c r="P8" i="67"/>
  <c r="L4" i="67"/>
  <c r="Q3" i="67"/>
  <c r="I3" i="67"/>
  <c r="O472" i="68"/>
  <c r="G472" i="68"/>
  <c r="L471" i="68"/>
  <c r="Q470" i="68"/>
  <c r="I470" i="68"/>
  <c r="K468" i="68"/>
  <c r="M466" i="68"/>
  <c r="J465" i="68"/>
  <c r="O464" i="68"/>
  <c r="G464" i="68"/>
  <c r="L463" i="68"/>
  <c r="Q462" i="68"/>
  <c r="I462" i="68"/>
  <c r="K460" i="68"/>
  <c r="M458" i="68"/>
  <c r="J457" i="68"/>
  <c r="L455" i="68"/>
  <c r="M453" i="68"/>
  <c r="J452" i="68"/>
  <c r="K450" i="68"/>
  <c r="M448" i="68"/>
  <c r="J447" i="68"/>
  <c r="O446" i="68"/>
  <c r="G446" i="68"/>
  <c r="L445" i="68"/>
  <c r="Q444" i="68"/>
  <c r="I444" i="68"/>
  <c r="K442" i="68"/>
  <c r="M440" i="68"/>
  <c r="J439" i="68"/>
  <c r="O438" i="68"/>
  <c r="G438" i="68"/>
  <c r="L437" i="68"/>
  <c r="Q436" i="68"/>
  <c r="I436" i="68"/>
  <c r="K434" i="68"/>
  <c r="M432" i="68"/>
  <c r="J431" i="68"/>
  <c r="O430" i="68"/>
  <c r="G430" i="68"/>
  <c r="M418" i="68"/>
  <c r="J417" i="68"/>
  <c r="O416" i="68"/>
  <c r="G416" i="68"/>
  <c r="L415" i="68"/>
  <c r="Q414" i="68"/>
  <c r="I414" i="68"/>
  <c r="K412" i="68"/>
  <c r="M410" i="68"/>
  <c r="J409" i="68"/>
  <c r="O408" i="68"/>
  <c r="G408" i="68"/>
  <c r="L407" i="68"/>
  <c r="Q406" i="68"/>
  <c r="I406" i="68"/>
  <c r="K404" i="68"/>
  <c r="M402" i="68"/>
  <c r="J401" i="68"/>
  <c r="O400" i="68"/>
  <c r="G400" i="68"/>
  <c r="L399" i="68"/>
  <c r="Q398" i="68"/>
  <c r="I398" i="68"/>
  <c r="K396" i="68"/>
  <c r="M394" i="68"/>
  <c r="J393" i="68"/>
  <c r="O392" i="68"/>
  <c r="G392" i="68"/>
  <c r="L391" i="68"/>
  <c r="Q390" i="68"/>
  <c r="I390" i="68"/>
  <c r="K388" i="68"/>
  <c r="M386" i="68"/>
  <c r="J385" i="68"/>
  <c r="O384" i="68"/>
  <c r="G384" i="68"/>
  <c r="L383" i="68"/>
  <c r="Q382" i="68"/>
  <c r="I382" i="68"/>
  <c r="K380" i="68"/>
  <c r="M378" i="68"/>
  <c r="J377" i="68"/>
  <c r="O376" i="68"/>
  <c r="G376" i="68"/>
  <c r="L375" i="68"/>
  <c r="Q374" i="68"/>
  <c r="I374" i="68"/>
  <c r="K372" i="68"/>
  <c r="M370" i="68"/>
  <c r="J369" i="68"/>
  <c r="O368" i="68"/>
  <c r="G368" i="68"/>
  <c r="L367" i="68"/>
  <c r="Q366" i="68"/>
  <c r="I366" i="68"/>
  <c r="K364" i="68"/>
  <c r="M362" i="68"/>
  <c r="J361" i="68"/>
  <c r="O360" i="68"/>
  <c r="G360" i="68"/>
  <c r="L359" i="68"/>
  <c r="G358" i="68"/>
  <c r="O358" i="68"/>
  <c r="I357" i="68"/>
  <c r="L356" i="68"/>
  <c r="K471" i="68"/>
  <c r="P470" i="68"/>
  <c r="H470" i="68"/>
  <c r="J468" i="68"/>
  <c r="L466" i="68"/>
  <c r="Q465" i="68"/>
  <c r="I465" i="68"/>
  <c r="P462" i="68"/>
  <c r="H462" i="68"/>
  <c r="J460" i="68"/>
  <c r="L458" i="68"/>
  <c r="Q457" i="68"/>
  <c r="I457" i="68"/>
  <c r="K455" i="68"/>
  <c r="L453" i="68"/>
  <c r="Q452" i="68"/>
  <c r="I452" i="68"/>
  <c r="J450" i="68"/>
  <c r="L448" i="68"/>
  <c r="Q447" i="68"/>
  <c r="I447" i="68"/>
  <c r="K445" i="68"/>
  <c r="P444" i="68"/>
  <c r="H444" i="68"/>
  <c r="J442" i="68"/>
  <c r="L440" i="68"/>
  <c r="Q439" i="68"/>
  <c r="I439" i="68"/>
  <c r="K437" i="68"/>
  <c r="P436" i="68"/>
  <c r="H436" i="68"/>
  <c r="J434" i="68"/>
  <c r="T487" i="68" s="1"/>
  <c r="L432" i="68"/>
  <c r="Q431" i="68"/>
  <c r="I431" i="68"/>
  <c r="L418" i="68"/>
  <c r="Q417" i="68"/>
  <c r="I417" i="68"/>
  <c r="K415" i="68"/>
  <c r="P414" i="68"/>
  <c r="H414" i="68"/>
  <c r="J412" i="68"/>
  <c r="L410" i="68"/>
  <c r="Q409" i="68"/>
  <c r="I409" i="68"/>
  <c r="K407" i="68"/>
  <c r="P406" i="68"/>
  <c r="H406" i="68"/>
  <c r="J404" i="68"/>
  <c r="L402" i="68"/>
  <c r="Q401" i="68"/>
  <c r="I401" i="68"/>
  <c r="K399" i="68"/>
  <c r="P398" i="68"/>
  <c r="H398" i="68"/>
  <c r="J396" i="68"/>
  <c r="L394" i="68"/>
  <c r="Q393" i="68"/>
  <c r="I393" i="68"/>
  <c r="K391" i="68"/>
  <c r="P390" i="68"/>
  <c r="H390" i="68"/>
  <c r="J388" i="68"/>
  <c r="L386" i="68"/>
  <c r="Q385" i="68"/>
  <c r="I385" i="68"/>
  <c r="K383" i="68"/>
  <c r="P382" i="68"/>
  <c r="H382" i="68"/>
  <c r="J380" i="68"/>
  <c r="L378" i="68"/>
  <c r="Q377" i="68"/>
  <c r="I377" i="68"/>
  <c r="K375" i="68"/>
  <c r="P374" i="68"/>
  <c r="H374" i="68"/>
  <c r="J372" i="68"/>
  <c r="L370" i="68"/>
  <c r="Q369" i="68"/>
  <c r="I369" i="68"/>
  <c r="K367" i="68"/>
  <c r="P366" i="68"/>
  <c r="H366" i="68"/>
  <c r="J364" i="68"/>
  <c r="L362" i="68"/>
  <c r="Q361" i="68"/>
  <c r="I361" i="68"/>
  <c r="H357" i="68"/>
  <c r="K356" i="68"/>
  <c r="J352" i="68"/>
  <c r="K352" i="68"/>
  <c r="M352" i="68"/>
  <c r="G351" i="68"/>
  <c r="O351" i="68"/>
  <c r="H351" i="68"/>
  <c r="P351" i="68"/>
  <c r="J351" i="68"/>
  <c r="L350" i="68"/>
  <c r="M350" i="68"/>
  <c r="G350" i="68"/>
  <c r="O350" i="68"/>
  <c r="J350" i="68"/>
  <c r="Q89" i="67"/>
  <c r="Q81" i="67"/>
  <c r="Q73" i="67"/>
  <c r="Q65" i="67"/>
  <c r="Q57" i="67"/>
  <c r="O51" i="67"/>
  <c r="Q49" i="67"/>
  <c r="O43" i="67"/>
  <c r="Q41" i="67"/>
  <c r="O35" i="67"/>
  <c r="Q33" i="67"/>
  <c r="O27" i="67"/>
  <c r="Q25" i="67"/>
  <c r="O19" i="67"/>
  <c r="Q17" i="67"/>
  <c r="O11" i="67"/>
  <c r="Q9" i="67"/>
  <c r="O3" i="67"/>
  <c r="O470" i="68"/>
  <c r="Q468" i="68"/>
  <c r="P465" i="68"/>
  <c r="H465" i="68"/>
  <c r="O462" i="68"/>
  <c r="Q460" i="68"/>
  <c r="P457" i="68"/>
  <c r="H457" i="68"/>
  <c r="P452" i="68"/>
  <c r="H452" i="68"/>
  <c r="Q450" i="68"/>
  <c r="P447" i="68"/>
  <c r="H447" i="68"/>
  <c r="O444" i="68"/>
  <c r="Q442" i="68"/>
  <c r="P439" i="68"/>
  <c r="H439" i="68"/>
  <c r="O436" i="68"/>
  <c r="Q434" i="68"/>
  <c r="AA487" i="68" s="1"/>
  <c r="P431" i="68"/>
  <c r="H431" i="68"/>
  <c r="K418" i="68"/>
  <c r="P417" i="68"/>
  <c r="H417" i="68"/>
  <c r="O414" i="68"/>
  <c r="Q412" i="68"/>
  <c r="K410" i="68"/>
  <c r="P409" i="68"/>
  <c r="H409" i="68"/>
  <c r="O406" i="68"/>
  <c r="Q404" i="68"/>
  <c r="K402" i="68"/>
  <c r="P401" i="68"/>
  <c r="H401" i="68"/>
  <c r="O398" i="68"/>
  <c r="Q396" i="68"/>
  <c r="K394" i="68"/>
  <c r="P393" i="68"/>
  <c r="H393" i="68"/>
  <c r="J391" i="68"/>
  <c r="O390" i="68"/>
  <c r="Q388" i="68"/>
  <c r="K386" i="68"/>
  <c r="P385" i="68"/>
  <c r="H385" i="68"/>
  <c r="J383" i="68"/>
  <c r="O382" i="68"/>
  <c r="Q380" i="68"/>
  <c r="K378" i="68"/>
  <c r="P377" i="68"/>
  <c r="H377" i="68"/>
  <c r="J375" i="68"/>
  <c r="O374" i="68"/>
  <c r="Q372" i="68"/>
  <c r="K370" i="68"/>
  <c r="P369" i="68"/>
  <c r="H369" i="68"/>
  <c r="J367" i="68"/>
  <c r="O366" i="68"/>
  <c r="Q364" i="68"/>
  <c r="K362" i="68"/>
  <c r="P361" i="68"/>
  <c r="H361" i="68"/>
  <c r="I359" i="68"/>
  <c r="Q357" i="68"/>
  <c r="J356" i="68"/>
  <c r="I354" i="68"/>
  <c r="Q354" i="68"/>
  <c r="K354" i="68"/>
  <c r="P352" i="68"/>
  <c r="O465" i="68"/>
  <c r="O457" i="68"/>
  <c r="O452" i="68"/>
  <c r="O447" i="68"/>
  <c r="O439" i="68"/>
  <c r="O431" i="68"/>
  <c r="O417" i="68"/>
  <c r="O409" i="68"/>
  <c r="O401" i="68"/>
  <c r="O393" i="68"/>
  <c r="Q391" i="68"/>
  <c r="O385" i="68"/>
  <c r="Q383" i="68"/>
  <c r="O377" i="68"/>
  <c r="Q375" i="68"/>
  <c r="O369" i="68"/>
  <c r="Q367" i="68"/>
  <c r="O361" i="68"/>
  <c r="J357" i="68"/>
  <c r="L357" i="68"/>
  <c r="H356" i="68"/>
  <c r="P349" i="68"/>
  <c r="O298" i="68"/>
  <c r="G298" i="68"/>
  <c r="M276" i="68"/>
  <c r="M268" i="68"/>
  <c r="M260" i="68"/>
  <c r="M252" i="68"/>
  <c r="M244" i="68"/>
  <c r="M236" i="68"/>
  <c r="Q208" i="68"/>
  <c r="I208" i="68"/>
  <c r="Q200" i="68"/>
  <c r="I200" i="68"/>
  <c r="M196" i="68"/>
  <c r="Q192" i="68"/>
  <c r="I192" i="68"/>
  <c r="M188" i="68"/>
  <c r="Q184" i="68"/>
  <c r="I184" i="68"/>
  <c r="M180" i="68"/>
  <c r="Q176" i="68"/>
  <c r="I176" i="68"/>
  <c r="M172" i="68"/>
  <c r="Q168" i="68"/>
  <c r="I168" i="68"/>
  <c r="M164" i="68"/>
  <c r="N159" i="68"/>
  <c r="P155" i="68"/>
  <c r="P144" i="68"/>
  <c r="J133" i="68"/>
  <c r="K133" i="68"/>
  <c r="H133" i="68"/>
  <c r="P133" i="68"/>
  <c r="G132" i="68"/>
  <c r="O132" i="68"/>
  <c r="H132" i="68"/>
  <c r="P132" i="68"/>
  <c r="M132" i="68"/>
  <c r="H131" i="68"/>
  <c r="K130" i="68"/>
  <c r="K128" i="68"/>
  <c r="L128" i="68"/>
  <c r="I128" i="68"/>
  <c r="Q128" i="68"/>
  <c r="O125" i="68"/>
  <c r="K120" i="68"/>
  <c r="L120" i="68"/>
  <c r="H120" i="68"/>
  <c r="P120" i="68"/>
  <c r="I120" i="68"/>
  <c r="Q120" i="68"/>
  <c r="N117" i="68"/>
  <c r="O112" i="68"/>
  <c r="J93" i="68"/>
  <c r="K93" i="68"/>
  <c r="L93" i="68"/>
  <c r="G93" i="68"/>
  <c r="O93" i="68"/>
  <c r="H93" i="68"/>
  <c r="P93" i="68"/>
  <c r="K80" i="68"/>
  <c r="L80" i="68"/>
  <c r="M80" i="68"/>
  <c r="H80" i="68"/>
  <c r="P80" i="68"/>
  <c r="I80" i="68"/>
  <c r="Q80" i="68"/>
  <c r="J80" i="68"/>
  <c r="L348" i="68"/>
  <c r="J342" i="68"/>
  <c r="O341" i="68"/>
  <c r="G341" i="68"/>
  <c r="L340" i="68"/>
  <c r="M335" i="68"/>
  <c r="J334" i="68"/>
  <c r="O333" i="68"/>
  <c r="G333" i="68"/>
  <c r="L332" i="68"/>
  <c r="M327" i="68"/>
  <c r="J326" i="68"/>
  <c r="O325" i="68"/>
  <c r="G325" i="68"/>
  <c r="L324" i="68"/>
  <c r="M319" i="68"/>
  <c r="J318" i="68"/>
  <c r="O317" i="68"/>
  <c r="G317" i="68"/>
  <c r="L316" i="68"/>
  <c r="P312" i="68"/>
  <c r="H312" i="68"/>
  <c r="M311" i="68"/>
  <c r="J310" i="68"/>
  <c r="O309" i="68"/>
  <c r="G309" i="68"/>
  <c r="L308" i="68"/>
  <c r="P304" i="68"/>
  <c r="H304" i="68"/>
  <c r="M303" i="68"/>
  <c r="J302" i="68"/>
  <c r="O301" i="68"/>
  <c r="G301" i="68"/>
  <c r="L300" i="68"/>
  <c r="J294" i="68"/>
  <c r="O293" i="68"/>
  <c r="G293" i="68"/>
  <c r="L292" i="68"/>
  <c r="P288" i="68"/>
  <c r="H288" i="68"/>
  <c r="M287" i="68"/>
  <c r="J286" i="68"/>
  <c r="O285" i="68"/>
  <c r="G285" i="68"/>
  <c r="L284" i="68"/>
  <c r="P280" i="68"/>
  <c r="H280" i="68"/>
  <c r="M279" i="68"/>
  <c r="J278" i="68"/>
  <c r="O277" i="68"/>
  <c r="G277" i="68"/>
  <c r="L276" i="68"/>
  <c r="P272" i="68"/>
  <c r="H272" i="68"/>
  <c r="M271" i="68"/>
  <c r="J270" i="68"/>
  <c r="O269" i="68"/>
  <c r="G269" i="68"/>
  <c r="L268" i="68"/>
  <c r="P264" i="68"/>
  <c r="H264" i="68"/>
  <c r="M263" i="68"/>
  <c r="J262" i="68"/>
  <c r="O261" i="68"/>
  <c r="G261" i="68"/>
  <c r="L260" i="68"/>
  <c r="P256" i="68"/>
  <c r="H256" i="68"/>
  <c r="M255" i="68"/>
  <c r="J254" i="68"/>
  <c r="O253" i="68"/>
  <c r="G253" i="68"/>
  <c r="L252" i="68"/>
  <c r="P248" i="68"/>
  <c r="H248" i="68"/>
  <c r="M247" i="68"/>
  <c r="J246" i="68"/>
  <c r="O245" i="68"/>
  <c r="G245" i="68"/>
  <c r="L244" i="68"/>
  <c r="P240" i="68"/>
  <c r="H240" i="68"/>
  <c r="M239" i="68"/>
  <c r="J238" i="68"/>
  <c r="O237" i="68"/>
  <c r="G237" i="68"/>
  <c r="L236" i="68"/>
  <c r="P232" i="68"/>
  <c r="H232" i="68"/>
  <c r="M231" i="68"/>
  <c r="J230" i="68"/>
  <c r="O229" i="68"/>
  <c r="G229" i="68"/>
  <c r="L228" i="68"/>
  <c r="P224" i="68"/>
  <c r="H224" i="68"/>
  <c r="M223" i="68"/>
  <c r="J222" i="68"/>
  <c r="O221" i="68"/>
  <c r="G221" i="68"/>
  <c r="L220" i="68"/>
  <c r="P216" i="68"/>
  <c r="H216" i="68"/>
  <c r="M215" i="68"/>
  <c r="J214" i="68"/>
  <c r="O213" i="68"/>
  <c r="G213" i="68"/>
  <c r="L212" i="68"/>
  <c r="P208" i="68"/>
  <c r="H208" i="68"/>
  <c r="M207" i="68"/>
  <c r="J206" i="68"/>
  <c r="O205" i="68"/>
  <c r="G205" i="68"/>
  <c r="L204" i="68"/>
  <c r="P200" i="68"/>
  <c r="H200" i="68"/>
  <c r="M199" i="68"/>
  <c r="J198" i="68"/>
  <c r="O197" i="68"/>
  <c r="G197" i="68"/>
  <c r="L196" i="68"/>
  <c r="P192" i="68"/>
  <c r="H192" i="68"/>
  <c r="M191" i="68"/>
  <c r="J190" i="68"/>
  <c r="O189" i="68"/>
  <c r="G189" i="68"/>
  <c r="L188" i="68"/>
  <c r="P184" i="68"/>
  <c r="H184" i="68"/>
  <c r="M183" i="68"/>
  <c r="J182" i="68"/>
  <c r="O181" i="68"/>
  <c r="G181" i="68"/>
  <c r="L180" i="68"/>
  <c r="P176" i="68"/>
  <c r="H176" i="68"/>
  <c r="M175" i="68"/>
  <c r="J174" i="68"/>
  <c r="O173" i="68"/>
  <c r="G173" i="68"/>
  <c r="L172" i="68"/>
  <c r="P168" i="68"/>
  <c r="H168" i="68"/>
  <c r="M167" i="68"/>
  <c r="J166" i="68"/>
  <c r="O165" i="68"/>
  <c r="G165" i="68"/>
  <c r="L164" i="68"/>
  <c r="P160" i="68"/>
  <c r="H160" i="68"/>
  <c r="M159" i="68"/>
  <c r="M157" i="68"/>
  <c r="L156" i="68"/>
  <c r="O155" i="68"/>
  <c r="P154" i="68"/>
  <c r="O144" i="68"/>
  <c r="J141" i="68"/>
  <c r="K141" i="68"/>
  <c r="H141" i="68"/>
  <c r="P141" i="68"/>
  <c r="G140" i="68"/>
  <c r="O140" i="68"/>
  <c r="H140" i="68"/>
  <c r="P140" i="68"/>
  <c r="M140" i="68"/>
  <c r="K136" i="68"/>
  <c r="L136" i="68"/>
  <c r="I136" i="68"/>
  <c r="Q136" i="68"/>
  <c r="J109" i="68"/>
  <c r="K109" i="68"/>
  <c r="L109" i="68"/>
  <c r="G109" i="68"/>
  <c r="O109" i="68"/>
  <c r="H109" i="68"/>
  <c r="P109" i="68"/>
  <c r="N101" i="68"/>
  <c r="G100" i="68"/>
  <c r="O100" i="68"/>
  <c r="H100" i="68"/>
  <c r="P100" i="68"/>
  <c r="I100" i="68"/>
  <c r="Q100" i="68"/>
  <c r="L100" i="68"/>
  <c r="M100" i="68"/>
  <c r="K96" i="68"/>
  <c r="L96" i="68"/>
  <c r="M96" i="68"/>
  <c r="H96" i="68"/>
  <c r="P96" i="68"/>
  <c r="I96" i="68"/>
  <c r="Q96" i="68"/>
  <c r="O88" i="68"/>
  <c r="N85" i="68"/>
  <c r="K72" i="68"/>
  <c r="L72" i="68"/>
  <c r="M72" i="68"/>
  <c r="H72" i="68"/>
  <c r="P72" i="68"/>
  <c r="I72" i="68"/>
  <c r="Q72" i="68"/>
  <c r="J72" i="68"/>
  <c r="O344" i="68"/>
  <c r="G344" i="68"/>
  <c r="Q342" i="68"/>
  <c r="I342" i="68"/>
  <c r="O336" i="68"/>
  <c r="G336" i="68"/>
  <c r="L335" i="68"/>
  <c r="Q334" i="68"/>
  <c r="I334" i="68"/>
  <c r="K332" i="68"/>
  <c r="O328" i="68"/>
  <c r="G328" i="68"/>
  <c r="L327" i="68"/>
  <c r="Q326" i="68"/>
  <c r="I326" i="68"/>
  <c r="K324" i="68"/>
  <c r="O320" i="68"/>
  <c r="G320" i="68"/>
  <c r="L319" i="68"/>
  <c r="Q318" i="68"/>
  <c r="I318" i="68"/>
  <c r="K316" i="68"/>
  <c r="O312" i="68"/>
  <c r="G312" i="68"/>
  <c r="L311" i="68"/>
  <c r="Q310" i="68"/>
  <c r="I310" i="68"/>
  <c r="K308" i="68"/>
  <c r="O304" i="68"/>
  <c r="G304" i="68"/>
  <c r="L303" i="68"/>
  <c r="Q302" i="68"/>
  <c r="I302" i="68"/>
  <c r="K300" i="68"/>
  <c r="J297" i="68"/>
  <c r="O296" i="68"/>
  <c r="G296" i="68"/>
  <c r="L295" i="68"/>
  <c r="Q294" i="68"/>
  <c r="I294" i="68"/>
  <c r="K292" i="68"/>
  <c r="O288" i="68"/>
  <c r="G288" i="68"/>
  <c r="L287" i="68"/>
  <c r="Q286" i="68"/>
  <c r="I286" i="68"/>
  <c r="K284" i="68"/>
  <c r="O280" i="68"/>
  <c r="G280" i="68"/>
  <c r="L279" i="68"/>
  <c r="Q278" i="68"/>
  <c r="I278" i="68"/>
  <c r="K276" i="68"/>
  <c r="O272" i="68"/>
  <c r="G272" i="68"/>
  <c r="L271" i="68"/>
  <c r="I270" i="68"/>
  <c r="K268" i="68"/>
  <c r="O264" i="68"/>
  <c r="G264" i="68"/>
  <c r="L263" i="68"/>
  <c r="K260" i="68"/>
  <c r="O256" i="68"/>
  <c r="G256" i="68"/>
  <c r="L255" i="68"/>
  <c r="K252" i="68"/>
  <c r="O248" i="68"/>
  <c r="G248" i="68"/>
  <c r="L247" i="68"/>
  <c r="K244" i="68"/>
  <c r="O240" i="68"/>
  <c r="G240" i="68"/>
  <c r="L239" i="68"/>
  <c r="K236" i="68"/>
  <c r="O232" i="68"/>
  <c r="G232" i="68"/>
  <c r="L231" i="68"/>
  <c r="K228" i="68"/>
  <c r="O224" i="68"/>
  <c r="G224" i="68"/>
  <c r="L223" i="68"/>
  <c r="K220" i="68"/>
  <c r="O216" i="68"/>
  <c r="G216" i="68"/>
  <c r="L215" i="68"/>
  <c r="K212" i="68"/>
  <c r="O208" i="68"/>
  <c r="G208" i="68"/>
  <c r="L207" i="68"/>
  <c r="K204" i="68"/>
  <c r="O200" i="68"/>
  <c r="G200" i="68"/>
  <c r="L199" i="68"/>
  <c r="K196" i="68"/>
  <c r="O192" i="68"/>
  <c r="G192" i="68"/>
  <c r="L191" i="68"/>
  <c r="K188" i="68"/>
  <c r="O184" i="68"/>
  <c r="G184" i="68"/>
  <c r="L183" i="68"/>
  <c r="K180" i="68"/>
  <c r="O176" i="68"/>
  <c r="G176" i="68"/>
  <c r="L175" i="68"/>
  <c r="K172" i="68"/>
  <c r="O168" i="68"/>
  <c r="G168" i="68"/>
  <c r="L167" i="68"/>
  <c r="K164" i="68"/>
  <c r="L159" i="68"/>
  <c r="N155" i="68"/>
  <c r="N154" i="68"/>
  <c r="K152" i="68"/>
  <c r="L152" i="68"/>
  <c r="I152" i="68"/>
  <c r="Q152" i="68"/>
  <c r="J149" i="68"/>
  <c r="K149" i="68"/>
  <c r="H149" i="68"/>
  <c r="P149" i="68"/>
  <c r="G148" i="68"/>
  <c r="O148" i="68"/>
  <c r="H148" i="68"/>
  <c r="P148" i="68"/>
  <c r="M148" i="68"/>
  <c r="N144" i="68"/>
  <c r="Q141" i="68"/>
  <c r="P136" i="68"/>
  <c r="L131" i="68"/>
  <c r="M131" i="68"/>
  <c r="J131" i="68"/>
  <c r="I130" i="68"/>
  <c r="Q130" i="68"/>
  <c r="J130" i="68"/>
  <c r="G130" i="68"/>
  <c r="O130" i="68"/>
  <c r="O104" i="68"/>
  <c r="N92" i="68"/>
  <c r="N88" i="68"/>
  <c r="K64" i="68"/>
  <c r="L64" i="68"/>
  <c r="M64" i="68"/>
  <c r="H64" i="68"/>
  <c r="P64" i="68"/>
  <c r="I64" i="68"/>
  <c r="Q64" i="68"/>
  <c r="J64" i="68"/>
  <c r="J348" i="68"/>
  <c r="O347" i="68"/>
  <c r="G347" i="68"/>
  <c r="L346" i="68"/>
  <c r="P342" i="68"/>
  <c r="H342" i="68"/>
  <c r="J340" i="68"/>
  <c r="L338" i="68"/>
  <c r="K335" i="68"/>
  <c r="P334" i="68"/>
  <c r="H334" i="68"/>
  <c r="M333" i="68"/>
  <c r="J332" i="68"/>
  <c r="O331" i="68"/>
  <c r="G331" i="68"/>
  <c r="L330" i="68"/>
  <c r="K327" i="68"/>
  <c r="P326" i="68"/>
  <c r="H326" i="68"/>
  <c r="M325" i="68"/>
  <c r="J324" i="68"/>
  <c r="O323" i="68"/>
  <c r="G323" i="68"/>
  <c r="L322" i="68"/>
  <c r="K319" i="68"/>
  <c r="P318" i="68"/>
  <c r="H318" i="68"/>
  <c r="M317" i="68"/>
  <c r="J316" i="68"/>
  <c r="L314" i="68"/>
  <c r="K311" i="68"/>
  <c r="P310" i="68"/>
  <c r="H310" i="68"/>
  <c r="J308" i="68"/>
  <c r="L306" i="68"/>
  <c r="K303" i="68"/>
  <c r="P302" i="68"/>
  <c r="H302" i="68"/>
  <c r="J300" i="68"/>
  <c r="L298" i="68"/>
  <c r="K295" i="68"/>
  <c r="J292" i="68"/>
  <c r="K287" i="68"/>
  <c r="J284" i="68"/>
  <c r="K279" i="68"/>
  <c r="J276" i="68"/>
  <c r="K271" i="68"/>
  <c r="J268" i="68"/>
  <c r="K263" i="68"/>
  <c r="J260" i="68"/>
  <c r="K255" i="68"/>
  <c r="J252" i="68"/>
  <c r="K247" i="68"/>
  <c r="J244" i="68"/>
  <c r="K239" i="68"/>
  <c r="J236" i="68"/>
  <c r="K231" i="68"/>
  <c r="J228" i="68"/>
  <c r="K223" i="68"/>
  <c r="J220" i="68"/>
  <c r="K215" i="68"/>
  <c r="J212" i="68"/>
  <c r="J204" i="68"/>
  <c r="J196" i="68"/>
  <c r="J188" i="68"/>
  <c r="J180" i="68"/>
  <c r="J172" i="68"/>
  <c r="J164" i="68"/>
  <c r="K159" i="68"/>
  <c r="I157" i="68"/>
  <c r="K155" i="68"/>
  <c r="M154" i="68"/>
  <c r="Q149" i="68"/>
  <c r="M144" i="68"/>
  <c r="O141" i="68"/>
  <c r="Q140" i="68"/>
  <c r="L139" i="68"/>
  <c r="M139" i="68"/>
  <c r="J139" i="68"/>
  <c r="I138" i="68"/>
  <c r="Q138" i="68"/>
  <c r="J138" i="68"/>
  <c r="G138" i="68"/>
  <c r="O138" i="68"/>
  <c r="O136" i="68"/>
  <c r="N133" i="68"/>
  <c r="N132" i="68"/>
  <c r="P131" i="68"/>
  <c r="N128" i="68"/>
  <c r="L125" i="68"/>
  <c r="O120" i="68"/>
  <c r="G116" i="68"/>
  <c r="O116" i="68"/>
  <c r="H116" i="68"/>
  <c r="P116" i="68"/>
  <c r="L116" i="68"/>
  <c r="M116" i="68"/>
  <c r="L115" i="68"/>
  <c r="M115" i="68"/>
  <c r="I115" i="68"/>
  <c r="Q115" i="68"/>
  <c r="J115" i="68"/>
  <c r="J112" i="68"/>
  <c r="N108" i="68"/>
  <c r="Q348" i="68"/>
  <c r="I348" i="68"/>
  <c r="K346" i="68"/>
  <c r="M344" i="68"/>
  <c r="O342" i="68"/>
  <c r="G342" i="68"/>
  <c r="L341" i="68"/>
  <c r="Q340" i="68"/>
  <c r="I340" i="68"/>
  <c r="K338" i="68"/>
  <c r="M336" i="68"/>
  <c r="J335" i="68"/>
  <c r="O334" i="68"/>
  <c r="G334" i="68"/>
  <c r="L333" i="68"/>
  <c r="Q332" i="68"/>
  <c r="I332" i="68"/>
  <c r="K330" i="68"/>
  <c r="J327" i="68"/>
  <c r="O326" i="68"/>
  <c r="G326" i="68"/>
  <c r="L325" i="68"/>
  <c r="Q324" i="68"/>
  <c r="I324" i="68"/>
  <c r="K322" i="68"/>
  <c r="J319" i="68"/>
  <c r="O318" i="68"/>
  <c r="G318" i="68"/>
  <c r="L317" i="68"/>
  <c r="Q316" i="68"/>
  <c r="I316" i="68"/>
  <c r="K314" i="68"/>
  <c r="M312" i="68"/>
  <c r="J311" i="68"/>
  <c r="O310" i="68"/>
  <c r="G310" i="68"/>
  <c r="L309" i="68"/>
  <c r="Q308" i="68"/>
  <c r="I308" i="68"/>
  <c r="K306" i="68"/>
  <c r="M304" i="68"/>
  <c r="J303" i="68"/>
  <c r="O302" i="68"/>
  <c r="G302" i="68"/>
  <c r="L301" i="68"/>
  <c r="Q300" i="68"/>
  <c r="I300" i="68"/>
  <c r="K298" i="68"/>
  <c r="P297" i="68"/>
  <c r="H297" i="68"/>
  <c r="M296" i="68"/>
  <c r="J295" i="68"/>
  <c r="O294" i="68"/>
  <c r="G294" i="68"/>
  <c r="L293" i="68"/>
  <c r="Q292" i="68"/>
  <c r="I292" i="68"/>
  <c r="K290" i="68"/>
  <c r="P289" i="68"/>
  <c r="M288" i="68"/>
  <c r="J287" i="68"/>
  <c r="O286" i="68"/>
  <c r="G286" i="68"/>
  <c r="L285" i="68"/>
  <c r="Q284" i="68"/>
  <c r="I284" i="68"/>
  <c r="K282" i="68"/>
  <c r="P281" i="68"/>
  <c r="M280" i="68"/>
  <c r="J279" i="68"/>
  <c r="O278" i="68"/>
  <c r="G278" i="68"/>
  <c r="L277" i="68"/>
  <c r="Q276" i="68"/>
  <c r="I276" i="68"/>
  <c r="K274" i="68"/>
  <c r="P273" i="68"/>
  <c r="M272" i="68"/>
  <c r="J271" i="68"/>
  <c r="O270" i="68"/>
  <c r="G270" i="68"/>
  <c r="L269" i="68"/>
  <c r="Q268" i="68"/>
  <c r="I268" i="68"/>
  <c r="K266" i="68"/>
  <c r="P265" i="68"/>
  <c r="M264" i="68"/>
  <c r="J263" i="68"/>
  <c r="O262" i="68"/>
  <c r="G262" i="68"/>
  <c r="L261" i="68"/>
  <c r="Q260" i="68"/>
  <c r="I260" i="68"/>
  <c r="K258" i="68"/>
  <c r="P257" i="68"/>
  <c r="M256" i="68"/>
  <c r="J255" i="68"/>
  <c r="O254" i="68"/>
  <c r="G254" i="68"/>
  <c r="L253" i="68"/>
  <c r="Q252" i="68"/>
  <c r="I252" i="68"/>
  <c r="K250" i="68"/>
  <c r="P249" i="68"/>
  <c r="M248" i="68"/>
  <c r="J247" i="68"/>
  <c r="O246" i="68"/>
  <c r="G246" i="68"/>
  <c r="L245" i="68"/>
  <c r="Q244" i="68"/>
  <c r="I244" i="68"/>
  <c r="K242" i="68"/>
  <c r="P241" i="68"/>
  <c r="M240" i="68"/>
  <c r="J239" i="68"/>
  <c r="O238" i="68"/>
  <c r="G238" i="68"/>
  <c r="L237" i="68"/>
  <c r="Q236" i="68"/>
  <c r="I236" i="68"/>
  <c r="K234" i="68"/>
  <c r="P233" i="68"/>
  <c r="M232" i="68"/>
  <c r="J231" i="68"/>
  <c r="O230" i="68"/>
  <c r="G230" i="68"/>
  <c r="L229" i="68"/>
  <c r="Q228" i="68"/>
  <c r="I228" i="68"/>
  <c r="K226" i="68"/>
  <c r="M224" i="68"/>
  <c r="J223" i="68"/>
  <c r="O222" i="68"/>
  <c r="G222" i="68"/>
  <c r="L221" i="68"/>
  <c r="Q220" i="68"/>
  <c r="I220" i="68"/>
  <c r="K218" i="68"/>
  <c r="M216" i="68"/>
  <c r="J215" i="68"/>
  <c r="O214" i="68"/>
  <c r="G214" i="68"/>
  <c r="L213" i="68"/>
  <c r="Q212" i="68"/>
  <c r="I212" i="68"/>
  <c r="K210" i="68"/>
  <c r="P209" i="68"/>
  <c r="M208" i="68"/>
  <c r="J207" i="68"/>
  <c r="O206" i="68"/>
  <c r="G206" i="68"/>
  <c r="L205" i="68"/>
  <c r="Q204" i="68"/>
  <c r="I204" i="68"/>
  <c r="K202" i="68"/>
  <c r="P201" i="68"/>
  <c r="M200" i="68"/>
  <c r="J199" i="68"/>
  <c r="O198" i="68"/>
  <c r="G198" i="68"/>
  <c r="L197" i="68"/>
  <c r="Q196" i="68"/>
  <c r="I196" i="68"/>
  <c r="K194" i="68"/>
  <c r="P193" i="68"/>
  <c r="M192" i="68"/>
  <c r="J191" i="68"/>
  <c r="O190" i="68"/>
  <c r="G190" i="68"/>
  <c r="L189" i="68"/>
  <c r="Q188" i="68"/>
  <c r="I188" i="68"/>
  <c r="K186" i="68"/>
  <c r="M184" i="68"/>
  <c r="J183" i="68"/>
  <c r="O182" i="68"/>
  <c r="G182" i="68"/>
  <c r="L181" i="68"/>
  <c r="Q180" i="68"/>
  <c r="I180" i="68"/>
  <c r="K178" i="68"/>
  <c r="M176" i="68"/>
  <c r="J175" i="68"/>
  <c r="O174" i="68"/>
  <c r="G174" i="68"/>
  <c r="L173" i="68"/>
  <c r="Q172" i="68"/>
  <c r="I172" i="68"/>
  <c r="K170" i="68"/>
  <c r="M168" i="68"/>
  <c r="J167" i="68"/>
  <c r="O166" i="68"/>
  <c r="G166" i="68"/>
  <c r="L165" i="68"/>
  <c r="Q164" i="68"/>
  <c r="I164" i="68"/>
  <c r="K162" i="68"/>
  <c r="P161" i="68"/>
  <c r="M160" i="68"/>
  <c r="J159" i="68"/>
  <c r="I155" i="68"/>
  <c r="L154" i="68"/>
  <c r="O152" i="68"/>
  <c r="O149" i="68"/>
  <c r="Q148" i="68"/>
  <c r="L147" i="68"/>
  <c r="M147" i="68"/>
  <c r="J147" i="68"/>
  <c r="I146" i="68"/>
  <c r="Q146" i="68"/>
  <c r="J146" i="68"/>
  <c r="G146" i="68"/>
  <c r="O146" i="68"/>
  <c r="J144" i="68"/>
  <c r="N141" i="68"/>
  <c r="N140" i="68"/>
  <c r="P139" i="68"/>
  <c r="N136" i="68"/>
  <c r="M133" i="68"/>
  <c r="L132" i="68"/>
  <c r="O131" i="68"/>
  <c r="P130" i="68"/>
  <c r="M128" i="68"/>
  <c r="J117" i="68"/>
  <c r="K117" i="68"/>
  <c r="G117" i="68"/>
  <c r="O117" i="68"/>
  <c r="H117" i="68"/>
  <c r="P117" i="68"/>
  <c r="J101" i="68"/>
  <c r="K101" i="68"/>
  <c r="L101" i="68"/>
  <c r="G101" i="68"/>
  <c r="O101" i="68"/>
  <c r="H101" i="68"/>
  <c r="P101" i="68"/>
  <c r="Q93" i="68"/>
  <c r="J85" i="68"/>
  <c r="K85" i="68"/>
  <c r="L85" i="68"/>
  <c r="G85" i="68"/>
  <c r="O85" i="68"/>
  <c r="H85" i="68"/>
  <c r="P85" i="68"/>
  <c r="J346" i="68"/>
  <c r="L344" i="68"/>
  <c r="K341" i="68"/>
  <c r="J338" i="68"/>
  <c r="Q335" i="68"/>
  <c r="I335" i="68"/>
  <c r="P332" i="68"/>
  <c r="H332" i="68"/>
  <c r="J330" i="68"/>
  <c r="Q327" i="68"/>
  <c r="I327" i="68"/>
  <c r="P324" i="68"/>
  <c r="H324" i="68"/>
  <c r="J322" i="68"/>
  <c r="Q319" i="68"/>
  <c r="I319" i="68"/>
  <c r="P316" i="68"/>
  <c r="H316" i="68"/>
  <c r="Q311" i="68"/>
  <c r="I311" i="68"/>
  <c r="P308" i="68"/>
  <c r="H308" i="68"/>
  <c r="Q303" i="68"/>
  <c r="I303" i="68"/>
  <c r="P300" i="68"/>
  <c r="H300" i="68"/>
  <c r="J298" i="68"/>
  <c r="O297" i="68"/>
  <c r="L296" i="68"/>
  <c r="Q295" i="68"/>
  <c r="I295" i="68"/>
  <c r="P292" i="68"/>
  <c r="H292" i="68"/>
  <c r="J290" i="68"/>
  <c r="L288" i="68"/>
  <c r="Q287" i="68"/>
  <c r="I287" i="68"/>
  <c r="P284" i="68"/>
  <c r="H284" i="68"/>
  <c r="J282" i="68"/>
  <c r="L280" i="68"/>
  <c r="Q279" i="68"/>
  <c r="I279" i="68"/>
  <c r="K277" i="68"/>
  <c r="P276" i="68"/>
  <c r="H276" i="68"/>
  <c r="J274" i="68"/>
  <c r="L272" i="68"/>
  <c r="Q271" i="68"/>
  <c r="I271" i="68"/>
  <c r="K269" i="68"/>
  <c r="P268" i="68"/>
  <c r="H268" i="68"/>
  <c r="J266" i="68"/>
  <c r="L264" i="68"/>
  <c r="Q263" i="68"/>
  <c r="I263" i="68"/>
  <c r="K261" i="68"/>
  <c r="P260" i="68"/>
  <c r="H260" i="68"/>
  <c r="J258" i="68"/>
  <c r="L256" i="68"/>
  <c r="Q255" i="68"/>
  <c r="I255" i="68"/>
  <c r="K253" i="68"/>
  <c r="P252" i="68"/>
  <c r="H252" i="68"/>
  <c r="J250" i="68"/>
  <c r="L248" i="68"/>
  <c r="Q247" i="68"/>
  <c r="I247" i="68"/>
  <c r="K245" i="68"/>
  <c r="P244" i="68"/>
  <c r="H244" i="68"/>
  <c r="J242" i="68"/>
  <c r="L240" i="68"/>
  <c r="Q239" i="68"/>
  <c r="I239" i="68"/>
  <c r="K237" i="68"/>
  <c r="P236" i="68"/>
  <c r="H236" i="68"/>
  <c r="J234" i="68"/>
  <c r="L232" i="68"/>
  <c r="Q231" i="68"/>
  <c r="I231" i="68"/>
  <c r="K229" i="68"/>
  <c r="P228" i="68"/>
  <c r="H228" i="68"/>
  <c r="J226" i="68"/>
  <c r="L224" i="68"/>
  <c r="Q223" i="68"/>
  <c r="I223" i="68"/>
  <c r="K221" i="68"/>
  <c r="P220" i="68"/>
  <c r="H220" i="68"/>
  <c r="J218" i="68"/>
  <c r="L216" i="68"/>
  <c r="Q215" i="68"/>
  <c r="I215" i="68"/>
  <c r="K213" i="68"/>
  <c r="P212" i="68"/>
  <c r="H212" i="68"/>
  <c r="J210" i="68"/>
  <c r="L208" i="68"/>
  <c r="Q207" i="68"/>
  <c r="I207" i="68"/>
  <c r="K205" i="68"/>
  <c r="P204" i="68"/>
  <c r="H204" i="68"/>
  <c r="J202" i="68"/>
  <c r="L200" i="68"/>
  <c r="Q199" i="68"/>
  <c r="I199" i="68"/>
  <c r="K197" i="68"/>
  <c r="P196" i="68"/>
  <c r="H196" i="68"/>
  <c r="J194" i="68"/>
  <c r="L192" i="68"/>
  <c r="Q191" i="68"/>
  <c r="I191" i="68"/>
  <c r="K189" i="68"/>
  <c r="P188" i="68"/>
  <c r="H188" i="68"/>
  <c r="J186" i="68"/>
  <c r="L184" i="68"/>
  <c r="Q183" i="68"/>
  <c r="I183" i="68"/>
  <c r="K181" i="68"/>
  <c r="P180" i="68"/>
  <c r="H180" i="68"/>
  <c r="J178" i="68"/>
  <c r="L176" i="68"/>
  <c r="Q175" i="68"/>
  <c r="I175" i="68"/>
  <c r="K173" i="68"/>
  <c r="P172" i="68"/>
  <c r="H172" i="68"/>
  <c r="J170" i="68"/>
  <c r="L168" i="68"/>
  <c r="Q167" i="68"/>
  <c r="I167" i="68"/>
  <c r="K165" i="68"/>
  <c r="U487" i="68" s="1"/>
  <c r="P164" i="68"/>
  <c r="H164" i="68"/>
  <c r="L160" i="68"/>
  <c r="Q159" i="68"/>
  <c r="H159" i="68"/>
  <c r="J157" i="68"/>
  <c r="K157" i="68"/>
  <c r="H157" i="68"/>
  <c r="P157" i="68"/>
  <c r="G156" i="68"/>
  <c r="O156" i="68"/>
  <c r="H156" i="68"/>
  <c r="P156" i="68"/>
  <c r="M156" i="68"/>
  <c r="H155" i="68"/>
  <c r="K154" i="68"/>
  <c r="H144" i="68"/>
  <c r="M141" i="68"/>
  <c r="L140" i="68"/>
  <c r="O139" i="68"/>
  <c r="P138" i="68"/>
  <c r="M136" i="68"/>
  <c r="L133" i="68"/>
  <c r="K132" i="68"/>
  <c r="N131" i="68"/>
  <c r="N130" i="68"/>
  <c r="K112" i="68"/>
  <c r="L112" i="68"/>
  <c r="H112" i="68"/>
  <c r="P112" i="68"/>
  <c r="I112" i="68"/>
  <c r="Q112" i="68"/>
  <c r="Q109" i="68"/>
  <c r="O96" i="68"/>
  <c r="N93" i="68"/>
  <c r="G92" i="68"/>
  <c r="O92" i="68"/>
  <c r="H92" i="68"/>
  <c r="P92" i="68"/>
  <c r="I92" i="68"/>
  <c r="Q92" i="68"/>
  <c r="L92" i="68"/>
  <c r="M92" i="68"/>
  <c r="K88" i="68"/>
  <c r="L88" i="68"/>
  <c r="M88" i="68"/>
  <c r="H88" i="68"/>
  <c r="P88" i="68"/>
  <c r="I88" i="68"/>
  <c r="Q88" i="68"/>
  <c r="O80" i="68"/>
  <c r="J77" i="68"/>
  <c r="K77" i="68"/>
  <c r="L77" i="68"/>
  <c r="G77" i="68"/>
  <c r="O77" i="68"/>
  <c r="H77" i="68"/>
  <c r="P77" i="68"/>
  <c r="I77" i="68"/>
  <c r="Q77" i="68"/>
  <c r="O348" i="68"/>
  <c r="Q346" i="68"/>
  <c r="K344" i="68"/>
  <c r="M342" i="68"/>
  <c r="J341" i="68"/>
  <c r="O340" i="68"/>
  <c r="Q338" i="68"/>
  <c r="P335" i="68"/>
  <c r="H335" i="68"/>
  <c r="O332" i="68"/>
  <c r="Q330" i="68"/>
  <c r="P327" i="68"/>
  <c r="H327" i="68"/>
  <c r="O324" i="68"/>
  <c r="Q322" i="68"/>
  <c r="P319" i="68"/>
  <c r="H319" i="68"/>
  <c r="O316" i="68"/>
  <c r="Q314" i="68"/>
  <c r="P311" i="68"/>
  <c r="H311" i="68"/>
  <c r="O308" i="68"/>
  <c r="Q306" i="68"/>
  <c r="P303" i="68"/>
  <c r="H303" i="68"/>
  <c r="O300" i="68"/>
  <c r="Q298" i="68"/>
  <c r="K296" i="68"/>
  <c r="P295" i="68"/>
  <c r="H295" i="68"/>
  <c r="O292" i="68"/>
  <c r="Q290" i="68"/>
  <c r="K288" i="68"/>
  <c r="P287" i="68"/>
  <c r="H287" i="68"/>
  <c r="O284" i="68"/>
  <c r="Q282" i="68"/>
  <c r="P279" i="68"/>
  <c r="O276" i="68"/>
  <c r="Q274" i="68"/>
  <c r="P271" i="68"/>
  <c r="O268" i="68"/>
  <c r="Q266" i="68"/>
  <c r="P263" i="68"/>
  <c r="O260" i="68"/>
  <c r="Q258" i="68"/>
  <c r="P255" i="68"/>
  <c r="O252" i="68"/>
  <c r="Q250" i="68"/>
  <c r="P247" i="68"/>
  <c r="O244" i="68"/>
  <c r="Q242" i="68"/>
  <c r="P239" i="68"/>
  <c r="H239" i="68"/>
  <c r="O236" i="68"/>
  <c r="Q234" i="68"/>
  <c r="P231" i="68"/>
  <c r="H231" i="68"/>
  <c r="O228" i="68"/>
  <c r="Q226" i="68"/>
  <c r="P223" i="68"/>
  <c r="H223" i="68"/>
  <c r="O220" i="68"/>
  <c r="Q218" i="68"/>
  <c r="K216" i="68"/>
  <c r="P215" i="68"/>
  <c r="H215" i="68"/>
  <c r="O212" i="68"/>
  <c r="Q210" i="68"/>
  <c r="K208" i="68"/>
  <c r="P207" i="68"/>
  <c r="H207" i="68"/>
  <c r="O204" i="68"/>
  <c r="Q202" i="68"/>
  <c r="K200" i="68"/>
  <c r="P199" i="68"/>
  <c r="H199" i="68"/>
  <c r="O196" i="68"/>
  <c r="Q194" i="68"/>
  <c r="K192" i="68"/>
  <c r="P191" i="68"/>
  <c r="O188" i="68"/>
  <c r="Q186" i="68"/>
  <c r="K184" i="68"/>
  <c r="P183" i="68"/>
  <c r="O180" i="68"/>
  <c r="Q178" i="68"/>
  <c r="K176" i="68"/>
  <c r="P175" i="68"/>
  <c r="O172" i="68"/>
  <c r="Q170" i="68"/>
  <c r="P167" i="68"/>
  <c r="O164" i="68"/>
  <c r="Q162" i="68"/>
  <c r="P159" i="68"/>
  <c r="G159" i="68"/>
  <c r="Q157" i="68"/>
  <c r="M152" i="68"/>
  <c r="M149" i="68"/>
  <c r="L148" i="68"/>
  <c r="O147" i="68"/>
  <c r="P146" i="68"/>
  <c r="L141" i="68"/>
  <c r="K140" i="68"/>
  <c r="N139" i="68"/>
  <c r="N138" i="68"/>
  <c r="J136" i="68"/>
  <c r="I133" i="68"/>
  <c r="J132" i="68"/>
  <c r="K131" i="68"/>
  <c r="M130" i="68"/>
  <c r="H128" i="68"/>
  <c r="J125" i="68"/>
  <c r="K125" i="68"/>
  <c r="H125" i="68"/>
  <c r="P125" i="68"/>
  <c r="G124" i="68"/>
  <c r="O124" i="68"/>
  <c r="H124" i="68"/>
  <c r="P124" i="68"/>
  <c r="M124" i="68"/>
  <c r="L123" i="68"/>
  <c r="M123" i="68"/>
  <c r="I123" i="68"/>
  <c r="Q123" i="68"/>
  <c r="J123" i="68"/>
  <c r="J120" i="68"/>
  <c r="Q116" i="68"/>
  <c r="O115" i="68"/>
  <c r="N109" i="68"/>
  <c r="G108" i="68"/>
  <c r="O108" i="68"/>
  <c r="H108" i="68"/>
  <c r="P108" i="68"/>
  <c r="I108" i="68"/>
  <c r="Q108" i="68"/>
  <c r="L108" i="68"/>
  <c r="M108" i="68"/>
  <c r="K104" i="68"/>
  <c r="L104" i="68"/>
  <c r="M104" i="68"/>
  <c r="H104" i="68"/>
  <c r="P104" i="68"/>
  <c r="I104" i="68"/>
  <c r="Q104" i="68"/>
  <c r="M93" i="68"/>
  <c r="N80" i="68"/>
  <c r="J69" i="68"/>
  <c r="K69" i="68"/>
  <c r="L69" i="68"/>
  <c r="G69" i="68"/>
  <c r="O69" i="68"/>
  <c r="H69" i="68"/>
  <c r="P69" i="68"/>
  <c r="I69" i="68"/>
  <c r="Q69" i="68"/>
  <c r="Q341" i="68"/>
  <c r="O335" i="68"/>
  <c r="O327" i="68"/>
  <c r="O319" i="68"/>
  <c r="O311" i="68"/>
  <c r="O303" i="68"/>
  <c r="O295" i="68"/>
  <c r="O287" i="68"/>
  <c r="O239" i="68"/>
  <c r="O231" i="68"/>
  <c r="O223" i="68"/>
  <c r="O215" i="68"/>
  <c r="O207" i="68"/>
  <c r="O199" i="68"/>
  <c r="L155" i="68"/>
  <c r="M155" i="68"/>
  <c r="J155" i="68"/>
  <c r="I154" i="68"/>
  <c r="Q154" i="68"/>
  <c r="J154" i="68"/>
  <c r="G154" i="68"/>
  <c r="O154" i="68"/>
  <c r="K144" i="68"/>
  <c r="L144" i="68"/>
  <c r="I144" i="68"/>
  <c r="Q144" i="68"/>
  <c r="I93" i="68"/>
  <c r="Q61" i="68"/>
  <c r="I61" i="68"/>
  <c r="J56" i="68"/>
  <c r="Q53" i="68"/>
  <c r="I53" i="68"/>
  <c r="J48" i="68"/>
  <c r="Q45" i="68"/>
  <c r="I45" i="68"/>
  <c r="I38" i="68"/>
  <c r="Q38" i="68"/>
  <c r="K35" i="68"/>
  <c r="K33" i="68"/>
  <c r="I31" i="68"/>
  <c r="K22" i="68"/>
  <c r="H19" i="68"/>
  <c r="P19" i="68"/>
  <c r="J18" i="68"/>
  <c r="I6" i="68"/>
  <c r="Q6" i="68"/>
  <c r="K3" i="68"/>
  <c r="L153" i="68"/>
  <c r="L145" i="68"/>
  <c r="K134" i="68"/>
  <c r="O122" i="68"/>
  <c r="G122" i="68"/>
  <c r="O114" i="68"/>
  <c r="G114" i="68"/>
  <c r="J107" i="68"/>
  <c r="O106" i="68"/>
  <c r="G106" i="68"/>
  <c r="L105" i="68"/>
  <c r="J99" i="68"/>
  <c r="O98" i="68"/>
  <c r="G98" i="68"/>
  <c r="L97" i="68"/>
  <c r="J91" i="68"/>
  <c r="O90" i="68"/>
  <c r="G90" i="68"/>
  <c r="L89" i="68"/>
  <c r="M84" i="68"/>
  <c r="J83" i="68"/>
  <c r="O82" i="68"/>
  <c r="G82" i="68"/>
  <c r="L81" i="68"/>
  <c r="M76" i="68"/>
  <c r="J75" i="68"/>
  <c r="O74" i="68"/>
  <c r="G74" i="68"/>
  <c r="L73" i="68"/>
  <c r="M68" i="68"/>
  <c r="J67" i="68"/>
  <c r="O66" i="68"/>
  <c r="G66" i="68"/>
  <c r="L65" i="68"/>
  <c r="P61" i="68"/>
  <c r="H61" i="68"/>
  <c r="M60" i="68"/>
  <c r="J59" i="68"/>
  <c r="O58" i="68"/>
  <c r="G58" i="68"/>
  <c r="L57" i="68"/>
  <c r="Q56" i="68"/>
  <c r="I56" i="68"/>
  <c r="P53" i="68"/>
  <c r="H53" i="68"/>
  <c r="M52" i="68"/>
  <c r="J51" i="68"/>
  <c r="O50" i="68"/>
  <c r="G50" i="68"/>
  <c r="L49" i="68"/>
  <c r="Q48" i="68"/>
  <c r="I48" i="68"/>
  <c r="P45" i="68"/>
  <c r="H45" i="68"/>
  <c r="M44" i="68"/>
  <c r="J43" i="68"/>
  <c r="O42" i="68"/>
  <c r="G42" i="68"/>
  <c r="G40" i="68"/>
  <c r="O40" i="68"/>
  <c r="J39" i="68"/>
  <c r="N38" i="68"/>
  <c r="J35" i="68"/>
  <c r="N34" i="68"/>
  <c r="I33" i="68"/>
  <c r="M32" i="68"/>
  <c r="Q31" i="68"/>
  <c r="H31" i="68"/>
  <c r="M28" i="68"/>
  <c r="Q27" i="68"/>
  <c r="P25" i="68"/>
  <c r="G25" i="68"/>
  <c r="K24" i="68"/>
  <c r="J22" i="68"/>
  <c r="J20" i="68"/>
  <c r="N19" i="68"/>
  <c r="I18" i="68"/>
  <c r="N17" i="68"/>
  <c r="I16" i="68"/>
  <c r="M15" i="68"/>
  <c r="P14" i="68"/>
  <c r="Q12" i="68"/>
  <c r="H12" i="68"/>
  <c r="P10" i="68"/>
  <c r="G10" i="68"/>
  <c r="G8" i="68"/>
  <c r="O8" i="68"/>
  <c r="J7" i="68"/>
  <c r="N6" i="68"/>
  <c r="J3" i="68"/>
  <c r="Q107" i="68"/>
  <c r="I107" i="68"/>
  <c r="Q99" i="68"/>
  <c r="I99" i="68"/>
  <c r="Q91" i="68"/>
  <c r="I91" i="68"/>
  <c r="L84" i="68"/>
  <c r="Q83" i="68"/>
  <c r="I83" i="68"/>
  <c r="L76" i="68"/>
  <c r="Q75" i="68"/>
  <c r="I75" i="68"/>
  <c r="L68" i="68"/>
  <c r="Q67" i="68"/>
  <c r="I67" i="68"/>
  <c r="O61" i="68"/>
  <c r="G61" i="68"/>
  <c r="L60" i="68"/>
  <c r="Q59" i="68"/>
  <c r="I59" i="68"/>
  <c r="P56" i="68"/>
  <c r="H56" i="68"/>
  <c r="O53" i="68"/>
  <c r="G53" i="68"/>
  <c r="L52" i="68"/>
  <c r="Q51" i="68"/>
  <c r="I51" i="68"/>
  <c r="P48" i="68"/>
  <c r="H48" i="68"/>
  <c r="O45" i="68"/>
  <c r="G45" i="68"/>
  <c r="L44" i="68"/>
  <c r="Q43" i="68"/>
  <c r="I43" i="68"/>
  <c r="I39" i="68"/>
  <c r="M38" i="68"/>
  <c r="I35" i="68"/>
  <c r="L34" i="68"/>
  <c r="Q33" i="68"/>
  <c r="H33" i="68"/>
  <c r="P31" i="68"/>
  <c r="G31" i="68"/>
  <c r="H27" i="68"/>
  <c r="P27" i="68"/>
  <c r="J24" i="68"/>
  <c r="H22" i="68"/>
  <c r="I20" i="68"/>
  <c r="M19" i="68"/>
  <c r="Q18" i="68"/>
  <c r="H18" i="68"/>
  <c r="M17" i="68"/>
  <c r="Q16" i="68"/>
  <c r="I14" i="68"/>
  <c r="Q14" i="68"/>
  <c r="P12" i="68"/>
  <c r="G12" i="68"/>
  <c r="I7" i="68"/>
  <c r="M6" i="68"/>
  <c r="I3" i="68"/>
  <c r="O56" i="68"/>
  <c r="G56" i="68"/>
  <c r="O48" i="68"/>
  <c r="G48" i="68"/>
  <c r="Q35" i="68"/>
  <c r="P33" i="68"/>
  <c r="G33" i="68"/>
  <c r="P22" i="68"/>
  <c r="Q20" i="68"/>
  <c r="H20" i="68"/>
  <c r="L19" i="68"/>
  <c r="P18" i="68"/>
  <c r="G18" i="68"/>
  <c r="L17" i="68"/>
  <c r="G16" i="68"/>
  <c r="O16" i="68"/>
  <c r="Q7" i="68"/>
  <c r="H7" i="68"/>
  <c r="L6" i="68"/>
  <c r="Q3" i="68"/>
  <c r="H35" i="68"/>
  <c r="P35" i="68"/>
  <c r="N31" i="68"/>
  <c r="I22" i="68"/>
  <c r="Q22" i="68"/>
  <c r="H3" i="68"/>
  <c r="P3" i="68"/>
  <c r="Q84" i="68"/>
  <c r="I84" i="68"/>
  <c r="Q76" i="68"/>
  <c r="I76" i="68"/>
  <c r="Q68" i="68"/>
  <c r="I68" i="68"/>
  <c r="L61" i="68"/>
  <c r="Q60" i="68"/>
  <c r="I60" i="68"/>
  <c r="M56" i="68"/>
  <c r="L53" i="68"/>
  <c r="Q52" i="68"/>
  <c r="I52" i="68"/>
  <c r="M48" i="68"/>
  <c r="L45" i="68"/>
  <c r="Q44" i="68"/>
  <c r="I44" i="68"/>
  <c r="J38" i="68"/>
  <c r="N35" i="68"/>
  <c r="I34" i="68"/>
  <c r="N33" i="68"/>
  <c r="M31" i="68"/>
  <c r="G24" i="68"/>
  <c r="O24" i="68"/>
  <c r="N22" i="68"/>
  <c r="J19" i="68"/>
  <c r="N18" i="68"/>
  <c r="I17" i="68"/>
  <c r="J6" i="68"/>
  <c r="N3" i="68"/>
  <c r="O153" i="68"/>
  <c r="Q151" i="68"/>
  <c r="O145" i="68"/>
  <c r="Q127" i="68"/>
  <c r="I127" i="68"/>
  <c r="J122" i="68"/>
  <c r="O121" i="68"/>
  <c r="Q119" i="68"/>
  <c r="I119" i="68"/>
  <c r="J114" i="68"/>
  <c r="O113" i="68"/>
  <c r="Q111" i="68"/>
  <c r="I111" i="68"/>
  <c r="M107" i="68"/>
  <c r="J106" i="68"/>
  <c r="O105" i="68"/>
  <c r="Q103" i="68"/>
  <c r="M99" i="68"/>
  <c r="J98" i="68"/>
  <c r="O97" i="68"/>
  <c r="M91" i="68"/>
  <c r="J90" i="68"/>
  <c r="O89" i="68"/>
  <c r="P84" i="68"/>
  <c r="H84" i="68"/>
  <c r="M83" i="68"/>
  <c r="J82" i="68"/>
  <c r="O81" i="68"/>
  <c r="P76" i="68"/>
  <c r="H76" i="68"/>
  <c r="M75" i="68"/>
  <c r="J74" i="68"/>
  <c r="O73" i="68"/>
  <c r="P68" i="68"/>
  <c r="H68" i="68"/>
  <c r="M67" i="68"/>
  <c r="J66" i="68"/>
  <c r="O65" i="68"/>
  <c r="K61" i="68"/>
  <c r="P60" i="68"/>
  <c r="H60" i="68"/>
  <c r="M59" i="68"/>
  <c r="J58" i="68"/>
  <c r="O57" i="68"/>
  <c r="L56" i="68"/>
  <c r="Q55" i="68"/>
  <c r="K53" i="68"/>
  <c r="P52" i="68"/>
  <c r="H52" i="68"/>
  <c r="M51" i="68"/>
  <c r="J50" i="68"/>
  <c r="O49" i="68"/>
  <c r="L48" i="68"/>
  <c r="Q47" i="68"/>
  <c r="K45" i="68"/>
  <c r="P44" i="68"/>
  <c r="H44" i="68"/>
  <c r="M43" i="68"/>
  <c r="J42" i="68"/>
  <c r="J40" i="68"/>
  <c r="N39" i="68"/>
  <c r="H38" i="68"/>
  <c r="I36" i="68"/>
  <c r="M35" i="68"/>
  <c r="Q34" i="68"/>
  <c r="H34" i="68"/>
  <c r="M33" i="68"/>
  <c r="Q32" i="68"/>
  <c r="K31" i="68"/>
  <c r="I30" i="68"/>
  <c r="Q30" i="68"/>
  <c r="P28" i="68"/>
  <c r="G28" i="68"/>
  <c r="K27" i="68"/>
  <c r="K25" i="68"/>
  <c r="N24" i="68"/>
  <c r="I23" i="68"/>
  <c r="M22" i="68"/>
  <c r="N20" i="68"/>
  <c r="I19" i="68"/>
  <c r="L18" i="68"/>
  <c r="Q17" i="68"/>
  <c r="H17" i="68"/>
  <c r="L16" i="68"/>
  <c r="P15" i="68"/>
  <c r="G15" i="68"/>
  <c r="K14" i="68"/>
  <c r="L12" i="68"/>
  <c r="H11" i="68"/>
  <c r="P11" i="68"/>
  <c r="J10" i="68"/>
  <c r="J8" i="68"/>
  <c r="N7" i="68"/>
  <c r="H6" i="68"/>
  <c r="I4" i="68"/>
  <c r="M3" i="68"/>
  <c r="P135" i="68"/>
  <c r="P127" i="68"/>
  <c r="Q122" i="68"/>
  <c r="P119" i="68"/>
  <c r="Q114" i="68"/>
  <c r="P111" i="68"/>
  <c r="Q106" i="68"/>
  <c r="Q98" i="68"/>
  <c r="Q90" i="68"/>
  <c r="O84" i="68"/>
  <c r="Q82" i="68"/>
  <c r="O76" i="68"/>
  <c r="Q74" i="68"/>
  <c r="O68" i="68"/>
  <c r="Q66" i="68"/>
  <c r="O60" i="68"/>
  <c r="Q58" i="68"/>
  <c r="O52" i="68"/>
  <c r="Q50" i="68"/>
  <c r="O44" i="68"/>
  <c r="Q42" i="68"/>
  <c r="M39" i="68"/>
  <c r="P38" i="68"/>
  <c r="G38" i="68"/>
  <c r="L35" i="68"/>
  <c r="P34" i="68"/>
  <c r="G34" i="68"/>
  <c r="L33" i="68"/>
  <c r="G32" i="68"/>
  <c r="O32" i="68"/>
  <c r="J31" i="68"/>
  <c r="J27" i="68"/>
  <c r="I25" i="68"/>
  <c r="M24" i="68"/>
  <c r="L22" i="68"/>
  <c r="M20" i="68"/>
  <c r="Q19" i="68"/>
  <c r="G19" i="68"/>
  <c r="K18" i="68"/>
  <c r="P17" i="68"/>
  <c r="G17" i="68"/>
  <c r="K16" i="68"/>
  <c r="J14" i="68"/>
  <c r="J12" i="68"/>
  <c r="I10" i="68"/>
  <c r="M7" i="68"/>
  <c r="P6" i="68"/>
  <c r="G6" i="68"/>
  <c r="L3" i="68"/>
  <c r="M476" i="69"/>
  <c r="J475" i="69"/>
  <c r="O474" i="69"/>
  <c r="G474" i="69"/>
  <c r="L473" i="69"/>
  <c r="Q472" i="69"/>
  <c r="I472" i="69"/>
  <c r="K470" i="69"/>
  <c r="I469" i="69"/>
  <c r="Q469" i="69"/>
  <c r="J466" i="69"/>
  <c r="K466" i="69"/>
  <c r="J464" i="69"/>
  <c r="N463" i="69"/>
  <c r="J461" i="69"/>
  <c r="M460" i="69"/>
  <c r="M458" i="69"/>
  <c r="H456" i="69"/>
  <c r="K455" i="69"/>
  <c r="K454" i="69"/>
  <c r="O453" i="69"/>
  <c r="M451" i="69"/>
  <c r="L450" i="69"/>
  <c r="I445" i="69"/>
  <c r="N442" i="69"/>
  <c r="G385" i="69"/>
  <c r="O385" i="69"/>
  <c r="H385" i="69"/>
  <c r="P385" i="69"/>
  <c r="I385" i="69"/>
  <c r="Q385" i="69"/>
  <c r="J385" i="69"/>
  <c r="K385" i="69"/>
  <c r="L385" i="69"/>
  <c r="M385" i="69"/>
  <c r="J470" i="69"/>
  <c r="G465" i="69"/>
  <c r="O465" i="69"/>
  <c r="H465" i="69"/>
  <c r="P465" i="69"/>
  <c r="I464" i="69"/>
  <c r="I461" i="69"/>
  <c r="L460" i="69"/>
  <c r="L458" i="69"/>
  <c r="Q456" i="69"/>
  <c r="J454" i="69"/>
  <c r="N453" i="69"/>
  <c r="I451" i="69"/>
  <c r="I447" i="69"/>
  <c r="Q447" i="69"/>
  <c r="J447" i="69"/>
  <c r="K447" i="69"/>
  <c r="H445" i="69"/>
  <c r="G444" i="69"/>
  <c r="O444" i="69"/>
  <c r="H444" i="69"/>
  <c r="P444" i="69"/>
  <c r="I444" i="69"/>
  <c r="Q444" i="69"/>
  <c r="J444" i="69"/>
  <c r="M442" i="69"/>
  <c r="N436" i="69"/>
  <c r="G377" i="69"/>
  <c r="O377" i="69"/>
  <c r="H377" i="69"/>
  <c r="P377" i="69"/>
  <c r="I377" i="69"/>
  <c r="Q377" i="69"/>
  <c r="J377" i="69"/>
  <c r="K377" i="69"/>
  <c r="L377" i="69"/>
  <c r="M377" i="69"/>
  <c r="M474" i="69"/>
  <c r="H461" i="69"/>
  <c r="K460" i="69"/>
  <c r="I458" i="69"/>
  <c r="K456" i="69"/>
  <c r="L456" i="69"/>
  <c r="I454" i="69"/>
  <c r="H451" i="69"/>
  <c r="H442" i="69"/>
  <c r="O439" i="69"/>
  <c r="Q437" i="69"/>
  <c r="H420" i="69"/>
  <c r="P420" i="69"/>
  <c r="I420" i="69"/>
  <c r="Q420" i="69"/>
  <c r="J420" i="69"/>
  <c r="K420" i="69"/>
  <c r="L420" i="69"/>
  <c r="M420" i="69"/>
  <c r="G369" i="69"/>
  <c r="O369" i="69"/>
  <c r="H369" i="69"/>
  <c r="P369" i="69"/>
  <c r="I369" i="69"/>
  <c r="Q369" i="69"/>
  <c r="J369" i="69"/>
  <c r="K369" i="69"/>
  <c r="L369" i="69"/>
  <c r="M369" i="69"/>
  <c r="J476" i="69"/>
  <c r="O475" i="69"/>
  <c r="G475" i="69"/>
  <c r="L474" i="69"/>
  <c r="Q473" i="69"/>
  <c r="P470" i="69"/>
  <c r="H470" i="69"/>
  <c r="Q464" i="69"/>
  <c r="Q461" i="69"/>
  <c r="J460" i="69"/>
  <c r="H458" i="69"/>
  <c r="O456" i="69"/>
  <c r="H455" i="69"/>
  <c r="P455" i="69"/>
  <c r="I455" i="69"/>
  <c r="Q455" i="69"/>
  <c r="H454" i="69"/>
  <c r="L453" i="69"/>
  <c r="G450" i="69"/>
  <c r="O450" i="69"/>
  <c r="H450" i="69"/>
  <c r="P450" i="69"/>
  <c r="I450" i="69"/>
  <c r="Q450" i="69"/>
  <c r="J445" i="69"/>
  <c r="K445" i="69"/>
  <c r="L445" i="69"/>
  <c r="M445" i="69"/>
  <c r="N439" i="69"/>
  <c r="P437" i="69"/>
  <c r="K474" i="69"/>
  <c r="O470" i="69"/>
  <c r="G470" i="69"/>
  <c r="L464" i="69"/>
  <c r="M464" i="69"/>
  <c r="K461" i="69"/>
  <c r="L461" i="69"/>
  <c r="Q458" i="69"/>
  <c r="Q454" i="69"/>
  <c r="J451" i="69"/>
  <c r="K451" i="69"/>
  <c r="L451" i="69"/>
  <c r="I442" i="69"/>
  <c r="Q442" i="69"/>
  <c r="J442" i="69"/>
  <c r="K442" i="69"/>
  <c r="L442" i="69"/>
  <c r="M439" i="69"/>
  <c r="N437" i="69"/>
  <c r="G436" i="69"/>
  <c r="O436" i="69"/>
  <c r="H436" i="69"/>
  <c r="P436" i="69"/>
  <c r="I436" i="69"/>
  <c r="Q436" i="69"/>
  <c r="J436" i="69"/>
  <c r="L436" i="69"/>
  <c r="G361" i="69"/>
  <c r="O361" i="69"/>
  <c r="H361" i="69"/>
  <c r="P361" i="69"/>
  <c r="I361" i="69"/>
  <c r="Q361" i="69"/>
  <c r="J361" i="69"/>
  <c r="K361" i="69"/>
  <c r="L361" i="69"/>
  <c r="M361" i="69"/>
  <c r="J474" i="69"/>
  <c r="H460" i="69"/>
  <c r="P460" i="69"/>
  <c r="I460" i="69"/>
  <c r="Q460" i="69"/>
  <c r="J458" i="69"/>
  <c r="K458" i="69"/>
  <c r="L454" i="69"/>
  <c r="M454" i="69"/>
  <c r="G417" i="69"/>
  <c r="O417" i="69"/>
  <c r="H417" i="69"/>
  <c r="P417" i="69"/>
  <c r="I417" i="69"/>
  <c r="Q417" i="69"/>
  <c r="J417" i="69"/>
  <c r="K417" i="69"/>
  <c r="L417" i="69"/>
  <c r="O476" i="69"/>
  <c r="L475" i="69"/>
  <c r="Q474" i="69"/>
  <c r="I474" i="69"/>
  <c r="M470" i="69"/>
  <c r="N464" i="69"/>
  <c r="I463" i="69"/>
  <c r="Q463" i="69"/>
  <c r="J463" i="69"/>
  <c r="N461" i="69"/>
  <c r="O460" i="69"/>
  <c r="O458" i="69"/>
  <c r="J456" i="69"/>
  <c r="M455" i="69"/>
  <c r="O454" i="69"/>
  <c r="O451" i="69"/>
  <c r="N450" i="69"/>
  <c r="O445" i="69"/>
  <c r="P442" i="69"/>
  <c r="G409" i="69"/>
  <c r="O409" i="69"/>
  <c r="H409" i="69"/>
  <c r="P409" i="69"/>
  <c r="I409" i="69"/>
  <c r="Q409" i="69"/>
  <c r="J409" i="69"/>
  <c r="K409" i="69"/>
  <c r="L409" i="69"/>
  <c r="M409" i="69"/>
  <c r="G401" i="69"/>
  <c r="O401" i="69"/>
  <c r="H401" i="69"/>
  <c r="P401" i="69"/>
  <c r="I401" i="69"/>
  <c r="Q401" i="69"/>
  <c r="J401" i="69"/>
  <c r="K401" i="69"/>
  <c r="L401" i="69"/>
  <c r="M401" i="69"/>
  <c r="P474" i="69"/>
  <c r="K464" i="69"/>
  <c r="M461" i="69"/>
  <c r="N460" i="69"/>
  <c r="N458" i="69"/>
  <c r="I456" i="69"/>
  <c r="N454" i="69"/>
  <c r="I453" i="69"/>
  <c r="Q453" i="69"/>
  <c r="J453" i="69"/>
  <c r="N451" i="69"/>
  <c r="O442" i="69"/>
  <c r="H439" i="69"/>
  <c r="P439" i="69"/>
  <c r="I439" i="69"/>
  <c r="Q439" i="69"/>
  <c r="J439" i="69"/>
  <c r="K439" i="69"/>
  <c r="J437" i="69"/>
  <c r="K437" i="69"/>
  <c r="L437" i="69"/>
  <c r="M437" i="69"/>
  <c r="G437" i="69"/>
  <c r="O437" i="69"/>
  <c r="G393" i="69"/>
  <c r="O393" i="69"/>
  <c r="H393" i="69"/>
  <c r="P393" i="69"/>
  <c r="I393" i="69"/>
  <c r="Q393" i="69"/>
  <c r="J393" i="69"/>
  <c r="K393" i="69"/>
  <c r="L393" i="69"/>
  <c r="M393" i="69"/>
  <c r="G310" i="69"/>
  <c r="O310" i="69"/>
  <c r="K310" i="69"/>
  <c r="L301" i="69"/>
  <c r="H301" i="69"/>
  <c r="P301" i="69"/>
  <c r="I301" i="69"/>
  <c r="Q301" i="69"/>
  <c r="J301" i="69"/>
  <c r="G183" i="69"/>
  <c r="O183" i="69"/>
  <c r="H183" i="69"/>
  <c r="P183" i="69"/>
  <c r="I183" i="69"/>
  <c r="Q183" i="69"/>
  <c r="J183" i="69"/>
  <c r="K183" i="69"/>
  <c r="L183" i="69"/>
  <c r="M183" i="69"/>
  <c r="N183" i="69"/>
  <c r="G154" i="69"/>
  <c r="O154" i="69"/>
  <c r="J154" i="69"/>
  <c r="K154" i="69"/>
  <c r="M154" i="69"/>
  <c r="H154" i="69"/>
  <c r="I154" i="69"/>
  <c r="L154" i="69"/>
  <c r="N154" i="69"/>
  <c r="P154" i="69"/>
  <c r="Q154" i="69"/>
  <c r="O367" i="69"/>
  <c r="G367" i="69"/>
  <c r="O359" i="69"/>
  <c r="G359" i="69"/>
  <c r="M353" i="69"/>
  <c r="O351" i="69"/>
  <c r="G351" i="69"/>
  <c r="M345" i="69"/>
  <c r="O343" i="69"/>
  <c r="G343" i="69"/>
  <c r="M337" i="69"/>
  <c r="M328" i="69"/>
  <c r="O326" i="69"/>
  <c r="G326" i="69"/>
  <c r="M320" i="69"/>
  <c r="O318" i="69"/>
  <c r="G318" i="69"/>
  <c r="N315" i="69"/>
  <c r="P312" i="69"/>
  <c r="P310" i="69"/>
  <c r="L309" i="69"/>
  <c r="H309" i="69"/>
  <c r="P309" i="69"/>
  <c r="J309" i="69"/>
  <c r="I308" i="69"/>
  <c r="Q308" i="69"/>
  <c r="M308" i="69"/>
  <c r="G308" i="69"/>
  <c r="O308" i="69"/>
  <c r="G302" i="69"/>
  <c r="O302" i="69"/>
  <c r="K302" i="69"/>
  <c r="L302" i="69"/>
  <c r="M302" i="69"/>
  <c r="G294" i="69"/>
  <c r="O294" i="69"/>
  <c r="H294" i="69"/>
  <c r="P294" i="69"/>
  <c r="I294" i="69"/>
  <c r="Q294" i="69"/>
  <c r="J294" i="69"/>
  <c r="K294" i="69"/>
  <c r="L294" i="69"/>
  <c r="M294" i="69"/>
  <c r="G262" i="69"/>
  <c r="O262" i="69"/>
  <c r="H262" i="69"/>
  <c r="P262" i="69"/>
  <c r="I262" i="69"/>
  <c r="Q262" i="69"/>
  <c r="J262" i="69"/>
  <c r="K262" i="69"/>
  <c r="L262" i="69"/>
  <c r="M262" i="69"/>
  <c r="G238" i="69"/>
  <c r="O238" i="69"/>
  <c r="H238" i="69"/>
  <c r="P238" i="69"/>
  <c r="I238" i="69"/>
  <c r="Q238" i="69"/>
  <c r="J238" i="69"/>
  <c r="K238" i="69"/>
  <c r="L238" i="69"/>
  <c r="M238" i="69"/>
  <c r="H202" i="69"/>
  <c r="P202" i="69"/>
  <c r="I202" i="69"/>
  <c r="Q202" i="69"/>
  <c r="J202" i="69"/>
  <c r="K202" i="69"/>
  <c r="L202" i="69"/>
  <c r="M202" i="69"/>
  <c r="G202" i="69"/>
  <c r="N202" i="69"/>
  <c r="O202" i="69"/>
  <c r="O418" i="69"/>
  <c r="G418" i="69"/>
  <c r="M412" i="69"/>
  <c r="O410" i="69"/>
  <c r="G410" i="69"/>
  <c r="M404" i="69"/>
  <c r="J403" i="69"/>
  <c r="O402" i="69"/>
  <c r="G402" i="69"/>
  <c r="M396" i="69"/>
  <c r="O394" i="69"/>
  <c r="G394" i="69"/>
  <c r="M388" i="69"/>
  <c r="O386" i="69"/>
  <c r="G386" i="69"/>
  <c r="M380" i="69"/>
  <c r="O378" i="69"/>
  <c r="G378" i="69"/>
  <c r="M372" i="69"/>
  <c r="O370" i="69"/>
  <c r="G370" i="69"/>
  <c r="O362" i="69"/>
  <c r="G362" i="69"/>
  <c r="L353" i="69"/>
  <c r="L345" i="69"/>
  <c r="L337" i="69"/>
  <c r="M332" i="69"/>
  <c r="L328" i="69"/>
  <c r="L320" i="69"/>
  <c r="M315" i="69"/>
  <c r="I312" i="69"/>
  <c r="Q312" i="69"/>
  <c r="N310" i="69"/>
  <c r="K306" i="69"/>
  <c r="G306" i="69"/>
  <c r="O306" i="69"/>
  <c r="H306" i="69"/>
  <c r="P306" i="69"/>
  <c r="I306" i="69"/>
  <c r="Q306" i="69"/>
  <c r="L412" i="69"/>
  <c r="L404" i="69"/>
  <c r="L396" i="69"/>
  <c r="L388" i="69"/>
  <c r="L380" i="69"/>
  <c r="L372" i="69"/>
  <c r="L364" i="69"/>
  <c r="L356" i="69"/>
  <c r="K353" i="69"/>
  <c r="M351" i="69"/>
  <c r="L348" i="69"/>
  <c r="K345" i="69"/>
  <c r="M343" i="69"/>
  <c r="L340" i="69"/>
  <c r="K337" i="69"/>
  <c r="M335" i="69"/>
  <c r="L332" i="69"/>
  <c r="K328" i="69"/>
  <c r="M326" i="69"/>
  <c r="L323" i="69"/>
  <c r="K320" i="69"/>
  <c r="M318" i="69"/>
  <c r="L315" i="69"/>
  <c r="G314" i="69"/>
  <c r="O314" i="69"/>
  <c r="N312" i="69"/>
  <c r="M310" i="69"/>
  <c r="O309" i="69"/>
  <c r="Q302" i="69"/>
  <c r="O301" i="69"/>
  <c r="G270" i="69"/>
  <c r="O270" i="69"/>
  <c r="H270" i="69"/>
  <c r="P270" i="69"/>
  <c r="I270" i="69"/>
  <c r="Q270" i="69"/>
  <c r="J270" i="69"/>
  <c r="K270" i="69"/>
  <c r="L270" i="69"/>
  <c r="M270" i="69"/>
  <c r="O462" i="69"/>
  <c r="O457" i="69"/>
  <c r="O452" i="69"/>
  <c r="P446" i="69"/>
  <c r="H446" i="69"/>
  <c r="O443" i="69"/>
  <c r="Q441" i="69"/>
  <c r="I441" i="69"/>
  <c r="P438" i="69"/>
  <c r="H438" i="69"/>
  <c r="O435" i="69"/>
  <c r="L434" i="69"/>
  <c r="Q433" i="69"/>
  <c r="I433" i="69"/>
  <c r="P419" i="69"/>
  <c r="H419" i="69"/>
  <c r="M418" i="69"/>
  <c r="O416" i="69"/>
  <c r="G416" i="69"/>
  <c r="L415" i="69"/>
  <c r="Q414" i="69"/>
  <c r="K412" i="69"/>
  <c r="P411" i="69"/>
  <c r="H411" i="69"/>
  <c r="M410" i="69"/>
  <c r="O408" i="69"/>
  <c r="G408" i="69"/>
  <c r="L407" i="69"/>
  <c r="Q406" i="69"/>
  <c r="K404" i="69"/>
  <c r="P403" i="69"/>
  <c r="H403" i="69"/>
  <c r="M402" i="69"/>
  <c r="O400" i="69"/>
  <c r="G400" i="69"/>
  <c r="L399" i="69"/>
  <c r="Q398" i="69"/>
  <c r="K396" i="69"/>
  <c r="P395" i="69"/>
  <c r="H395" i="69"/>
  <c r="M394" i="69"/>
  <c r="O392" i="69"/>
  <c r="G392" i="69"/>
  <c r="L391" i="69"/>
  <c r="Q390" i="69"/>
  <c r="K388" i="69"/>
  <c r="P387" i="69"/>
  <c r="H387" i="69"/>
  <c r="M386" i="69"/>
  <c r="O384" i="69"/>
  <c r="G384" i="69"/>
  <c r="L383" i="69"/>
  <c r="Q382" i="69"/>
  <c r="K380" i="69"/>
  <c r="P379" i="69"/>
  <c r="H379" i="69"/>
  <c r="M378" i="69"/>
  <c r="O376" i="69"/>
  <c r="G376" i="69"/>
  <c r="L375" i="69"/>
  <c r="Q374" i="69"/>
  <c r="K372" i="69"/>
  <c r="P371" i="69"/>
  <c r="H371" i="69"/>
  <c r="M370" i="69"/>
  <c r="O368" i="69"/>
  <c r="G368" i="69"/>
  <c r="L367" i="69"/>
  <c r="Q366" i="69"/>
  <c r="I366" i="69"/>
  <c r="K364" i="69"/>
  <c r="M362" i="69"/>
  <c r="O360" i="69"/>
  <c r="G360" i="69"/>
  <c r="L359" i="69"/>
  <c r="Q358" i="69"/>
  <c r="I358" i="69"/>
  <c r="K356" i="69"/>
  <c r="M354" i="69"/>
  <c r="J353" i="69"/>
  <c r="O352" i="69"/>
  <c r="G352" i="69"/>
  <c r="L351" i="69"/>
  <c r="Q350" i="69"/>
  <c r="I350" i="69"/>
  <c r="K348" i="69"/>
  <c r="M346" i="69"/>
  <c r="J345" i="69"/>
  <c r="O344" i="69"/>
  <c r="G344" i="69"/>
  <c r="L343" i="69"/>
  <c r="Q342" i="69"/>
  <c r="I342" i="69"/>
  <c r="K340" i="69"/>
  <c r="M338" i="69"/>
  <c r="J337" i="69"/>
  <c r="O336" i="69"/>
  <c r="G336" i="69"/>
  <c r="L335" i="69"/>
  <c r="K332" i="69"/>
  <c r="M329" i="69"/>
  <c r="J328" i="69"/>
  <c r="O327" i="69"/>
  <c r="G327" i="69"/>
  <c r="L326" i="69"/>
  <c r="Q325" i="69"/>
  <c r="I325" i="69"/>
  <c r="K323" i="69"/>
  <c r="M321" i="69"/>
  <c r="J320" i="69"/>
  <c r="O319" i="69"/>
  <c r="G319" i="69"/>
  <c r="L318" i="69"/>
  <c r="K315" i="69"/>
  <c r="N314" i="69"/>
  <c r="I313" i="69"/>
  <c r="M312" i="69"/>
  <c r="L310" i="69"/>
  <c r="N309" i="69"/>
  <c r="N308" i="69"/>
  <c r="M304" i="69"/>
  <c r="I304" i="69"/>
  <c r="Q304" i="69"/>
  <c r="J304" i="69"/>
  <c r="K304" i="69"/>
  <c r="P302" i="69"/>
  <c r="N301" i="69"/>
  <c r="O446" i="69"/>
  <c r="P441" i="69"/>
  <c r="H441" i="69"/>
  <c r="O438" i="69"/>
  <c r="K434" i="69"/>
  <c r="P433" i="69"/>
  <c r="O419" i="69"/>
  <c r="G419" i="69"/>
  <c r="L418" i="69"/>
  <c r="K415" i="69"/>
  <c r="J412" i="69"/>
  <c r="O411" i="69"/>
  <c r="G411" i="69"/>
  <c r="L410" i="69"/>
  <c r="K407" i="69"/>
  <c r="J404" i="69"/>
  <c r="O403" i="69"/>
  <c r="G403" i="69"/>
  <c r="L402" i="69"/>
  <c r="K399" i="69"/>
  <c r="J396" i="69"/>
  <c r="O395" i="69"/>
  <c r="G395" i="69"/>
  <c r="L394" i="69"/>
  <c r="K391" i="69"/>
  <c r="J388" i="69"/>
  <c r="O387" i="69"/>
  <c r="G387" i="69"/>
  <c r="L386" i="69"/>
  <c r="K383" i="69"/>
  <c r="J380" i="69"/>
  <c r="O379" i="69"/>
  <c r="G379" i="69"/>
  <c r="L378" i="69"/>
  <c r="K375" i="69"/>
  <c r="J372" i="69"/>
  <c r="O371" i="69"/>
  <c r="G371" i="69"/>
  <c r="L370" i="69"/>
  <c r="K367" i="69"/>
  <c r="J364" i="69"/>
  <c r="L362" i="69"/>
  <c r="K359" i="69"/>
  <c r="J356" i="69"/>
  <c r="L354" i="69"/>
  <c r="Q353" i="69"/>
  <c r="I353" i="69"/>
  <c r="K351" i="69"/>
  <c r="J348" i="69"/>
  <c r="L346" i="69"/>
  <c r="Q345" i="69"/>
  <c r="I345" i="69"/>
  <c r="K343" i="69"/>
  <c r="J340" i="69"/>
  <c r="L338" i="69"/>
  <c r="Q337" i="69"/>
  <c r="I337" i="69"/>
  <c r="K335" i="69"/>
  <c r="J332" i="69"/>
  <c r="L329" i="69"/>
  <c r="Q328" i="69"/>
  <c r="I328" i="69"/>
  <c r="K326" i="69"/>
  <c r="J323" i="69"/>
  <c r="L321" i="69"/>
  <c r="Q320" i="69"/>
  <c r="I320" i="69"/>
  <c r="K318" i="69"/>
  <c r="I315" i="69"/>
  <c r="L312" i="69"/>
  <c r="J310" i="69"/>
  <c r="N302" i="69"/>
  <c r="M301" i="69"/>
  <c r="G286" i="69"/>
  <c r="O286" i="69"/>
  <c r="H286" i="69"/>
  <c r="P286" i="69"/>
  <c r="I286" i="69"/>
  <c r="Q286" i="69"/>
  <c r="J286" i="69"/>
  <c r="K286" i="69"/>
  <c r="L286" i="69"/>
  <c r="M286" i="69"/>
  <c r="G278" i="69"/>
  <c r="O278" i="69"/>
  <c r="H278" i="69"/>
  <c r="P278" i="69"/>
  <c r="I278" i="69"/>
  <c r="Q278" i="69"/>
  <c r="J278" i="69"/>
  <c r="K278" i="69"/>
  <c r="L278" i="69"/>
  <c r="M278" i="69"/>
  <c r="G246" i="69"/>
  <c r="O246" i="69"/>
  <c r="H246" i="69"/>
  <c r="P246" i="69"/>
  <c r="I246" i="69"/>
  <c r="Q246" i="69"/>
  <c r="J246" i="69"/>
  <c r="K246" i="69"/>
  <c r="L246" i="69"/>
  <c r="M246" i="69"/>
  <c r="O441" i="69"/>
  <c r="J434" i="69"/>
  <c r="K418" i="69"/>
  <c r="J415" i="69"/>
  <c r="Q412" i="69"/>
  <c r="I412" i="69"/>
  <c r="K410" i="69"/>
  <c r="J407" i="69"/>
  <c r="Q404" i="69"/>
  <c r="I404" i="69"/>
  <c r="K402" i="69"/>
  <c r="J399" i="69"/>
  <c r="Q396" i="69"/>
  <c r="I396" i="69"/>
  <c r="K394" i="69"/>
  <c r="J391" i="69"/>
  <c r="Q388" i="69"/>
  <c r="I388" i="69"/>
  <c r="K386" i="69"/>
  <c r="J383" i="69"/>
  <c r="Q380" i="69"/>
  <c r="I380" i="69"/>
  <c r="K378" i="69"/>
  <c r="J375" i="69"/>
  <c r="Q372" i="69"/>
  <c r="I372" i="69"/>
  <c r="K370" i="69"/>
  <c r="J367" i="69"/>
  <c r="O366" i="69"/>
  <c r="Q364" i="69"/>
  <c r="I364" i="69"/>
  <c r="K362" i="69"/>
  <c r="M360" i="69"/>
  <c r="J359" i="69"/>
  <c r="O358" i="69"/>
  <c r="Q356" i="69"/>
  <c r="I356" i="69"/>
  <c r="K354" i="69"/>
  <c r="P353" i="69"/>
  <c r="H353" i="69"/>
  <c r="M352" i="69"/>
  <c r="J351" i="69"/>
  <c r="O350" i="69"/>
  <c r="Q348" i="69"/>
  <c r="I348" i="69"/>
  <c r="K346" i="69"/>
  <c r="P345" i="69"/>
  <c r="H345" i="69"/>
  <c r="M344" i="69"/>
  <c r="J343" i="69"/>
  <c r="O342" i="69"/>
  <c r="L341" i="69"/>
  <c r="Q340" i="69"/>
  <c r="I340" i="69"/>
  <c r="K338" i="69"/>
  <c r="P337" i="69"/>
  <c r="H337" i="69"/>
  <c r="M336" i="69"/>
  <c r="J335" i="69"/>
  <c r="O334" i="69"/>
  <c r="L333" i="69"/>
  <c r="Q332" i="69"/>
  <c r="I332" i="69"/>
  <c r="K329" i="69"/>
  <c r="P328" i="69"/>
  <c r="H328" i="69"/>
  <c r="M327" i="69"/>
  <c r="J326" i="69"/>
  <c r="O325" i="69"/>
  <c r="Q323" i="69"/>
  <c r="I323" i="69"/>
  <c r="K321" i="69"/>
  <c r="P320" i="69"/>
  <c r="H320" i="69"/>
  <c r="M319" i="69"/>
  <c r="J318" i="69"/>
  <c r="O317" i="69"/>
  <c r="L316" i="69"/>
  <c r="Q315" i="69"/>
  <c r="H315" i="69"/>
  <c r="L314" i="69"/>
  <c r="P313" i="69"/>
  <c r="G313" i="69"/>
  <c r="K312" i="69"/>
  <c r="I310" i="69"/>
  <c r="K309" i="69"/>
  <c r="K308" i="69"/>
  <c r="N306" i="69"/>
  <c r="P304" i="69"/>
  <c r="J302" i="69"/>
  <c r="K301" i="69"/>
  <c r="K298" i="69"/>
  <c r="L298" i="69"/>
  <c r="G298" i="69"/>
  <c r="O298" i="69"/>
  <c r="H298" i="69"/>
  <c r="P298" i="69"/>
  <c r="I298" i="69"/>
  <c r="Q298" i="69"/>
  <c r="Q434" i="69"/>
  <c r="Q415" i="69"/>
  <c r="P412" i="69"/>
  <c r="Q407" i="69"/>
  <c r="P404" i="69"/>
  <c r="Q399" i="69"/>
  <c r="P396" i="69"/>
  <c r="Q391" i="69"/>
  <c r="P388" i="69"/>
  <c r="Q383" i="69"/>
  <c r="P380" i="69"/>
  <c r="Q375" i="69"/>
  <c r="P372" i="69"/>
  <c r="Q367" i="69"/>
  <c r="P364" i="69"/>
  <c r="Q359" i="69"/>
  <c r="P356" i="69"/>
  <c r="O353" i="69"/>
  <c r="Q351" i="69"/>
  <c r="P348" i="69"/>
  <c r="O345" i="69"/>
  <c r="Q343" i="69"/>
  <c r="P340" i="69"/>
  <c r="O337" i="69"/>
  <c r="Q335" i="69"/>
  <c r="P332" i="69"/>
  <c r="O328" i="69"/>
  <c r="Q326" i="69"/>
  <c r="P323" i="69"/>
  <c r="O320" i="69"/>
  <c r="Q318" i="69"/>
  <c r="P315" i="69"/>
  <c r="G315" i="69"/>
  <c r="K314" i="69"/>
  <c r="J312" i="69"/>
  <c r="H310" i="69"/>
  <c r="I309" i="69"/>
  <c r="J308" i="69"/>
  <c r="M306" i="69"/>
  <c r="O304" i="69"/>
  <c r="I302" i="69"/>
  <c r="G301" i="69"/>
  <c r="G254" i="69"/>
  <c r="O254" i="69"/>
  <c r="H254" i="69"/>
  <c r="P254" i="69"/>
  <c r="I254" i="69"/>
  <c r="Q254" i="69"/>
  <c r="J254" i="69"/>
  <c r="K254" i="69"/>
  <c r="L254" i="69"/>
  <c r="M254" i="69"/>
  <c r="L307" i="69"/>
  <c r="O300" i="69"/>
  <c r="G300" i="69"/>
  <c r="L299" i="69"/>
  <c r="J293" i="69"/>
  <c r="Q290" i="69"/>
  <c r="I290" i="69"/>
  <c r="J285" i="69"/>
  <c r="Q282" i="69"/>
  <c r="I282" i="69"/>
  <c r="J277" i="69"/>
  <c r="Q274" i="69"/>
  <c r="I274" i="69"/>
  <c r="J269" i="69"/>
  <c r="Q266" i="69"/>
  <c r="I266" i="69"/>
  <c r="J261" i="69"/>
  <c r="Q258" i="69"/>
  <c r="I258" i="69"/>
  <c r="J253" i="69"/>
  <c r="Q250" i="69"/>
  <c r="I250" i="69"/>
  <c r="J245" i="69"/>
  <c r="Q242" i="69"/>
  <c r="I242" i="69"/>
  <c r="J237" i="69"/>
  <c r="I232" i="69"/>
  <c r="K227" i="69"/>
  <c r="L223" i="69"/>
  <c r="M220" i="69"/>
  <c r="J179" i="69"/>
  <c r="M179" i="69"/>
  <c r="G179" i="69"/>
  <c r="Q179" i="69"/>
  <c r="H179" i="69"/>
  <c r="I179" i="69"/>
  <c r="K179" i="69"/>
  <c r="L179" i="69"/>
  <c r="N179" i="69"/>
  <c r="O179" i="69"/>
  <c r="M164" i="69"/>
  <c r="H164" i="69"/>
  <c r="P164" i="69"/>
  <c r="I164" i="69"/>
  <c r="Q164" i="69"/>
  <c r="K164" i="69"/>
  <c r="G164" i="69"/>
  <c r="J164" i="69"/>
  <c r="L164" i="69"/>
  <c r="N164" i="69"/>
  <c r="O164" i="69"/>
  <c r="G114" i="69"/>
  <c r="O114" i="69"/>
  <c r="H114" i="69"/>
  <c r="P114" i="69"/>
  <c r="I114" i="69"/>
  <c r="Q114" i="69"/>
  <c r="J114" i="69"/>
  <c r="K114" i="69"/>
  <c r="L114" i="69"/>
  <c r="M114" i="69"/>
  <c r="N114" i="69"/>
  <c r="K299" i="69"/>
  <c r="J296" i="69"/>
  <c r="Q293" i="69"/>
  <c r="I293" i="69"/>
  <c r="K291" i="69"/>
  <c r="P290" i="69"/>
  <c r="H290" i="69"/>
  <c r="M289" i="69"/>
  <c r="J288" i="69"/>
  <c r="Q285" i="69"/>
  <c r="I285" i="69"/>
  <c r="K283" i="69"/>
  <c r="P282" i="69"/>
  <c r="H282" i="69"/>
  <c r="M281" i="69"/>
  <c r="J280" i="69"/>
  <c r="Q277" i="69"/>
  <c r="I277" i="69"/>
  <c r="K275" i="69"/>
  <c r="P274" i="69"/>
  <c r="H274" i="69"/>
  <c r="M273" i="69"/>
  <c r="J272" i="69"/>
  <c r="O271" i="69"/>
  <c r="Q269" i="69"/>
  <c r="I269" i="69"/>
  <c r="K267" i="69"/>
  <c r="P266" i="69"/>
  <c r="H266" i="69"/>
  <c r="M265" i="69"/>
  <c r="J264" i="69"/>
  <c r="Q261" i="69"/>
  <c r="I261" i="69"/>
  <c r="K259" i="69"/>
  <c r="P258" i="69"/>
  <c r="H258" i="69"/>
  <c r="M257" i="69"/>
  <c r="J256" i="69"/>
  <c r="Q253" i="69"/>
  <c r="I253" i="69"/>
  <c r="K251" i="69"/>
  <c r="P250" i="69"/>
  <c r="H250" i="69"/>
  <c r="M249" i="69"/>
  <c r="J248" i="69"/>
  <c r="Q245" i="69"/>
  <c r="I245" i="69"/>
  <c r="K243" i="69"/>
  <c r="P242" i="69"/>
  <c r="H242" i="69"/>
  <c r="M241" i="69"/>
  <c r="J240" i="69"/>
  <c r="O239" i="69"/>
  <c r="Q237" i="69"/>
  <c r="I237" i="69"/>
  <c r="K235" i="69"/>
  <c r="Q232" i="69"/>
  <c r="H232" i="69"/>
  <c r="L231" i="69"/>
  <c r="L229" i="69"/>
  <c r="G228" i="69"/>
  <c r="O228" i="69"/>
  <c r="I227" i="69"/>
  <c r="L226" i="69"/>
  <c r="H223" i="69"/>
  <c r="N221" i="69"/>
  <c r="L220" i="69"/>
  <c r="N210" i="69"/>
  <c r="G191" i="69"/>
  <c r="O191" i="69"/>
  <c r="H191" i="69"/>
  <c r="P191" i="69"/>
  <c r="I191" i="69"/>
  <c r="Q191" i="69"/>
  <c r="J191" i="69"/>
  <c r="K191" i="69"/>
  <c r="L191" i="69"/>
  <c r="I128" i="69"/>
  <c r="Q128" i="69"/>
  <c r="J128" i="69"/>
  <c r="K128" i="69"/>
  <c r="L128" i="69"/>
  <c r="M128" i="69"/>
  <c r="G128" i="69"/>
  <c r="O128" i="69"/>
  <c r="H128" i="69"/>
  <c r="N128" i="69"/>
  <c r="P128" i="69"/>
  <c r="L305" i="69"/>
  <c r="M300" i="69"/>
  <c r="J299" i="69"/>
  <c r="L297" i="69"/>
  <c r="Q296" i="69"/>
  <c r="P293" i="69"/>
  <c r="H293" i="69"/>
  <c r="J291" i="69"/>
  <c r="O290" i="69"/>
  <c r="G290" i="69"/>
  <c r="L289" i="69"/>
  <c r="Q288" i="69"/>
  <c r="I288" i="69"/>
  <c r="P285" i="69"/>
  <c r="H285" i="69"/>
  <c r="O282" i="69"/>
  <c r="G282" i="69"/>
  <c r="L281" i="69"/>
  <c r="Q280" i="69"/>
  <c r="I280" i="69"/>
  <c r="P277" i="69"/>
  <c r="H277" i="69"/>
  <c r="O274" i="69"/>
  <c r="G274" i="69"/>
  <c r="L273" i="69"/>
  <c r="Q272" i="69"/>
  <c r="I272" i="69"/>
  <c r="P269" i="69"/>
  <c r="H269" i="69"/>
  <c r="J267" i="69"/>
  <c r="O266" i="69"/>
  <c r="G266" i="69"/>
  <c r="L265" i="69"/>
  <c r="Q264" i="69"/>
  <c r="I264" i="69"/>
  <c r="P261" i="69"/>
  <c r="H261" i="69"/>
  <c r="J259" i="69"/>
  <c r="O258" i="69"/>
  <c r="G258" i="69"/>
  <c r="L257" i="69"/>
  <c r="Q256" i="69"/>
  <c r="I256" i="69"/>
  <c r="P253" i="69"/>
  <c r="H253" i="69"/>
  <c r="J251" i="69"/>
  <c r="O250" i="69"/>
  <c r="G250" i="69"/>
  <c r="L249" i="69"/>
  <c r="Q248" i="69"/>
  <c r="I248" i="69"/>
  <c r="P245" i="69"/>
  <c r="H245" i="69"/>
  <c r="J243" i="69"/>
  <c r="O242" i="69"/>
  <c r="G242" i="69"/>
  <c r="L241" i="69"/>
  <c r="Q240" i="69"/>
  <c r="I240" i="69"/>
  <c r="P237" i="69"/>
  <c r="H237" i="69"/>
  <c r="J235" i="69"/>
  <c r="P232" i="69"/>
  <c r="G232" i="69"/>
  <c r="K231" i="69"/>
  <c r="K229" i="69"/>
  <c r="N228" i="69"/>
  <c r="H227" i="69"/>
  <c r="N218" i="69"/>
  <c r="G207" i="69"/>
  <c r="O207" i="69"/>
  <c r="H207" i="69"/>
  <c r="P207" i="69"/>
  <c r="I207" i="69"/>
  <c r="Q207" i="69"/>
  <c r="J207" i="69"/>
  <c r="K207" i="69"/>
  <c r="L207" i="69"/>
  <c r="H194" i="69"/>
  <c r="P194" i="69"/>
  <c r="I194" i="69"/>
  <c r="Q194" i="69"/>
  <c r="J194" i="69"/>
  <c r="K194" i="69"/>
  <c r="L194" i="69"/>
  <c r="M194" i="69"/>
  <c r="O293" i="69"/>
  <c r="G293" i="69"/>
  <c r="G285" i="69"/>
  <c r="O277" i="69"/>
  <c r="G277" i="69"/>
  <c r="O269" i="69"/>
  <c r="G269" i="69"/>
  <c r="O261" i="69"/>
  <c r="G261" i="69"/>
  <c r="O253" i="69"/>
  <c r="G253" i="69"/>
  <c r="O245" i="69"/>
  <c r="G245" i="69"/>
  <c r="O237" i="69"/>
  <c r="G237" i="69"/>
  <c r="Q227" i="69"/>
  <c r="I223" i="69"/>
  <c r="Q223" i="69"/>
  <c r="J223" i="69"/>
  <c r="K223" i="69"/>
  <c r="G220" i="69"/>
  <c r="O220" i="69"/>
  <c r="H220" i="69"/>
  <c r="P220" i="69"/>
  <c r="I220" i="69"/>
  <c r="Q220" i="69"/>
  <c r="J220" i="69"/>
  <c r="H210" i="69"/>
  <c r="P210" i="69"/>
  <c r="I210" i="69"/>
  <c r="Q210" i="69"/>
  <c r="J210" i="69"/>
  <c r="K210" i="69"/>
  <c r="L210" i="69"/>
  <c r="M210" i="69"/>
  <c r="L169" i="69"/>
  <c r="G169" i="69"/>
  <c r="O169" i="69"/>
  <c r="J169" i="69"/>
  <c r="H169" i="69"/>
  <c r="I169" i="69"/>
  <c r="K169" i="69"/>
  <c r="M169" i="69"/>
  <c r="N169" i="69"/>
  <c r="P169" i="69"/>
  <c r="Q169" i="69"/>
  <c r="I144" i="69"/>
  <c r="Q144" i="69"/>
  <c r="J144" i="69"/>
  <c r="L144" i="69"/>
  <c r="M144" i="69"/>
  <c r="G144" i="69"/>
  <c r="O144" i="69"/>
  <c r="H144" i="69"/>
  <c r="K144" i="69"/>
  <c r="N144" i="69"/>
  <c r="P144" i="69"/>
  <c r="J297" i="69"/>
  <c r="M290" i="69"/>
  <c r="J289" i="69"/>
  <c r="M282" i="69"/>
  <c r="J227" i="69"/>
  <c r="L227" i="69"/>
  <c r="O299" i="69"/>
  <c r="Q297" i="69"/>
  <c r="M293" i="69"/>
  <c r="O291" i="69"/>
  <c r="L290" i="69"/>
  <c r="Q289" i="69"/>
  <c r="I289" i="69"/>
  <c r="M285" i="69"/>
  <c r="L282" i="69"/>
  <c r="Q281" i="69"/>
  <c r="I281" i="69"/>
  <c r="M277" i="69"/>
  <c r="L274" i="69"/>
  <c r="Q273" i="69"/>
  <c r="I273" i="69"/>
  <c r="M269" i="69"/>
  <c r="O267" i="69"/>
  <c r="L266" i="69"/>
  <c r="Q265" i="69"/>
  <c r="I265" i="69"/>
  <c r="M261" i="69"/>
  <c r="O259" i="69"/>
  <c r="L258" i="69"/>
  <c r="Q257" i="69"/>
  <c r="I257" i="69"/>
  <c r="M253" i="69"/>
  <c r="O251" i="69"/>
  <c r="L250" i="69"/>
  <c r="Q249" i="69"/>
  <c r="I249" i="69"/>
  <c r="M245" i="69"/>
  <c r="O243" i="69"/>
  <c r="L242" i="69"/>
  <c r="Q241" i="69"/>
  <c r="I241" i="69"/>
  <c r="M237" i="69"/>
  <c r="O235" i="69"/>
  <c r="M232" i="69"/>
  <c r="Q231" i="69"/>
  <c r="P229" i="69"/>
  <c r="G229" i="69"/>
  <c r="O227" i="69"/>
  <c r="G226" i="69"/>
  <c r="O226" i="69"/>
  <c r="I226" i="69"/>
  <c r="Q226" i="69"/>
  <c r="O223" i="69"/>
  <c r="J221" i="69"/>
  <c r="K221" i="69"/>
  <c r="L221" i="69"/>
  <c r="M221" i="69"/>
  <c r="I168" i="69"/>
  <c r="Q168" i="69"/>
  <c r="L168" i="69"/>
  <c r="G168" i="69"/>
  <c r="O168" i="69"/>
  <c r="H168" i="69"/>
  <c r="J168" i="69"/>
  <c r="K168" i="69"/>
  <c r="M168" i="69"/>
  <c r="N168" i="69"/>
  <c r="P168" i="69"/>
  <c r="P305" i="69"/>
  <c r="P289" i="69"/>
  <c r="P281" i="69"/>
  <c r="P273" i="69"/>
  <c r="P265" i="69"/>
  <c r="P257" i="69"/>
  <c r="P249" i="69"/>
  <c r="P241" i="69"/>
  <c r="L232" i="69"/>
  <c r="H231" i="69"/>
  <c r="P231" i="69"/>
  <c r="N227" i="69"/>
  <c r="N223" i="69"/>
  <c r="Q221" i="69"/>
  <c r="I218" i="69"/>
  <c r="Q218" i="69"/>
  <c r="J218" i="69"/>
  <c r="K218" i="69"/>
  <c r="L218" i="69"/>
  <c r="G215" i="69"/>
  <c r="O215" i="69"/>
  <c r="H215" i="69"/>
  <c r="P215" i="69"/>
  <c r="I215" i="69"/>
  <c r="Q215" i="69"/>
  <c r="J215" i="69"/>
  <c r="K215" i="69"/>
  <c r="L215" i="69"/>
  <c r="G199" i="69"/>
  <c r="O199" i="69"/>
  <c r="H199" i="69"/>
  <c r="P199" i="69"/>
  <c r="I199" i="69"/>
  <c r="Q199" i="69"/>
  <c r="J199" i="69"/>
  <c r="K199" i="69"/>
  <c r="L199" i="69"/>
  <c r="L161" i="69"/>
  <c r="G161" i="69"/>
  <c r="O161" i="69"/>
  <c r="H161" i="69"/>
  <c r="P161" i="69"/>
  <c r="J161" i="69"/>
  <c r="I161" i="69"/>
  <c r="K161" i="69"/>
  <c r="M161" i="69"/>
  <c r="N161" i="69"/>
  <c r="Q161" i="69"/>
  <c r="I136" i="69"/>
  <c r="Q136" i="69"/>
  <c r="J136" i="69"/>
  <c r="K136" i="69"/>
  <c r="L136" i="69"/>
  <c r="M136" i="69"/>
  <c r="G136" i="69"/>
  <c r="O136" i="69"/>
  <c r="H136" i="69"/>
  <c r="N136" i="69"/>
  <c r="P136" i="69"/>
  <c r="G162" i="69"/>
  <c r="O162" i="69"/>
  <c r="J162" i="69"/>
  <c r="K162" i="69"/>
  <c r="M162" i="69"/>
  <c r="M22" i="69"/>
  <c r="I22" i="69"/>
  <c r="G22" i="69"/>
  <c r="Q22" i="69"/>
  <c r="H22" i="69"/>
  <c r="J22" i="69"/>
  <c r="L22" i="69"/>
  <c r="N22" i="69"/>
  <c r="P22" i="69"/>
  <c r="K22" i="69"/>
  <c r="O22" i="69"/>
  <c r="K212" i="69"/>
  <c r="J209" i="69"/>
  <c r="K204" i="69"/>
  <c r="J201" i="69"/>
  <c r="K196" i="69"/>
  <c r="J193" i="69"/>
  <c r="K188" i="69"/>
  <c r="M186" i="69"/>
  <c r="J185" i="69"/>
  <c r="G178" i="69"/>
  <c r="O178" i="69"/>
  <c r="J178" i="69"/>
  <c r="L171" i="69"/>
  <c r="N170" i="69"/>
  <c r="P160" i="69"/>
  <c r="O156" i="69"/>
  <c r="Q153" i="69"/>
  <c r="N152" i="69"/>
  <c r="L145" i="69"/>
  <c r="M145" i="69"/>
  <c r="G145" i="69"/>
  <c r="O145" i="69"/>
  <c r="H145" i="69"/>
  <c r="P145" i="69"/>
  <c r="J145" i="69"/>
  <c r="G122" i="69"/>
  <c r="O122" i="69"/>
  <c r="H122" i="69"/>
  <c r="P122" i="69"/>
  <c r="I122" i="69"/>
  <c r="Q122" i="69"/>
  <c r="J122" i="69"/>
  <c r="K122" i="69"/>
  <c r="L122" i="69"/>
  <c r="M122" i="69"/>
  <c r="P222" i="69"/>
  <c r="H222" i="69"/>
  <c r="O219" i="69"/>
  <c r="Q217" i="69"/>
  <c r="I217" i="69"/>
  <c r="P214" i="69"/>
  <c r="H214" i="69"/>
  <c r="M213" i="69"/>
  <c r="J212" i="69"/>
  <c r="O211" i="69"/>
  <c r="Q209" i="69"/>
  <c r="I209" i="69"/>
  <c r="P206" i="69"/>
  <c r="H206" i="69"/>
  <c r="M205" i="69"/>
  <c r="J204" i="69"/>
  <c r="O203" i="69"/>
  <c r="Q201" i="69"/>
  <c r="I201" i="69"/>
  <c r="P198" i="69"/>
  <c r="H198" i="69"/>
  <c r="M197" i="69"/>
  <c r="J196" i="69"/>
  <c r="O195" i="69"/>
  <c r="G195" i="69"/>
  <c r="Q193" i="69"/>
  <c r="I193" i="69"/>
  <c r="P190" i="69"/>
  <c r="M189" i="69"/>
  <c r="J188" i="69"/>
  <c r="O187" i="69"/>
  <c r="G187" i="69"/>
  <c r="L186" i="69"/>
  <c r="Q185" i="69"/>
  <c r="I185" i="69"/>
  <c r="P182" i="69"/>
  <c r="M181" i="69"/>
  <c r="P178" i="69"/>
  <c r="L177" i="69"/>
  <c r="G177" i="69"/>
  <c r="O177" i="69"/>
  <c r="J177" i="69"/>
  <c r="I176" i="69"/>
  <c r="Q176" i="69"/>
  <c r="L176" i="69"/>
  <c r="G176" i="69"/>
  <c r="O176" i="69"/>
  <c r="K171" i="69"/>
  <c r="L170" i="69"/>
  <c r="Q162" i="69"/>
  <c r="N160" i="69"/>
  <c r="N156" i="69"/>
  <c r="N153" i="69"/>
  <c r="K152" i="69"/>
  <c r="N138" i="69"/>
  <c r="N130" i="69"/>
  <c r="O222" i="69"/>
  <c r="P217" i="69"/>
  <c r="H217" i="69"/>
  <c r="O214" i="69"/>
  <c r="L213" i="69"/>
  <c r="Q212" i="69"/>
  <c r="I212" i="69"/>
  <c r="P209" i="69"/>
  <c r="H209" i="69"/>
  <c r="O206" i="69"/>
  <c r="L205" i="69"/>
  <c r="Q204" i="69"/>
  <c r="I204" i="69"/>
  <c r="P201" i="69"/>
  <c r="H201" i="69"/>
  <c r="O198" i="69"/>
  <c r="L197" i="69"/>
  <c r="Q196" i="69"/>
  <c r="I196" i="69"/>
  <c r="P193" i="69"/>
  <c r="H193" i="69"/>
  <c r="L189" i="69"/>
  <c r="Q188" i="69"/>
  <c r="I188" i="69"/>
  <c r="K186" i="69"/>
  <c r="P185" i="69"/>
  <c r="H185" i="69"/>
  <c r="L181" i="69"/>
  <c r="N178" i="69"/>
  <c r="I171" i="69"/>
  <c r="K170" i="69"/>
  <c r="P162" i="69"/>
  <c r="K160" i="69"/>
  <c r="L156" i="69"/>
  <c r="M153" i="69"/>
  <c r="G146" i="69"/>
  <c r="O146" i="69"/>
  <c r="H146" i="69"/>
  <c r="P146" i="69"/>
  <c r="J146" i="69"/>
  <c r="K146" i="69"/>
  <c r="M146" i="69"/>
  <c r="K24" i="69"/>
  <c r="J24" i="69"/>
  <c r="L24" i="69"/>
  <c r="M24" i="69"/>
  <c r="G24" i="69"/>
  <c r="I24" i="69"/>
  <c r="N24" i="69"/>
  <c r="P24" i="69"/>
  <c r="Q24" i="69"/>
  <c r="H24" i="69"/>
  <c r="O24" i="69"/>
  <c r="O217" i="69"/>
  <c r="K213" i="69"/>
  <c r="P212" i="69"/>
  <c r="H212" i="69"/>
  <c r="O209" i="69"/>
  <c r="K205" i="69"/>
  <c r="P204" i="69"/>
  <c r="H204" i="69"/>
  <c r="O201" i="69"/>
  <c r="K197" i="69"/>
  <c r="P196" i="69"/>
  <c r="H196" i="69"/>
  <c r="O193" i="69"/>
  <c r="K189" i="69"/>
  <c r="P188" i="69"/>
  <c r="H188" i="69"/>
  <c r="J186" i="69"/>
  <c r="O185" i="69"/>
  <c r="K181" i="69"/>
  <c r="H180" i="69"/>
  <c r="P180" i="69"/>
  <c r="M178" i="69"/>
  <c r="M172" i="69"/>
  <c r="H172" i="69"/>
  <c r="P172" i="69"/>
  <c r="K172" i="69"/>
  <c r="I170" i="69"/>
  <c r="N162" i="69"/>
  <c r="J160" i="69"/>
  <c r="I152" i="69"/>
  <c r="Q152" i="69"/>
  <c r="J152" i="69"/>
  <c r="L152" i="69"/>
  <c r="M152" i="69"/>
  <c r="G152" i="69"/>
  <c r="O152" i="69"/>
  <c r="G138" i="69"/>
  <c r="O138" i="69"/>
  <c r="H138" i="69"/>
  <c r="P138" i="69"/>
  <c r="I138" i="69"/>
  <c r="Q138" i="69"/>
  <c r="J138" i="69"/>
  <c r="K138" i="69"/>
  <c r="M138" i="69"/>
  <c r="G130" i="69"/>
  <c r="O130" i="69"/>
  <c r="H130" i="69"/>
  <c r="P130" i="69"/>
  <c r="I130" i="69"/>
  <c r="Q130" i="69"/>
  <c r="J130" i="69"/>
  <c r="K130" i="69"/>
  <c r="M130" i="69"/>
  <c r="I66" i="69"/>
  <c r="Q66" i="69"/>
  <c r="L66" i="69"/>
  <c r="K66" i="69"/>
  <c r="N66" i="69"/>
  <c r="O66" i="69"/>
  <c r="G66" i="69"/>
  <c r="H66" i="69"/>
  <c r="J66" i="69"/>
  <c r="M66" i="69"/>
  <c r="P66" i="69"/>
  <c r="I58" i="69"/>
  <c r="Q58" i="69"/>
  <c r="J58" i="69"/>
  <c r="K58" i="69"/>
  <c r="M58" i="69"/>
  <c r="O58" i="69"/>
  <c r="P58" i="69"/>
  <c r="G58" i="69"/>
  <c r="H58" i="69"/>
  <c r="L58" i="69"/>
  <c r="N58" i="69"/>
  <c r="J213" i="69"/>
  <c r="O212" i="69"/>
  <c r="J205" i="69"/>
  <c r="O204" i="69"/>
  <c r="J197" i="69"/>
  <c r="O196" i="69"/>
  <c r="O188" i="69"/>
  <c r="Q186" i="69"/>
  <c r="I186" i="69"/>
  <c r="L178" i="69"/>
  <c r="J171" i="69"/>
  <c r="M171" i="69"/>
  <c r="H171" i="69"/>
  <c r="P171" i="69"/>
  <c r="L162" i="69"/>
  <c r="Q213" i="69"/>
  <c r="Q205" i="69"/>
  <c r="Q197" i="69"/>
  <c r="P186" i="69"/>
  <c r="G170" i="69"/>
  <c r="O170" i="69"/>
  <c r="J170" i="69"/>
  <c r="M170" i="69"/>
  <c r="I162" i="69"/>
  <c r="I160" i="69"/>
  <c r="Q160" i="69"/>
  <c r="L160" i="69"/>
  <c r="M160" i="69"/>
  <c r="G160" i="69"/>
  <c r="O160" i="69"/>
  <c r="M156" i="69"/>
  <c r="H156" i="69"/>
  <c r="P156" i="69"/>
  <c r="I156" i="69"/>
  <c r="Q156" i="69"/>
  <c r="K156" i="69"/>
  <c r="L153" i="69"/>
  <c r="G153" i="69"/>
  <c r="O153" i="69"/>
  <c r="H153" i="69"/>
  <c r="P153" i="69"/>
  <c r="J153" i="69"/>
  <c r="G60" i="69"/>
  <c r="O60" i="69"/>
  <c r="K60" i="69"/>
  <c r="L60" i="69"/>
  <c r="Q60" i="69"/>
  <c r="H60" i="69"/>
  <c r="I60" i="69"/>
  <c r="M60" i="69"/>
  <c r="N60" i="69"/>
  <c r="J60" i="69"/>
  <c r="P60" i="69"/>
  <c r="P163" i="69"/>
  <c r="H163" i="69"/>
  <c r="P155" i="69"/>
  <c r="H155" i="69"/>
  <c r="L151" i="69"/>
  <c r="Q150" i="69"/>
  <c r="I150" i="69"/>
  <c r="K148" i="69"/>
  <c r="P147" i="69"/>
  <c r="H147" i="69"/>
  <c r="L143" i="69"/>
  <c r="Q142" i="69"/>
  <c r="I142" i="69"/>
  <c r="K140" i="69"/>
  <c r="P139" i="69"/>
  <c r="H139" i="69"/>
  <c r="J137" i="69"/>
  <c r="L135" i="69"/>
  <c r="Q134" i="69"/>
  <c r="I134" i="69"/>
  <c r="K132" i="69"/>
  <c r="P131" i="69"/>
  <c r="H131" i="69"/>
  <c r="J129" i="69"/>
  <c r="L127" i="69"/>
  <c r="Q126" i="69"/>
  <c r="I126" i="69"/>
  <c r="K124" i="69"/>
  <c r="P123" i="69"/>
  <c r="H123" i="69"/>
  <c r="J121" i="69"/>
  <c r="O120" i="69"/>
  <c r="G120" i="69"/>
  <c r="L119" i="69"/>
  <c r="Q118" i="69"/>
  <c r="I118" i="69"/>
  <c r="K116" i="69"/>
  <c r="P115" i="69"/>
  <c r="H115" i="69"/>
  <c r="J113" i="69"/>
  <c r="O112" i="69"/>
  <c r="G112" i="69"/>
  <c r="L111" i="69"/>
  <c r="Q110" i="69"/>
  <c r="I110" i="69"/>
  <c r="K108" i="69"/>
  <c r="J106" i="69"/>
  <c r="J104" i="69"/>
  <c r="N103" i="69"/>
  <c r="M102" i="69"/>
  <c r="G102" i="69"/>
  <c r="O102" i="69"/>
  <c r="I101" i="69"/>
  <c r="L100" i="69"/>
  <c r="I98" i="69"/>
  <c r="Q98" i="69"/>
  <c r="K98" i="69"/>
  <c r="G98" i="69"/>
  <c r="O98" i="69"/>
  <c r="L88" i="69"/>
  <c r="Q85" i="69"/>
  <c r="J77" i="69"/>
  <c r="L77" i="69"/>
  <c r="M77" i="69"/>
  <c r="G77" i="69"/>
  <c r="O77" i="69"/>
  <c r="H77" i="69"/>
  <c r="P77" i="69"/>
  <c r="R58" i="70"/>
  <c r="M94" i="69"/>
  <c r="G94" i="69"/>
  <c r="O94" i="69"/>
  <c r="K94" i="69"/>
  <c r="N85" i="69"/>
  <c r="J70" i="69"/>
  <c r="G70" i="69"/>
  <c r="P70" i="69"/>
  <c r="I70" i="69"/>
  <c r="K70" i="69"/>
  <c r="M70" i="69"/>
  <c r="N70" i="69"/>
  <c r="K64" i="69"/>
  <c r="M64" i="69"/>
  <c r="J64" i="69"/>
  <c r="N64" i="69"/>
  <c r="O64" i="69"/>
  <c r="G64" i="69"/>
  <c r="Q64" i="69"/>
  <c r="H64" i="69"/>
  <c r="M54" i="69"/>
  <c r="I54" i="69"/>
  <c r="J54" i="69"/>
  <c r="P54" i="69"/>
  <c r="G54" i="69"/>
  <c r="H54" i="69"/>
  <c r="L54" i="69"/>
  <c r="N54" i="69"/>
  <c r="H47" i="69"/>
  <c r="P47" i="69"/>
  <c r="L47" i="69"/>
  <c r="I47" i="69"/>
  <c r="J47" i="69"/>
  <c r="N47" i="69"/>
  <c r="Q47" i="69"/>
  <c r="G47" i="69"/>
  <c r="K47" i="69"/>
  <c r="H39" i="69"/>
  <c r="P39" i="69"/>
  <c r="J39" i="69"/>
  <c r="I39" i="69"/>
  <c r="K39" i="69"/>
  <c r="N39" i="69"/>
  <c r="Q39" i="69"/>
  <c r="G39" i="69"/>
  <c r="L39" i="69"/>
  <c r="T56" i="70"/>
  <c r="O150" i="69"/>
  <c r="G150" i="69"/>
  <c r="Q148" i="69"/>
  <c r="I148" i="69"/>
  <c r="O142" i="69"/>
  <c r="G142" i="69"/>
  <c r="Q140" i="69"/>
  <c r="I140" i="69"/>
  <c r="P137" i="69"/>
  <c r="H137" i="69"/>
  <c r="O134" i="69"/>
  <c r="G134" i="69"/>
  <c r="Q132" i="69"/>
  <c r="I132" i="69"/>
  <c r="P129" i="69"/>
  <c r="H129" i="69"/>
  <c r="J127" i="69"/>
  <c r="O126" i="69"/>
  <c r="G126" i="69"/>
  <c r="Q124" i="69"/>
  <c r="I124" i="69"/>
  <c r="P121" i="69"/>
  <c r="H121" i="69"/>
  <c r="M120" i="69"/>
  <c r="J119" i="69"/>
  <c r="O118" i="69"/>
  <c r="G118" i="69"/>
  <c r="Q116" i="69"/>
  <c r="I116" i="69"/>
  <c r="P113" i="69"/>
  <c r="H113" i="69"/>
  <c r="M112" i="69"/>
  <c r="O110" i="69"/>
  <c r="G110" i="69"/>
  <c r="Q108" i="69"/>
  <c r="I108" i="69"/>
  <c r="M107" i="69"/>
  <c r="P106" i="69"/>
  <c r="Q104" i="69"/>
  <c r="H104" i="69"/>
  <c r="L103" i="69"/>
  <c r="Q101" i="69"/>
  <c r="J100" i="69"/>
  <c r="Q94" i="69"/>
  <c r="J93" i="69"/>
  <c r="L93" i="69"/>
  <c r="H93" i="69"/>
  <c r="P93" i="69"/>
  <c r="G92" i="69"/>
  <c r="O92" i="69"/>
  <c r="I92" i="69"/>
  <c r="Q92" i="69"/>
  <c r="M92" i="69"/>
  <c r="H88" i="69"/>
  <c r="M85" i="69"/>
  <c r="M78" i="69"/>
  <c r="G78" i="69"/>
  <c r="O78" i="69"/>
  <c r="H78" i="69"/>
  <c r="P78" i="69"/>
  <c r="J78" i="69"/>
  <c r="K78" i="69"/>
  <c r="L72" i="69"/>
  <c r="J29" i="69"/>
  <c r="G29" i="69"/>
  <c r="P29" i="69"/>
  <c r="L29" i="69"/>
  <c r="M29" i="69"/>
  <c r="H29" i="69"/>
  <c r="I29" i="69"/>
  <c r="N29" i="69"/>
  <c r="O29" i="69"/>
  <c r="Q20" i="69"/>
  <c r="Q175" i="69"/>
  <c r="K173" i="69"/>
  <c r="Q167" i="69"/>
  <c r="K165" i="69"/>
  <c r="M163" i="69"/>
  <c r="Q159" i="69"/>
  <c r="K157" i="69"/>
  <c r="M155" i="69"/>
  <c r="P148" i="69"/>
  <c r="H148" i="69"/>
  <c r="P140" i="69"/>
  <c r="H140" i="69"/>
  <c r="O137" i="69"/>
  <c r="G137" i="69"/>
  <c r="P132" i="69"/>
  <c r="H132" i="69"/>
  <c r="O129" i="69"/>
  <c r="G129" i="69"/>
  <c r="Q127" i="69"/>
  <c r="P124" i="69"/>
  <c r="H124" i="69"/>
  <c r="O121" i="69"/>
  <c r="G121" i="69"/>
  <c r="L120" i="69"/>
  <c r="P116" i="69"/>
  <c r="H116" i="69"/>
  <c r="O113" i="69"/>
  <c r="G113" i="69"/>
  <c r="L112" i="69"/>
  <c r="P108" i="69"/>
  <c r="H108" i="69"/>
  <c r="I106" i="69"/>
  <c r="Q106" i="69"/>
  <c r="P104" i="69"/>
  <c r="G104" i="69"/>
  <c r="J101" i="69"/>
  <c r="L101" i="69"/>
  <c r="P94" i="69"/>
  <c r="K85" i="69"/>
  <c r="G84" i="69"/>
  <c r="O84" i="69"/>
  <c r="I84" i="69"/>
  <c r="Q84" i="69"/>
  <c r="J84" i="69"/>
  <c r="L84" i="69"/>
  <c r="M84" i="69"/>
  <c r="N63" i="69"/>
  <c r="O46" i="69"/>
  <c r="H23" i="69"/>
  <c r="P23" i="69"/>
  <c r="N23" i="69"/>
  <c r="M23" i="69"/>
  <c r="O23" i="69"/>
  <c r="G23" i="69"/>
  <c r="J23" i="69"/>
  <c r="K23" i="69"/>
  <c r="Q23" i="69"/>
  <c r="K120" i="69"/>
  <c r="K112" i="69"/>
  <c r="G100" i="69"/>
  <c r="O100" i="69"/>
  <c r="I100" i="69"/>
  <c r="Q100" i="69"/>
  <c r="N94" i="69"/>
  <c r="K88" i="69"/>
  <c r="M88" i="69"/>
  <c r="I88" i="69"/>
  <c r="Q88" i="69"/>
  <c r="H72" i="69"/>
  <c r="P72" i="69"/>
  <c r="G72" i="69"/>
  <c r="Q72" i="69"/>
  <c r="J72" i="69"/>
  <c r="K72" i="69"/>
  <c r="M72" i="69"/>
  <c r="N72" i="69"/>
  <c r="G20" i="69"/>
  <c r="O20" i="69"/>
  <c r="I20" i="69"/>
  <c r="J20" i="69"/>
  <c r="N20" i="69"/>
  <c r="P20" i="69"/>
  <c r="H20" i="69"/>
  <c r="L20" i="69"/>
  <c r="M20" i="69"/>
  <c r="M137" i="69"/>
  <c r="M129" i="69"/>
  <c r="M121" i="69"/>
  <c r="J120" i="69"/>
  <c r="M113" i="69"/>
  <c r="J112" i="69"/>
  <c r="N108" i="69"/>
  <c r="N104" i="69"/>
  <c r="J85" i="69"/>
  <c r="L85" i="69"/>
  <c r="G85" i="69"/>
  <c r="O85" i="69"/>
  <c r="H85" i="69"/>
  <c r="P85" i="69"/>
  <c r="H63" i="69"/>
  <c r="P63" i="69"/>
  <c r="G63" i="69"/>
  <c r="Q63" i="69"/>
  <c r="I63" i="69"/>
  <c r="M63" i="69"/>
  <c r="O63" i="69"/>
  <c r="J63" i="69"/>
  <c r="K63" i="69"/>
  <c r="M46" i="69"/>
  <c r="G46" i="69"/>
  <c r="P46" i="69"/>
  <c r="K46" i="69"/>
  <c r="L46" i="69"/>
  <c r="N46" i="69"/>
  <c r="Q46" i="69"/>
  <c r="H46" i="69"/>
  <c r="I46" i="69"/>
  <c r="T60" i="70"/>
  <c r="P173" i="69"/>
  <c r="P165" i="69"/>
  <c r="P157" i="69"/>
  <c r="Q120" i="69"/>
  <c r="Q112" i="69"/>
  <c r="M108" i="69"/>
  <c r="L106" i="69"/>
  <c r="M104" i="69"/>
  <c r="H103" i="69"/>
  <c r="P103" i="69"/>
  <c r="J103" i="69"/>
  <c r="M101" i="69"/>
  <c r="N100" i="69"/>
  <c r="K96" i="69"/>
  <c r="M96" i="69"/>
  <c r="I96" i="69"/>
  <c r="Q96" i="69"/>
  <c r="J94" i="69"/>
  <c r="M93" i="69"/>
  <c r="L92" i="69"/>
  <c r="I90" i="69"/>
  <c r="Q90" i="69"/>
  <c r="K90" i="69"/>
  <c r="G90" i="69"/>
  <c r="O90" i="69"/>
  <c r="O88" i="69"/>
  <c r="M86" i="69"/>
  <c r="G86" i="69"/>
  <c r="O86" i="69"/>
  <c r="J86" i="69"/>
  <c r="K86" i="69"/>
  <c r="Q78" i="69"/>
  <c r="G76" i="69"/>
  <c r="O76" i="69"/>
  <c r="I76" i="69"/>
  <c r="Q76" i="69"/>
  <c r="J76" i="69"/>
  <c r="L76" i="69"/>
  <c r="M76" i="69"/>
  <c r="O70" i="69"/>
  <c r="G69" i="69"/>
  <c r="O69" i="69"/>
  <c r="K69" i="69"/>
  <c r="M69" i="69"/>
  <c r="N69" i="69"/>
  <c r="H69" i="69"/>
  <c r="Q69" i="69"/>
  <c r="I69" i="69"/>
  <c r="P64" i="69"/>
  <c r="Q54" i="69"/>
  <c r="M30" i="69"/>
  <c r="K30" i="69"/>
  <c r="H30" i="69"/>
  <c r="I30" i="69"/>
  <c r="Q30" i="69"/>
  <c r="G30" i="69"/>
  <c r="J30" i="69"/>
  <c r="N30" i="69"/>
  <c r="O30" i="69"/>
  <c r="G28" i="69"/>
  <c r="O28" i="69"/>
  <c r="K28" i="69"/>
  <c r="N28" i="69"/>
  <c r="P28" i="69"/>
  <c r="H28" i="69"/>
  <c r="I28" i="69"/>
  <c r="L28" i="69"/>
  <c r="M28" i="69"/>
  <c r="O82" i="69"/>
  <c r="G82" i="69"/>
  <c r="Q80" i="69"/>
  <c r="I80" i="69"/>
  <c r="J75" i="69"/>
  <c r="I71" i="69"/>
  <c r="M68" i="69"/>
  <c r="L67" i="69"/>
  <c r="H67" i="69"/>
  <c r="Q67" i="69"/>
  <c r="L43" i="69"/>
  <c r="J43" i="69"/>
  <c r="M43" i="69"/>
  <c r="N43" i="69"/>
  <c r="Q36" i="69"/>
  <c r="K16" i="69"/>
  <c r="H16" i="69"/>
  <c r="Q16" i="69"/>
  <c r="M16" i="69"/>
  <c r="G16" i="69"/>
  <c r="I16" i="69"/>
  <c r="R56" i="70"/>
  <c r="W52" i="65"/>
  <c r="P80" i="69"/>
  <c r="H80" i="69"/>
  <c r="Q71" i="69"/>
  <c r="H71" i="69"/>
  <c r="K56" i="69"/>
  <c r="J56" i="69"/>
  <c r="L56" i="69"/>
  <c r="G52" i="69"/>
  <c r="O52" i="69"/>
  <c r="I52" i="69"/>
  <c r="J52" i="69"/>
  <c r="I26" i="69"/>
  <c r="Q26" i="69"/>
  <c r="J26" i="69"/>
  <c r="L26" i="69"/>
  <c r="M26" i="69"/>
  <c r="H7" i="69"/>
  <c r="P7" i="69"/>
  <c r="J7" i="69"/>
  <c r="M7" i="69"/>
  <c r="N7" i="69"/>
  <c r="O7" i="69"/>
  <c r="K7" i="69"/>
  <c r="L7" i="69"/>
  <c r="G4" i="69"/>
  <c r="O4" i="69"/>
  <c r="M4" i="69"/>
  <c r="L4" i="69"/>
  <c r="N4" i="69"/>
  <c r="P4" i="69"/>
  <c r="J4" i="69"/>
  <c r="K4" i="69"/>
  <c r="W54" i="70"/>
  <c r="L82" i="69"/>
  <c r="O56" i="69"/>
  <c r="P52" i="69"/>
  <c r="L51" i="69"/>
  <c r="M51" i="69"/>
  <c r="N51" i="69"/>
  <c r="I50" i="69"/>
  <c r="Q50" i="69"/>
  <c r="G50" i="69"/>
  <c r="P50" i="69"/>
  <c r="H50" i="69"/>
  <c r="M38" i="69"/>
  <c r="N38" i="69"/>
  <c r="K38" i="69"/>
  <c r="L38" i="69"/>
  <c r="P26" i="69"/>
  <c r="V60" i="70"/>
  <c r="G15" i="93"/>
  <c r="O15" i="93"/>
  <c r="M16" i="93"/>
  <c r="K17" i="93"/>
  <c r="I18" i="93"/>
  <c r="G19" i="93"/>
  <c r="O19" i="93"/>
  <c r="M20" i="93"/>
  <c r="K21" i="93"/>
  <c r="I22" i="93"/>
  <c r="G23" i="93"/>
  <c r="O23" i="93"/>
  <c r="H15" i="93"/>
  <c r="P15" i="93"/>
  <c r="N16" i="93"/>
  <c r="L17" i="93"/>
  <c r="J18" i="93"/>
  <c r="H19" i="93"/>
  <c r="P19" i="93"/>
  <c r="N20" i="93"/>
  <c r="L21" i="93"/>
  <c r="J22" i="93"/>
  <c r="H23" i="93"/>
  <c r="P23" i="93"/>
  <c r="I15" i="93"/>
  <c r="G16" i="93"/>
  <c r="O16" i="93"/>
  <c r="M17" i="93"/>
  <c r="K18" i="93"/>
  <c r="I19" i="93"/>
  <c r="G20" i="93"/>
  <c r="O20" i="93"/>
  <c r="M21" i="93"/>
  <c r="K22" i="93"/>
  <c r="I23" i="93"/>
  <c r="J15" i="93"/>
  <c r="H16" i="93"/>
  <c r="P16" i="93"/>
  <c r="N17" i="93"/>
  <c r="L18" i="93"/>
  <c r="J19" i="93"/>
  <c r="H20" i="93"/>
  <c r="P20" i="93"/>
  <c r="N21" i="93"/>
  <c r="L22" i="93"/>
  <c r="J23" i="93"/>
  <c r="M15" i="93"/>
  <c r="I17" i="93"/>
  <c r="O18" i="93"/>
  <c r="K20" i="93"/>
  <c r="G22" i="93"/>
  <c r="M23" i="93"/>
  <c r="N15" i="93"/>
  <c r="J17" i="93"/>
  <c r="P18" i="93"/>
  <c r="L20" i="93"/>
  <c r="H22" i="93"/>
  <c r="N23" i="93"/>
  <c r="O17" i="93"/>
  <c r="K19" i="93"/>
  <c r="G21" i="93"/>
  <c r="M22" i="93"/>
  <c r="P17" i="93"/>
  <c r="L19" i="93"/>
  <c r="H21" i="93"/>
  <c r="N22" i="93"/>
  <c r="L15" i="93"/>
  <c r="H17" i="93"/>
  <c r="N18" i="93"/>
  <c r="P21" i="93"/>
  <c r="L23" i="93"/>
  <c r="G18" i="93"/>
  <c r="O21" i="93"/>
  <c r="H18" i="93"/>
  <c r="O22" i="93"/>
  <c r="M18" i="93"/>
  <c r="P22" i="93"/>
  <c r="K16" i="93"/>
  <c r="L16" i="93"/>
  <c r="G17" i="93"/>
  <c r="J95" i="69"/>
  <c r="J87" i="69"/>
  <c r="K82" i="69"/>
  <c r="M80" i="69"/>
  <c r="J79" i="69"/>
  <c r="N75" i="69"/>
  <c r="N71" i="69"/>
  <c r="M62" i="69"/>
  <c r="K62" i="69"/>
  <c r="L62" i="69"/>
  <c r="J61" i="69"/>
  <c r="G61" i="69"/>
  <c r="P61" i="69"/>
  <c r="H61" i="69"/>
  <c r="Q61" i="69"/>
  <c r="N56" i="69"/>
  <c r="N52" i="69"/>
  <c r="P51" i="69"/>
  <c r="Q38" i="69"/>
  <c r="K32" i="69"/>
  <c r="M32" i="69"/>
  <c r="N32" i="69"/>
  <c r="O32" i="69"/>
  <c r="O26" i="69"/>
  <c r="I18" i="69"/>
  <c r="Q18" i="69"/>
  <c r="G18" i="69"/>
  <c r="P18" i="69"/>
  <c r="N18" i="69"/>
  <c r="J18" i="69"/>
  <c r="K18" i="69"/>
  <c r="J5" i="69"/>
  <c r="I5" i="69"/>
  <c r="K5" i="69"/>
  <c r="L5" i="69"/>
  <c r="M5" i="69"/>
  <c r="G5" i="69"/>
  <c r="Q5" i="69"/>
  <c r="H5" i="69"/>
  <c r="L111" i="70"/>
  <c r="I117" i="70" s="1"/>
  <c r="H51" i="70"/>
  <c r="L112" i="70"/>
  <c r="I118" i="70" s="1"/>
  <c r="L51" i="70"/>
  <c r="U54" i="70"/>
  <c r="U55" i="70"/>
  <c r="U56" i="70"/>
  <c r="U57" i="70"/>
  <c r="U58" i="70"/>
  <c r="U60" i="70"/>
  <c r="R55" i="70"/>
  <c r="S56" i="70"/>
  <c r="T57" i="70"/>
  <c r="V58" i="70"/>
  <c r="W60" i="70"/>
  <c r="S54" i="70"/>
  <c r="T55" i="70"/>
  <c r="V56" i="70"/>
  <c r="W57" i="70"/>
  <c r="X58" i="70"/>
  <c r="Y60" i="70"/>
  <c r="T54" i="70"/>
  <c r="V55" i="70"/>
  <c r="W56" i="70"/>
  <c r="W55" i="70"/>
  <c r="S57" i="70"/>
  <c r="Y58" i="70"/>
  <c r="X55" i="70"/>
  <c r="V57" i="70"/>
  <c r="R60" i="70"/>
  <c r="R54" i="70"/>
  <c r="Y55" i="70"/>
  <c r="X57" i="70"/>
  <c r="S60" i="70"/>
  <c r="X54" i="70"/>
  <c r="X56" i="70"/>
  <c r="S58" i="70"/>
  <c r="X60" i="70"/>
  <c r="Y54" i="70"/>
  <c r="Y56" i="70"/>
  <c r="T58" i="70"/>
  <c r="S55" i="70"/>
  <c r="R57" i="70"/>
  <c r="W58" i="70"/>
  <c r="Y54" i="65"/>
  <c r="T54" i="65"/>
  <c r="R58" i="65"/>
  <c r="W54" i="65"/>
  <c r="S58" i="65"/>
  <c r="R52" i="65"/>
  <c r="X54" i="65"/>
  <c r="T58" i="65"/>
  <c r="S53" i="65"/>
  <c r="Y55" i="65"/>
  <c r="T53" i="65"/>
  <c r="R56" i="65"/>
  <c r="Y53" i="65"/>
  <c r="W56" i="65"/>
  <c r="H109" i="65"/>
  <c r="E115" i="65" s="1"/>
  <c r="P95" i="69"/>
  <c r="P87" i="69"/>
  <c r="Q82" i="69"/>
  <c r="P79" i="69"/>
  <c r="L75" i="69"/>
  <c r="M73" i="69"/>
  <c r="K71" i="69"/>
  <c r="I67" i="69"/>
  <c r="O62" i="69"/>
  <c r="O61" i="69"/>
  <c r="I56" i="69"/>
  <c r="L52" i="69"/>
  <c r="K51" i="69"/>
  <c r="N50" i="69"/>
  <c r="O38" i="69"/>
  <c r="G36" i="69"/>
  <c r="O36" i="69"/>
  <c r="M36" i="69"/>
  <c r="I36" i="69"/>
  <c r="J36" i="69"/>
  <c r="L35" i="69"/>
  <c r="H35" i="69"/>
  <c r="Q35" i="69"/>
  <c r="K35" i="69"/>
  <c r="M35" i="69"/>
  <c r="I34" i="69"/>
  <c r="Q34" i="69"/>
  <c r="L34" i="69"/>
  <c r="N34" i="69"/>
  <c r="O34" i="69"/>
  <c r="P32" i="69"/>
  <c r="K26" i="69"/>
  <c r="L19" i="69"/>
  <c r="M19" i="69"/>
  <c r="K19" i="69"/>
  <c r="G19" i="69"/>
  <c r="Q19" i="69"/>
  <c r="H19" i="69"/>
  <c r="H15" i="69"/>
  <c r="P15" i="69"/>
  <c r="L15" i="69"/>
  <c r="N15" i="69"/>
  <c r="O15" i="69"/>
  <c r="J15" i="69"/>
  <c r="K15" i="69"/>
  <c r="Q7" i="69"/>
  <c r="Q4" i="69"/>
  <c r="G119" i="70"/>
  <c r="Y57" i="70"/>
  <c r="O51" i="70"/>
  <c r="G51" i="70"/>
  <c r="K51" i="70"/>
  <c r="P111" i="65"/>
  <c r="L116" i="65"/>
  <c r="L117" i="65" s="1"/>
  <c r="H55" i="69"/>
  <c r="P55" i="69"/>
  <c r="J45" i="69"/>
  <c r="L45" i="69"/>
  <c r="I42" i="69"/>
  <c r="Q42" i="69"/>
  <c r="N42" i="69"/>
  <c r="H31" i="69"/>
  <c r="P31" i="69"/>
  <c r="G31" i="69"/>
  <c r="Q31" i="69"/>
  <c r="L21" i="69"/>
  <c r="N14" i="69"/>
  <c r="O11" i="69"/>
  <c r="O6" i="69"/>
  <c r="I110" i="65"/>
  <c r="F116" i="65" s="1"/>
  <c r="K110" i="65"/>
  <c r="H116" i="65" s="1"/>
  <c r="N55" i="69"/>
  <c r="N53" i="69"/>
  <c r="K48" i="69"/>
  <c r="H48" i="69"/>
  <c r="Q48" i="69"/>
  <c r="O45" i="69"/>
  <c r="O42" i="69"/>
  <c r="J37" i="69"/>
  <c r="I37" i="69"/>
  <c r="O31" i="69"/>
  <c r="L14" i="69"/>
  <c r="J13" i="69"/>
  <c r="L13" i="69"/>
  <c r="N11" i="69"/>
  <c r="I10" i="69"/>
  <c r="Q10" i="69"/>
  <c r="N10" i="69"/>
  <c r="L6" i="69"/>
  <c r="F111" i="70"/>
  <c r="F112" i="70"/>
  <c r="F51" i="70"/>
  <c r="T56" i="65"/>
  <c r="X53" i="65"/>
  <c r="I109" i="65"/>
  <c r="F115" i="65" s="1"/>
  <c r="S52" i="65"/>
  <c r="S56" i="65"/>
  <c r="W53" i="65"/>
  <c r="J21" i="69"/>
  <c r="N21" i="69"/>
  <c r="H11" i="69"/>
  <c r="H6" i="69"/>
  <c r="I109" i="66"/>
  <c r="F115" i="66" s="1"/>
  <c r="M109" i="66"/>
  <c r="J115" i="66" s="1"/>
  <c r="M110" i="66"/>
  <c r="J116" i="66" s="1"/>
  <c r="M49" i="66"/>
  <c r="I49" i="66"/>
  <c r="S53" i="66"/>
  <c r="I110" i="66"/>
  <c r="F116" i="66" s="1"/>
  <c r="M14" i="69"/>
  <c r="G14" i="69"/>
  <c r="P14" i="69"/>
  <c r="Q11" i="69"/>
  <c r="Q6" i="69"/>
  <c r="J119" i="70"/>
  <c r="I51" i="70"/>
  <c r="M49" i="65"/>
  <c r="H109" i="66"/>
  <c r="E115" i="66" s="1"/>
  <c r="E117" i="66" s="1"/>
  <c r="L109" i="66"/>
  <c r="I115" i="66" s="1"/>
  <c r="L110" i="66"/>
  <c r="I116" i="66" s="1"/>
  <c r="L49" i="66"/>
  <c r="R54" i="66"/>
  <c r="R55" i="66"/>
  <c r="R56" i="66"/>
  <c r="R58" i="66"/>
  <c r="S52" i="66"/>
  <c r="S54" i="66"/>
  <c r="S55" i="66"/>
  <c r="S56" i="66"/>
  <c r="S58" i="66"/>
  <c r="T52" i="66"/>
  <c r="T54" i="66"/>
  <c r="T55" i="66"/>
  <c r="T56" i="66"/>
  <c r="T58" i="66"/>
  <c r="X52" i="66"/>
  <c r="V54" i="66"/>
  <c r="Y55" i="66"/>
  <c r="W58" i="66"/>
  <c r="Y52" i="66"/>
  <c r="W54" i="66"/>
  <c r="U56" i="66"/>
  <c r="X58" i="66"/>
  <c r="U53" i="66"/>
  <c r="X54" i="66"/>
  <c r="V56" i="66"/>
  <c r="Y58" i="66"/>
  <c r="V53" i="66"/>
  <c r="Y54" i="66"/>
  <c r="W56" i="66"/>
  <c r="W52" i="66"/>
  <c r="U54" i="66"/>
  <c r="X55" i="66"/>
  <c r="V58" i="66"/>
  <c r="H49" i="66"/>
  <c r="L11" i="69"/>
  <c r="J11" i="69"/>
  <c r="M6" i="69"/>
  <c r="N6" i="69"/>
  <c r="L109" i="65"/>
  <c r="I115" i="65" s="1"/>
  <c r="I117" i="65" s="1"/>
  <c r="X58" i="65"/>
  <c r="R55" i="65"/>
  <c r="T52" i="65"/>
  <c r="X52" i="65"/>
  <c r="O109" i="66"/>
  <c r="L115" i="66" s="1"/>
  <c r="G109" i="66"/>
  <c r="K109" i="66"/>
  <c r="H115" i="66" s="1"/>
  <c r="K49" i="66"/>
  <c r="K110" i="66"/>
  <c r="H116" i="66" s="1"/>
  <c r="O110" i="66"/>
  <c r="L116" i="66" s="1"/>
  <c r="G49" i="66"/>
  <c r="K117" i="65"/>
  <c r="J109" i="65"/>
  <c r="G115" i="65" s="1"/>
  <c r="J49" i="66"/>
  <c r="T53" i="66"/>
  <c r="Y56" i="65"/>
  <c r="W55" i="65"/>
  <c r="S54" i="65"/>
  <c r="Y52" i="65"/>
  <c r="N110" i="66"/>
  <c r="K116" i="66" s="1"/>
  <c r="F110" i="66"/>
  <c r="G44" i="69"/>
  <c r="O44" i="69"/>
  <c r="G12" i="69"/>
  <c r="O12" i="69"/>
  <c r="Q3" i="69"/>
  <c r="H3" i="69"/>
  <c r="J110" i="65"/>
  <c r="G116" i="65" s="1"/>
  <c r="X56" i="65"/>
  <c r="T55" i="65"/>
  <c r="R54" i="65"/>
  <c r="H110" i="65"/>
  <c r="E116" i="65" s="1"/>
  <c r="L49" i="65"/>
  <c r="U52" i="65"/>
  <c r="U53" i="65"/>
  <c r="U54" i="65"/>
  <c r="U55" i="65"/>
  <c r="U56" i="65"/>
  <c r="U58" i="65"/>
  <c r="V52" i="65"/>
  <c r="V53" i="65"/>
  <c r="V54" i="65"/>
  <c r="V55" i="65"/>
  <c r="V56" i="65"/>
  <c r="V58" i="65"/>
  <c r="R52" i="66"/>
  <c r="I111" i="70"/>
  <c r="F117" i="70" s="1"/>
  <c r="F119" i="70" s="1"/>
  <c r="H49" i="65"/>
  <c r="K109" i="65"/>
  <c r="H115" i="65" s="1"/>
  <c r="K49" i="65"/>
  <c r="J110" i="66"/>
  <c r="G116" i="66" s="1"/>
  <c r="G117" i="66" s="1"/>
  <c r="G15" i="17"/>
  <c r="O15" i="17"/>
  <c r="M16" i="17"/>
  <c r="K17" i="17"/>
  <c r="I18" i="17"/>
  <c r="G19" i="17"/>
  <c r="O19" i="17"/>
  <c r="M20" i="17"/>
  <c r="K21" i="17"/>
  <c r="I22" i="17"/>
  <c r="G23" i="17"/>
  <c r="O23" i="17"/>
  <c r="F28" i="18"/>
  <c r="J28" i="18"/>
  <c r="L15" i="92"/>
  <c r="H17" i="92"/>
  <c r="P17" i="92"/>
  <c r="N18" i="92"/>
  <c r="L19" i="92"/>
  <c r="H23" i="17"/>
  <c r="H22" i="17"/>
  <c r="K19" i="17"/>
  <c r="L18" i="17"/>
  <c r="M17" i="17"/>
  <c r="N16" i="17"/>
  <c r="N15" i="17"/>
  <c r="K23" i="92"/>
  <c r="M22" i="92"/>
  <c r="O21" i="92"/>
  <c r="G21" i="92"/>
  <c r="I20" i="92"/>
  <c r="J19" i="92"/>
  <c r="K18" i="92"/>
  <c r="L17" i="92"/>
  <c r="M16" i="92"/>
  <c r="N15" i="92"/>
  <c r="P23" i="17"/>
  <c r="P22" i="17"/>
  <c r="G22" i="17"/>
  <c r="H21" i="17"/>
  <c r="J19" i="17"/>
  <c r="K18" i="17"/>
  <c r="L17" i="17"/>
  <c r="L16" i="17"/>
  <c r="M15" i="17"/>
  <c r="R53" i="66"/>
  <c r="J23" i="92"/>
  <c r="L22" i="92"/>
  <c r="N21" i="92"/>
  <c r="P20" i="92"/>
  <c r="H20" i="92"/>
  <c r="I19" i="92"/>
  <c r="J18" i="92"/>
  <c r="K17" i="92"/>
  <c r="L16" i="92"/>
  <c r="M15" i="92"/>
  <c r="N23" i="17"/>
  <c r="O22" i="17"/>
  <c r="P21" i="17"/>
  <c r="G21" i="17"/>
  <c r="H20" i="17"/>
  <c r="I19" i="17"/>
  <c r="J18" i="17"/>
  <c r="K16" i="17"/>
  <c r="L15" i="17"/>
  <c r="M44" i="83"/>
  <c r="G28" i="32"/>
  <c r="T5" i="14"/>
  <c r="P5" i="101" l="1"/>
  <c r="F33" i="101" s="1"/>
  <c r="C12" i="101"/>
  <c r="U48" i="101"/>
  <c r="U49" i="101" s="1"/>
  <c r="U53" i="101"/>
  <c r="U58" i="101"/>
  <c r="B20" i="102"/>
  <c r="P16" i="102" s="1"/>
  <c r="K28" i="102" s="1"/>
  <c r="B20" i="101"/>
  <c r="P16" i="101" s="1"/>
  <c r="K28" i="101" s="1"/>
  <c r="U40" i="101"/>
  <c r="U41" i="101"/>
  <c r="U39" i="101"/>
  <c r="K40" i="101" s="1"/>
  <c r="U42" i="101"/>
  <c r="K34" i="101"/>
  <c r="U34" i="101"/>
  <c r="U37" i="101"/>
  <c r="U35" i="101"/>
  <c r="U36" i="101"/>
  <c r="U52" i="101"/>
  <c r="U50" i="101"/>
  <c r="U51" i="101"/>
  <c r="K49" i="101"/>
  <c r="U47" i="101"/>
  <c r="U45" i="101"/>
  <c r="U44" i="101"/>
  <c r="K45" i="101" s="1"/>
  <c r="U46" i="101"/>
  <c r="P51" i="101"/>
  <c r="P50" i="101"/>
  <c r="P52" i="101"/>
  <c r="P49" i="101"/>
  <c r="P43" i="101"/>
  <c r="F44" i="101" s="1"/>
  <c r="F49" i="101"/>
  <c r="P38" i="101"/>
  <c r="P33" i="101"/>
  <c r="F34" i="101" s="1"/>
  <c r="B8" i="102"/>
  <c r="P4" i="102" s="1"/>
  <c r="F28" i="102" s="1"/>
  <c r="B8" i="101"/>
  <c r="P4" i="101" s="1"/>
  <c r="F28" i="101" s="1"/>
  <c r="P28" i="101" s="1"/>
  <c r="X498" i="67"/>
  <c r="N45" i="75"/>
  <c r="N46" i="75"/>
  <c r="N43" i="75"/>
  <c r="P44" i="75"/>
  <c r="Q46" i="75"/>
  <c r="P45" i="75"/>
  <c r="R42" i="75"/>
  <c r="Q44" i="75"/>
  <c r="Q45" i="75"/>
  <c r="R43" i="75"/>
  <c r="O42" i="75"/>
  <c r="R44" i="75"/>
  <c r="R45" i="75"/>
  <c r="O43" i="75"/>
  <c r="O44" i="75"/>
  <c r="P46" i="75"/>
  <c r="O45" i="75"/>
  <c r="N44" i="75"/>
  <c r="P42" i="75"/>
  <c r="Q42" i="75"/>
  <c r="W525" i="69"/>
  <c r="U530" i="69"/>
  <c r="T530" i="69"/>
  <c r="AA523" i="69"/>
  <c r="U532" i="69"/>
  <c r="W531" i="69"/>
  <c r="T525" i="69"/>
  <c r="T531" i="69"/>
  <c r="Z525" i="69"/>
  <c r="V525" i="69"/>
  <c r="X525" i="69"/>
  <c r="W528" i="69"/>
  <c r="U525" i="69"/>
  <c r="W498" i="67"/>
  <c r="X501" i="67"/>
  <c r="T502" i="67"/>
  <c r="T503" i="67"/>
  <c r="Z498" i="67"/>
  <c r="T505" i="67"/>
  <c r="U504" i="67"/>
  <c r="AA505" i="67"/>
  <c r="W503" i="67"/>
  <c r="W505" i="67"/>
  <c r="U498" i="67"/>
  <c r="T468" i="67"/>
  <c r="V496" i="67"/>
  <c r="T498" i="67"/>
  <c r="X496" i="67"/>
  <c r="Y496" i="67"/>
  <c r="Y504" i="67"/>
  <c r="Z504" i="67"/>
  <c r="W501" i="67"/>
  <c r="AA503" i="67"/>
  <c r="V504" i="67"/>
  <c r="W497" i="67"/>
  <c r="Y505" i="67"/>
  <c r="U497" i="67"/>
  <c r="W502" i="67"/>
  <c r="Y502" i="67"/>
  <c r="Z497" i="67"/>
  <c r="AA497" i="67"/>
  <c r="X504" i="67"/>
  <c r="V501" i="67"/>
  <c r="Y498" i="67"/>
  <c r="AA501" i="67"/>
  <c r="T501" i="67"/>
  <c r="Y503" i="67"/>
  <c r="Z503" i="67"/>
  <c r="T497" i="67"/>
  <c r="Z502" i="67"/>
  <c r="X503" i="67"/>
  <c r="U501" i="67"/>
  <c r="U502" i="67"/>
  <c r="X505" i="67"/>
  <c r="V502" i="67"/>
  <c r="X497" i="67"/>
  <c r="X502" i="67"/>
  <c r="Z501" i="67"/>
  <c r="V498" i="67"/>
  <c r="Z496" i="67"/>
  <c r="T504" i="67"/>
  <c r="AA504" i="67"/>
  <c r="AA498" i="67"/>
  <c r="V503" i="67"/>
  <c r="AA502" i="67"/>
  <c r="T496" i="67"/>
  <c r="W504" i="67"/>
  <c r="U496" i="67"/>
  <c r="Y501" i="67"/>
  <c r="V505" i="67"/>
  <c r="U505" i="67"/>
  <c r="U503" i="67"/>
  <c r="Z505" i="67"/>
  <c r="AA496" i="67"/>
  <c r="V497" i="67"/>
  <c r="W496" i="67"/>
  <c r="Y497" i="67"/>
  <c r="U528" i="69"/>
  <c r="T529" i="69"/>
  <c r="AA525" i="69"/>
  <c r="V532" i="69"/>
  <c r="X524" i="69"/>
  <c r="V524" i="69"/>
  <c r="W532" i="69"/>
  <c r="U523" i="69"/>
  <c r="U529" i="69"/>
  <c r="AA530" i="69"/>
  <c r="T528" i="69"/>
  <c r="W524" i="69"/>
  <c r="V523" i="69"/>
  <c r="Y529" i="69"/>
  <c r="AA529" i="69"/>
  <c r="U524" i="69"/>
  <c r="V529" i="69"/>
  <c r="X531" i="69"/>
  <c r="X523" i="69"/>
  <c r="Y532" i="69"/>
  <c r="Y528" i="69"/>
  <c r="AA531" i="69"/>
  <c r="Z523" i="69"/>
  <c r="X528" i="69"/>
  <c r="U531" i="69"/>
  <c r="V528" i="69"/>
  <c r="V531" i="69"/>
  <c r="Y530" i="69"/>
  <c r="AA532" i="69"/>
  <c r="Y523" i="69"/>
  <c r="X529" i="69"/>
  <c r="W530" i="69"/>
  <c r="Z524" i="69"/>
  <c r="T524" i="69"/>
  <c r="W523" i="69"/>
  <c r="T523" i="69"/>
  <c r="X532" i="69"/>
  <c r="V530" i="69"/>
  <c r="X530" i="69"/>
  <c r="Y531" i="69"/>
  <c r="Z531" i="69"/>
  <c r="Z529" i="69"/>
  <c r="Y525" i="69"/>
  <c r="AA528" i="69"/>
  <c r="W529" i="69"/>
  <c r="Z528" i="69"/>
  <c r="AA524" i="69"/>
  <c r="Y524" i="69"/>
  <c r="Z532" i="69"/>
  <c r="T532" i="69"/>
  <c r="Z530" i="69"/>
  <c r="L119" i="70"/>
  <c r="X474" i="67"/>
  <c r="X488" i="69"/>
  <c r="X493" i="69"/>
  <c r="X482" i="68"/>
  <c r="Z487" i="68"/>
  <c r="AA487" i="69"/>
  <c r="Z491" i="69"/>
  <c r="R61" i="70"/>
  <c r="X469" i="67"/>
  <c r="W489" i="69"/>
  <c r="T491" i="69"/>
  <c r="AA489" i="68"/>
  <c r="T467" i="67"/>
  <c r="V470" i="67"/>
  <c r="T10" i="14"/>
  <c r="K117" i="66"/>
  <c r="U59" i="66"/>
  <c r="X59" i="66"/>
  <c r="J117" i="66"/>
  <c r="V59" i="66"/>
  <c r="Y59" i="66"/>
  <c r="F117" i="66"/>
  <c r="R59" i="66"/>
  <c r="H117" i="66"/>
  <c r="W59" i="66"/>
  <c r="I117" i="66"/>
  <c r="H117" i="65"/>
  <c r="F117" i="65"/>
  <c r="X59" i="65"/>
  <c r="E117" i="65"/>
  <c r="G117" i="65"/>
  <c r="K119" i="70"/>
  <c r="S61" i="70"/>
  <c r="V61" i="70"/>
  <c r="V491" i="69"/>
  <c r="U489" i="69"/>
  <c r="W488" i="69"/>
  <c r="U488" i="69"/>
  <c r="U491" i="69"/>
  <c r="Z486" i="69"/>
  <c r="AA484" i="68"/>
  <c r="W489" i="68"/>
  <c r="Y487" i="68"/>
  <c r="T489" i="68"/>
  <c r="Z484" i="68"/>
  <c r="V485" i="68"/>
  <c r="Z483" i="68"/>
  <c r="Z482" i="68"/>
  <c r="X484" i="68"/>
  <c r="Y474" i="67"/>
  <c r="T474" i="67"/>
  <c r="Y468" i="67"/>
  <c r="V467" i="67"/>
  <c r="AA474" i="67"/>
  <c r="T469" i="67"/>
  <c r="X467" i="67"/>
  <c r="U468" i="67"/>
  <c r="V468" i="67"/>
  <c r="X468" i="67"/>
  <c r="S59" i="66"/>
  <c r="V490" i="69"/>
  <c r="Z489" i="69"/>
  <c r="Y486" i="69"/>
  <c r="X483" i="68"/>
  <c r="L117" i="66"/>
  <c r="S59" i="65"/>
  <c r="V487" i="69"/>
  <c r="T487" i="69"/>
  <c r="I119" i="70"/>
  <c r="W490" i="69"/>
  <c r="Y489" i="69"/>
  <c r="Y483" i="68"/>
  <c r="Y489" i="68"/>
  <c r="Z468" i="67"/>
  <c r="Z470" i="67"/>
  <c r="W467" i="67"/>
  <c r="U469" i="67"/>
  <c r="Z469" i="67"/>
  <c r="W471" i="67"/>
  <c r="V469" i="67"/>
  <c r="Y470" i="67"/>
  <c r="Y469" i="67"/>
  <c r="Y490" i="69"/>
  <c r="T488" i="69"/>
  <c r="T486" i="69"/>
  <c r="Y482" i="68"/>
  <c r="Y484" i="68"/>
  <c r="W468" i="67"/>
  <c r="X471" i="67"/>
  <c r="U467" i="67"/>
  <c r="W470" i="67"/>
  <c r="V474" i="67"/>
  <c r="X470" i="67"/>
  <c r="AA469" i="67"/>
  <c r="T59" i="66"/>
  <c r="Y61" i="70"/>
  <c r="W61" i="70"/>
  <c r="AA491" i="69"/>
  <c r="V483" i="68"/>
  <c r="F20" i="87"/>
  <c r="T61" i="70"/>
  <c r="Y487" i="69"/>
  <c r="U490" i="69"/>
  <c r="U486" i="69"/>
  <c r="T489" i="69"/>
  <c r="AA493" i="69"/>
  <c r="U493" i="69"/>
  <c r="AA486" i="69"/>
  <c r="AA486" i="68"/>
  <c r="T486" i="68"/>
  <c r="W483" i="68"/>
  <c r="Z485" i="68"/>
  <c r="Z489" i="68"/>
  <c r="AA482" i="68"/>
  <c r="U485" i="68"/>
  <c r="T485" i="68"/>
  <c r="U471" i="67"/>
  <c r="AA467" i="67"/>
  <c r="T59" i="65"/>
  <c r="AA483" i="68"/>
  <c r="U61" i="70"/>
  <c r="X487" i="69"/>
  <c r="T490" i="69"/>
  <c r="W59" i="65"/>
  <c r="X489" i="69"/>
  <c r="AA489" i="69"/>
  <c r="Z493" i="69"/>
  <c r="AA488" i="69"/>
  <c r="W493" i="69"/>
  <c r="Z486" i="68"/>
  <c r="W484" i="68"/>
  <c r="V487" i="68"/>
  <c r="U489" i="68"/>
  <c r="U484" i="68"/>
  <c r="T482" i="68"/>
  <c r="U482" i="68"/>
  <c r="AA468" i="67"/>
  <c r="Z471" i="67"/>
  <c r="T471" i="67"/>
  <c r="T470" i="67"/>
  <c r="Z487" i="69"/>
  <c r="W487" i="69"/>
  <c r="Z490" i="69"/>
  <c r="V489" i="69"/>
  <c r="Y493" i="69"/>
  <c r="T493" i="69"/>
  <c r="V486" i="68"/>
  <c r="U486" i="68"/>
  <c r="U483" i="68"/>
  <c r="W485" i="68"/>
  <c r="Y471" i="67"/>
  <c r="V471" i="67"/>
  <c r="Z467" i="67"/>
  <c r="AA470" i="67"/>
  <c r="W474" i="67"/>
  <c r="U470" i="67"/>
  <c r="V488" i="69"/>
  <c r="Y59" i="65"/>
  <c r="R59" i="65"/>
  <c r="X61" i="70"/>
  <c r="U487" i="69"/>
  <c r="X490" i="69"/>
  <c r="Y488" i="69"/>
  <c r="V493" i="69"/>
  <c r="W491" i="69"/>
  <c r="Y491" i="69"/>
  <c r="X486" i="69"/>
  <c r="W486" i="68"/>
  <c r="X486" i="68"/>
  <c r="Y486" i="68"/>
  <c r="T483" i="68"/>
  <c r="T484" i="68"/>
  <c r="Y485" i="68"/>
  <c r="V489" i="68"/>
  <c r="V484" i="68"/>
  <c r="V482" i="68"/>
  <c r="W482" i="68"/>
  <c r="Y467" i="67"/>
  <c r="U59" i="65"/>
  <c r="AA490" i="69"/>
  <c r="W486" i="69"/>
  <c r="V59" i="65"/>
  <c r="V486" i="69"/>
  <c r="Z488" i="69"/>
  <c r="X491" i="69"/>
  <c r="AA485" i="68"/>
  <c r="AA471" i="67"/>
  <c r="U474" i="67"/>
  <c r="W469" i="67"/>
  <c r="Z474" i="67"/>
  <c r="U59" i="101" l="1"/>
  <c r="U62" i="101"/>
  <c r="U61" i="101"/>
  <c r="U60" i="101"/>
  <c r="U57" i="101"/>
  <c r="U56" i="101"/>
  <c r="U55" i="101"/>
  <c r="U54" i="101"/>
  <c r="K59" i="101"/>
  <c r="K60" i="101" s="1"/>
  <c r="K54" i="101"/>
  <c r="K41" i="101"/>
  <c r="K42" i="101" s="1"/>
  <c r="K35" i="101"/>
  <c r="K36" i="101" s="1"/>
  <c r="K37" i="101" s="1"/>
  <c r="U28" i="102"/>
  <c r="K29" i="102" s="1"/>
  <c r="K46" i="101"/>
  <c r="K47" i="101" s="1"/>
  <c r="U28" i="101"/>
  <c r="K67" i="101"/>
  <c r="K50" i="101"/>
  <c r="K51" i="101" s="1"/>
  <c r="K52" i="101" s="1"/>
  <c r="P31" i="101"/>
  <c r="P30" i="101"/>
  <c r="P32" i="101"/>
  <c r="P29" i="101"/>
  <c r="F50" i="101"/>
  <c r="F51" i="101" s="1"/>
  <c r="F52" i="101" s="1"/>
  <c r="P47" i="101"/>
  <c r="P46" i="101"/>
  <c r="P44" i="101"/>
  <c r="F45" i="101" s="1"/>
  <c r="P45" i="101"/>
  <c r="F29" i="101"/>
  <c r="P28" i="102"/>
  <c r="F29" i="102" s="1"/>
  <c r="P36" i="101"/>
  <c r="P35" i="101"/>
  <c r="P37" i="101"/>
  <c r="P34" i="101"/>
  <c r="F35" i="101" s="1"/>
  <c r="F67" i="101" s="1"/>
  <c r="F39" i="101"/>
  <c r="P39" i="101"/>
  <c r="P40" i="101"/>
  <c r="P41" i="101"/>
  <c r="P42" i="101"/>
  <c r="AA494" i="69"/>
  <c r="T475" i="67"/>
  <c r="Z475" i="67"/>
  <c r="L118" i="66"/>
  <c r="M118" i="66" s="1"/>
  <c r="Z495" i="69"/>
  <c r="Z494" i="69"/>
  <c r="W490" i="68"/>
  <c r="Z490" i="68"/>
  <c r="V475" i="67"/>
  <c r="X475" i="67"/>
  <c r="Y475" i="67"/>
  <c r="AA475" i="67"/>
  <c r="Y490" i="68"/>
  <c r="X490" i="68"/>
  <c r="V495" i="69"/>
  <c r="V494" i="69"/>
  <c r="V490" i="68"/>
  <c r="AA495" i="69"/>
  <c r="T495" i="69"/>
  <c r="T494" i="69"/>
  <c r="Y494" i="69"/>
  <c r="Y495" i="69"/>
  <c r="X495" i="69"/>
  <c r="X494" i="69"/>
  <c r="U490" i="68"/>
  <c r="T490" i="68"/>
  <c r="AA490" i="68"/>
  <c r="W475" i="67"/>
  <c r="W494" i="69"/>
  <c r="W495" i="69"/>
  <c r="U475" i="67"/>
  <c r="U495" i="69"/>
  <c r="U494" i="69"/>
  <c r="F89" i="75"/>
  <c r="H89" i="75"/>
  <c r="E89" i="75"/>
  <c r="D89" i="75"/>
  <c r="G89" i="75"/>
  <c r="K55" i="101" l="1"/>
  <c r="K56" i="101" s="1"/>
  <c r="K57" i="101" s="1"/>
  <c r="K61" i="101"/>
  <c r="K62" i="101" s="1"/>
  <c r="U30" i="101"/>
  <c r="U29" i="101"/>
  <c r="U32" i="101"/>
  <c r="U31" i="101"/>
  <c r="K29" i="101"/>
  <c r="U32" i="102"/>
  <c r="U31" i="102"/>
  <c r="U29" i="102"/>
  <c r="K30" i="102" s="1"/>
  <c r="U30" i="102"/>
  <c r="F40" i="101"/>
  <c r="F41" i="101" s="1"/>
  <c r="F42" i="101" s="1"/>
  <c r="F30" i="101"/>
  <c r="F31" i="101" s="1"/>
  <c r="F32" i="101" s="1"/>
  <c r="P31" i="102"/>
  <c r="P29" i="102"/>
  <c r="F30" i="102" s="1"/>
  <c r="P30" i="102"/>
  <c r="P32" i="102"/>
  <c r="F36" i="101"/>
  <c r="F37" i="101" s="1"/>
  <c r="F46" i="101"/>
  <c r="F47" i="101" s="1"/>
  <c r="K31" i="102" l="1"/>
  <c r="F31" i="102"/>
  <c r="F32" i="102" s="1"/>
  <c r="K30" i="101"/>
  <c r="K31" i="101" s="1"/>
  <c r="K32" i="101" s="1"/>
  <c r="K32" i="102"/>
</calcChain>
</file>

<file path=xl/sharedStrings.xml><?xml version="1.0" encoding="utf-8"?>
<sst xmlns="http://schemas.openxmlformats.org/spreadsheetml/2006/main" count="21172" uniqueCount="742">
  <si>
    <t>Reference,date=2021-24-10T14:16:44+09:00</t>
  </si>
  <si>
    <t>South Korea</t>
  </si>
  <si>
    <t>H2 enduse</t>
  </si>
  <si>
    <t>delivered biomass</t>
  </si>
  <si>
    <t>delivered coal</t>
  </si>
  <si>
    <t>elect_td_ind</t>
  </si>
  <si>
    <t>refined liquids industrial</t>
  </si>
  <si>
    <t>wholesale gas</t>
  </si>
  <si>
    <t>scenario</t>
    <phoneticPr fontId="1" type="noConversion"/>
  </si>
  <si>
    <t>region</t>
    <phoneticPr fontId="1" type="noConversion"/>
  </si>
  <si>
    <t>input</t>
    <phoneticPr fontId="1" type="noConversion"/>
  </si>
  <si>
    <t>chart-data</t>
    <phoneticPr fontId="1" type="noConversion"/>
  </si>
  <si>
    <t>Hydrogen</t>
    <phoneticPr fontId="1" type="noConversion"/>
  </si>
  <si>
    <t>Biomass</t>
    <phoneticPr fontId="1" type="noConversion"/>
  </si>
  <si>
    <t>Coal</t>
    <phoneticPr fontId="1" type="noConversion"/>
  </si>
  <si>
    <t>Gas</t>
    <phoneticPr fontId="1" type="noConversion"/>
  </si>
  <si>
    <t>Refined liquids</t>
    <phoneticPr fontId="1" type="noConversion"/>
  </si>
  <si>
    <t>Electricity</t>
    <phoneticPr fontId="1" type="noConversion"/>
  </si>
  <si>
    <t>gcam-query : industry_final_energy_by_fuel</t>
    <phoneticPr fontId="1" type="noConversion"/>
  </si>
  <si>
    <t>refined liquids</t>
  </si>
  <si>
    <t>chemical feedstocks</t>
  </si>
  <si>
    <t>construction feedstocks</t>
  </si>
  <si>
    <t>other industrial feedstocks</t>
  </si>
  <si>
    <t>gcam-query : industry_feedstocks_by_type</t>
    <phoneticPr fontId="1" type="noConversion"/>
  </si>
  <si>
    <t>sectir</t>
    <phoneticPr fontId="1" type="noConversion"/>
  </si>
  <si>
    <t>refined liquids industrial</t>
    <phoneticPr fontId="1" type="noConversion"/>
  </si>
  <si>
    <t>Reference,date=2021-24-10T14:16:44+09:01</t>
  </si>
  <si>
    <t>Reference,date=2021-24-10T14:16:44+09:02</t>
  </si>
  <si>
    <t>Reference,date=2021-24-10T14:16:44+09:03</t>
  </si>
  <si>
    <t>Total</t>
    <phoneticPr fontId="1" type="noConversion"/>
  </si>
  <si>
    <t>Coal feedstocks</t>
    <phoneticPr fontId="1" type="noConversion"/>
  </si>
  <si>
    <t>Refined liquid feedstocks</t>
    <phoneticPr fontId="1" type="noConversion"/>
  </si>
  <si>
    <t>iron and steel</t>
  </si>
  <si>
    <t>BLASTFUR</t>
  </si>
  <si>
    <t>BLASTFUR with hydrogen</t>
  </si>
  <si>
    <t>Biomass-based</t>
  </si>
  <si>
    <t>EAF with DRI</t>
  </si>
  <si>
    <t>Hydrogen-based DRI</t>
  </si>
  <si>
    <t>EAF with scrap</t>
  </si>
  <si>
    <t>sector</t>
    <phoneticPr fontId="1" type="noConversion"/>
  </si>
  <si>
    <t>subsector</t>
    <phoneticPr fontId="1" type="noConversion"/>
  </si>
  <si>
    <t>output</t>
    <phoneticPr fontId="1" type="noConversion"/>
  </si>
  <si>
    <t>technology</t>
    <phoneticPr fontId="1" type="noConversion"/>
  </si>
  <si>
    <t>gcam-query : outputs by tech_sector : iron and steel</t>
    <phoneticPr fontId="1" type="noConversion"/>
  </si>
  <si>
    <t>Hydrogen-based DRI</t>
    <phoneticPr fontId="1" type="noConversion"/>
  </si>
  <si>
    <t>EAF with scrap CCS</t>
    <phoneticPr fontId="1" type="noConversion"/>
  </si>
  <si>
    <t>EAF with DRI CCS</t>
    <phoneticPr fontId="1" type="noConversion"/>
  </si>
  <si>
    <t>EAF with DRI</t>
    <phoneticPr fontId="1" type="noConversion"/>
  </si>
  <si>
    <t>EAF with scrap</t>
    <phoneticPr fontId="1" type="noConversion"/>
  </si>
  <si>
    <t>Blast Furnace CCS</t>
    <phoneticPr fontId="1" type="noConversion"/>
  </si>
  <si>
    <t>Blast Furnace</t>
    <phoneticPr fontId="1" type="noConversion"/>
  </si>
  <si>
    <t>Biomass-based steelmaking</t>
    <phoneticPr fontId="1" type="noConversion"/>
  </si>
  <si>
    <t>BLASTFUR</t>
    <phoneticPr fontId="1" type="noConversion"/>
  </si>
  <si>
    <t>Blast Furnace with hydrogen</t>
    <phoneticPr fontId="1" type="noConversion"/>
  </si>
  <si>
    <t>gcam-query : industry_final_energy_by_tech_and_fuel</t>
    <phoneticPr fontId="1" type="noConversion"/>
  </si>
  <si>
    <t>chart-data : iron_and_steel_energy_consumption_by_fuel</t>
    <phoneticPr fontId="1" type="noConversion"/>
  </si>
  <si>
    <t>chemical energy use</t>
  </si>
  <si>
    <t>biomass</t>
  </si>
  <si>
    <t>coal</t>
  </si>
  <si>
    <t>electricity</t>
  </si>
  <si>
    <t>gas</t>
  </si>
  <si>
    <t>cement</t>
  </si>
  <si>
    <t>process heat cement</t>
  </si>
  <si>
    <t>N fertilizer</t>
  </si>
  <si>
    <t>agricultural energy use</t>
  </si>
  <si>
    <t>hydrogen</t>
  </si>
  <si>
    <t>mining energy use</t>
  </si>
  <si>
    <t>construction energy use</t>
  </si>
  <si>
    <t>other industrial energy use</t>
  </si>
  <si>
    <t>biomass cogen</t>
  </si>
  <si>
    <t>coal cogen</t>
  </si>
  <si>
    <t>gas cogen</t>
  </si>
  <si>
    <t>hydrogen cogen</t>
  </si>
  <si>
    <t>refined liquids cogen</t>
  </si>
  <si>
    <t>historical data : industry_final_energy_by_fuel</t>
    <phoneticPr fontId="1" type="noConversion"/>
  </si>
  <si>
    <t>Source : Korea Enegy Agency</t>
    <phoneticPr fontId="1" type="noConversion"/>
  </si>
  <si>
    <t>Units</t>
    <phoneticPr fontId="1" type="noConversion"/>
  </si>
  <si>
    <t>Mt</t>
    <phoneticPr fontId="1" type="noConversion"/>
  </si>
  <si>
    <t>EJ</t>
    <phoneticPr fontId="1" type="noConversion"/>
  </si>
  <si>
    <t>BLASTFUR CCS</t>
  </si>
  <si>
    <t>EAF with DRI CCS</t>
  </si>
  <si>
    <t>EAF with scrap CCS</t>
  </si>
  <si>
    <t>gcam-query : costs by tech and input</t>
    <phoneticPr fontId="1" type="noConversion"/>
  </si>
  <si>
    <t>BC</t>
  </si>
  <si>
    <t>CH4</t>
  </si>
  <si>
    <t>CO</t>
  </si>
  <si>
    <t>CO2</t>
  </si>
  <si>
    <t>N2O</t>
  </si>
  <si>
    <t>NH3</t>
  </si>
  <si>
    <t>NMVOC</t>
  </si>
  <si>
    <t>NOx</t>
  </si>
  <si>
    <t>OC</t>
  </si>
  <si>
    <t>SO2_2</t>
  </si>
  <si>
    <t>Tg</t>
  </si>
  <si>
    <t>MTC</t>
  </si>
  <si>
    <t>C2F6</t>
  </si>
  <si>
    <t>CF4</t>
  </si>
  <si>
    <t>HFC134a</t>
  </si>
  <si>
    <t>HFC143a</t>
  </si>
  <si>
    <t>HFC23</t>
  </si>
  <si>
    <t>HFC32</t>
  </si>
  <si>
    <t>N2O_AGR</t>
  </si>
  <si>
    <t>N2O_AWB</t>
  </si>
  <si>
    <t>SF6</t>
  </si>
  <si>
    <t>CH4_AGR</t>
  </si>
  <si>
    <t>CH4_AWB</t>
  </si>
  <si>
    <t>CurPol,date=2021-10-11T17:42:31+09:00</t>
  </si>
  <si>
    <t>1975$/kg</t>
  </si>
  <si>
    <t>NZ-0p,date=2021-10-11T17:49:03+09:00</t>
  </si>
  <si>
    <t>biomass CCS</t>
  </si>
  <si>
    <t>coal CCS</t>
  </si>
  <si>
    <t>gas CCS</t>
  </si>
  <si>
    <t>refined liquids CCS</t>
  </si>
  <si>
    <t>Biomass CCS</t>
    <phoneticPr fontId="1" type="noConversion"/>
  </si>
  <si>
    <t>Gas CCS</t>
    <phoneticPr fontId="1" type="noConversion"/>
  </si>
  <si>
    <t>Coal CCS</t>
    <phoneticPr fontId="1" type="noConversion"/>
  </si>
  <si>
    <t>cement CCS</t>
  </si>
  <si>
    <t>Electricity(Cement)</t>
    <phoneticPr fontId="1" type="noConversion"/>
  </si>
  <si>
    <t>Electricity(Cement CCS)</t>
    <phoneticPr fontId="1" type="noConversion"/>
  </si>
  <si>
    <t>NZ-22p,date=2021-10-11T18:06:47+09:00</t>
  </si>
  <si>
    <t>NZ-10p,date=2021-10-11T17:56:02+09:00</t>
  </si>
  <si>
    <t>Final energy consumption by fuel</t>
    <phoneticPr fontId="1" type="noConversion"/>
  </si>
  <si>
    <t>elec_biomass (IGCC)</t>
  </si>
  <si>
    <t>elec_biomass (conv)</t>
  </si>
  <si>
    <t>elec_coal (IGCC)</t>
  </si>
  <si>
    <t>elec_coal (conv pul)</t>
  </si>
  <si>
    <t>elec_gas (CC)</t>
  </si>
  <si>
    <t>elec_gas (steam/CT)</t>
  </si>
  <si>
    <t>elec_refined liquids (CC)</t>
  </si>
  <si>
    <t>elec_refined liquids (steam/CT)</t>
  </si>
  <si>
    <t>electricity_net_ownuse</t>
  </si>
  <si>
    <t>Gg</t>
  </si>
  <si>
    <t>elec_biomass (IGCC CCS)</t>
  </si>
  <si>
    <t>elec_biomass (conv CCS)</t>
  </si>
  <si>
    <t>elec_coal (IGCC CCS)</t>
  </si>
  <si>
    <t>elec_coal (conv pul CCS)</t>
  </si>
  <si>
    <t>elec_gas (CC CCS)</t>
  </si>
  <si>
    <t>elec_refined liquids (CC CCS)</t>
  </si>
  <si>
    <t>IEA</t>
    <phoneticPr fontId="1" type="noConversion"/>
  </si>
  <si>
    <t>GCAM-KAIST</t>
    <phoneticPr fontId="1" type="noConversion"/>
  </si>
  <si>
    <t>H2 central production</t>
  </si>
  <si>
    <t>H2 forecourt production</t>
  </si>
  <si>
    <t>backup_electricity</t>
  </si>
  <si>
    <t>comm cooling</t>
  </si>
  <si>
    <t>comm heating</t>
  </si>
  <si>
    <t>comm others</t>
  </si>
  <si>
    <t>desalinated water</t>
  </si>
  <si>
    <t>gas processing</t>
  </si>
  <si>
    <t>refining</t>
  </si>
  <si>
    <t>regional biomass</t>
  </si>
  <si>
    <t>regional biomassOil</t>
  </si>
  <si>
    <t>regional corn for ethanol</t>
  </si>
  <si>
    <t>resid heating</t>
  </si>
  <si>
    <t>resid others</t>
  </si>
  <si>
    <t>trn_aviation_intl</t>
  </si>
  <si>
    <t>trn_freight</t>
  </si>
  <si>
    <t>trn_freight_road</t>
  </si>
  <si>
    <t>trn_pass</t>
  </si>
  <si>
    <t>trn_pass_road</t>
  </si>
  <si>
    <t>trn_pass_road_LDV</t>
  </si>
  <si>
    <t>trn_pass_road_LDV_4W</t>
  </si>
  <si>
    <t>trn_shipping_intl</t>
  </si>
  <si>
    <t>delivered gas</t>
  </si>
  <si>
    <t>gas pipeline</t>
  </si>
  <si>
    <t>refined liquids enduse</t>
  </si>
  <si>
    <t>Industry share-weights by subsector</t>
    <phoneticPr fontId="1" type="noConversion"/>
  </si>
  <si>
    <t>Costs by tech</t>
    <phoneticPr fontId="1" type="noConversion"/>
  </si>
  <si>
    <t>Costs by tech and input</t>
    <phoneticPr fontId="1" type="noConversion"/>
  </si>
  <si>
    <t>non-energy</t>
  </si>
  <si>
    <t>NZ-22p,date=2021-16-11T16:31:16+09:00</t>
  </si>
  <si>
    <t>넷제로 emissions by sector</t>
    <phoneticPr fontId="1" type="noConversion"/>
  </si>
  <si>
    <t>MTC</t>
    <phoneticPr fontId="1" type="noConversion"/>
  </si>
  <si>
    <t>Industry</t>
    <phoneticPr fontId="1" type="noConversion"/>
  </si>
  <si>
    <t>Building</t>
    <phoneticPr fontId="1" type="noConversion"/>
  </si>
  <si>
    <t>DAC</t>
    <phoneticPr fontId="1" type="noConversion"/>
  </si>
  <si>
    <t>Transportation</t>
    <phoneticPr fontId="1" type="noConversion"/>
  </si>
  <si>
    <t>LULUCF</t>
    <phoneticPr fontId="1" type="noConversion"/>
  </si>
  <si>
    <t>Agriculture</t>
    <phoneticPr fontId="1" type="noConversion"/>
  </si>
  <si>
    <t>International</t>
    <phoneticPr fontId="1" type="noConversion"/>
  </si>
  <si>
    <t>delivered biomass</t>
    <phoneticPr fontId="1" type="noConversion"/>
  </si>
  <si>
    <t>CO2 emissions by sector (no bio)</t>
    <phoneticPr fontId="1" type="noConversion"/>
  </si>
  <si>
    <t>Industry final energy by service and fuel</t>
    <phoneticPr fontId="1" type="noConversion"/>
  </si>
  <si>
    <t>Indirect emissions</t>
    <phoneticPr fontId="1" type="noConversion"/>
  </si>
  <si>
    <t>Iron and steel electricity consumption rate</t>
    <phoneticPr fontId="1" type="noConversion"/>
  </si>
  <si>
    <t>Iron and steel hydrogen consumption rate</t>
    <phoneticPr fontId="1" type="noConversion"/>
  </si>
  <si>
    <t>Indirect emissions (electricity)</t>
    <phoneticPr fontId="1" type="noConversion"/>
  </si>
  <si>
    <t>Indirect emissions (hydrogen)</t>
    <phoneticPr fontId="1" type="noConversion"/>
  </si>
  <si>
    <t>Direct + Indirect emissions</t>
    <phoneticPr fontId="1" type="noConversion"/>
  </si>
  <si>
    <t>Direct emissions</t>
    <phoneticPr fontId="1" type="noConversion"/>
  </si>
  <si>
    <t>airCO2</t>
  </si>
  <si>
    <t>process heat dac</t>
  </si>
  <si>
    <t>ces</t>
  </si>
  <si>
    <t>Total emissions</t>
    <phoneticPr fontId="1" type="noConversion"/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</si>
  <si>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1" type="noConversion"/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</si>
  <si>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</si>
  <si>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</si>
  <si>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5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</si>
  <si>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6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</si>
  <si>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7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</si>
  <si>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8</t>
    </r>
    <r>
      <rPr>
        <sz val="11"/>
        <color theme="1"/>
        <rFont val="맑은 고딕"/>
        <family val="2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</si>
  <si>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9</t>
    </r>
    <r>
      <rPr>
        <sz val="11"/>
        <color theme="1"/>
        <rFont val="맑은 고딕"/>
        <family val="2"/>
        <charset val="129"/>
        <scheme val="minor"/>
      </rPr>
      <t/>
    </r>
  </si>
  <si>
    <t>Beef</t>
  </si>
  <si>
    <t>NH3_AGR</t>
  </si>
  <si>
    <t>NMVOC_AGR</t>
  </si>
  <si>
    <t>NOx_AGR</t>
  </si>
  <si>
    <t>Corn</t>
  </si>
  <si>
    <t>BC_AWB</t>
  </si>
  <si>
    <t>CO_AWB</t>
  </si>
  <si>
    <t>H2_AWB</t>
  </si>
  <si>
    <t>NH3_AWB</t>
  </si>
  <si>
    <t>NMVOC_AWB</t>
  </si>
  <si>
    <t>NOx_AWB</t>
  </si>
  <si>
    <t>OC_AWB</t>
  </si>
  <si>
    <t>SO2_2_AWB</t>
  </si>
  <si>
    <t>Dairy</t>
  </si>
  <si>
    <t>FiberCrop</t>
  </si>
  <si>
    <t>FodderGrass</t>
  </si>
  <si>
    <t>MiscCrop</t>
  </si>
  <si>
    <t>OilCrop</t>
  </si>
  <si>
    <t>OtherGrain</t>
  </si>
  <si>
    <t>Pork</t>
  </si>
  <si>
    <t>Poultry</t>
  </si>
  <si>
    <t>Rice</t>
  </si>
  <si>
    <t>RootTuber</t>
  </si>
  <si>
    <t>SheepGoat</t>
  </si>
  <si>
    <t>UnmanagedLand</t>
  </si>
  <si>
    <t>H2</t>
  </si>
  <si>
    <t>Wheat</t>
  </si>
  <si>
    <t>HFC125</t>
  </si>
  <si>
    <t>industrial processes</t>
  </si>
  <si>
    <t>HFC43</t>
  </si>
  <si>
    <t>resid cooling</t>
  </si>
  <si>
    <t>urban processes</t>
  </si>
  <si>
    <t>HFC227ea</t>
  </si>
  <si>
    <t>HFC236fa</t>
  </si>
  <si>
    <t>Industry</t>
    <phoneticPr fontId="1" type="noConversion"/>
  </si>
  <si>
    <t>Electricity</t>
    <phoneticPr fontId="1" type="noConversion"/>
  </si>
  <si>
    <t>International</t>
    <phoneticPr fontId="1" type="noConversion"/>
  </si>
  <si>
    <t>Transportation</t>
    <phoneticPr fontId="1" type="noConversion"/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</si>
  <si>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/>
    </r>
  </si>
  <si>
    <t>scenario</t>
    <phoneticPr fontId="1" type="noConversion"/>
  </si>
  <si>
    <t>region</t>
    <phoneticPr fontId="1" type="noConversion"/>
  </si>
  <si>
    <t>sector</t>
    <phoneticPr fontId="1" type="noConversion"/>
  </si>
  <si>
    <t>Units</t>
    <phoneticPr fontId="1" type="noConversion"/>
  </si>
  <si>
    <t>MTC</t>
    <phoneticPr fontId="1" type="noConversion"/>
  </si>
  <si>
    <t>Industry</t>
    <phoneticPr fontId="1" type="noConversion"/>
  </si>
  <si>
    <t>gas pipeline</t>
    <phoneticPr fontId="1" type="noConversion"/>
  </si>
  <si>
    <t>cement</t>
    <phoneticPr fontId="1" type="noConversion"/>
  </si>
  <si>
    <t>CO2</t>
    <phoneticPr fontId="1" type="noConversion"/>
  </si>
  <si>
    <t xml:space="preserve">GHG </t>
    <phoneticPr fontId="1" type="noConversion"/>
  </si>
  <si>
    <t>GWP</t>
    <phoneticPr fontId="1" type="noConversion"/>
  </si>
  <si>
    <t>HFC125</t>
    <phoneticPr fontId="1" type="noConversion"/>
  </si>
  <si>
    <t>HFC152a</t>
  </si>
  <si>
    <t>HFC365mfc</t>
  </si>
  <si>
    <t>airCO2</t>
    <phoneticPr fontId="1" type="noConversion"/>
  </si>
  <si>
    <t>DAC</t>
    <phoneticPr fontId="1" type="noConversion"/>
  </si>
  <si>
    <t>Agriculture</t>
    <phoneticPr fontId="1" type="noConversion"/>
  </si>
  <si>
    <t>H2 central production</t>
    <phoneticPr fontId="1" type="noConversion"/>
  </si>
  <si>
    <t>refined liquids industrial</t>
    <phoneticPr fontId="1" type="noConversion"/>
  </si>
  <si>
    <t>NZ-22p,date=2021-18-11T00:07:19-015:00</t>
  </si>
  <si>
    <t>NZ-0p,date=2021-18-11T00:07:13-015:00</t>
  </si>
  <si>
    <t>CurPol,date=2021-17-11T22:36:28+09:00</t>
  </si>
  <si>
    <t>Coal CCS</t>
    <phoneticPr fontId="1" type="noConversion"/>
  </si>
  <si>
    <t>Gas CCS</t>
    <phoneticPr fontId="1" type="noConversion"/>
  </si>
  <si>
    <t>elect_td_bld</t>
  </si>
  <si>
    <t>Building final energy by fuel</t>
    <phoneticPr fontId="1" type="noConversion"/>
  </si>
  <si>
    <t>Refined Liquids</t>
    <phoneticPr fontId="1" type="noConversion"/>
  </si>
  <si>
    <t>CurPol,date=2021-20-11T11:22:45+09:00</t>
  </si>
  <si>
    <t>NZ-0p,date=2021-20-11T12:14:10+09:00</t>
  </si>
  <si>
    <t>a oil</t>
  </si>
  <si>
    <t>b natural gas</t>
  </si>
  <si>
    <t>bio-ceiling</t>
  </si>
  <si>
    <t>c coal</t>
  </si>
  <si>
    <t>d biomass</t>
  </si>
  <si>
    <t>e nuclear</t>
  </si>
  <si>
    <t>f hydro</t>
  </si>
  <si>
    <t>g wind</t>
  </si>
  <si>
    <t>h solar</t>
  </si>
  <si>
    <t>scrap</t>
  </si>
  <si>
    <t>fuel</t>
    <phoneticPr fontId="1" type="noConversion"/>
  </si>
  <si>
    <t>Primary energy consumption with CCS by region (direct equivalent)</t>
    <phoneticPr fontId="1" type="noConversion"/>
  </si>
  <si>
    <t>Nuclear</t>
    <phoneticPr fontId="1" type="noConversion"/>
  </si>
  <si>
    <t>hydro</t>
  </si>
  <si>
    <t>hydro</t>
    <phoneticPr fontId="1" type="noConversion"/>
  </si>
  <si>
    <t>Hydro</t>
    <phoneticPr fontId="1" type="noConversion"/>
  </si>
  <si>
    <t>Wind</t>
    <phoneticPr fontId="1" type="noConversion"/>
  </si>
  <si>
    <t>Solar</t>
    <phoneticPr fontId="1" type="noConversion"/>
  </si>
  <si>
    <t>biomass (IGCC)</t>
  </si>
  <si>
    <t>biomass (conv)</t>
  </si>
  <si>
    <t>coal (conv pul)</t>
  </si>
  <si>
    <t>gas (CC)</t>
  </si>
  <si>
    <t>gas (steam/CT)</t>
  </si>
  <si>
    <t>nuclear</t>
  </si>
  <si>
    <t>Gen_III</t>
  </si>
  <si>
    <t>Gen_II_LWR</t>
  </si>
  <si>
    <t>refined liquids (steam/CT)</t>
  </si>
  <si>
    <t>rooftop_pv</t>
  </si>
  <si>
    <t>solar</t>
  </si>
  <si>
    <t>CSP_storage</t>
  </si>
  <si>
    <t>PV</t>
  </si>
  <si>
    <t>PV_storage</t>
  </si>
  <si>
    <t>wind</t>
  </si>
  <si>
    <t>wind_offshore</t>
  </si>
  <si>
    <t>wind_storage</t>
  </si>
  <si>
    <t>elec gen by gen tech</t>
    <phoneticPr fontId="1" type="noConversion"/>
  </si>
  <si>
    <t>Oil</t>
    <phoneticPr fontId="1" type="noConversion"/>
  </si>
  <si>
    <t>CHP</t>
    <phoneticPr fontId="1" type="noConversion"/>
  </si>
  <si>
    <t>refined liquids</t>
    <phoneticPr fontId="1" type="noConversion"/>
  </si>
  <si>
    <t>gas</t>
    <phoneticPr fontId="1" type="noConversion"/>
  </si>
  <si>
    <t>cogen</t>
    <phoneticPr fontId="1" type="noConversion"/>
  </si>
  <si>
    <t>coal</t>
    <phoneticPr fontId="1" type="noConversion"/>
  </si>
  <si>
    <t>Gen</t>
    <phoneticPr fontId="1" type="noConversion"/>
  </si>
  <si>
    <t>biomass</t>
    <phoneticPr fontId="1" type="noConversion"/>
  </si>
  <si>
    <t>PV</t>
    <phoneticPr fontId="1" type="noConversion"/>
  </si>
  <si>
    <t>wind</t>
    <phoneticPr fontId="1" type="noConversion"/>
  </si>
  <si>
    <t>b natural gas CCS</t>
  </si>
  <si>
    <t>bio-ceiling CCS</t>
  </si>
  <si>
    <t>c coal CCS</t>
  </si>
  <si>
    <t>d biomass CCS</t>
  </si>
  <si>
    <t>Industry feedstocks by type</t>
    <phoneticPr fontId="1" type="noConversion"/>
  </si>
  <si>
    <t>Oil feedstocks</t>
    <phoneticPr fontId="1" type="noConversion"/>
  </si>
  <si>
    <t>biomass (IGCC CCS)</t>
  </si>
  <si>
    <t>biomass (conv CCS)</t>
  </si>
  <si>
    <t>gas (CC CCS)</t>
  </si>
  <si>
    <t>NZ-22p,date=2021-21-11T12:10:33+09:00</t>
  </si>
  <si>
    <t>DAC</t>
    <phoneticPr fontId="1" type="noConversion"/>
  </si>
  <si>
    <t>biomass to H2</t>
  </si>
  <si>
    <t>biomass to H2 CCS</t>
  </si>
  <si>
    <t>coal chemical CCS</t>
  </si>
  <si>
    <t>electrolysis</t>
  </si>
  <si>
    <t>natural gas steam reforming</t>
  </si>
  <si>
    <t>natural gas steam reforming CCS</t>
  </si>
  <si>
    <t>thermal splitting</t>
  </si>
  <si>
    <t>Blue</t>
    <phoneticPr fontId="1" type="noConversion"/>
  </si>
  <si>
    <t>Grey</t>
    <phoneticPr fontId="1" type="noConversion"/>
  </si>
  <si>
    <t>Green</t>
    <phoneticPr fontId="1" type="noConversion"/>
  </si>
  <si>
    <t>NZ-22p,date=2021-21-11T21:15:37+09:00</t>
  </si>
  <si>
    <t>NZ-0p,date=2021-21-11T21:14:40+09:00</t>
  </si>
  <si>
    <t>dac</t>
  </si>
  <si>
    <t>hightemp DAC NG</t>
  </si>
  <si>
    <t>hightemp DAC elec</t>
  </si>
  <si>
    <t>lowtemp DAC heatpump</t>
  </si>
  <si>
    <t>Oil CCS</t>
    <phoneticPr fontId="1" type="noConversion"/>
  </si>
  <si>
    <t>gas CCS</t>
    <phoneticPr fontId="1" type="noConversion"/>
  </si>
  <si>
    <t>coal CCS</t>
    <phoneticPr fontId="1" type="noConversion"/>
  </si>
  <si>
    <t>technology</t>
    <phoneticPr fontId="1" type="noConversion"/>
  </si>
  <si>
    <t>BF</t>
    <phoneticPr fontId="1" type="noConversion"/>
  </si>
  <si>
    <t>BF-CCS</t>
    <phoneticPr fontId="1" type="noConversion"/>
  </si>
  <si>
    <r>
      <t>BF-H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1" type="noConversion"/>
  </si>
  <si>
    <t>DRI-EAF</t>
    <phoneticPr fontId="1" type="noConversion"/>
  </si>
  <si>
    <t>DRI-EAF-CCS</t>
    <phoneticPr fontId="1" type="noConversion"/>
  </si>
  <si>
    <t>EAF-scrap</t>
    <phoneticPr fontId="1" type="noConversion"/>
  </si>
  <si>
    <r>
      <t>DRI-EAF-H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1" type="noConversion"/>
  </si>
  <si>
    <t>BF</t>
    <phoneticPr fontId="1" type="noConversion"/>
  </si>
  <si>
    <t>BF-CCS</t>
    <phoneticPr fontId="1" type="noConversion"/>
  </si>
  <si>
    <t>BF-H2</t>
    <phoneticPr fontId="1" type="noConversion"/>
  </si>
  <si>
    <t>DRI-EAF</t>
    <phoneticPr fontId="1" type="noConversion"/>
  </si>
  <si>
    <t>DRI-EAF-CCS</t>
    <phoneticPr fontId="1" type="noConversion"/>
  </si>
  <si>
    <t>DRI-H2</t>
    <phoneticPr fontId="1" type="noConversion"/>
  </si>
  <si>
    <t>EAF-scrap</t>
    <phoneticPr fontId="1" type="noConversion"/>
  </si>
  <si>
    <t>1kg</t>
    <phoneticPr fontId="1" type="noConversion"/>
  </si>
  <si>
    <t>120MJ</t>
    <phoneticPr fontId="1" type="noConversion"/>
  </si>
  <si>
    <t>1MJ</t>
    <phoneticPr fontId="1" type="noConversion"/>
  </si>
  <si>
    <t>NZ-22p,date=2021-22-11T14:17:41+09:00</t>
  </si>
  <si>
    <t>NZ-0p,date=2021-22-11T14:17:35+09:00</t>
  </si>
  <si>
    <t>CurPol,date=2021-22-11T14:17:28+09:00</t>
  </si>
  <si>
    <t>gcam-query : costs by tech</t>
    <phoneticPr fontId="1" type="noConversion"/>
  </si>
  <si>
    <t>Coal CCS</t>
    <phoneticPr fontId="1" type="noConversion"/>
  </si>
  <si>
    <t>biomass (IGCC CCS) (dry cooling)</t>
  </si>
  <si>
    <t>biomass (IGCC CCS) (recirculating)</t>
  </si>
  <si>
    <t>Biohydrogen CCS</t>
  </si>
  <si>
    <t>biomass (IGCC CCS) (seawater)</t>
  </si>
  <si>
    <t>Coalhydrogen CCS</t>
  </si>
  <si>
    <t>biomass (conv CCS) (dry cooling)</t>
  </si>
  <si>
    <t>Gashydrogen CCS</t>
  </si>
  <si>
    <t>biomass (conv CCS) (once through)</t>
  </si>
  <si>
    <t>Fertilizer CCS</t>
  </si>
  <si>
    <t>biomass (conv CCS) (recirculating)</t>
  </si>
  <si>
    <t>Cement CCS</t>
  </si>
  <si>
    <t>biomass (conv CCS) (seawater)</t>
  </si>
  <si>
    <t>AirCapture CCS</t>
  </si>
  <si>
    <t>gas (CC CCS) (dry cooling)</t>
  </si>
  <si>
    <t>Gaspower CCS</t>
    <phoneticPr fontId="1" type="noConversion"/>
  </si>
  <si>
    <t>Biopower CCS</t>
  </si>
  <si>
    <t>gas (CC CCS) (recirculating)</t>
  </si>
  <si>
    <t>gas (CC CCS) (seawater)</t>
  </si>
  <si>
    <t>Biofuel CCS</t>
  </si>
  <si>
    <t>Coalfuel CCS</t>
  </si>
  <si>
    <t>FT biofuels CCS level 1</t>
  </si>
  <si>
    <t>biomass liquids</t>
  </si>
  <si>
    <t>FT biofuels CCS level 2</t>
  </si>
  <si>
    <t>cellulosic ethanol CCS level 1</t>
  </si>
  <si>
    <t>cellulosic ethanol CCS level 2</t>
  </si>
  <si>
    <t>coal to liquids CCS level 1</t>
  </si>
  <si>
    <t>coal to liquids</t>
  </si>
  <si>
    <t>coal to liquids CCS level 2</t>
  </si>
  <si>
    <t>CO2 sequestration by tech</t>
    <phoneticPr fontId="1" type="noConversion"/>
  </si>
  <si>
    <t>Chemical CCS</t>
    <phoneticPr fontId="1" type="noConversion"/>
  </si>
  <si>
    <t>Iron CCS</t>
    <phoneticPr fontId="1" type="noConversion"/>
  </si>
  <si>
    <t>Iron and Steel CCS</t>
    <phoneticPr fontId="1" type="noConversion"/>
  </si>
  <si>
    <t>NZ-22p,date=2022-20-1T19:01:26+09:00</t>
  </si>
  <si>
    <t>chemicals</t>
    <phoneticPr fontId="1" type="noConversion"/>
  </si>
  <si>
    <t>chemical</t>
  </si>
  <si>
    <t>전체</t>
    <phoneticPr fontId="1" type="noConversion"/>
  </si>
  <si>
    <t>발전</t>
    <phoneticPr fontId="1" type="noConversion"/>
  </si>
  <si>
    <t>CurPol,date=2022-17-4T14:49:31+09:00</t>
  </si>
  <si>
    <t>display</t>
    <phoneticPr fontId="1" type="noConversion"/>
  </si>
  <si>
    <t>semiconductor</t>
    <phoneticPr fontId="1" type="noConversion"/>
  </si>
  <si>
    <t>Industry</t>
    <phoneticPr fontId="1" type="noConversion"/>
  </si>
  <si>
    <t>CO2</t>
    <phoneticPr fontId="1" type="noConversion"/>
  </si>
  <si>
    <t>Oil</t>
    <phoneticPr fontId="1" type="noConversion"/>
  </si>
  <si>
    <t>Gas</t>
    <phoneticPr fontId="1" type="noConversion"/>
  </si>
  <si>
    <t>CHP</t>
    <phoneticPr fontId="1" type="noConversion"/>
  </si>
  <si>
    <t>Coal</t>
    <phoneticPr fontId="1" type="noConversion"/>
  </si>
  <si>
    <t>Nuclear</t>
    <phoneticPr fontId="1" type="noConversion"/>
  </si>
  <si>
    <t>Biomass</t>
    <phoneticPr fontId="1" type="noConversion"/>
  </si>
  <si>
    <t>Hydro</t>
    <phoneticPr fontId="1" type="noConversion"/>
  </si>
  <si>
    <t>Hydrogen</t>
    <phoneticPr fontId="1" type="noConversion"/>
  </si>
  <si>
    <t>Solar</t>
    <phoneticPr fontId="1" type="noConversion"/>
  </si>
  <si>
    <t>Wind</t>
    <phoneticPr fontId="1" type="noConversion"/>
  </si>
  <si>
    <t>에너지통계연보_2021</t>
    <phoneticPr fontId="1" type="noConversion"/>
  </si>
  <si>
    <t>신재생에너지보급실적조사</t>
    <phoneticPr fontId="1" type="noConversion"/>
  </si>
  <si>
    <t>Rooftop Solar</t>
    <phoneticPr fontId="1" type="noConversion"/>
  </si>
  <si>
    <t>Total</t>
    <phoneticPr fontId="1" type="noConversion"/>
  </si>
  <si>
    <t>etc.</t>
    <phoneticPr fontId="1" type="noConversion"/>
  </si>
  <si>
    <t>제9차 전력수급기본계획</t>
    <phoneticPr fontId="1" type="noConversion"/>
  </si>
  <si>
    <t>CurPol,date=2022-21-4T18:49:38+09:00</t>
  </si>
  <si>
    <t>KEEI 통계</t>
    <phoneticPr fontId="1" type="noConversion"/>
  </si>
  <si>
    <t>장기에너지전망 2021</t>
    <phoneticPr fontId="1" type="noConversion"/>
  </si>
  <si>
    <t>total</t>
    <phoneticPr fontId="1" type="noConversion"/>
  </si>
  <si>
    <t>elect_td_trn</t>
  </si>
  <si>
    <t>Transport final energy by fuel</t>
    <phoneticPr fontId="1" type="noConversion"/>
  </si>
  <si>
    <t>NZ-22p,date=2022-21-4T18:53:44+09:00</t>
  </si>
  <si>
    <t>Refined liquids production by tech</t>
    <phoneticPr fontId="1" type="noConversion"/>
  </si>
  <si>
    <t>FT biofuels</t>
  </si>
  <si>
    <t>biodiesel</t>
  </si>
  <si>
    <t>cellulosic ethanol</t>
  </si>
  <si>
    <t>corn ethanol</t>
  </si>
  <si>
    <t>gas to liquids</t>
  </si>
  <si>
    <t>oil refining</t>
  </si>
  <si>
    <t>scenario</t>
    <phoneticPr fontId="1" type="noConversion"/>
  </si>
  <si>
    <t>region</t>
    <phoneticPr fontId="1" type="noConversion"/>
  </si>
  <si>
    <t>sector</t>
    <phoneticPr fontId="1" type="noConversion"/>
  </si>
  <si>
    <t>subsector</t>
    <phoneticPr fontId="1" type="noConversion"/>
  </si>
  <si>
    <t>output</t>
    <phoneticPr fontId="1" type="noConversion"/>
  </si>
  <si>
    <t>technology</t>
    <phoneticPr fontId="1" type="noConversion"/>
  </si>
  <si>
    <t>bio rate</t>
    <phoneticPr fontId="1" type="noConversion"/>
  </si>
  <si>
    <t>Liquids</t>
  </si>
  <si>
    <t>International Aviation</t>
  </si>
  <si>
    <t>International Ship</t>
  </si>
  <si>
    <t>input</t>
    <phoneticPr fontId="1" type="noConversion"/>
  </si>
  <si>
    <t>mode</t>
    <phoneticPr fontId="1" type="noConversion"/>
  </si>
  <si>
    <t>Transport final energy by tech and fuel</t>
    <phoneticPr fontId="1" type="noConversion"/>
  </si>
  <si>
    <t>에총조 해외급유량 제외한 비율</t>
  </si>
  <si>
    <t>Iron and steel</t>
    <phoneticPr fontId="1" type="noConversion"/>
  </si>
  <si>
    <t>Chemical</t>
    <phoneticPr fontId="1" type="noConversion"/>
  </si>
  <si>
    <t>Cement</t>
    <phoneticPr fontId="1" type="noConversion"/>
  </si>
  <si>
    <t>Semiconductor</t>
    <phoneticPr fontId="1" type="noConversion"/>
  </si>
  <si>
    <t>Display</t>
    <phoneticPr fontId="1" type="noConversion"/>
  </si>
  <si>
    <t>Agricultural energy use</t>
    <phoneticPr fontId="1" type="noConversion"/>
  </si>
  <si>
    <t>Mining energy use</t>
    <phoneticPr fontId="1" type="noConversion"/>
  </si>
  <si>
    <t>Construction</t>
    <phoneticPr fontId="1" type="noConversion"/>
  </si>
  <si>
    <t>Other industry</t>
    <phoneticPr fontId="1" type="noConversion"/>
  </si>
  <si>
    <t>N fertilizer</t>
    <phoneticPr fontId="1" type="noConversion"/>
  </si>
  <si>
    <t>Industry feedstocks by type</t>
    <phoneticPr fontId="1" type="noConversion"/>
  </si>
  <si>
    <t>display</t>
  </si>
  <si>
    <t>DISPLAY</t>
  </si>
  <si>
    <t>DISPLAY HIEFF</t>
  </si>
  <si>
    <t>DISPLAY HIEFF LOWF</t>
  </si>
  <si>
    <t>semiconductor</t>
  </si>
  <si>
    <t>SEMICON</t>
  </si>
  <si>
    <t>SEMICON HIEFF</t>
  </si>
  <si>
    <t>SEMICON HIEFF LOWF</t>
  </si>
  <si>
    <t>Historical</t>
    <phoneticPr fontId="1" type="noConversion"/>
  </si>
  <si>
    <t>Forecast</t>
    <phoneticPr fontId="1" type="noConversion"/>
  </si>
  <si>
    <t>unis TWh</t>
    <phoneticPr fontId="1" type="noConversion"/>
  </si>
  <si>
    <t>GCAM</t>
    <phoneticPr fontId="1" type="noConversion"/>
  </si>
  <si>
    <t>sum</t>
    <phoneticPr fontId="1" type="noConversion"/>
  </si>
  <si>
    <t>comm cooling</t>
    <phoneticPr fontId="1" type="noConversion"/>
  </si>
  <si>
    <t>comm heating</t>
    <phoneticPr fontId="1" type="noConversion"/>
  </si>
  <si>
    <t>comm others</t>
    <phoneticPr fontId="1" type="noConversion"/>
  </si>
  <si>
    <t>resid cooling</t>
    <phoneticPr fontId="1" type="noConversion"/>
  </si>
  <si>
    <t>resid heating</t>
    <phoneticPr fontId="1" type="noConversion"/>
  </si>
  <si>
    <t>resid others</t>
    <phoneticPr fontId="1" type="noConversion"/>
  </si>
  <si>
    <t>총</t>
    <phoneticPr fontId="1" type="noConversion"/>
  </si>
  <si>
    <t>Historical</t>
  </si>
  <si>
    <t>산업</t>
    <phoneticPr fontId="1" type="noConversion"/>
  </si>
  <si>
    <t>수송</t>
    <phoneticPr fontId="1" type="noConversion"/>
  </si>
  <si>
    <t>빌딩</t>
    <phoneticPr fontId="1" type="noConversion"/>
  </si>
  <si>
    <t>sum</t>
    <phoneticPr fontId="1" type="noConversion"/>
  </si>
  <si>
    <t>차</t>
    <phoneticPr fontId="1" type="noConversion"/>
  </si>
  <si>
    <t>TWh</t>
    <phoneticPr fontId="1" type="noConversion"/>
  </si>
  <si>
    <t>총</t>
    <phoneticPr fontId="1" type="noConversion"/>
  </si>
  <si>
    <t>non CO2 emissions by sector</t>
    <phoneticPr fontId="1" type="noConversion"/>
  </si>
  <si>
    <t>CO2 emissions by sector (no bio)</t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</si>
  <si>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3"/>
        <charset val="129"/>
        <scheme val="minor"/>
      </rPr>
      <t>eq</t>
    </r>
    <phoneticPr fontId="1" type="noConversion"/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</si>
  <si>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3eq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</si>
  <si>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4eq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</si>
  <si>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5eq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</si>
  <si>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6eq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</si>
  <si>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7eq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</si>
  <si>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8eq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</si>
  <si>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9eq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</si>
  <si>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10eq</t>
    </r>
    <r>
      <rPr>
        <sz val="11"/>
        <color theme="1"/>
        <rFont val="맑은 고딕"/>
        <family val="3"/>
        <charset val="129"/>
        <scheme val="minor"/>
      </rPr>
      <t/>
    </r>
  </si>
  <si>
    <r>
      <t>MtCO</t>
    </r>
    <r>
      <rPr>
        <vertAlign val="subscript"/>
        <sz val="11"/>
        <color theme="1"/>
        <rFont val="맑은 고딕"/>
        <family val="3"/>
        <charset val="129"/>
        <scheme val="minor"/>
      </rPr>
      <t>3eq</t>
    </r>
    <phoneticPr fontId="1" type="noConversion"/>
  </si>
  <si>
    <t>발전량(초기발전, 자가손실 고려x)</t>
    <phoneticPr fontId="1" type="noConversion"/>
  </si>
  <si>
    <t>outputs by tech</t>
    <phoneticPr fontId="1" type="noConversion"/>
  </si>
  <si>
    <t>SUM</t>
    <phoneticPr fontId="1" type="noConversion"/>
  </si>
  <si>
    <t>EJ-&gt;TWh</t>
    <phoneticPr fontId="1" type="noConversion"/>
  </si>
  <si>
    <t>에통연(TOE-&gt;TWh)</t>
    <phoneticPr fontId="1" type="noConversion"/>
  </si>
  <si>
    <t>전망</t>
    <phoneticPr fontId="1" type="noConversion"/>
  </si>
  <si>
    <t>chart</t>
    <phoneticPr fontId="1" type="noConversion"/>
  </si>
  <si>
    <t>건물전력소비</t>
    <phoneticPr fontId="1" type="noConversion"/>
  </si>
  <si>
    <t>통계,전망(EJ)</t>
    <phoneticPr fontId="1" type="noConversion"/>
  </si>
  <si>
    <t>Total electricity consumption</t>
    <phoneticPr fontId="1" type="noConversion"/>
  </si>
  <si>
    <t>TWh</t>
    <phoneticPr fontId="1" type="noConversion"/>
  </si>
  <si>
    <t>Transport Electricity Consumption</t>
    <phoneticPr fontId="1" type="noConversion"/>
  </si>
  <si>
    <t>Total Electricity Consumption</t>
    <phoneticPr fontId="1" type="noConversion"/>
  </si>
  <si>
    <t>비율</t>
    <phoneticPr fontId="1" type="noConversion"/>
  </si>
  <si>
    <t>Building electricity consumption</t>
    <phoneticPr fontId="1" type="noConversion"/>
  </si>
  <si>
    <t>Transport electricity consumption</t>
    <phoneticPr fontId="1" type="noConversion"/>
  </si>
  <si>
    <t>GCAM</t>
    <phoneticPr fontId="1" type="noConversion"/>
  </si>
  <si>
    <t>EJ</t>
    <phoneticPr fontId="1" type="noConversion"/>
  </si>
  <si>
    <t>Industry electricity consumption</t>
    <phoneticPr fontId="1" type="noConversion"/>
  </si>
  <si>
    <t>Electricity</t>
  </si>
  <si>
    <t>building</t>
    <phoneticPr fontId="1" type="noConversion"/>
  </si>
  <si>
    <t>transport</t>
    <phoneticPr fontId="1" type="noConversion"/>
  </si>
  <si>
    <t>industry</t>
    <phoneticPr fontId="1" type="noConversion"/>
  </si>
  <si>
    <t>sum</t>
    <phoneticPr fontId="1" type="noConversion"/>
  </si>
  <si>
    <t>전국 소비량(kWh)</t>
  </si>
  <si>
    <t>10차</t>
  </si>
  <si>
    <t>10차전기차전력수요전망</t>
    <phoneticPr fontId="1" type="noConversion"/>
  </si>
  <si>
    <t>NZ2050,date=2022-20-6T16:05:48+09:00</t>
  </si>
  <si>
    <t>수소발전 소비전력 계산</t>
    <phoneticPr fontId="1" type="noConversion"/>
  </si>
  <si>
    <t>수전해투입된전기*(전체수소생산중에 수전해수소비율 * 수소발전위해 투입된 수소양)/ 수전해 통해 얻은 수소양</t>
    <phoneticPr fontId="1" type="noConversion"/>
  </si>
  <si>
    <t>global solar resource</t>
  </si>
  <si>
    <t>onshore wind resource</t>
  </si>
  <si>
    <t>inputs by tech</t>
    <phoneticPr fontId="1" type="noConversion"/>
  </si>
  <si>
    <t>total</t>
    <phoneticPr fontId="1" type="noConversion"/>
  </si>
  <si>
    <t>hydrogen production by tech</t>
    <phoneticPr fontId="1" type="noConversion"/>
  </si>
  <si>
    <t>전체수소생산중에 수전해수소비율</t>
    <phoneticPr fontId="1" type="noConversion"/>
  </si>
  <si>
    <t>EJ</t>
  </si>
  <si>
    <t>EJ</t>
    <phoneticPr fontId="1" type="noConversion"/>
  </si>
  <si>
    <t>outputs by tech</t>
    <phoneticPr fontId="1" type="noConversion"/>
  </si>
  <si>
    <t>H2 distribution</t>
  </si>
  <si>
    <t>수전해통해얻은수소양</t>
    <phoneticPr fontId="1" type="noConversion"/>
  </si>
  <si>
    <t>최종계산</t>
    <phoneticPr fontId="1" type="noConversion"/>
  </si>
  <si>
    <t>다시발전으로가는비율</t>
    <phoneticPr fontId="1" type="noConversion"/>
  </si>
  <si>
    <t>Freight Rail</t>
  </si>
  <si>
    <t>Medium truck</t>
  </si>
  <si>
    <t>HSR</t>
  </si>
  <si>
    <t>Passenger Rail</t>
  </si>
  <si>
    <t>Bus</t>
  </si>
  <si>
    <t>2W and 3W</t>
  </si>
  <si>
    <t>Car</t>
  </si>
  <si>
    <t>Large Car and Truck</t>
  </si>
  <si>
    <t>transportation final energy by mode and fuel</t>
    <phoneticPr fontId="1" type="noConversion"/>
  </si>
  <si>
    <t>toe</t>
    <phoneticPr fontId="1" type="noConversion"/>
  </si>
  <si>
    <t>=</t>
    <phoneticPr fontId="1" type="noConversion"/>
  </si>
  <si>
    <t>친환경자동차 기본계획에도 전기차에 승합차,화물차,특수차를 포함하나 이륜차는 제외되어 있다.또한 승합차,화물차,특수차의 비중이 적으므로 모두 승용차로 가정한다.</t>
    <phoneticPr fontId="1" type="noConversion"/>
  </si>
  <si>
    <t>all total</t>
    <phoneticPr fontId="1" type="noConversion"/>
  </si>
  <si>
    <t>수소차</t>
    <phoneticPr fontId="1" type="noConversion"/>
  </si>
  <si>
    <t>4차자동차</t>
    <phoneticPr fontId="1" type="noConversion"/>
  </si>
  <si>
    <t>수소이행계획</t>
    <phoneticPr fontId="1" type="noConversion"/>
  </si>
  <si>
    <t>industrial wastewater treatment</t>
  </si>
  <si>
    <t>industrial water abstraction</t>
  </si>
  <si>
    <t>industrial water treatment</t>
  </si>
  <si>
    <t>irrigation water abstraction</t>
  </si>
  <si>
    <t>reverse osmosis</t>
  </si>
  <si>
    <t>sum</t>
    <phoneticPr fontId="1" type="noConversion"/>
  </si>
  <si>
    <t>GCAM</t>
    <phoneticPr fontId="1" type="noConversion"/>
  </si>
  <si>
    <t>Hydrogen Electricity Consumption</t>
    <phoneticPr fontId="1" type="noConversion"/>
  </si>
  <si>
    <t>GCAM_road</t>
    <phoneticPr fontId="1" type="noConversion"/>
  </si>
  <si>
    <t>GCAM_nonroad</t>
    <phoneticPr fontId="1" type="noConversion"/>
  </si>
  <si>
    <t>nonroad total</t>
    <phoneticPr fontId="1" type="noConversion"/>
  </si>
  <si>
    <t>road total</t>
    <phoneticPr fontId="1" type="noConversion"/>
  </si>
  <si>
    <t>FCEV</t>
  </si>
  <si>
    <t>수소이행</t>
    <phoneticPr fontId="1" type="noConversion"/>
  </si>
  <si>
    <t>ton</t>
    <phoneticPr fontId="1" type="noConversion"/>
  </si>
  <si>
    <t>NZ2050</t>
    <phoneticPr fontId="1" type="noConversion"/>
  </si>
  <si>
    <t>CurPol</t>
    <phoneticPr fontId="1" type="noConversion"/>
  </si>
  <si>
    <t>120MJ/kg</t>
    <phoneticPr fontId="1" type="noConversion"/>
  </si>
  <si>
    <t>MJ</t>
    <phoneticPr fontId="1" type="noConversion"/>
  </si>
  <si>
    <t>kg</t>
    <phoneticPr fontId="1" type="noConversion"/>
  </si>
  <si>
    <t>EJ/ton</t>
    <phoneticPr fontId="1" type="noConversion"/>
  </si>
  <si>
    <t>수소경제이행기본계획</t>
    <phoneticPr fontId="1" type="noConversion"/>
  </si>
  <si>
    <t>CurPol,date=2022-23-6T08:07:58-015:00</t>
  </si>
  <si>
    <t>CurPol,date=2022-23-6T10:40:39+09:00</t>
  </si>
  <si>
    <t>NZ2050,date=2022-23-6T11:29:55+09:00</t>
  </si>
  <si>
    <t>&lt;수소사용&gt;</t>
    <phoneticPr fontId="1" type="noConversion"/>
  </si>
  <si>
    <t>&lt;수소생산&gt;</t>
    <phoneticPr fontId="1" type="noConversion"/>
  </si>
  <si>
    <t>iron_steel</t>
    <phoneticPr fontId="1" type="noConversion"/>
  </si>
  <si>
    <t>chemical</t>
    <phoneticPr fontId="1" type="noConversion"/>
  </si>
  <si>
    <t>semiconductor&amp;display</t>
    <phoneticPr fontId="1" type="noConversion"/>
  </si>
  <si>
    <t>others</t>
    <phoneticPr fontId="1" type="noConversion"/>
  </si>
  <si>
    <t>EJ</t>
    <phoneticPr fontId="1" type="noConversion"/>
  </si>
  <si>
    <t>TWh</t>
    <phoneticPr fontId="1" type="noConversion"/>
  </si>
  <si>
    <t>iron_steel (CurPol)</t>
    <phoneticPr fontId="1" type="noConversion"/>
  </si>
  <si>
    <t>chemical (CurPol)</t>
    <phoneticPr fontId="1" type="noConversion"/>
  </si>
  <si>
    <t>semiconductor&amp;display (CurPol)</t>
    <phoneticPr fontId="1" type="noConversion"/>
  </si>
  <si>
    <t>others (CurPol)</t>
    <phoneticPr fontId="1" type="noConversion"/>
  </si>
  <si>
    <t>iron_steel (NZ2050l)</t>
    <phoneticPr fontId="1" type="noConversion"/>
  </si>
  <si>
    <t>chemical (NZ2050)</t>
    <phoneticPr fontId="1" type="noConversion"/>
  </si>
  <si>
    <t>semiconductor&amp;display (NZ2050)</t>
    <phoneticPr fontId="1" type="noConversion"/>
  </si>
  <si>
    <t>others (NZ2050)</t>
    <phoneticPr fontId="1" type="noConversion"/>
  </si>
  <si>
    <t>NZ2050,date=2022-2-7T09:16:27+09:00</t>
  </si>
  <si>
    <t>CurPol,date=2022-3-7T01:16:15-015:00</t>
  </si>
  <si>
    <t>NZ2050,date=2022-3-7T01:15:47-015:00</t>
  </si>
  <si>
    <t>전력선형전망</t>
    <phoneticPr fontId="1" type="noConversion"/>
  </si>
  <si>
    <t>수소</t>
    <phoneticPr fontId="1" type="noConversion"/>
  </si>
  <si>
    <t>총계</t>
    <phoneticPr fontId="1" type="noConversion"/>
  </si>
  <si>
    <t>합점검</t>
    <phoneticPr fontId="1" type="noConversion"/>
  </si>
  <si>
    <t>건물</t>
    <phoneticPr fontId="1" type="noConversion"/>
  </si>
  <si>
    <t>연평균증가율</t>
    <phoneticPr fontId="1" type="noConversion"/>
  </si>
  <si>
    <t>22년기준</t>
    <phoneticPr fontId="1" type="noConversion"/>
  </si>
  <si>
    <t>2015_KEEI</t>
    <phoneticPr fontId="1" type="noConversion"/>
  </si>
  <si>
    <t>2015_GCAM</t>
    <phoneticPr fontId="1" type="noConversion"/>
  </si>
  <si>
    <t>2020_KEEI</t>
    <phoneticPr fontId="1" type="noConversion"/>
  </si>
  <si>
    <t>2020_GCAM</t>
    <phoneticPr fontId="1" type="noConversion"/>
  </si>
  <si>
    <t>Hydrogen</t>
  </si>
  <si>
    <t>Biomass</t>
  </si>
  <si>
    <t>Gas</t>
  </si>
  <si>
    <t>Coal</t>
  </si>
  <si>
    <t>Oil</t>
  </si>
  <si>
    <t>Oil Feedstocks</t>
  </si>
  <si>
    <t>Total</t>
  </si>
  <si>
    <t>Oil Feedstocks</t>
    <phoneticPr fontId="1" type="noConversion"/>
  </si>
  <si>
    <t>Chemicals</t>
  </si>
  <si>
    <t>hydrogen</t>
    <phoneticPr fontId="1" type="noConversion"/>
  </si>
  <si>
    <t>electricity</t>
    <phoneticPr fontId="1" type="noConversion"/>
  </si>
  <si>
    <t>Electricity(CONV)</t>
    <phoneticPr fontId="1" type="noConversion"/>
  </si>
  <si>
    <t>Electricity(HIEFF)</t>
    <phoneticPr fontId="1" type="noConversion"/>
  </si>
  <si>
    <t>Electricity(LOWF)</t>
    <phoneticPr fontId="1" type="noConversion"/>
  </si>
  <si>
    <t>cement</t>
    <phoneticPr fontId="1" type="noConversion"/>
  </si>
  <si>
    <t>cement (CurPol)</t>
    <phoneticPr fontId="1" type="noConversion"/>
  </si>
  <si>
    <t>cement (NZ2050)</t>
    <phoneticPr fontId="1" type="noConversion"/>
  </si>
  <si>
    <t>Mt</t>
    <phoneticPr fontId="1" type="noConversion"/>
  </si>
  <si>
    <t>MT</t>
    <phoneticPr fontId="1" type="noConversion"/>
  </si>
  <si>
    <t>outputs by tech</t>
    <phoneticPr fontId="1" type="noConversion"/>
  </si>
  <si>
    <t>chart</t>
    <phoneticPr fontId="1" type="noConversion"/>
  </si>
  <si>
    <t>intput by subsector</t>
    <phoneticPr fontId="1" type="noConversion"/>
  </si>
  <si>
    <t>iron&amp;steel</t>
    <phoneticPr fontId="1" type="noConversion"/>
  </si>
  <si>
    <t>transport</t>
    <phoneticPr fontId="1" type="noConversion"/>
  </si>
  <si>
    <t>chemical</t>
    <phoneticPr fontId="1" type="noConversion"/>
  </si>
  <si>
    <t>other industrial</t>
    <phoneticPr fontId="1" type="noConversion"/>
  </si>
  <si>
    <t>miscellaneous</t>
  </si>
  <si>
    <t>sum</t>
    <phoneticPr fontId="1" type="noConversion"/>
  </si>
  <si>
    <t>gcamsum</t>
    <phoneticPr fontId="1" type="noConversion"/>
  </si>
  <si>
    <t>renewables</t>
  </si>
  <si>
    <t>renewables</t>
    <phoneticPr fontId="1" type="noConversion"/>
  </si>
  <si>
    <t>gas</t>
    <phoneticPr fontId="1" type="noConversion"/>
  </si>
  <si>
    <t>nuclear</t>
    <phoneticPr fontId="1" type="noConversion"/>
  </si>
  <si>
    <t>CCS</t>
    <phoneticPr fontId="1" type="noConversion"/>
  </si>
  <si>
    <t>others</t>
    <phoneticPr fontId="1" type="noConversion"/>
  </si>
  <si>
    <t>hydrogen production by tech</t>
    <phoneticPr fontId="1" type="noConversion"/>
  </si>
  <si>
    <t>Wind</t>
    <phoneticPr fontId="1" type="noConversion"/>
  </si>
  <si>
    <t>Solar</t>
    <phoneticPr fontId="1" type="noConversion"/>
  </si>
  <si>
    <t>Hydrogen</t>
    <phoneticPr fontId="1" type="noConversion"/>
  </si>
  <si>
    <t>Hydro</t>
    <phoneticPr fontId="1" type="noConversion"/>
  </si>
  <si>
    <t>Biomass CCS</t>
    <phoneticPr fontId="1" type="noConversion"/>
  </si>
  <si>
    <t>Biomass</t>
    <phoneticPr fontId="1" type="noConversion"/>
  </si>
  <si>
    <t>Nuclear</t>
    <phoneticPr fontId="1" type="noConversion"/>
  </si>
  <si>
    <t>Coal CCS</t>
    <phoneticPr fontId="1" type="noConversion"/>
  </si>
  <si>
    <t>Coal</t>
    <phoneticPr fontId="1" type="noConversion"/>
  </si>
  <si>
    <t>CHP</t>
    <phoneticPr fontId="1" type="noConversion"/>
  </si>
  <si>
    <t>Gas CCS</t>
    <phoneticPr fontId="1" type="noConversion"/>
  </si>
  <si>
    <t>Gas</t>
    <phoneticPr fontId="1" type="noConversion"/>
  </si>
  <si>
    <t>Oil</t>
    <phoneticPr fontId="1" type="noConversion"/>
  </si>
  <si>
    <t>Historical</t>
    <phoneticPr fontId="1" type="noConversion"/>
  </si>
  <si>
    <t>Building</t>
  </si>
  <si>
    <t>Industry</t>
  </si>
  <si>
    <t>Transportation</t>
  </si>
  <si>
    <t>Agriculture</t>
  </si>
  <si>
    <t>DAC</t>
  </si>
  <si>
    <t>LULUCF</t>
  </si>
  <si>
    <t>International</t>
  </si>
  <si>
    <t>GCAM</t>
    <phoneticPr fontId="1" type="noConversion"/>
  </si>
  <si>
    <t>Resid</t>
    <phoneticPr fontId="1" type="noConversion"/>
  </si>
  <si>
    <t>Comm</t>
    <phoneticPr fontId="1" type="noConversion"/>
  </si>
  <si>
    <t>CurPol,date=2022-3-7T01:16:15-015:00</t>
    <phoneticPr fontId="1" type="noConversion"/>
  </si>
  <si>
    <t>Domestic Ship</t>
  </si>
  <si>
    <t>Domestic Aviation</t>
  </si>
  <si>
    <t>여객수송</t>
    <phoneticPr fontId="1" type="noConversion"/>
  </si>
  <si>
    <t>화물수송</t>
    <phoneticPr fontId="1" type="noConversion"/>
  </si>
  <si>
    <t>Others</t>
    <phoneticPr fontId="1" type="noConversion"/>
  </si>
  <si>
    <t>CurPol,date=2022-6-8T17:35:28+09:00</t>
  </si>
  <si>
    <t>BEV</t>
  </si>
  <si>
    <t>Electric</t>
  </si>
  <si>
    <t>Hybrid Liquids</t>
  </si>
  <si>
    <t>NG</t>
  </si>
  <si>
    <t>합계</t>
    <phoneticPr fontId="1" type="noConversion"/>
  </si>
  <si>
    <t>건물</t>
    <phoneticPr fontId="1" type="noConversion"/>
  </si>
  <si>
    <t>산업</t>
    <phoneticPr fontId="1" type="noConversion"/>
  </si>
  <si>
    <t>수송</t>
    <phoneticPr fontId="1" type="noConversion"/>
  </si>
  <si>
    <t>전력</t>
    <phoneticPr fontId="1" type="noConversion"/>
  </si>
  <si>
    <t>농업</t>
    <phoneticPr fontId="1" type="noConversion"/>
  </si>
  <si>
    <t>DAC</t>
    <phoneticPr fontId="1" type="noConversion"/>
  </si>
  <si>
    <t>LULUCF</t>
    <phoneticPr fontId="1" type="noConversion"/>
  </si>
  <si>
    <t>석유</t>
  </si>
  <si>
    <t>석유</t>
    <phoneticPr fontId="1" type="noConversion"/>
  </si>
  <si>
    <t>가스</t>
  </si>
  <si>
    <t>가스</t>
    <phoneticPr fontId="1" type="noConversion"/>
  </si>
  <si>
    <t>가스 CCS</t>
    <phoneticPr fontId="1" type="noConversion"/>
  </si>
  <si>
    <t>석탄</t>
  </si>
  <si>
    <t>석탄</t>
    <phoneticPr fontId="1" type="noConversion"/>
  </si>
  <si>
    <t>석탄 CCS</t>
  </si>
  <si>
    <t>석탄 CCS</t>
    <phoneticPr fontId="1" type="noConversion"/>
  </si>
  <si>
    <t>원자력</t>
    <phoneticPr fontId="1" type="noConversion"/>
  </si>
  <si>
    <t>바이오매스</t>
  </si>
  <si>
    <t>바이오매스</t>
    <phoneticPr fontId="1" type="noConversion"/>
  </si>
  <si>
    <t>바이오매스 CCS</t>
    <phoneticPr fontId="1" type="noConversion"/>
  </si>
  <si>
    <t>수력</t>
    <phoneticPr fontId="1" type="noConversion"/>
  </si>
  <si>
    <t>수소</t>
  </si>
  <si>
    <t>태양광</t>
    <phoneticPr fontId="1" type="noConversion"/>
  </si>
  <si>
    <t>풍력</t>
    <phoneticPr fontId="1" type="noConversion"/>
  </si>
  <si>
    <t>석유 원료</t>
  </si>
  <si>
    <t>석유 원료</t>
    <phoneticPr fontId="1" type="noConversion"/>
  </si>
  <si>
    <t>전기</t>
  </si>
  <si>
    <t>전기</t>
    <phoneticPr fontId="1" type="noConversion"/>
  </si>
  <si>
    <t>Units</t>
  </si>
  <si>
    <t>Refined Liquids</t>
  </si>
  <si>
    <t>input</t>
  </si>
  <si>
    <t>Coal feedstocks</t>
  </si>
  <si>
    <t>Oil feedstocks</t>
  </si>
  <si>
    <t>Gas CCS</t>
  </si>
  <si>
    <t>Coal CCS</t>
  </si>
  <si>
    <t>Oil CCS</t>
  </si>
  <si>
    <t>curpol</t>
    <phoneticPr fontId="1" type="noConversion"/>
  </si>
  <si>
    <t>nz2050</t>
    <phoneticPr fontId="1" type="noConversion"/>
  </si>
  <si>
    <t>municipal wastewater treatment</t>
  </si>
  <si>
    <t>municipal water abstraction</t>
  </si>
  <si>
    <t>municipal water distribution</t>
  </si>
  <si>
    <t>municipal water treatment</t>
  </si>
  <si>
    <t>trans</t>
    <phoneticPr fontId="1" type="noConversion"/>
  </si>
  <si>
    <t>맞음</t>
    <phoneticPr fontId="1" type="noConversion"/>
  </si>
  <si>
    <t>가스 CCS</t>
    <phoneticPr fontId="1" type="noConversion"/>
  </si>
  <si>
    <t>석유 CCS</t>
    <phoneticPr fontId="1" type="noConversion"/>
  </si>
  <si>
    <t>CurPol</t>
  </si>
  <si>
    <t>NZ2050</t>
  </si>
  <si>
    <t>CO2 Price</t>
  </si>
  <si>
    <t>CO2 Price</t>
    <phoneticPr fontId="1" type="noConversion"/>
  </si>
  <si>
    <t>1990$/tC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</si>
</sst>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0.0000"/>
    <numFmt numFmtId="177" formatCode="0.000000"/>
    <numFmt numFmtId="178" formatCode="0.000"/>
    <numFmt numFmtId="179" formatCode="0.000_ "/>
    <numFmt numFmtId="180" formatCode="0.00000000000000_ "/>
    <numFmt numFmtId="181" formatCode="0.0"/>
    <numFmt numFmtId="182" formatCode="0.0%"/>
    <numFmt numFmtId="183" formatCode="_ * #,##0_ ;_ * \-#,##0_ ;_ * &quot;-&quot;_ ;_ @_ "/>
    <numFmt numFmtId="184" formatCode="_ * #,##0.00_ ;_ * \-#,##0.00_ ;_ * &quot;-&quot;??_ ;_ @_ "/>
    <numFmt numFmtId="185" formatCode="&quot;₩&quot;#,##0;&quot;₩&quot;&quot;₩&quot;&quot;₩&quot;&quot;₩&quot;&quot;₩&quot;&quot;₩&quot;&quot;₩&quot;&quot;₩&quot;\-#,##0"/>
    <numFmt numFmtId="186" formatCode="&quot;₩&quot;#,##0.00;&quot;₩&quot;&quot;₩&quot;&quot;₩&quot;&quot;₩&quot;&quot;₩&quot;&quot;₩&quot;&quot;₩&quot;&quot;₩&quot;\-#,##0.00"/>
    <numFmt numFmtId="187" formatCode="&quot;₩&quot;#,##0.00;[Red]&quot;₩&quot;&quot;₩&quot;&quot;₩&quot;&quot;₩&quot;\-&quot;₩&quot;#,##0.00"/>
    <numFmt numFmtId="188" formatCode="_ &quot;₩&quot;* #,##0_ ;_ &quot;₩&quot;* \-#,##0_ ;_ &quot;₩&quot;* &quot;-&quot;_ ;_ @_ "/>
    <numFmt numFmtId="189" formatCode="_ &quot;₩&quot;* #,##0.00_ ;_ &quot;₩&quot;* \-#,##0.00_ ;_ &quot;₩&quot;* &quot;-&quot;??_ ;_ @_ "/>
    <numFmt numFmtId="190" formatCode="m&quot;/&quot;d;@"/>
    <numFmt numFmtId="191" formatCode="#,##0.0"/>
    <numFmt numFmtId="192" formatCode="#,##0.0000;[Red]\-#,##0.0000"/>
    <numFmt numFmtId="193" formatCode="_ * #,##0.0_ ;_ * &quot;▲&quot;#,##0.0_ ;_ * &quot;-&quot;_ ;_ @_ "/>
    <numFmt numFmtId="194" formatCode="&quot;₩&quot;#,##0.00;&quot;₩&quot;\-#,##0.00"/>
    <numFmt numFmtId="195" formatCode="&quot;₩&quot;#,##0;[Red]&quot;₩&quot;\-#,##0"/>
    <numFmt numFmtId="196" formatCode="&quot;₩&quot;#,##0.00;[Red]&quot;₩&quot;\-#,##0.00"/>
    <numFmt numFmtId="197" formatCode="&quot;₩&quot;#,##0;&quot;₩&quot;\-#,##0"/>
    <numFmt numFmtId="198" formatCode="#.#"/>
    <numFmt numFmtId="199" formatCode="_ * #,##0_ ;_ * &quot;▲&quot;#,##0_ ;_ * &quot;-&quot;_ ;_ @_ "/>
    <numFmt numFmtId="200" formatCode="[=0]\-;#,##0"/>
    <numFmt numFmtId="201" formatCode="0.00000000_ "/>
    <numFmt numFmtId="202" formatCode="0.0000000000"/>
    <numFmt numFmtId="203" formatCode="0.0000000000_ "/>
    <numFmt numFmtId="204" formatCode="0.00000_);[Red]\(0.00000\)"/>
    <numFmt numFmtId="205" formatCode="0.0000000_ "/>
    <numFmt numFmtId="206" formatCode="0.000000_ "/>
    <numFmt numFmtId="207" formatCode="0.0000000"/>
    <numFmt numFmtId="208" formatCode="0.000_);[Red]\(0.000\)"/>
    <numFmt numFmtId="209" formatCode="0_);[Red]\(0\)"/>
    <numFmt numFmtId="210" formatCode="0.00000000000000%"/>
  </numFmts>
  <fonts count="9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inor"/>
    </font>
    <font>
      <vertAlign val="subscript"/>
      <sz val="11"/>
      <color theme="1"/>
      <name val="맑은 고딕"/>
      <family val="3"/>
      <charset val="129"/>
      <scheme val="minor"/>
    </font>
    <font>
      <b/>
      <sz val="8"/>
      <color rgb="FF000000"/>
      <name val="Verdana"/>
      <family val="2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Tahoma"/>
      <family val="2"/>
    </font>
    <font>
      <sz val="11"/>
      <color indexed="8"/>
      <name val="맑은 고딕"/>
      <family val="3"/>
      <charset val="129"/>
    </font>
    <font>
      <sz val="11"/>
      <name val="돋움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color rgb="FF7F7F7F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inor"/>
    </font>
    <font>
      <sz val="11"/>
      <color rgb="FF3F3F3F"/>
      <name val="맑은 고딕"/>
      <family val="3"/>
      <charset val="129"/>
      <scheme val="minor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63"/>
      <name val="맑은 고딕"/>
      <family val="3"/>
      <charset val="129"/>
    </font>
    <font>
      <b/>
      <sz val="18"/>
      <color indexed="62"/>
      <name val="맑은 고딕"/>
      <family val="3"/>
      <charset val="129"/>
      <scheme val="major"/>
    </font>
    <font>
      <b/>
      <sz val="15"/>
      <color indexed="62"/>
      <name val="맑은 고딕"/>
      <family val="3"/>
      <charset val="129"/>
      <scheme val="minor"/>
    </font>
    <font>
      <b/>
      <sz val="13"/>
      <color indexed="62"/>
      <name val="맑은 고딕"/>
      <family val="3"/>
      <charset val="129"/>
      <scheme val="minor"/>
    </font>
    <font>
      <b/>
      <sz val="11"/>
      <color indexed="62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2"/>
      <name val="뼻뮝"/>
      <family val="1"/>
      <charset val="129"/>
    </font>
    <font>
      <b/>
      <sz val="12"/>
      <name val="바탕체"/>
      <family val="1"/>
      <charset val="129"/>
    </font>
    <font>
      <b/>
      <sz val="9.5"/>
      <name val="Courier"/>
      <family val="3"/>
    </font>
    <font>
      <b/>
      <sz val="9.85"/>
      <name val="Times New Roman"/>
      <family val="1"/>
    </font>
    <font>
      <sz val="12"/>
      <name val="굴림체"/>
      <family val="3"/>
      <charset val="129"/>
    </font>
    <font>
      <b/>
      <sz val="12"/>
      <name val="Times New Roman"/>
      <family val="1"/>
    </font>
    <font>
      <sz val="12"/>
      <name val="바탕체"/>
      <family val="1"/>
      <charset val="129"/>
    </font>
    <font>
      <sz val="1"/>
      <color indexed="8"/>
      <name val="Courier"/>
      <family val="3"/>
    </font>
    <font>
      <sz val="12"/>
      <name val="¹ÙÅÁÃ¼"/>
      <family val="3"/>
      <charset val="129"/>
    </font>
    <font>
      <sz val="11"/>
      <name val="굴림"/>
      <family val="3"/>
      <charset val="129"/>
    </font>
    <font>
      <sz val="11"/>
      <name val="μ¸¿o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1"/>
      <name val="µ¸¿ò"/>
      <family val="3"/>
      <charset val="129"/>
    </font>
    <font>
      <sz val="12"/>
      <name val="±¼¸²A¼"/>
      <family val="2"/>
    </font>
    <font>
      <u/>
      <sz val="7.15"/>
      <color indexed="36"/>
      <name val="돋움"/>
      <family val="3"/>
      <charset val="129"/>
    </font>
    <font>
      <sz val="14"/>
      <name val="뼻뮝"/>
      <family val="3"/>
      <charset val="129"/>
    </font>
    <font>
      <b/>
      <u/>
      <sz val="16"/>
      <name val="굴림"/>
      <family val="3"/>
      <charset val="129"/>
    </font>
    <font>
      <b/>
      <sz val="12"/>
      <name val="Arial"/>
      <family val="2"/>
    </font>
    <font>
      <sz val="11"/>
      <color theme="0"/>
      <name val="맑은 고딕"/>
      <family val="3"/>
      <charset val="129"/>
    </font>
    <font>
      <b/>
      <sz val="11"/>
      <color theme="0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2"/>
      <name val="맑은 고딕"/>
      <family val="3"/>
      <charset val="129"/>
      <scheme val="major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5"/>
      <color theme="3"/>
      <name val="맑은 고딕"/>
      <family val="3"/>
      <charset val="129"/>
    </font>
    <font>
      <b/>
      <sz val="13"/>
      <color theme="3"/>
      <name val="맑은 고딕"/>
      <family val="3"/>
      <charset val="129"/>
    </font>
    <font>
      <b/>
      <sz val="11"/>
      <color theme="3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name val="굴림"/>
      <family val="3"/>
      <charset val="129"/>
    </font>
    <font>
      <u/>
      <sz val="11"/>
      <color theme="10"/>
      <name val="굴림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8"/>
      <color rgb="FF4D5156"/>
      <name val="Arial"/>
      <family val="2"/>
    </font>
    <font>
      <sz val="18"/>
      <name val="Arial"/>
      <family val="2"/>
    </font>
    <font>
      <sz val="10"/>
      <color rgb="FF000000"/>
      <name val="나눔고딕"/>
      <family val="3"/>
      <charset val="129"/>
    </font>
    <font>
      <sz val="14"/>
      <color rgb="FF000000"/>
      <name val="Cambria"/>
      <family val="1"/>
    </font>
  </fonts>
  <fills count="7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54"/>
      </patternFill>
    </fill>
    <fill>
      <patternFill patternType="solid">
        <fgColor indexed="9"/>
        <bgColor indexed="64"/>
      </patternFill>
    </fill>
    <fill>
      <patternFill patternType="solid">
        <fgColor rgb="FFE9EF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/>
        <bgColor indexed="64"/>
      </patternFill>
    </fill>
  </fills>
  <borders count="5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8306">
    <xf numFmtId="0" fontId="0" fillId="0" borderId="0">
      <alignment vertical="center"/>
    </xf>
    <xf numFmtId="0" fontId="4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0" borderId="0"/>
    <xf numFmtId="0" fontId="11" fillId="0" borderId="0"/>
    <xf numFmtId="0" fontId="5" fillId="0" borderId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5" fillId="4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6" fillId="16" borderId="16" applyNumberFormat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5" fillId="18" borderId="20" applyNumberFormat="0" applyFont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0" fontId="20" fillId="17" borderId="19" applyNumberFormat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" fillId="0" borderId="21" applyNumberFormat="0" applyFill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2" fillId="15" borderId="16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28" fillId="16" borderId="17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4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4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5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4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36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4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2" fillId="0" borderId="20" applyNumberFormat="0" applyFon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4" fillId="0" borderId="19" applyNumberFormat="0" applyFill="0" applyAlignment="0" applyProtection="0">
      <alignment vertical="center"/>
    </xf>
    <xf numFmtId="0" fontId="12" fillId="0" borderId="0" applyNumberFormat="0" applyFont="0" applyFill="0" applyBorder="0" applyAlignment="0" applyProtection="0">
      <alignment vertical="center"/>
    </xf>
    <xf numFmtId="0" fontId="12" fillId="0" borderId="0" applyNumberFormat="0" applyFont="0" applyFill="0" applyBorder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21" fillId="0" borderId="18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5" fillId="0" borderId="21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32" fillId="0" borderId="17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41" fillId="0" borderId="26" applyNumberFormat="0" applyFill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8" fillId="61" borderId="30" applyNumberFormat="0" applyAlignment="0" applyProtection="0">
      <alignment vertical="center"/>
    </xf>
    <xf numFmtId="0" fontId="13" fillId="62" borderId="23" applyNumberFormat="0" applyFont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2" fillId="48" borderId="22" applyNumberForma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6" fillId="0" borderId="29" applyNumberFormat="0" applyFill="0" applyAlignment="0" applyProtection="0">
      <alignment vertical="center"/>
    </xf>
    <xf numFmtId="0" fontId="45" fillId="0" borderId="28" applyNumberFormat="0" applyFill="0" applyAlignment="0" applyProtection="0">
      <alignment vertical="center"/>
    </xf>
    <xf numFmtId="0" fontId="44" fillId="0" borderId="27" applyNumberFormat="0" applyFill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64" borderId="24" applyNumberFormat="0" applyAlignment="0" applyProtection="0">
      <alignment vertical="center"/>
    </xf>
    <xf numFmtId="0" fontId="35" fillId="61" borderId="22" applyNumberFormat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33" fillId="60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4" borderId="0" applyNumberFormat="0" applyBorder="0" applyAlignment="0" applyProtection="0">
      <alignment vertical="center"/>
    </xf>
    <xf numFmtId="0" fontId="33" fillId="59" borderId="0" applyNumberFormat="0" applyBorder="0" applyAlignment="0" applyProtection="0">
      <alignment vertical="center"/>
    </xf>
    <xf numFmtId="0" fontId="33" fillId="58" borderId="0" applyNumberFormat="0" applyBorder="0" applyAlignment="0" applyProtection="0">
      <alignment vertical="center"/>
    </xf>
    <xf numFmtId="0" fontId="33" fillId="57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2" fillId="18" borderId="20" applyNumberFormat="0" applyFont="0" applyAlignment="0" applyProtection="0">
      <alignment vertical="center"/>
    </xf>
    <xf numFmtId="0" fontId="13" fillId="0" borderId="0"/>
    <xf numFmtId="41" fontId="13" fillId="0" borderId="0" applyFont="0" applyFill="0" applyBorder="0" applyAlignment="0" applyProtection="0"/>
    <xf numFmtId="0" fontId="28" fillId="65" borderId="17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3" fillId="0" borderId="33" applyNumberFormat="0" applyFill="0" applyAlignment="0" applyProtection="0">
      <alignment vertical="center"/>
    </xf>
    <xf numFmtId="0" fontId="52" fillId="0" borderId="14" applyNumberFormat="0" applyFill="0" applyAlignment="0" applyProtection="0">
      <alignment vertical="center"/>
    </xf>
    <xf numFmtId="0" fontId="51" fillId="0" borderId="32" applyNumberFormat="0" applyFill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2" fillId="0" borderId="31" applyNumberFormat="0" applyFill="0" applyAlignment="0" applyProtection="0">
      <alignment vertical="center"/>
    </xf>
    <xf numFmtId="0" fontId="49" fillId="18" borderId="20" applyNumberFormat="0" applyFont="0" applyAlignment="0" applyProtection="0">
      <alignment vertical="center"/>
    </xf>
    <xf numFmtId="0" fontId="16" fillId="65" borderId="16" applyNumberFormat="0" applyAlignment="0" applyProtection="0">
      <alignment vertical="center"/>
    </xf>
    <xf numFmtId="0" fontId="14" fillId="66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14" fillId="55" borderId="0" applyNumberFormat="0" applyBorder="0" applyAlignment="0" applyProtection="0">
      <alignment vertical="center"/>
    </xf>
    <xf numFmtId="0" fontId="5" fillId="48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5" fillId="61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4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6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5" fillId="51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45" borderId="0" applyNumberFormat="0" applyBorder="0" applyAlignment="0" applyProtection="0">
      <alignment vertical="center"/>
    </xf>
    <xf numFmtId="0" fontId="12" fillId="44" borderId="0" applyNumberFormat="0" applyBorder="0" applyAlignment="0" applyProtection="0">
      <alignment vertical="center"/>
    </xf>
    <xf numFmtId="0" fontId="12" fillId="43" borderId="0" applyNumberFormat="0" applyBorder="0" applyAlignment="0" applyProtection="0">
      <alignment vertical="center"/>
    </xf>
    <xf numFmtId="0" fontId="4" fillId="0" borderId="0"/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4" fillId="0" borderId="0"/>
    <xf numFmtId="0" fontId="55" fillId="0" borderId="0"/>
    <xf numFmtId="0" fontId="55" fillId="0" borderId="0"/>
    <xf numFmtId="0" fontId="55" fillId="0" borderId="0"/>
    <xf numFmtId="41" fontId="55" fillId="0" borderId="0" applyFont="0" applyFill="0" applyBorder="0" applyAlignment="0" applyProtection="0">
      <alignment vertical="center"/>
    </xf>
    <xf numFmtId="0" fontId="55" fillId="0" borderId="0"/>
    <xf numFmtId="9" fontId="1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13" fillId="0" borderId="0">
      <alignment vertical="center"/>
    </xf>
    <xf numFmtId="0" fontId="12" fillId="43" borderId="0" applyNumberFormat="0" applyBorder="0" applyAlignment="0" applyProtection="0">
      <alignment vertical="center"/>
    </xf>
    <xf numFmtId="0" fontId="12" fillId="44" borderId="0" applyNumberFormat="0" applyBorder="0" applyAlignment="0" applyProtection="0">
      <alignment vertical="center"/>
    </xf>
    <xf numFmtId="0" fontId="12" fillId="45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47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2" fillId="50" borderId="0" applyNumberFormat="0" applyBorder="0" applyAlignment="0" applyProtection="0">
      <alignment vertical="center"/>
    </xf>
    <xf numFmtId="0" fontId="12" fillId="51" borderId="0" applyNumberFormat="0" applyBorder="0" applyAlignment="0" applyProtection="0">
      <alignment vertical="center"/>
    </xf>
    <xf numFmtId="0" fontId="12" fillId="46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2" fillId="52" borderId="0" applyNumberFormat="0" applyBorder="0" applyAlignment="0" applyProtection="0">
      <alignment vertical="center"/>
    </xf>
    <xf numFmtId="0" fontId="33" fillId="53" borderId="0" applyNumberFormat="0" applyBorder="0" applyAlignment="0" applyProtection="0">
      <alignment vertical="center"/>
    </xf>
    <xf numFmtId="0" fontId="33" fillId="50" borderId="0" applyNumberFormat="0" applyBorder="0" applyAlignment="0" applyProtection="0">
      <alignment vertical="center"/>
    </xf>
    <xf numFmtId="0" fontId="33" fillId="51" borderId="0" applyNumberFormat="0" applyBorder="0" applyAlignment="0" applyProtection="0">
      <alignment vertical="center"/>
    </xf>
    <xf numFmtId="0" fontId="33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56" borderId="0" applyNumberFormat="0" applyBorder="0" applyAlignment="0" applyProtection="0">
      <alignment vertical="center"/>
    </xf>
    <xf numFmtId="0" fontId="33" fillId="57" borderId="0" applyNumberFormat="0" applyBorder="0" applyAlignment="0" applyProtection="0">
      <alignment vertical="center"/>
    </xf>
    <xf numFmtId="0" fontId="33" fillId="58" borderId="0" applyNumberFormat="0" applyBorder="0" applyAlignment="0" applyProtection="0">
      <alignment vertical="center"/>
    </xf>
    <xf numFmtId="0" fontId="33" fillId="59" borderId="0" applyNumberFormat="0" applyBorder="0" applyAlignment="0" applyProtection="0">
      <alignment vertical="center"/>
    </xf>
    <xf numFmtId="0" fontId="33" fillId="54" borderId="0" applyNumberFormat="0" applyBorder="0" applyAlignment="0" applyProtection="0">
      <alignment vertical="center"/>
    </xf>
    <xf numFmtId="0" fontId="33" fillId="55" borderId="0" applyNumberFormat="0" applyBorder="0" applyAlignment="0" applyProtection="0">
      <alignment vertical="center"/>
    </xf>
    <xf numFmtId="0" fontId="33" fillId="60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61" borderId="22" applyNumberFormat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13" fillId="62" borderId="23" applyNumberFormat="0" applyFont="0" applyAlignment="0" applyProtection="0">
      <alignment vertical="center"/>
    </xf>
    <xf numFmtId="0" fontId="37" fillId="63" borderId="0" applyNumberFormat="0" applyBorder="0" applyAlignment="0" applyProtection="0">
      <alignment vertical="center"/>
    </xf>
    <xf numFmtId="0" fontId="57" fillId="0" borderId="0"/>
    <xf numFmtId="0" fontId="38" fillId="0" borderId="0" applyNumberFormat="0" applyFill="0" applyBorder="0" applyAlignment="0" applyProtection="0">
      <alignment vertical="center"/>
    </xf>
    <xf numFmtId="0" fontId="39" fillId="64" borderId="24" applyNumberFormat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1" fillId="0" borderId="26" applyNumberFormat="0" applyFill="0" applyAlignment="0" applyProtection="0">
      <alignment vertical="center"/>
    </xf>
    <xf numFmtId="0" fontId="42" fillId="48" borderId="22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27" applyNumberFormat="0" applyFill="0" applyAlignment="0" applyProtection="0">
      <alignment vertical="center"/>
    </xf>
    <xf numFmtId="0" fontId="45" fillId="0" borderId="28" applyNumberFormat="0" applyFill="0" applyAlignment="0" applyProtection="0">
      <alignment vertical="center"/>
    </xf>
    <xf numFmtId="0" fontId="46" fillId="0" borderId="29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8" fillId="61" borderId="30" applyNumberFormat="0" applyAlignment="0" applyProtection="0">
      <alignment vertical="center"/>
    </xf>
    <xf numFmtId="41" fontId="13" fillId="0" borderId="0" applyFont="0" applyFill="0" applyBorder="0" applyAlignment="0" applyProtection="0"/>
    <xf numFmtId="0" fontId="4" fillId="0" borderId="0"/>
    <xf numFmtId="183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186" fontId="4" fillId="0" borderId="0" applyFont="0" applyFill="0" applyBorder="0" applyAlignment="0" applyProtection="0"/>
    <xf numFmtId="38" fontId="59" fillId="67" borderId="0" applyNumberFormat="0" applyBorder="0" applyAlignment="0" applyProtection="0"/>
    <xf numFmtId="0" fontId="60" fillId="0" borderId="0">
      <alignment horizontal="left"/>
    </xf>
    <xf numFmtId="0" fontId="61" fillId="0" borderId="34" applyNumberFormat="0" applyAlignment="0" applyProtection="0">
      <alignment horizontal="left" vertical="center"/>
    </xf>
    <xf numFmtId="0" fontId="61" fillId="0" borderId="35">
      <alignment horizontal="left" vertical="center"/>
    </xf>
    <xf numFmtId="10" fontId="59" fillId="67" borderId="36" applyNumberFormat="0" applyBorder="0" applyAlignment="0" applyProtection="0"/>
    <xf numFmtId="0" fontId="62" fillId="0" borderId="11"/>
    <xf numFmtId="187" fontId="58" fillId="0" borderId="0"/>
    <xf numFmtId="0" fontId="4" fillId="0" borderId="0"/>
    <xf numFmtId="9" fontId="13" fillId="0" borderId="0" applyFont="0" applyFill="0" applyBorder="0" applyAlignment="0" applyProtection="0"/>
    <xf numFmtId="0" fontId="13" fillId="0" borderId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64" fillId="0" borderId="0">
      <protection locked="0"/>
    </xf>
    <xf numFmtId="194" fontId="13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9" fillId="6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64" fillId="0" borderId="0">
      <protection locked="0"/>
    </xf>
    <xf numFmtId="0" fontId="9" fillId="6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68" fillId="70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76" fillId="38" borderId="0" applyNumberFormat="0" applyBorder="0" applyAlignment="0" applyProtection="0">
      <alignment vertical="center"/>
    </xf>
    <xf numFmtId="0" fontId="76" fillId="42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16" borderId="16" applyNumberFormat="0" applyAlignment="0" applyProtection="0">
      <alignment vertical="center"/>
    </xf>
    <xf numFmtId="199" fontId="61" fillId="0" borderId="0" applyFill="0" applyBorder="0" applyProtection="0">
      <alignment horizontal="center" vertical="center"/>
    </xf>
    <xf numFmtId="0" fontId="80" fillId="13" borderId="0" applyNumberFormat="0" applyBorder="0" applyAlignment="0" applyProtection="0">
      <alignment vertical="center"/>
    </xf>
    <xf numFmtId="190" fontId="69" fillId="0" borderId="0">
      <alignment vertical="center"/>
    </xf>
    <xf numFmtId="192" fontId="81" fillId="71" borderId="0">
      <alignment vertical="center"/>
    </xf>
    <xf numFmtId="0" fontId="72" fillId="0" borderId="0" applyNumberFormat="0" applyFill="0" applyBorder="0" applyAlignment="0" applyProtection="0">
      <alignment vertical="top"/>
      <protection locked="0"/>
    </xf>
    <xf numFmtId="40" fontId="73" fillId="0" borderId="0" applyFont="0" applyFill="0" applyBorder="0" applyAlignment="0" applyProtection="0"/>
    <xf numFmtId="38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NumberFormat="0" applyFill="0" applyBorder="0" applyProtection="0">
      <alignment horizontal="centerContinuous"/>
    </xf>
    <xf numFmtId="0" fontId="82" fillId="1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17" borderId="19" applyNumberFormat="0" applyAlignment="0" applyProtection="0">
      <alignment vertical="center"/>
    </xf>
    <xf numFmtId="40" fontId="69" fillId="0" borderId="0">
      <alignment vertical="center"/>
    </xf>
    <xf numFmtId="38" fontId="69" fillId="0" borderId="0">
      <alignment vertical="center"/>
    </xf>
    <xf numFmtId="41" fontId="13" fillId="0" borderId="0" applyFont="0" applyFill="0" applyBorder="0" applyAlignment="0" applyProtection="0"/>
    <xf numFmtId="43" fontId="68" fillId="0" borderId="0" applyFont="0" applyFill="0" applyBorder="0" applyAlignment="0" applyProtection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1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1" fillId="16" borderId="17" applyNumberFormat="0" applyAlignment="0" applyProtection="0">
      <alignment vertical="center"/>
    </xf>
    <xf numFmtId="184" fontId="63" fillId="0" borderId="0" applyFont="0" applyFill="0" applyBorder="0" applyAlignment="0" applyProtection="0"/>
    <xf numFmtId="38" fontId="68" fillId="0" borderId="0" applyFont="0" applyFill="0" applyBorder="0" applyAlignment="0" applyProtection="0">
      <alignment vertical="center"/>
    </xf>
    <xf numFmtId="44" fontId="68" fillId="0" borderId="0" applyFont="0" applyFill="0" applyBorder="0" applyAlignment="0" applyProtection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9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88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189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195" fontId="13" fillId="0" borderId="0">
      <protection locked="0"/>
    </xf>
    <xf numFmtId="183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184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4" fontId="64" fillId="0" borderId="0">
      <protection locked="0"/>
    </xf>
    <xf numFmtId="196" fontId="13" fillId="0" borderId="0">
      <protection locked="0"/>
    </xf>
    <xf numFmtId="0" fontId="65" fillId="0" borderId="0"/>
    <xf numFmtId="0" fontId="67" fillId="0" borderId="0"/>
    <xf numFmtId="0" fontId="70" fillId="0" borderId="0"/>
    <xf numFmtId="0" fontId="71" fillId="0" borderId="0"/>
    <xf numFmtId="0" fontId="64" fillId="0" borderId="37">
      <protection locked="0"/>
    </xf>
    <xf numFmtId="4" fontId="64" fillId="0" borderId="0">
      <protection locked="0"/>
    </xf>
    <xf numFmtId="181" fontId="66" fillId="0" borderId="0">
      <protection locked="0"/>
    </xf>
    <xf numFmtId="177" fontId="66" fillId="0" borderId="0">
      <protection locked="0"/>
    </xf>
    <xf numFmtId="197" fontId="13" fillId="0" borderId="0">
      <protection locked="0"/>
    </xf>
    <xf numFmtId="188" fontId="13" fillId="0" borderId="0">
      <protection locked="0"/>
    </xf>
    <xf numFmtId="193" fontId="66" fillId="0" borderId="0">
      <protection locked="0"/>
    </xf>
    <xf numFmtId="0" fontId="75" fillId="0" borderId="34" applyNumberFormat="0" applyAlignment="0" applyProtection="0">
      <alignment horizontal="left" vertical="center"/>
    </xf>
    <xf numFmtId="0" fontId="75" fillId="0" borderId="35">
      <alignment horizontal="left" vertical="center"/>
    </xf>
    <xf numFmtId="182" fontId="66" fillId="0" borderId="0">
      <protection locked="0"/>
    </xf>
    <xf numFmtId="182" fontId="66" fillId="0" borderId="0">
      <protection locked="0"/>
    </xf>
    <xf numFmtId="198" fontId="63" fillId="0" borderId="0"/>
    <xf numFmtId="191" fontId="66" fillId="0" borderId="0">
      <protection locked="0"/>
    </xf>
    <xf numFmtId="182" fontId="66" fillId="0" borderId="38">
      <protection locked="0"/>
    </xf>
    <xf numFmtId="0" fontId="9" fillId="6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40" borderId="0" applyNumberFormat="0" applyBorder="0" applyAlignment="0" applyProtection="0">
      <alignment vertical="center"/>
    </xf>
    <xf numFmtId="0" fontId="9" fillId="6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41" borderId="0" applyNumberFormat="0" applyBorder="0" applyAlignment="0" applyProtection="0">
      <alignment vertical="center"/>
    </xf>
    <xf numFmtId="0" fontId="68" fillId="70" borderId="0" applyNumberFormat="0" applyBorder="0" applyAlignment="0" applyProtection="0">
      <alignment vertical="center"/>
    </xf>
    <xf numFmtId="0" fontId="76" fillId="26" borderId="0" applyNumberFormat="0" applyBorder="0" applyAlignment="0" applyProtection="0">
      <alignment vertical="center"/>
    </xf>
    <xf numFmtId="0" fontId="76" fillId="30" borderId="0" applyNumberFormat="0" applyBorder="0" applyAlignment="0" applyProtection="0">
      <alignment vertical="center"/>
    </xf>
    <xf numFmtId="0" fontId="76" fillId="34" borderId="0" applyNumberFormat="0" applyBorder="0" applyAlignment="0" applyProtection="0">
      <alignment vertical="center"/>
    </xf>
    <xf numFmtId="0" fontId="76" fillId="38" borderId="0" applyNumberFormat="0" applyBorder="0" applyAlignment="0" applyProtection="0">
      <alignment vertical="center"/>
    </xf>
    <xf numFmtId="0" fontId="76" fillId="42" borderId="0" applyNumberFormat="0" applyBorder="0" applyAlignment="0" applyProtection="0">
      <alignment vertical="center"/>
    </xf>
    <xf numFmtId="0" fontId="77" fillId="19" borderId="0" applyNumberFormat="0" applyBorder="0" applyAlignment="0" applyProtection="0">
      <alignment vertical="center"/>
    </xf>
    <xf numFmtId="0" fontId="77" fillId="23" borderId="0" applyNumberFormat="0" applyBorder="0" applyAlignment="0" applyProtection="0">
      <alignment vertical="center"/>
    </xf>
    <xf numFmtId="0" fontId="76" fillId="27" borderId="0" applyNumberFormat="0" applyBorder="0" applyAlignment="0" applyProtection="0">
      <alignment vertical="center"/>
    </xf>
    <xf numFmtId="0" fontId="77" fillId="31" borderId="0" applyNumberFormat="0" applyBorder="0" applyAlignment="0" applyProtection="0">
      <alignment vertical="center"/>
    </xf>
    <xf numFmtId="0" fontId="77" fillId="35" borderId="0" applyNumberFormat="0" applyBorder="0" applyAlignment="0" applyProtection="0">
      <alignment vertical="center"/>
    </xf>
    <xf numFmtId="0" fontId="76" fillId="39" borderId="0" applyNumberFormat="0" applyBorder="0" applyAlignment="0" applyProtection="0">
      <alignment vertical="center"/>
    </xf>
    <xf numFmtId="0" fontId="78" fillId="0" borderId="0" applyNumberFormat="0" applyFill="0" applyBorder="0" applyAlignment="0" applyProtection="0">
      <alignment vertical="center"/>
    </xf>
    <xf numFmtId="0" fontId="79" fillId="16" borderId="16" applyNumberFormat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190" fontId="69" fillId="0" borderId="0">
      <alignment vertical="center"/>
    </xf>
    <xf numFmtId="0" fontId="82" fillId="1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77" fillId="17" borderId="19" applyNumberFormat="0" applyAlignment="0" applyProtection="0">
      <alignment vertical="center"/>
    </xf>
    <xf numFmtId="40" fontId="69" fillId="0" borderId="0">
      <alignment vertical="center"/>
    </xf>
    <xf numFmtId="38" fontId="69" fillId="0" borderId="0">
      <alignment vertical="center"/>
    </xf>
    <xf numFmtId="0" fontId="84" fillId="0" borderId="18" applyNumberFormat="0" applyFill="0" applyAlignment="0" applyProtection="0">
      <alignment vertical="center"/>
    </xf>
    <xf numFmtId="0" fontId="85" fillId="0" borderId="21" applyNumberFormat="0" applyFill="0" applyAlignment="0" applyProtection="0">
      <alignment vertical="center"/>
    </xf>
    <xf numFmtId="0" fontId="86" fillId="15" borderId="16" applyNumberFormat="0" applyAlignment="0" applyProtection="0">
      <alignment vertical="center"/>
    </xf>
    <xf numFmtId="0" fontId="87" fillId="0" borderId="13" applyNumberFormat="0" applyFill="0" applyAlignment="0" applyProtection="0">
      <alignment vertical="center"/>
    </xf>
    <xf numFmtId="0" fontId="88" fillId="0" borderId="14" applyNumberFormat="0" applyFill="0" applyAlignment="0" applyProtection="0">
      <alignment vertical="center"/>
    </xf>
    <xf numFmtId="0" fontId="89" fillId="0" borderId="15" applyNumberFormat="0" applyFill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12" borderId="0" applyNumberFormat="0" applyBorder="0" applyAlignment="0" applyProtection="0">
      <alignment vertical="center"/>
    </xf>
    <xf numFmtId="0" fontId="91" fillId="16" borderId="17" applyNumberFormat="0" applyAlignment="0" applyProtection="0">
      <alignment vertical="center"/>
    </xf>
    <xf numFmtId="0" fontId="9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top"/>
      <protection locked="0"/>
    </xf>
    <xf numFmtId="41" fontId="92" fillId="0" borderId="0" applyFont="0" applyFill="0" applyBorder="0" applyAlignment="0" applyProtection="0">
      <alignment vertical="center"/>
    </xf>
    <xf numFmtId="0" fontId="35" fillId="61" borderId="22" applyNumberFormat="0" applyAlignment="0" applyProtection="0">
      <alignment vertical="center"/>
    </xf>
    <xf numFmtId="10" fontId="59" fillId="67" borderId="36" applyNumberFormat="0" applyBorder="0" applyAlignment="0" applyProtection="0"/>
    <xf numFmtId="0" fontId="61" fillId="0" borderId="35">
      <alignment horizontal="left" vertical="center"/>
    </xf>
    <xf numFmtId="0" fontId="42" fillId="48" borderId="22" applyNumberFormat="0" applyAlignment="0" applyProtection="0">
      <alignment vertical="center"/>
    </xf>
    <xf numFmtId="0" fontId="75" fillId="0" borderId="35">
      <alignment horizontal="left" vertical="center"/>
    </xf>
    <xf numFmtId="0" fontId="92" fillId="0" borderId="0">
      <alignment vertical="center"/>
    </xf>
    <xf numFmtId="0" fontId="41" fillId="0" borderId="26" applyNumberFormat="0" applyFill="0" applyAlignment="0" applyProtection="0">
      <alignment vertical="center"/>
    </xf>
    <xf numFmtId="0" fontId="13" fillId="62" borderId="23" applyNumberFormat="0" applyFont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48" fillId="61" borderId="30" applyNumberFormat="0" applyAlignment="0" applyProtection="0">
      <alignment vertical="center"/>
    </xf>
    <xf numFmtId="0" fontId="13" fillId="0" borderId="0"/>
    <xf numFmtId="41" fontId="13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181" fontId="63" fillId="0" borderId="0"/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64" fillId="0" borderId="45">
      <protection locked="0"/>
    </xf>
    <xf numFmtId="0" fontId="39" fillId="64" borderId="44" applyNumberFormat="0" applyAlignment="0" applyProtection="0">
      <alignment vertical="center"/>
    </xf>
    <xf numFmtId="0" fontId="39" fillId="64" borderId="44" applyNumberFormat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39" fillId="64" borderId="44" applyNumberFormat="0" applyAlignment="0" applyProtection="0">
      <alignment vertical="center"/>
    </xf>
    <xf numFmtId="0" fontId="39" fillId="64" borderId="44" applyNumberFormat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48" fillId="61" borderId="42" applyNumberFormat="0" applyAlignment="0" applyProtection="0">
      <alignment vertical="center"/>
    </xf>
    <xf numFmtId="0" fontId="13" fillId="62" borderId="40" applyNumberFormat="0" applyFont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46" fillId="0" borderId="29" applyNumberFormat="0" applyFill="0" applyAlignment="0" applyProtection="0">
      <alignment vertical="center"/>
    </xf>
    <xf numFmtId="0" fontId="35" fillId="61" borderId="39" applyNumberFormat="0" applyAlignment="0" applyProtection="0">
      <alignment vertical="center"/>
    </xf>
    <xf numFmtId="41" fontId="13" fillId="0" borderId="0" applyFont="0" applyFill="0" applyBorder="0" applyAlignment="0" applyProtection="0"/>
    <xf numFmtId="0" fontId="53" fillId="0" borderId="33" applyNumberFormat="0" applyFill="0" applyAlignment="0" applyProtection="0">
      <alignment vertical="center"/>
    </xf>
    <xf numFmtId="0" fontId="2" fillId="0" borderId="43" applyNumberFormat="0" applyFill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0" borderId="0"/>
    <xf numFmtId="41" fontId="55" fillId="0" borderId="0" applyFont="0" applyFill="0" applyBorder="0" applyAlignment="0" applyProtection="0">
      <alignment vertical="center"/>
    </xf>
    <xf numFmtId="0" fontId="35" fillId="61" borderId="39" applyNumberFormat="0" applyAlignment="0" applyProtection="0">
      <alignment vertical="center"/>
    </xf>
    <xf numFmtId="0" fontId="13" fillId="62" borderId="40" applyNumberFormat="0" applyFont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40" fillId="0" borderId="25" applyNumberFormat="0" applyFill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46" fillId="0" borderId="29" applyNumberFormat="0" applyFill="0" applyAlignment="0" applyProtection="0">
      <alignment vertical="center"/>
    </xf>
    <xf numFmtId="0" fontId="48" fillId="61" borderId="42" applyNumberFormat="0" applyAlignment="0" applyProtection="0">
      <alignment vertical="center"/>
    </xf>
    <xf numFmtId="41" fontId="13" fillId="0" borderId="0" applyFont="0" applyFill="0" applyBorder="0" applyAlignment="0" applyProtection="0"/>
    <xf numFmtId="0" fontId="62" fillId="0" borderId="11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/>
    <xf numFmtId="43" fontId="68" fillId="0" borderId="0" applyFont="0" applyFill="0" applyBorder="0" applyAlignment="0" applyProtection="0">
      <alignment vertical="center"/>
    </xf>
    <xf numFmtId="44" fontId="68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1" fontId="92" fillId="0" borderId="0" applyFont="0" applyFill="0" applyBorder="0" applyAlignment="0" applyProtection="0">
      <alignment vertical="center"/>
    </xf>
    <xf numFmtId="0" fontId="35" fillId="61" borderId="39" applyNumberFormat="0" applyAlignment="0" applyProtection="0">
      <alignment vertical="center"/>
    </xf>
    <xf numFmtId="0" fontId="42" fillId="48" borderId="39" applyNumberFormat="0" applyAlignment="0" applyProtection="0">
      <alignment vertical="center"/>
    </xf>
    <xf numFmtId="0" fontId="41" fillId="0" borderId="41" applyNumberFormat="0" applyFill="0" applyAlignment="0" applyProtection="0">
      <alignment vertical="center"/>
    </xf>
    <xf numFmtId="0" fontId="13" fillId="62" borderId="40" applyNumberFormat="0" applyFont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0" fontId="48" fillId="61" borderId="4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</cellStyleXfs>
  <cellXfs count="118">
    <xf numFmtId="0" fontId="0" fillId="0" borderId="0" xfId="0">
      <alignment vertical="center"/>
    </xf>
    <xf numFmtId="0" fontId="2" fillId="0" borderId="0" xfId="0" applyFon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NumberFormat="1">
      <alignment vertical="center"/>
    </xf>
    <xf numFmtId="176" fontId="0" fillId="0" borderId="0" xfId="0" applyNumberFormat="1" applyAlignment="1"/>
    <xf numFmtId="177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4" borderId="0" xfId="0" applyFont="1" applyFill="1">
      <alignment vertical="center"/>
    </xf>
    <xf numFmtId="0" fontId="0" fillId="9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11" fontId="0" fillId="0" borderId="0" xfId="0" applyNumberFormat="1" applyAlignment="1">
      <alignment horizontal="left" vertical="center"/>
    </xf>
    <xf numFmtId="17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" fillId="2" borderId="0" xfId="0" applyFont="1" applyFill="1">
      <alignment vertical="center"/>
    </xf>
    <xf numFmtId="0" fontId="0" fillId="10" borderId="0" xfId="0" applyFill="1">
      <alignment vertical="center"/>
    </xf>
    <xf numFmtId="0" fontId="5" fillId="0" borderId="0" xfId="0" applyFont="1">
      <alignment vertical="center"/>
    </xf>
    <xf numFmtId="0" fontId="5" fillId="8" borderId="0" xfId="0" applyFont="1" applyFill="1">
      <alignment vertical="center"/>
    </xf>
    <xf numFmtId="0" fontId="0" fillId="0" borderId="0" xfId="0" applyFill="1">
      <alignment vertical="center"/>
    </xf>
    <xf numFmtId="0" fontId="5" fillId="2" borderId="0" xfId="0" applyFont="1" applyFill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>
      <alignment vertical="center"/>
    </xf>
    <xf numFmtId="0" fontId="0" fillId="11" borderId="0" xfId="0" applyFill="1">
      <alignment vertical="center"/>
    </xf>
    <xf numFmtId="0" fontId="7" fillId="0" borderId="0" xfId="0" applyFont="1">
      <alignment vertical="center"/>
    </xf>
    <xf numFmtId="0" fontId="0" fillId="2" borderId="0" xfId="0" applyNumberFormat="1" applyFill="1">
      <alignment vertical="center"/>
    </xf>
    <xf numFmtId="0" fontId="8" fillId="0" borderId="0" xfId="0" applyFont="1" applyBorder="1" applyAlignment="1">
      <alignment horizontal="right" vertical="center" wrapText="1" readingOrder="1"/>
    </xf>
    <xf numFmtId="0" fontId="9" fillId="0" borderId="0" xfId="0" applyFont="1" applyBorder="1" applyAlignment="1">
      <alignment horizontal="right"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8" fillId="0" borderId="9" xfId="0" applyFont="1" applyFill="1" applyBorder="1" applyAlignment="1">
      <alignment horizontal="right" vertical="center" wrapText="1" readingOrder="1"/>
    </xf>
    <xf numFmtId="0" fontId="0" fillId="0" borderId="9" xfId="0" applyBorder="1">
      <alignment vertical="center"/>
    </xf>
    <xf numFmtId="0" fontId="8" fillId="0" borderId="9" xfId="0" applyFont="1" applyBorder="1" applyAlignment="1">
      <alignment horizontal="right" vertical="center" wrapText="1" readingOrder="1"/>
    </xf>
    <xf numFmtId="0" fontId="0" fillId="2" borderId="0" xfId="0" applyFill="1" applyBorder="1">
      <alignment vertical="center"/>
    </xf>
    <xf numFmtId="178" fontId="0" fillId="0" borderId="0" xfId="0" applyNumberFormat="1" applyBorder="1">
      <alignment vertical="center"/>
    </xf>
    <xf numFmtId="178" fontId="0" fillId="2" borderId="0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178" fontId="0" fillId="0" borderId="11" xfId="0" applyNumberFormat="1" applyBorder="1">
      <alignment vertical="center"/>
    </xf>
    <xf numFmtId="0" fontId="0" fillId="0" borderId="12" xfId="0" applyBorder="1">
      <alignment vertical="center"/>
    </xf>
    <xf numFmtId="0" fontId="2" fillId="0" borderId="5" xfId="0" applyFont="1" applyBorder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9" fontId="0" fillId="0" borderId="0" xfId="4" applyFont="1">
      <alignment vertical="center"/>
    </xf>
    <xf numFmtId="0" fontId="0" fillId="0" borderId="0" xfId="0">
      <alignment vertical="center"/>
    </xf>
    <xf numFmtId="200" fontId="56" fillId="0" borderId="0" xfId="28251" applyNumberFormat="1" applyFont="1" applyAlignment="1">
      <alignment horizontal="right" vertical="center" shrinkToFit="1"/>
    </xf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178" fontId="0" fillId="0" borderId="47" xfId="0" applyNumberFormat="1" applyBorder="1">
      <alignment vertical="center"/>
    </xf>
    <xf numFmtId="178" fontId="0" fillId="0" borderId="1" xfId="0" applyNumberFormat="1" applyBorder="1">
      <alignment vertical="center"/>
    </xf>
    <xf numFmtId="178" fontId="0" fillId="0" borderId="3" xfId="0" applyNumberFormat="1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178" fontId="0" fillId="0" borderId="49" xfId="0" applyNumberFormat="1" applyBorder="1">
      <alignment vertical="center"/>
    </xf>
    <xf numFmtId="178" fontId="0" fillId="0" borderId="4" xfId="0" applyNumberFormat="1" applyBorder="1">
      <alignment vertical="center"/>
    </xf>
    <xf numFmtId="11" fontId="0" fillId="0" borderId="0" xfId="0" applyNumberFormat="1" applyBorder="1">
      <alignment vertical="center"/>
    </xf>
    <xf numFmtId="11" fontId="0" fillId="0" borderId="3" xfId="0" applyNumberFormat="1" applyBorder="1">
      <alignment vertical="center"/>
    </xf>
    <xf numFmtId="11" fontId="0" fillId="0" borderId="49" xfId="0" applyNumberFormat="1" applyBorder="1">
      <alignment vertical="center"/>
    </xf>
    <xf numFmtId="11" fontId="0" fillId="0" borderId="4" xfId="0" applyNumberFormat="1" applyBorder="1">
      <alignment vertical="center"/>
    </xf>
    <xf numFmtId="201" fontId="0" fillId="0" borderId="0" xfId="0" applyNumberFormat="1" applyBorder="1">
      <alignment vertical="center"/>
    </xf>
    <xf numFmtId="201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41" fontId="0" fillId="0" borderId="0" xfId="28305" applyFont="1">
      <alignment vertical="center"/>
    </xf>
    <xf numFmtId="0" fontId="94" fillId="0" borderId="0" xfId="0" applyFont="1">
      <alignment vertical="center"/>
    </xf>
    <xf numFmtId="3" fontId="0" fillId="0" borderId="0" xfId="0" applyNumberFormat="1">
      <alignment vertical="center"/>
    </xf>
    <xf numFmtId="0" fontId="0" fillId="72" borderId="0" xfId="0" applyFill="1">
      <alignment vertical="center"/>
    </xf>
    <xf numFmtId="11" fontId="0" fillId="72" borderId="0" xfId="0" applyNumberFormat="1" applyFill="1">
      <alignment vertical="center"/>
    </xf>
    <xf numFmtId="0" fontId="0" fillId="0" borderId="0" xfId="0" applyFont="1">
      <alignment vertical="center"/>
    </xf>
    <xf numFmtId="11" fontId="95" fillId="0" borderId="0" xfId="0" applyNumberFormat="1" applyFont="1">
      <alignment vertical="center"/>
    </xf>
    <xf numFmtId="0" fontId="0" fillId="0" borderId="0" xfId="0" applyNumberFormat="1" applyAlignment="1">
      <alignment horizontal="center" vertical="center"/>
    </xf>
    <xf numFmtId="178" fontId="0" fillId="0" borderId="0" xfId="28305" applyNumberFormat="1" applyFont="1">
      <alignment vertical="center"/>
    </xf>
    <xf numFmtId="202" fontId="0" fillId="0" borderId="0" xfId="0" applyNumberFormat="1">
      <alignment vertical="center"/>
    </xf>
    <xf numFmtId="203" fontId="0" fillId="0" borderId="0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4" applyNumberFormat="1" applyFont="1">
      <alignment vertical="center"/>
    </xf>
    <xf numFmtId="0" fontId="97" fillId="0" borderId="50" xfId="0" applyFont="1" applyBorder="1" applyAlignment="1">
      <alignment horizontal="center" vertical="center" wrapText="1" readingOrder="1"/>
    </xf>
    <xf numFmtId="0" fontId="96" fillId="0" borderId="50" xfId="0" applyFont="1" applyBorder="1" applyAlignment="1">
      <alignment horizontal="center" vertical="center" wrapText="1"/>
    </xf>
    <xf numFmtId="0" fontId="98" fillId="0" borderId="50" xfId="0" applyFont="1" applyBorder="1" applyAlignment="1">
      <alignment horizontal="center" readingOrder="1"/>
    </xf>
    <xf numFmtId="0" fontId="98" fillId="0" borderId="50" xfId="0" applyFont="1" applyBorder="1" applyAlignment="1">
      <alignment horizontal="center" vertical="center" readingOrder="1"/>
    </xf>
    <xf numFmtId="204" fontId="0" fillId="0" borderId="0" xfId="0" applyNumberFormat="1">
      <alignment vertical="center"/>
    </xf>
    <xf numFmtId="205" fontId="0" fillId="0" borderId="0" xfId="0" applyNumberFormat="1">
      <alignment vertical="center"/>
    </xf>
    <xf numFmtId="206" fontId="0" fillId="0" borderId="0" xfId="0" applyNumberFormat="1">
      <alignment vertical="center"/>
    </xf>
    <xf numFmtId="207" fontId="0" fillId="0" borderId="0" xfId="0" applyNumberFormat="1">
      <alignment vertical="center"/>
    </xf>
    <xf numFmtId="178" fontId="0" fillId="0" borderId="0" xfId="0" applyNumberFormat="1" applyFill="1" applyBorder="1">
      <alignment vertical="center"/>
    </xf>
    <xf numFmtId="177" fontId="0" fillId="0" borderId="0" xfId="0" applyNumberFormat="1" applyFill="1" applyBorder="1">
      <alignment vertical="center"/>
    </xf>
    <xf numFmtId="208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209" fontId="0" fillId="0" borderId="0" xfId="0" applyNumberFormat="1">
      <alignment vertical="center"/>
    </xf>
    <xf numFmtId="0" fontId="0" fillId="0" borderId="2" xfId="0" applyFill="1" applyBorder="1">
      <alignment vertical="center"/>
    </xf>
    <xf numFmtId="182" fontId="0" fillId="0" borderId="0" xfId="4" applyNumberFormat="1" applyFont="1">
      <alignment vertical="center"/>
    </xf>
    <xf numFmtId="182" fontId="0" fillId="0" borderId="0" xfId="4" applyNumberFormat="1" applyFont="1" applyAlignment="1">
      <alignment horizontal="center" vertical="center"/>
    </xf>
    <xf numFmtId="210" fontId="0" fillId="0" borderId="0" xfId="0" applyNumberFormat="1">
      <alignment vertical="center"/>
    </xf>
    <xf numFmtId="181" fontId="0" fillId="0" borderId="0" xfId="0" applyNumberFormat="1" applyAlignment="1">
      <alignment horizontal="center" vertical="center"/>
    </xf>
    <xf numFmtId="18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28306">
    <cellStyle name="´þ·¯" xfId="27928" xr:uid="{00000000-0005-0000-0000-000000000000}"/>
    <cellStyle name="°íá¤¼ò¼ýá¡" xfId="27929" xr:uid="{00000000-0005-0000-0000-000001000000}"/>
    <cellStyle name="°íá¤ãâ·â1" xfId="27930" xr:uid="{00000000-0005-0000-0000-000002000000}"/>
    <cellStyle name="°íá¤ãâ·â2" xfId="27931" xr:uid="{00000000-0005-0000-0000-000003000000}"/>
    <cellStyle name="20% - Accent1" xfId="27833" xr:uid="{00000000-0005-0000-0000-000004000000}"/>
    <cellStyle name="20% - Accent2" xfId="27832" xr:uid="{00000000-0005-0000-0000-000005000000}"/>
    <cellStyle name="20% - Accent3" xfId="27831" xr:uid="{00000000-0005-0000-0000-000006000000}"/>
    <cellStyle name="20% - Accent4" xfId="27830" xr:uid="{00000000-0005-0000-0000-000007000000}"/>
    <cellStyle name="20% - Accent5" xfId="27829" xr:uid="{00000000-0005-0000-0000-000008000000}"/>
    <cellStyle name="20% - Accent6" xfId="27828" xr:uid="{00000000-0005-0000-0000-000009000000}"/>
    <cellStyle name="20% - 강조색1 10" xfId="13" xr:uid="{00000000-0005-0000-0000-00000A000000}"/>
    <cellStyle name="20% - 강조색1 10 10" xfId="6988" xr:uid="{00000000-0005-0000-0000-00000B000000}"/>
    <cellStyle name="20% - 강조색1 10 11" xfId="6987" xr:uid="{00000000-0005-0000-0000-00000C000000}"/>
    <cellStyle name="20% - 강조색1 10 12" xfId="6986" xr:uid="{00000000-0005-0000-0000-00000D000000}"/>
    <cellStyle name="20% - 강조색1 10 13" xfId="6985" xr:uid="{00000000-0005-0000-0000-00000E000000}"/>
    <cellStyle name="20% - 강조색1 10 14" xfId="6984" xr:uid="{00000000-0005-0000-0000-00000F000000}"/>
    <cellStyle name="20% - 강조색1 10 15" xfId="3597" xr:uid="{00000000-0005-0000-0000-000010000000}"/>
    <cellStyle name="20% - 강조색1 10 2" xfId="14" xr:uid="{00000000-0005-0000-0000-000011000000}"/>
    <cellStyle name="20% - 강조색1 10 2 2" xfId="6983" xr:uid="{00000000-0005-0000-0000-000012000000}"/>
    <cellStyle name="20% - 강조색1 10 3" xfId="6982" xr:uid="{00000000-0005-0000-0000-000013000000}"/>
    <cellStyle name="20% - 강조색1 10 4" xfId="3598" xr:uid="{00000000-0005-0000-0000-000014000000}"/>
    <cellStyle name="20% - 강조색1 10 5" xfId="3599" xr:uid="{00000000-0005-0000-0000-000015000000}"/>
    <cellStyle name="20% - 강조색1 10 6" xfId="3600" xr:uid="{00000000-0005-0000-0000-000016000000}"/>
    <cellStyle name="20% - 강조색1 10 7" xfId="3601" xr:uid="{00000000-0005-0000-0000-000017000000}"/>
    <cellStyle name="20% - 강조색1 10 8" xfId="3602" xr:uid="{00000000-0005-0000-0000-000018000000}"/>
    <cellStyle name="20% - 강조색1 10 9" xfId="3603" xr:uid="{00000000-0005-0000-0000-000019000000}"/>
    <cellStyle name="20% - 강조색1 11" xfId="15" xr:uid="{00000000-0005-0000-0000-00001A000000}"/>
    <cellStyle name="20% - 강조색1 11 10" xfId="3605" xr:uid="{00000000-0005-0000-0000-00001B000000}"/>
    <cellStyle name="20% - 강조색1 11 11" xfId="3606" xr:uid="{00000000-0005-0000-0000-00001C000000}"/>
    <cellStyle name="20% - 강조색1 11 12" xfId="3607" xr:uid="{00000000-0005-0000-0000-00001D000000}"/>
    <cellStyle name="20% - 강조색1 11 13" xfId="3608" xr:uid="{00000000-0005-0000-0000-00001E000000}"/>
    <cellStyle name="20% - 강조색1 11 14" xfId="3609" xr:uid="{00000000-0005-0000-0000-00001F000000}"/>
    <cellStyle name="20% - 강조색1 11 15" xfId="3604" xr:uid="{00000000-0005-0000-0000-000020000000}"/>
    <cellStyle name="20% - 강조색1 11 2" xfId="16" xr:uid="{00000000-0005-0000-0000-000021000000}"/>
    <cellStyle name="20% - 강조색1 11 2 2" xfId="3610" xr:uid="{00000000-0005-0000-0000-000022000000}"/>
    <cellStyle name="20% - 강조색1 11 3" xfId="3611" xr:uid="{00000000-0005-0000-0000-000023000000}"/>
    <cellStyle name="20% - 강조색1 11 4" xfId="3612" xr:uid="{00000000-0005-0000-0000-000024000000}"/>
    <cellStyle name="20% - 강조색1 11 5" xfId="3613" xr:uid="{00000000-0005-0000-0000-000025000000}"/>
    <cellStyle name="20% - 강조색1 11 6" xfId="3614" xr:uid="{00000000-0005-0000-0000-000026000000}"/>
    <cellStyle name="20% - 강조색1 11 7" xfId="3615" xr:uid="{00000000-0005-0000-0000-000027000000}"/>
    <cellStyle name="20% - 강조색1 11 8" xfId="3616" xr:uid="{00000000-0005-0000-0000-000028000000}"/>
    <cellStyle name="20% - 강조색1 11 9" xfId="3617" xr:uid="{00000000-0005-0000-0000-000029000000}"/>
    <cellStyle name="20% - 강조색1 12" xfId="17" xr:uid="{00000000-0005-0000-0000-00002A000000}"/>
    <cellStyle name="20% - 강조색1 12 10" xfId="3619" xr:uid="{00000000-0005-0000-0000-00002B000000}"/>
    <cellStyle name="20% - 강조색1 12 11" xfId="3620" xr:uid="{00000000-0005-0000-0000-00002C000000}"/>
    <cellStyle name="20% - 강조색1 12 12" xfId="3621" xr:uid="{00000000-0005-0000-0000-00002D000000}"/>
    <cellStyle name="20% - 강조색1 12 13" xfId="3622" xr:uid="{00000000-0005-0000-0000-00002E000000}"/>
    <cellStyle name="20% - 강조색1 12 14" xfId="3623" xr:uid="{00000000-0005-0000-0000-00002F000000}"/>
    <cellStyle name="20% - 강조색1 12 15" xfId="3618" xr:uid="{00000000-0005-0000-0000-000030000000}"/>
    <cellStyle name="20% - 강조색1 12 2" xfId="18" xr:uid="{00000000-0005-0000-0000-000031000000}"/>
    <cellStyle name="20% - 강조색1 12 2 2" xfId="3624" xr:uid="{00000000-0005-0000-0000-000032000000}"/>
    <cellStyle name="20% - 강조색1 12 3" xfId="3625" xr:uid="{00000000-0005-0000-0000-000033000000}"/>
    <cellStyle name="20% - 강조색1 12 4" xfId="3626" xr:uid="{00000000-0005-0000-0000-000034000000}"/>
    <cellStyle name="20% - 강조색1 12 5" xfId="3627" xr:uid="{00000000-0005-0000-0000-000035000000}"/>
    <cellStyle name="20% - 강조색1 12 6" xfId="3628" xr:uid="{00000000-0005-0000-0000-000036000000}"/>
    <cellStyle name="20% - 강조색1 12 7" xfId="3629" xr:uid="{00000000-0005-0000-0000-000037000000}"/>
    <cellStyle name="20% - 강조색1 12 8" xfId="3630" xr:uid="{00000000-0005-0000-0000-000038000000}"/>
    <cellStyle name="20% - 강조색1 12 9" xfId="3631" xr:uid="{00000000-0005-0000-0000-000039000000}"/>
    <cellStyle name="20% - 강조색1 13" xfId="19" xr:uid="{00000000-0005-0000-0000-00003A000000}"/>
    <cellStyle name="20% - 강조색1 13 10" xfId="3633" xr:uid="{00000000-0005-0000-0000-00003B000000}"/>
    <cellStyle name="20% - 강조색1 13 11" xfId="3634" xr:uid="{00000000-0005-0000-0000-00003C000000}"/>
    <cellStyle name="20% - 강조색1 13 12" xfId="3635" xr:uid="{00000000-0005-0000-0000-00003D000000}"/>
    <cellStyle name="20% - 강조색1 13 13" xfId="3636" xr:uid="{00000000-0005-0000-0000-00003E000000}"/>
    <cellStyle name="20% - 강조색1 13 14" xfId="3637" xr:uid="{00000000-0005-0000-0000-00003F000000}"/>
    <cellStyle name="20% - 강조색1 13 15" xfId="3632" xr:uid="{00000000-0005-0000-0000-000040000000}"/>
    <cellStyle name="20% - 강조색1 13 2" xfId="20" xr:uid="{00000000-0005-0000-0000-000041000000}"/>
    <cellStyle name="20% - 강조색1 13 2 2" xfId="3638" xr:uid="{00000000-0005-0000-0000-000042000000}"/>
    <cellStyle name="20% - 강조색1 13 3" xfId="3639" xr:uid="{00000000-0005-0000-0000-000043000000}"/>
    <cellStyle name="20% - 강조색1 13 4" xfId="3640" xr:uid="{00000000-0005-0000-0000-000044000000}"/>
    <cellStyle name="20% - 강조색1 13 5" xfId="3641" xr:uid="{00000000-0005-0000-0000-000045000000}"/>
    <cellStyle name="20% - 강조색1 13 6" xfId="3642" xr:uid="{00000000-0005-0000-0000-000046000000}"/>
    <cellStyle name="20% - 강조색1 13 7" xfId="3643" xr:uid="{00000000-0005-0000-0000-000047000000}"/>
    <cellStyle name="20% - 강조색1 13 8" xfId="3644" xr:uid="{00000000-0005-0000-0000-000048000000}"/>
    <cellStyle name="20% - 강조색1 13 9" xfId="3645" xr:uid="{00000000-0005-0000-0000-000049000000}"/>
    <cellStyle name="20% - 강조색1 14" xfId="21" xr:uid="{00000000-0005-0000-0000-00004A000000}"/>
    <cellStyle name="20% - 강조색1 14 10" xfId="3647" xr:uid="{00000000-0005-0000-0000-00004B000000}"/>
    <cellStyle name="20% - 강조색1 14 11" xfId="3648" xr:uid="{00000000-0005-0000-0000-00004C000000}"/>
    <cellStyle name="20% - 강조색1 14 12" xfId="3649" xr:uid="{00000000-0005-0000-0000-00004D000000}"/>
    <cellStyle name="20% - 강조색1 14 13" xfId="3650" xr:uid="{00000000-0005-0000-0000-00004E000000}"/>
    <cellStyle name="20% - 강조색1 14 14" xfId="3651" xr:uid="{00000000-0005-0000-0000-00004F000000}"/>
    <cellStyle name="20% - 강조색1 14 15" xfId="3646" xr:uid="{00000000-0005-0000-0000-000050000000}"/>
    <cellStyle name="20% - 강조색1 14 2" xfId="22" xr:uid="{00000000-0005-0000-0000-000051000000}"/>
    <cellStyle name="20% - 강조색1 14 2 2" xfId="3652" xr:uid="{00000000-0005-0000-0000-000052000000}"/>
    <cellStyle name="20% - 강조색1 14 3" xfId="3653" xr:uid="{00000000-0005-0000-0000-000053000000}"/>
    <cellStyle name="20% - 강조색1 14 4" xfId="3654" xr:uid="{00000000-0005-0000-0000-000054000000}"/>
    <cellStyle name="20% - 강조색1 14 5" xfId="3655" xr:uid="{00000000-0005-0000-0000-000055000000}"/>
    <cellStyle name="20% - 강조색1 14 6" xfId="3656" xr:uid="{00000000-0005-0000-0000-000056000000}"/>
    <cellStyle name="20% - 강조색1 14 7" xfId="3657" xr:uid="{00000000-0005-0000-0000-000057000000}"/>
    <cellStyle name="20% - 강조색1 14 8" xfId="3658" xr:uid="{00000000-0005-0000-0000-000058000000}"/>
    <cellStyle name="20% - 강조색1 14 9" xfId="3659" xr:uid="{00000000-0005-0000-0000-000059000000}"/>
    <cellStyle name="20% - 강조색1 15" xfId="23" xr:uid="{00000000-0005-0000-0000-00005A000000}"/>
    <cellStyle name="20% - 강조색1 15 10" xfId="3661" xr:uid="{00000000-0005-0000-0000-00005B000000}"/>
    <cellStyle name="20% - 강조색1 15 11" xfId="3662" xr:uid="{00000000-0005-0000-0000-00005C000000}"/>
    <cellStyle name="20% - 강조색1 15 12" xfId="3663" xr:uid="{00000000-0005-0000-0000-00005D000000}"/>
    <cellStyle name="20% - 강조색1 15 13" xfId="3664" xr:uid="{00000000-0005-0000-0000-00005E000000}"/>
    <cellStyle name="20% - 강조색1 15 14" xfId="3665" xr:uid="{00000000-0005-0000-0000-00005F000000}"/>
    <cellStyle name="20% - 강조색1 15 15" xfId="3660" xr:uid="{00000000-0005-0000-0000-000060000000}"/>
    <cellStyle name="20% - 강조색1 15 2" xfId="24" xr:uid="{00000000-0005-0000-0000-000061000000}"/>
    <cellStyle name="20% - 강조색1 15 2 2" xfId="3666" xr:uid="{00000000-0005-0000-0000-000062000000}"/>
    <cellStyle name="20% - 강조색1 15 3" xfId="3667" xr:uid="{00000000-0005-0000-0000-000063000000}"/>
    <cellStyle name="20% - 강조색1 15 4" xfId="3668" xr:uid="{00000000-0005-0000-0000-000064000000}"/>
    <cellStyle name="20% - 강조색1 15 5" xfId="3669" xr:uid="{00000000-0005-0000-0000-000065000000}"/>
    <cellStyle name="20% - 강조색1 15 6" xfId="3670" xr:uid="{00000000-0005-0000-0000-000066000000}"/>
    <cellStyle name="20% - 강조색1 15 7" xfId="3671" xr:uid="{00000000-0005-0000-0000-000067000000}"/>
    <cellStyle name="20% - 강조색1 15 8" xfId="3672" xr:uid="{00000000-0005-0000-0000-000068000000}"/>
    <cellStyle name="20% - 강조색1 15 9" xfId="3673" xr:uid="{00000000-0005-0000-0000-000069000000}"/>
    <cellStyle name="20% - 강조색1 16" xfId="25" xr:uid="{00000000-0005-0000-0000-00006A000000}"/>
    <cellStyle name="20% - 강조색1 16 10" xfId="3675" xr:uid="{00000000-0005-0000-0000-00006B000000}"/>
    <cellStyle name="20% - 강조색1 16 11" xfId="3676" xr:uid="{00000000-0005-0000-0000-00006C000000}"/>
    <cellStyle name="20% - 강조색1 16 12" xfId="3677" xr:uid="{00000000-0005-0000-0000-00006D000000}"/>
    <cellStyle name="20% - 강조색1 16 13" xfId="3678" xr:uid="{00000000-0005-0000-0000-00006E000000}"/>
    <cellStyle name="20% - 강조색1 16 14" xfId="3679" xr:uid="{00000000-0005-0000-0000-00006F000000}"/>
    <cellStyle name="20% - 강조색1 16 15" xfId="3674" xr:uid="{00000000-0005-0000-0000-000070000000}"/>
    <cellStyle name="20% - 강조색1 16 2" xfId="26" xr:uid="{00000000-0005-0000-0000-000071000000}"/>
    <cellStyle name="20% - 강조색1 16 2 2" xfId="3680" xr:uid="{00000000-0005-0000-0000-000072000000}"/>
    <cellStyle name="20% - 강조색1 16 3" xfId="3681" xr:uid="{00000000-0005-0000-0000-000073000000}"/>
    <cellStyle name="20% - 강조색1 16 4" xfId="3682" xr:uid="{00000000-0005-0000-0000-000074000000}"/>
    <cellStyle name="20% - 강조색1 16 5" xfId="3683" xr:uid="{00000000-0005-0000-0000-000075000000}"/>
    <cellStyle name="20% - 강조색1 16 6" xfId="3684" xr:uid="{00000000-0005-0000-0000-000076000000}"/>
    <cellStyle name="20% - 강조색1 16 7" xfId="3685" xr:uid="{00000000-0005-0000-0000-000077000000}"/>
    <cellStyle name="20% - 강조색1 16 8" xfId="3686" xr:uid="{00000000-0005-0000-0000-000078000000}"/>
    <cellStyle name="20% - 강조색1 16 9" xfId="3687" xr:uid="{00000000-0005-0000-0000-000079000000}"/>
    <cellStyle name="20% - 강조색1 17" xfId="27" xr:uid="{00000000-0005-0000-0000-00007A000000}"/>
    <cellStyle name="20% - 강조색1 17 10" xfId="3689" xr:uid="{00000000-0005-0000-0000-00007B000000}"/>
    <cellStyle name="20% - 강조색1 17 11" xfId="3690" xr:uid="{00000000-0005-0000-0000-00007C000000}"/>
    <cellStyle name="20% - 강조색1 17 12" xfId="3691" xr:uid="{00000000-0005-0000-0000-00007D000000}"/>
    <cellStyle name="20% - 강조색1 17 13" xfId="3692" xr:uid="{00000000-0005-0000-0000-00007E000000}"/>
    <cellStyle name="20% - 강조색1 17 14" xfId="3693" xr:uid="{00000000-0005-0000-0000-00007F000000}"/>
    <cellStyle name="20% - 강조색1 17 15" xfId="3688" xr:uid="{00000000-0005-0000-0000-000080000000}"/>
    <cellStyle name="20% - 강조색1 17 2" xfId="28" xr:uid="{00000000-0005-0000-0000-000081000000}"/>
    <cellStyle name="20% - 강조색1 17 2 2" xfId="3694" xr:uid="{00000000-0005-0000-0000-000082000000}"/>
    <cellStyle name="20% - 강조색1 17 3" xfId="3695" xr:uid="{00000000-0005-0000-0000-000083000000}"/>
    <cellStyle name="20% - 강조색1 17 4" xfId="3696" xr:uid="{00000000-0005-0000-0000-000084000000}"/>
    <cellStyle name="20% - 강조색1 17 5" xfId="3697" xr:uid="{00000000-0005-0000-0000-000085000000}"/>
    <cellStyle name="20% - 강조색1 17 6" xfId="3698" xr:uid="{00000000-0005-0000-0000-000086000000}"/>
    <cellStyle name="20% - 강조색1 17 7" xfId="3699" xr:uid="{00000000-0005-0000-0000-000087000000}"/>
    <cellStyle name="20% - 강조색1 17 8" xfId="3700" xr:uid="{00000000-0005-0000-0000-000088000000}"/>
    <cellStyle name="20% - 강조색1 17 9" xfId="3701" xr:uid="{00000000-0005-0000-0000-000089000000}"/>
    <cellStyle name="20% - 강조색1 18" xfId="29" xr:uid="{00000000-0005-0000-0000-00008A000000}"/>
    <cellStyle name="20% - 강조색1 18 10" xfId="3703" xr:uid="{00000000-0005-0000-0000-00008B000000}"/>
    <cellStyle name="20% - 강조색1 18 11" xfId="3704" xr:uid="{00000000-0005-0000-0000-00008C000000}"/>
    <cellStyle name="20% - 강조색1 18 12" xfId="3705" xr:uid="{00000000-0005-0000-0000-00008D000000}"/>
    <cellStyle name="20% - 강조색1 18 13" xfId="3706" xr:uid="{00000000-0005-0000-0000-00008E000000}"/>
    <cellStyle name="20% - 강조색1 18 14" xfId="3707" xr:uid="{00000000-0005-0000-0000-00008F000000}"/>
    <cellStyle name="20% - 강조색1 18 15" xfId="3702" xr:uid="{00000000-0005-0000-0000-000090000000}"/>
    <cellStyle name="20% - 강조색1 18 2" xfId="30" xr:uid="{00000000-0005-0000-0000-000091000000}"/>
    <cellStyle name="20% - 강조색1 18 2 2" xfId="3708" xr:uid="{00000000-0005-0000-0000-000092000000}"/>
    <cellStyle name="20% - 강조색1 18 3" xfId="3709" xr:uid="{00000000-0005-0000-0000-000093000000}"/>
    <cellStyle name="20% - 강조색1 18 4" xfId="3710" xr:uid="{00000000-0005-0000-0000-000094000000}"/>
    <cellStyle name="20% - 강조색1 18 5" xfId="3711" xr:uid="{00000000-0005-0000-0000-000095000000}"/>
    <cellStyle name="20% - 강조색1 18 6" xfId="3712" xr:uid="{00000000-0005-0000-0000-000096000000}"/>
    <cellStyle name="20% - 강조색1 18 7" xfId="3713" xr:uid="{00000000-0005-0000-0000-000097000000}"/>
    <cellStyle name="20% - 강조색1 18 8" xfId="3714" xr:uid="{00000000-0005-0000-0000-000098000000}"/>
    <cellStyle name="20% - 강조색1 18 9" xfId="3715" xr:uid="{00000000-0005-0000-0000-000099000000}"/>
    <cellStyle name="20% - 강조색1 19" xfId="31" xr:uid="{00000000-0005-0000-0000-00009A000000}"/>
    <cellStyle name="20% - 강조색1 19 10" xfId="3717" xr:uid="{00000000-0005-0000-0000-00009B000000}"/>
    <cellStyle name="20% - 강조색1 19 11" xfId="3718" xr:uid="{00000000-0005-0000-0000-00009C000000}"/>
    <cellStyle name="20% - 강조색1 19 12" xfId="3719" xr:uid="{00000000-0005-0000-0000-00009D000000}"/>
    <cellStyle name="20% - 강조색1 19 13" xfId="3720" xr:uid="{00000000-0005-0000-0000-00009E000000}"/>
    <cellStyle name="20% - 강조색1 19 14" xfId="3721" xr:uid="{00000000-0005-0000-0000-00009F000000}"/>
    <cellStyle name="20% - 강조색1 19 15" xfId="3716" xr:uid="{00000000-0005-0000-0000-0000A0000000}"/>
    <cellStyle name="20% - 강조색1 19 2" xfId="32" xr:uid="{00000000-0005-0000-0000-0000A1000000}"/>
    <cellStyle name="20% - 강조색1 19 2 2" xfId="3722" xr:uid="{00000000-0005-0000-0000-0000A2000000}"/>
    <cellStyle name="20% - 강조색1 19 3" xfId="3723" xr:uid="{00000000-0005-0000-0000-0000A3000000}"/>
    <cellStyle name="20% - 강조색1 19 4" xfId="3724" xr:uid="{00000000-0005-0000-0000-0000A4000000}"/>
    <cellStyle name="20% - 강조색1 19 5" xfId="3725" xr:uid="{00000000-0005-0000-0000-0000A5000000}"/>
    <cellStyle name="20% - 강조색1 19 6" xfId="3726" xr:uid="{00000000-0005-0000-0000-0000A6000000}"/>
    <cellStyle name="20% - 강조색1 19 7" xfId="3727" xr:uid="{00000000-0005-0000-0000-0000A7000000}"/>
    <cellStyle name="20% - 강조색1 19 8" xfId="3728" xr:uid="{00000000-0005-0000-0000-0000A8000000}"/>
    <cellStyle name="20% - 강조색1 19 9" xfId="3729" xr:uid="{00000000-0005-0000-0000-0000A9000000}"/>
    <cellStyle name="20% - 강조색1 2" xfId="33" xr:uid="{00000000-0005-0000-0000-0000AA000000}"/>
    <cellStyle name="20% - 강조색1 2 10" xfId="3731" xr:uid="{00000000-0005-0000-0000-0000AB000000}"/>
    <cellStyle name="20% - 강조색1 2 11" xfId="3732" xr:uid="{00000000-0005-0000-0000-0000AC000000}"/>
    <cellStyle name="20% - 강조색1 2 12" xfId="3733" xr:uid="{00000000-0005-0000-0000-0000AD000000}"/>
    <cellStyle name="20% - 강조색1 2 13" xfId="3734" xr:uid="{00000000-0005-0000-0000-0000AE000000}"/>
    <cellStyle name="20% - 강조색1 2 14" xfId="3735" xr:uid="{00000000-0005-0000-0000-0000AF000000}"/>
    <cellStyle name="20% - 강조색1 2 15" xfId="3730" xr:uid="{00000000-0005-0000-0000-0000B0000000}"/>
    <cellStyle name="20% - 강조색1 2 16" xfId="27932" xr:uid="{00000000-0005-0000-0000-0000B1000000}"/>
    <cellStyle name="20% - 강조색1 2 2" xfId="34" xr:uid="{00000000-0005-0000-0000-0000B2000000}"/>
    <cellStyle name="20% - 강조색1 2 2 2" xfId="3736" xr:uid="{00000000-0005-0000-0000-0000B3000000}"/>
    <cellStyle name="20% - 강조색1 2 3" xfId="3737" xr:uid="{00000000-0005-0000-0000-0000B4000000}"/>
    <cellStyle name="20% - 강조색1 2 4" xfId="3738" xr:uid="{00000000-0005-0000-0000-0000B5000000}"/>
    <cellStyle name="20% - 강조색1 2 5" xfId="3739" xr:uid="{00000000-0005-0000-0000-0000B6000000}"/>
    <cellStyle name="20% - 강조색1 2 6" xfId="3740" xr:uid="{00000000-0005-0000-0000-0000B7000000}"/>
    <cellStyle name="20% - 강조색1 2 7" xfId="3741" xr:uid="{00000000-0005-0000-0000-0000B8000000}"/>
    <cellStyle name="20% - 강조색1 2 8" xfId="3742" xr:uid="{00000000-0005-0000-0000-0000B9000000}"/>
    <cellStyle name="20% - 강조색1 2 9" xfId="3743" xr:uid="{00000000-0005-0000-0000-0000BA000000}"/>
    <cellStyle name="20% - 강조색1 20" xfId="35" xr:uid="{00000000-0005-0000-0000-0000BB000000}"/>
    <cellStyle name="20% - 강조색1 20 10" xfId="3745" xr:uid="{00000000-0005-0000-0000-0000BC000000}"/>
    <cellStyle name="20% - 강조색1 20 11" xfId="3746" xr:uid="{00000000-0005-0000-0000-0000BD000000}"/>
    <cellStyle name="20% - 강조색1 20 12" xfId="3747" xr:uid="{00000000-0005-0000-0000-0000BE000000}"/>
    <cellStyle name="20% - 강조색1 20 13" xfId="3748" xr:uid="{00000000-0005-0000-0000-0000BF000000}"/>
    <cellStyle name="20% - 강조색1 20 14" xfId="3749" xr:uid="{00000000-0005-0000-0000-0000C0000000}"/>
    <cellStyle name="20% - 강조색1 20 15" xfId="3744" xr:uid="{00000000-0005-0000-0000-0000C1000000}"/>
    <cellStyle name="20% - 강조색1 20 2" xfId="36" xr:uid="{00000000-0005-0000-0000-0000C2000000}"/>
    <cellStyle name="20% - 강조색1 20 2 2" xfId="3750" xr:uid="{00000000-0005-0000-0000-0000C3000000}"/>
    <cellStyle name="20% - 강조색1 20 3" xfId="3751" xr:uid="{00000000-0005-0000-0000-0000C4000000}"/>
    <cellStyle name="20% - 강조색1 20 4" xfId="3752" xr:uid="{00000000-0005-0000-0000-0000C5000000}"/>
    <cellStyle name="20% - 강조색1 20 5" xfId="3753" xr:uid="{00000000-0005-0000-0000-0000C6000000}"/>
    <cellStyle name="20% - 강조색1 20 6" xfId="3754" xr:uid="{00000000-0005-0000-0000-0000C7000000}"/>
    <cellStyle name="20% - 강조색1 20 7" xfId="3755" xr:uid="{00000000-0005-0000-0000-0000C8000000}"/>
    <cellStyle name="20% - 강조색1 20 8" xfId="3756" xr:uid="{00000000-0005-0000-0000-0000C9000000}"/>
    <cellStyle name="20% - 강조색1 20 9" xfId="3757" xr:uid="{00000000-0005-0000-0000-0000CA000000}"/>
    <cellStyle name="20% - 강조색1 21" xfId="37" xr:uid="{00000000-0005-0000-0000-0000CB000000}"/>
    <cellStyle name="20% - 강조색1 21 10" xfId="3759" xr:uid="{00000000-0005-0000-0000-0000CC000000}"/>
    <cellStyle name="20% - 강조색1 21 11" xfId="3760" xr:uid="{00000000-0005-0000-0000-0000CD000000}"/>
    <cellStyle name="20% - 강조색1 21 12" xfId="3761" xr:uid="{00000000-0005-0000-0000-0000CE000000}"/>
    <cellStyle name="20% - 강조색1 21 13" xfId="3762" xr:uid="{00000000-0005-0000-0000-0000CF000000}"/>
    <cellStyle name="20% - 강조색1 21 14" xfId="3763" xr:uid="{00000000-0005-0000-0000-0000D0000000}"/>
    <cellStyle name="20% - 강조색1 21 15" xfId="3758" xr:uid="{00000000-0005-0000-0000-0000D1000000}"/>
    <cellStyle name="20% - 강조색1 21 2" xfId="38" xr:uid="{00000000-0005-0000-0000-0000D2000000}"/>
    <cellStyle name="20% - 강조색1 21 2 2" xfId="3764" xr:uid="{00000000-0005-0000-0000-0000D3000000}"/>
    <cellStyle name="20% - 강조색1 21 3" xfId="3765" xr:uid="{00000000-0005-0000-0000-0000D4000000}"/>
    <cellStyle name="20% - 강조색1 21 4" xfId="3766" xr:uid="{00000000-0005-0000-0000-0000D5000000}"/>
    <cellStyle name="20% - 강조색1 21 5" xfId="3767" xr:uid="{00000000-0005-0000-0000-0000D6000000}"/>
    <cellStyle name="20% - 강조색1 21 6" xfId="3768" xr:uid="{00000000-0005-0000-0000-0000D7000000}"/>
    <cellStyle name="20% - 강조색1 21 7" xfId="3769" xr:uid="{00000000-0005-0000-0000-0000D8000000}"/>
    <cellStyle name="20% - 강조색1 21 8" xfId="3770" xr:uid="{00000000-0005-0000-0000-0000D9000000}"/>
    <cellStyle name="20% - 강조색1 21 9" xfId="3771" xr:uid="{00000000-0005-0000-0000-0000DA000000}"/>
    <cellStyle name="20% - 강조색1 22" xfId="39" xr:uid="{00000000-0005-0000-0000-0000DB000000}"/>
    <cellStyle name="20% - 강조색1 22 10" xfId="3773" xr:uid="{00000000-0005-0000-0000-0000DC000000}"/>
    <cellStyle name="20% - 강조색1 22 11" xfId="3774" xr:uid="{00000000-0005-0000-0000-0000DD000000}"/>
    <cellStyle name="20% - 강조색1 22 12" xfId="3775" xr:uid="{00000000-0005-0000-0000-0000DE000000}"/>
    <cellStyle name="20% - 강조색1 22 13" xfId="3776" xr:uid="{00000000-0005-0000-0000-0000DF000000}"/>
    <cellStyle name="20% - 강조색1 22 14" xfId="3777" xr:uid="{00000000-0005-0000-0000-0000E0000000}"/>
    <cellStyle name="20% - 강조색1 22 15" xfId="3772" xr:uid="{00000000-0005-0000-0000-0000E1000000}"/>
    <cellStyle name="20% - 강조색1 22 2" xfId="40" xr:uid="{00000000-0005-0000-0000-0000E2000000}"/>
    <cellStyle name="20% - 강조색1 22 2 2" xfId="3778" xr:uid="{00000000-0005-0000-0000-0000E3000000}"/>
    <cellStyle name="20% - 강조색1 22 3" xfId="3779" xr:uid="{00000000-0005-0000-0000-0000E4000000}"/>
    <cellStyle name="20% - 강조색1 22 4" xfId="3780" xr:uid="{00000000-0005-0000-0000-0000E5000000}"/>
    <cellStyle name="20% - 강조색1 22 5" xfId="3781" xr:uid="{00000000-0005-0000-0000-0000E6000000}"/>
    <cellStyle name="20% - 강조색1 22 6" xfId="3782" xr:uid="{00000000-0005-0000-0000-0000E7000000}"/>
    <cellStyle name="20% - 강조색1 22 7" xfId="3783" xr:uid="{00000000-0005-0000-0000-0000E8000000}"/>
    <cellStyle name="20% - 강조색1 22 8" xfId="3784" xr:uid="{00000000-0005-0000-0000-0000E9000000}"/>
    <cellStyle name="20% - 강조색1 22 9" xfId="3785" xr:uid="{00000000-0005-0000-0000-0000EA000000}"/>
    <cellStyle name="20% - 강조색1 23" xfId="41" xr:uid="{00000000-0005-0000-0000-0000EB000000}"/>
    <cellStyle name="20% - 강조색1 23 10" xfId="3787" xr:uid="{00000000-0005-0000-0000-0000EC000000}"/>
    <cellStyle name="20% - 강조색1 23 11" xfId="3788" xr:uid="{00000000-0005-0000-0000-0000ED000000}"/>
    <cellStyle name="20% - 강조색1 23 12" xfId="3789" xr:uid="{00000000-0005-0000-0000-0000EE000000}"/>
    <cellStyle name="20% - 강조색1 23 13" xfId="3790" xr:uid="{00000000-0005-0000-0000-0000EF000000}"/>
    <cellStyle name="20% - 강조색1 23 14" xfId="3791" xr:uid="{00000000-0005-0000-0000-0000F0000000}"/>
    <cellStyle name="20% - 강조색1 23 15" xfId="3786" xr:uid="{00000000-0005-0000-0000-0000F1000000}"/>
    <cellStyle name="20% - 강조색1 23 2" xfId="42" xr:uid="{00000000-0005-0000-0000-0000F2000000}"/>
    <cellStyle name="20% - 강조색1 23 2 2" xfId="3792" xr:uid="{00000000-0005-0000-0000-0000F3000000}"/>
    <cellStyle name="20% - 강조색1 23 3" xfId="3793" xr:uid="{00000000-0005-0000-0000-0000F4000000}"/>
    <cellStyle name="20% - 강조색1 23 4" xfId="3794" xr:uid="{00000000-0005-0000-0000-0000F5000000}"/>
    <cellStyle name="20% - 강조색1 23 5" xfId="3795" xr:uid="{00000000-0005-0000-0000-0000F6000000}"/>
    <cellStyle name="20% - 강조색1 23 6" xfId="3796" xr:uid="{00000000-0005-0000-0000-0000F7000000}"/>
    <cellStyle name="20% - 강조색1 23 7" xfId="3797" xr:uid="{00000000-0005-0000-0000-0000F8000000}"/>
    <cellStyle name="20% - 강조색1 23 8" xfId="3798" xr:uid="{00000000-0005-0000-0000-0000F9000000}"/>
    <cellStyle name="20% - 강조색1 23 9" xfId="3799" xr:uid="{00000000-0005-0000-0000-0000FA000000}"/>
    <cellStyle name="20% - 강조색1 24" xfId="43" xr:uid="{00000000-0005-0000-0000-0000FB000000}"/>
    <cellStyle name="20% - 강조색1 24 10" xfId="3801" xr:uid="{00000000-0005-0000-0000-0000FC000000}"/>
    <cellStyle name="20% - 강조색1 24 11" xfId="3802" xr:uid="{00000000-0005-0000-0000-0000FD000000}"/>
    <cellStyle name="20% - 강조색1 24 12" xfId="3803" xr:uid="{00000000-0005-0000-0000-0000FE000000}"/>
    <cellStyle name="20% - 강조색1 24 13" xfId="3804" xr:uid="{00000000-0005-0000-0000-0000FF000000}"/>
    <cellStyle name="20% - 강조색1 24 14" xfId="3805" xr:uid="{00000000-0005-0000-0000-000000010000}"/>
    <cellStyle name="20% - 강조색1 24 15" xfId="3800" xr:uid="{00000000-0005-0000-0000-000001010000}"/>
    <cellStyle name="20% - 강조색1 24 2" xfId="44" xr:uid="{00000000-0005-0000-0000-000002010000}"/>
    <cellStyle name="20% - 강조색1 24 2 2" xfId="3806" xr:uid="{00000000-0005-0000-0000-000003010000}"/>
    <cellStyle name="20% - 강조색1 24 3" xfId="3807" xr:uid="{00000000-0005-0000-0000-000004010000}"/>
    <cellStyle name="20% - 강조색1 24 4" xfId="3808" xr:uid="{00000000-0005-0000-0000-000005010000}"/>
    <cellStyle name="20% - 강조색1 24 5" xfId="3809" xr:uid="{00000000-0005-0000-0000-000006010000}"/>
    <cellStyle name="20% - 강조색1 24 6" xfId="3810" xr:uid="{00000000-0005-0000-0000-000007010000}"/>
    <cellStyle name="20% - 강조색1 24 7" xfId="3811" xr:uid="{00000000-0005-0000-0000-000008010000}"/>
    <cellStyle name="20% - 강조색1 24 8" xfId="3812" xr:uid="{00000000-0005-0000-0000-000009010000}"/>
    <cellStyle name="20% - 강조색1 24 9" xfId="3813" xr:uid="{00000000-0005-0000-0000-00000A010000}"/>
    <cellStyle name="20% - 강조색1 25" xfId="45" xr:uid="{00000000-0005-0000-0000-00000B010000}"/>
    <cellStyle name="20% - 강조색1 25 10" xfId="3815" xr:uid="{00000000-0005-0000-0000-00000C010000}"/>
    <cellStyle name="20% - 강조색1 25 11" xfId="3816" xr:uid="{00000000-0005-0000-0000-00000D010000}"/>
    <cellStyle name="20% - 강조색1 25 12" xfId="3817" xr:uid="{00000000-0005-0000-0000-00000E010000}"/>
    <cellStyle name="20% - 강조색1 25 13" xfId="3818" xr:uid="{00000000-0005-0000-0000-00000F010000}"/>
    <cellStyle name="20% - 강조색1 25 14" xfId="3819" xr:uid="{00000000-0005-0000-0000-000010010000}"/>
    <cellStyle name="20% - 강조색1 25 15" xfId="3814" xr:uid="{00000000-0005-0000-0000-000011010000}"/>
    <cellStyle name="20% - 강조색1 25 2" xfId="46" xr:uid="{00000000-0005-0000-0000-000012010000}"/>
    <cellStyle name="20% - 강조색1 25 2 2" xfId="3820" xr:uid="{00000000-0005-0000-0000-000013010000}"/>
    <cellStyle name="20% - 강조색1 25 3" xfId="3821" xr:uid="{00000000-0005-0000-0000-000014010000}"/>
    <cellStyle name="20% - 강조색1 25 4" xfId="3822" xr:uid="{00000000-0005-0000-0000-000015010000}"/>
    <cellStyle name="20% - 강조색1 25 5" xfId="3823" xr:uid="{00000000-0005-0000-0000-000016010000}"/>
    <cellStyle name="20% - 강조색1 25 6" xfId="3824" xr:uid="{00000000-0005-0000-0000-000017010000}"/>
    <cellStyle name="20% - 강조색1 25 7" xfId="3825" xr:uid="{00000000-0005-0000-0000-000018010000}"/>
    <cellStyle name="20% - 강조색1 25 8" xfId="3826" xr:uid="{00000000-0005-0000-0000-000019010000}"/>
    <cellStyle name="20% - 강조색1 25 9" xfId="3827" xr:uid="{00000000-0005-0000-0000-00001A010000}"/>
    <cellStyle name="20% - 강조색1 26" xfId="47" xr:uid="{00000000-0005-0000-0000-00001B010000}"/>
    <cellStyle name="20% - 강조색1 26 10" xfId="3829" xr:uid="{00000000-0005-0000-0000-00001C010000}"/>
    <cellStyle name="20% - 강조색1 26 11" xfId="3830" xr:uid="{00000000-0005-0000-0000-00001D010000}"/>
    <cellStyle name="20% - 강조색1 26 12" xfId="3831" xr:uid="{00000000-0005-0000-0000-00001E010000}"/>
    <cellStyle name="20% - 강조색1 26 13" xfId="3832" xr:uid="{00000000-0005-0000-0000-00001F010000}"/>
    <cellStyle name="20% - 강조색1 26 14" xfId="3833" xr:uid="{00000000-0005-0000-0000-000020010000}"/>
    <cellStyle name="20% - 강조색1 26 15" xfId="3828" xr:uid="{00000000-0005-0000-0000-000021010000}"/>
    <cellStyle name="20% - 강조색1 26 2" xfId="48" xr:uid="{00000000-0005-0000-0000-000022010000}"/>
    <cellStyle name="20% - 강조색1 26 2 2" xfId="3834" xr:uid="{00000000-0005-0000-0000-000023010000}"/>
    <cellStyle name="20% - 강조색1 26 3" xfId="3835" xr:uid="{00000000-0005-0000-0000-000024010000}"/>
    <cellStyle name="20% - 강조색1 26 4" xfId="3836" xr:uid="{00000000-0005-0000-0000-000025010000}"/>
    <cellStyle name="20% - 강조색1 26 5" xfId="3837" xr:uid="{00000000-0005-0000-0000-000026010000}"/>
    <cellStyle name="20% - 강조색1 26 6" xfId="3838" xr:uid="{00000000-0005-0000-0000-000027010000}"/>
    <cellStyle name="20% - 강조색1 26 7" xfId="3839" xr:uid="{00000000-0005-0000-0000-000028010000}"/>
    <cellStyle name="20% - 강조색1 26 8" xfId="3840" xr:uid="{00000000-0005-0000-0000-000029010000}"/>
    <cellStyle name="20% - 강조색1 26 9" xfId="3841" xr:uid="{00000000-0005-0000-0000-00002A010000}"/>
    <cellStyle name="20% - 강조색1 27" xfId="49" xr:uid="{00000000-0005-0000-0000-00002B010000}"/>
    <cellStyle name="20% - 강조색1 27 10" xfId="3843" xr:uid="{00000000-0005-0000-0000-00002C010000}"/>
    <cellStyle name="20% - 강조색1 27 11" xfId="3844" xr:uid="{00000000-0005-0000-0000-00002D010000}"/>
    <cellStyle name="20% - 강조색1 27 12" xfId="3845" xr:uid="{00000000-0005-0000-0000-00002E010000}"/>
    <cellStyle name="20% - 강조색1 27 13" xfId="3846" xr:uid="{00000000-0005-0000-0000-00002F010000}"/>
    <cellStyle name="20% - 강조색1 27 14" xfId="3847" xr:uid="{00000000-0005-0000-0000-000030010000}"/>
    <cellStyle name="20% - 강조색1 27 15" xfId="3842" xr:uid="{00000000-0005-0000-0000-000031010000}"/>
    <cellStyle name="20% - 강조색1 27 2" xfId="50" xr:uid="{00000000-0005-0000-0000-000032010000}"/>
    <cellStyle name="20% - 강조색1 27 2 2" xfId="3848" xr:uid="{00000000-0005-0000-0000-000033010000}"/>
    <cellStyle name="20% - 강조색1 27 3" xfId="3849" xr:uid="{00000000-0005-0000-0000-000034010000}"/>
    <cellStyle name="20% - 강조색1 27 4" xfId="3850" xr:uid="{00000000-0005-0000-0000-000035010000}"/>
    <cellStyle name="20% - 강조색1 27 5" xfId="3851" xr:uid="{00000000-0005-0000-0000-000036010000}"/>
    <cellStyle name="20% - 강조색1 27 6" xfId="3852" xr:uid="{00000000-0005-0000-0000-000037010000}"/>
    <cellStyle name="20% - 강조색1 27 7" xfId="3853" xr:uid="{00000000-0005-0000-0000-000038010000}"/>
    <cellStyle name="20% - 강조색1 27 8" xfId="3854" xr:uid="{00000000-0005-0000-0000-000039010000}"/>
    <cellStyle name="20% - 강조색1 27 9" xfId="3855" xr:uid="{00000000-0005-0000-0000-00003A010000}"/>
    <cellStyle name="20% - 강조색1 28" xfId="51" xr:uid="{00000000-0005-0000-0000-00003B010000}"/>
    <cellStyle name="20% - 강조색1 28 10" xfId="3857" xr:uid="{00000000-0005-0000-0000-00003C010000}"/>
    <cellStyle name="20% - 강조색1 28 11" xfId="3858" xr:uid="{00000000-0005-0000-0000-00003D010000}"/>
    <cellStyle name="20% - 강조색1 28 12" xfId="3859" xr:uid="{00000000-0005-0000-0000-00003E010000}"/>
    <cellStyle name="20% - 강조색1 28 13" xfId="3860" xr:uid="{00000000-0005-0000-0000-00003F010000}"/>
    <cellStyle name="20% - 강조색1 28 14" xfId="3861" xr:uid="{00000000-0005-0000-0000-000040010000}"/>
    <cellStyle name="20% - 강조색1 28 15" xfId="3856" xr:uid="{00000000-0005-0000-0000-000041010000}"/>
    <cellStyle name="20% - 강조색1 28 2" xfId="52" xr:uid="{00000000-0005-0000-0000-000042010000}"/>
    <cellStyle name="20% - 강조색1 28 2 2" xfId="3862" xr:uid="{00000000-0005-0000-0000-000043010000}"/>
    <cellStyle name="20% - 강조색1 28 3" xfId="3863" xr:uid="{00000000-0005-0000-0000-000044010000}"/>
    <cellStyle name="20% - 강조색1 28 4" xfId="3864" xr:uid="{00000000-0005-0000-0000-000045010000}"/>
    <cellStyle name="20% - 강조색1 28 5" xfId="3865" xr:uid="{00000000-0005-0000-0000-000046010000}"/>
    <cellStyle name="20% - 강조색1 28 6" xfId="3866" xr:uid="{00000000-0005-0000-0000-000047010000}"/>
    <cellStyle name="20% - 강조색1 28 7" xfId="3867" xr:uid="{00000000-0005-0000-0000-000048010000}"/>
    <cellStyle name="20% - 강조색1 28 8" xfId="3868" xr:uid="{00000000-0005-0000-0000-000049010000}"/>
    <cellStyle name="20% - 강조색1 28 9" xfId="3869" xr:uid="{00000000-0005-0000-0000-00004A010000}"/>
    <cellStyle name="20% - 강조색1 29" xfId="53" xr:uid="{00000000-0005-0000-0000-00004B010000}"/>
    <cellStyle name="20% - 강조색1 29 10" xfId="3871" xr:uid="{00000000-0005-0000-0000-00004C010000}"/>
    <cellStyle name="20% - 강조색1 29 11" xfId="3872" xr:uid="{00000000-0005-0000-0000-00004D010000}"/>
    <cellStyle name="20% - 강조색1 29 12" xfId="3873" xr:uid="{00000000-0005-0000-0000-00004E010000}"/>
    <cellStyle name="20% - 강조색1 29 13" xfId="3874" xr:uid="{00000000-0005-0000-0000-00004F010000}"/>
    <cellStyle name="20% - 강조색1 29 14" xfId="3875" xr:uid="{00000000-0005-0000-0000-000050010000}"/>
    <cellStyle name="20% - 강조색1 29 15" xfId="3870" xr:uid="{00000000-0005-0000-0000-000051010000}"/>
    <cellStyle name="20% - 강조색1 29 2" xfId="54" xr:uid="{00000000-0005-0000-0000-000052010000}"/>
    <cellStyle name="20% - 강조색1 29 2 2" xfId="3876" xr:uid="{00000000-0005-0000-0000-000053010000}"/>
    <cellStyle name="20% - 강조색1 29 3" xfId="3877" xr:uid="{00000000-0005-0000-0000-000054010000}"/>
    <cellStyle name="20% - 강조색1 29 4" xfId="3878" xr:uid="{00000000-0005-0000-0000-000055010000}"/>
    <cellStyle name="20% - 강조색1 29 5" xfId="3879" xr:uid="{00000000-0005-0000-0000-000056010000}"/>
    <cellStyle name="20% - 강조색1 29 6" xfId="3880" xr:uid="{00000000-0005-0000-0000-000057010000}"/>
    <cellStyle name="20% - 강조색1 29 7" xfId="3881" xr:uid="{00000000-0005-0000-0000-000058010000}"/>
    <cellStyle name="20% - 강조색1 29 8" xfId="3882" xr:uid="{00000000-0005-0000-0000-000059010000}"/>
    <cellStyle name="20% - 강조색1 29 9" xfId="3883" xr:uid="{00000000-0005-0000-0000-00005A010000}"/>
    <cellStyle name="20% - 강조색1 3" xfId="55" xr:uid="{00000000-0005-0000-0000-00005B010000}"/>
    <cellStyle name="20% - 강조색1 3 10" xfId="3885" xr:uid="{00000000-0005-0000-0000-00005C010000}"/>
    <cellStyle name="20% - 강조색1 3 11" xfId="3886" xr:uid="{00000000-0005-0000-0000-00005D010000}"/>
    <cellStyle name="20% - 강조색1 3 12" xfId="3887" xr:uid="{00000000-0005-0000-0000-00005E010000}"/>
    <cellStyle name="20% - 강조색1 3 13" xfId="3888" xr:uid="{00000000-0005-0000-0000-00005F010000}"/>
    <cellStyle name="20% - 강조색1 3 14" xfId="3889" xr:uid="{00000000-0005-0000-0000-000060010000}"/>
    <cellStyle name="20% - 강조색1 3 15" xfId="3884" xr:uid="{00000000-0005-0000-0000-000061010000}"/>
    <cellStyle name="20% - 강조색1 3 16" xfId="28189" xr:uid="{00000000-0005-0000-0000-000062010000}"/>
    <cellStyle name="20% - 강조색1 3 2" xfId="56" xr:uid="{00000000-0005-0000-0000-000063010000}"/>
    <cellStyle name="20% - 강조색1 3 2 2" xfId="3890" xr:uid="{00000000-0005-0000-0000-000064010000}"/>
    <cellStyle name="20% - 강조색1 3 3" xfId="3891" xr:uid="{00000000-0005-0000-0000-000065010000}"/>
    <cellStyle name="20% - 강조색1 3 4" xfId="3892" xr:uid="{00000000-0005-0000-0000-000066010000}"/>
    <cellStyle name="20% - 강조색1 3 5" xfId="3893" xr:uid="{00000000-0005-0000-0000-000067010000}"/>
    <cellStyle name="20% - 강조색1 3 6" xfId="3894" xr:uid="{00000000-0005-0000-0000-000068010000}"/>
    <cellStyle name="20% - 강조색1 3 7" xfId="3895" xr:uid="{00000000-0005-0000-0000-000069010000}"/>
    <cellStyle name="20% - 강조색1 3 8" xfId="3896" xr:uid="{00000000-0005-0000-0000-00006A010000}"/>
    <cellStyle name="20% - 강조색1 3 9" xfId="3897" xr:uid="{00000000-0005-0000-0000-00006B010000}"/>
    <cellStyle name="20% - 강조색1 30" xfId="57" xr:uid="{00000000-0005-0000-0000-00006C010000}"/>
    <cellStyle name="20% - 강조색1 30 10" xfId="3899" xr:uid="{00000000-0005-0000-0000-00006D010000}"/>
    <cellStyle name="20% - 강조색1 30 11" xfId="3900" xr:uid="{00000000-0005-0000-0000-00006E010000}"/>
    <cellStyle name="20% - 강조색1 30 12" xfId="3901" xr:uid="{00000000-0005-0000-0000-00006F010000}"/>
    <cellStyle name="20% - 강조색1 30 13" xfId="3902" xr:uid="{00000000-0005-0000-0000-000070010000}"/>
    <cellStyle name="20% - 강조색1 30 14" xfId="3903" xr:uid="{00000000-0005-0000-0000-000071010000}"/>
    <cellStyle name="20% - 강조색1 30 15" xfId="3898" xr:uid="{00000000-0005-0000-0000-000072010000}"/>
    <cellStyle name="20% - 강조색1 30 2" xfId="58" xr:uid="{00000000-0005-0000-0000-000073010000}"/>
    <cellStyle name="20% - 강조색1 30 2 2" xfId="3904" xr:uid="{00000000-0005-0000-0000-000074010000}"/>
    <cellStyle name="20% - 강조색1 30 3" xfId="3905" xr:uid="{00000000-0005-0000-0000-000075010000}"/>
    <cellStyle name="20% - 강조색1 30 4" xfId="3906" xr:uid="{00000000-0005-0000-0000-000076010000}"/>
    <cellStyle name="20% - 강조색1 30 5" xfId="3907" xr:uid="{00000000-0005-0000-0000-000077010000}"/>
    <cellStyle name="20% - 강조색1 30 6" xfId="3908" xr:uid="{00000000-0005-0000-0000-000078010000}"/>
    <cellStyle name="20% - 강조색1 30 7" xfId="3909" xr:uid="{00000000-0005-0000-0000-000079010000}"/>
    <cellStyle name="20% - 강조색1 30 8" xfId="3910" xr:uid="{00000000-0005-0000-0000-00007A010000}"/>
    <cellStyle name="20% - 강조색1 30 9" xfId="3911" xr:uid="{00000000-0005-0000-0000-00007B010000}"/>
    <cellStyle name="20% - 강조색1 31" xfId="59" xr:uid="{00000000-0005-0000-0000-00007C010000}"/>
    <cellStyle name="20% - 강조색1 31 10" xfId="3913" xr:uid="{00000000-0005-0000-0000-00007D010000}"/>
    <cellStyle name="20% - 강조색1 31 11" xfId="3914" xr:uid="{00000000-0005-0000-0000-00007E010000}"/>
    <cellStyle name="20% - 강조색1 31 12" xfId="3915" xr:uid="{00000000-0005-0000-0000-00007F010000}"/>
    <cellStyle name="20% - 강조색1 31 13" xfId="3916" xr:uid="{00000000-0005-0000-0000-000080010000}"/>
    <cellStyle name="20% - 강조색1 31 14" xfId="3917" xr:uid="{00000000-0005-0000-0000-000081010000}"/>
    <cellStyle name="20% - 강조색1 31 15" xfId="3912" xr:uid="{00000000-0005-0000-0000-000082010000}"/>
    <cellStyle name="20% - 강조색1 31 2" xfId="60" xr:uid="{00000000-0005-0000-0000-000083010000}"/>
    <cellStyle name="20% - 강조색1 31 2 2" xfId="3918" xr:uid="{00000000-0005-0000-0000-000084010000}"/>
    <cellStyle name="20% - 강조색1 31 3" xfId="3919" xr:uid="{00000000-0005-0000-0000-000085010000}"/>
    <cellStyle name="20% - 강조색1 31 4" xfId="3920" xr:uid="{00000000-0005-0000-0000-000086010000}"/>
    <cellStyle name="20% - 강조색1 31 5" xfId="3921" xr:uid="{00000000-0005-0000-0000-000087010000}"/>
    <cellStyle name="20% - 강조색1 31 6" xfId="3922" xr:uid="{00000000-0005-0000-0000-000088010000}"/>
    <cellStyle name="20% - 강조색1 31 7" xfId="3923" xr:uid="{00000000-0005-0000-0000-000089010000}"/>
    <cellStyle name="20% - 강조색1 31 8" xfId="3924" xr:uid="{00000000-0005-0000-0000-00008A010000}"/>
    <cellStyle name="20% - 강조색1 31 9" xfId="3925" xr:uid="{00000000-0005-0000-0000-00008B010000}"/>
    <cellStyle name="20% - 강조색1 32" xfId="61" xr:uid="{00000000-0005-0000-0000-00008C010000}"/>
    <cellStyle name="20% - 강조색1 32 10" xfId="3927" xr:uid="{00000000-0005-0000-0000-00008D010000}"/>
    <cellStyle name="20% - 강조색1 32 11" xfId="3928" xr:uid="{00000000-0005-0000-0000-00008E010000}"/>
    <cellStyle name="20% - 강조색1 32 12" xfId="3929" xr:uid="{00000000-0005-0000-0000-00008F010000}"/>
    <cellStyle name="20% - 강조색1 32 13" xfId="3930" xr:uid="{00000000-0005-0000-0000-000090010000}"/>
    <cellStyle name="20% - 강조색1 32 14" xfId="3931" xr:uid="{00000000-0005-0000-0000-000091010000}"/>
    <cellStyle name="20% - 강조색1 32 15" xfId="3926" xr:uid="{00000000-0005-0000-0000-000092010000}"/>
    <cellStyle name="20% - 강조색1 32 2" xfId="62" xr:uid="{00000000-0005-0000-0000-000093010000}"/>
    <cellStyle name="20% - 강조색1 32 2 2" xfId="3932" xr:uid="{00000000-0005-0000-0000-000094010000}"/>
    <cellStyle name="20% - 강조색1 32 3" xfId="3933" xr:uid="{00000000-0005-0000-0000-000095010000}"/>
    <cellStyle name="20% - 강조색1 32 4" xfId="3934" xr:uid="{00000000-0005-0000-0000-000096010000}"/>
    <cellStyle name="20% - 강조색1 32 5" xfId="3935" xr:uid="{00000000-0005-0000-0000-000097010000}"/>
    <cellStyle name="20% - 강조색1 32 6" xfId="3936" xr:uid="{00000000-0005-0000-0000-000098010000}"/>
    <cellStyle name="20% - 강조색1 32 7" xfId="3937" xr:uid="{00000000-0005-0000-0000-000099010000}"/>
    <cellStyle name="20% - 강조색1 32 8" xfId="3938" xr:uid="{00000000-0005-0000-0000-00009A010000}"/>
    <cellStyle name="20% - 강조색1 32 9" xfId="3939" xr:uid="{00000000-0005-0000-0000-00009B010000}"/>
    <cellStyle name="20% - 강조색1 33" xfId="63" xr:uid="{00000000-0005-0000-0000-00009C010000}"/>
    <cellStyle name="20% - 강조색1 33 10" xfId="3941" xr:uid="{00000000-0005-0000-0000-00009D010000}"/>
    <cellStyle name="20% - 강조색1 33 11" xfId="3942" xr:uid="{00000000-0005-0000-0000-00009E010000}"/>
    <cellStyle name="20% - 강조색1 33 12" xfId="3943" xr:uid="{00000000-0005-0000-0000-00009F010000}"/>
    <cellStyle name="20% - 강조색1 33 13" xfId="3944" xr:uid="{00000000-0005-0000-0000-0000A0010000}"/>
    <cellStyle name="20% - 강조색1 33 14" xfId="3945" xr:uid="{00000000-0005-0000-0000-0000A1010000}"/>
    <cellStyle name="20% - 강조색1 33 15" xfId="3940" xr:uid="{00000000-0005-0000-0000-0000A2010000}"/>
    <cellStyle name="20% - 강조색1 33 2" xfId="64" xr:uid="{00000000-0005-0000-0000-0000A3010000}"/>
    <cellStyle name="20% - 강조색1 33 2 2" xfId="3946" xr:uid="{00000000-0005-0000-0000-0000A4010000}"/>
    <cellStyle name="20% - 강조색1 33 3" xfId="3947" xr:uid="{00000000-0005-0000-0000-0000A5010000}"/>
    <cellStyle name="20% - 강조색1 33 4" xfId="3948" xr:uid="{00000000-0005-0000-0000-0000A6010000}"/>
    <cellStyle name="20% - 강조색1 33 5" xfId="3949" xr:uid="{00000000-0005-0000-0000-0000A7010000}"/>
    <cellStyle name="20% - 강조색1 33 6" xfId="3950" xr:uid="{00000000-0005-0000-0000-0000A8010000}"/>
    <cellStyle name="20% - 강조색1 33 7" xfId="3951" xr:uid="{00000000-0005-0000-0000-0000A9010000}"/>
    <cellStyle name="20% - 강조색1 33 8" xfId="3952" xr:uid="{00000000-0005-0000-0000-0000AA010000}"/>
    <cellStyle name="20% - 강조색1 33 9" xfId="3953" xr:uid="{00000000-0005-0000-0000-0000AB010000}"/>
    <cellStyle name="20% - 강조색1 34" xfId="65" xr:uid="{00000000-0005-0000-0000-0000AC010000}"/>
    <cellStyle name="20% - 강조색1 34 10" xfId="3955" xr:uid="{00000000-0005-0000-0000-0000AD010000}"/>
    <cellStyle name="20% - 강조색1 34 11" xfId="3956" xr:uid="{00000000-0005-0000-0000-0000AE010000}"/>
    <cellStyle name="20% - 강조색1 34 12" xfId="3957" xr:uid="{00000000-0005-0000-0000-0000AF010000}"/>
    <cellStyle name="20% - 강조색1 34 13" xfId="3958" xr:uid="{00000000-0005-0000-0000-0000B0010000}"/>
    <cellStyle name="20% - 강조색1 34 14" xfId="3959" xr:uid="{00000000-0005-0000-0000-0000B1010000}"/>
    <cellStyle name="20% - 강조색1 34 15" xfId="3954" xr:uid="{00000000-0005-0000-0000-0000B2010000}"/>
    <cellStyle name="20% - 강조색1 34 2" xfId="66" xr:uid="{00000000-0005-0000-0000-0000B3010000}"/>
    <cellStyle name="20% - 강조색1 34 2 2" xfId="3960" xr:uid="{00000000-0005-0000-0000-0000B4010000}"/>
    <cellStyle name="20% - 강조색1 34 3" xfId="3961" xr:uid="{00000000-0005-0000-0000-0000B5010000}"/>
    <cellStyle name="20% - 강조색1 34 4" xfId="3962" xr:uid="{00000000-0005-0000-0000-0000B6010000}"/>
    <cellStyle name="20% - 강조색1 34 5" xfId="3963" xr:uid="{00000000-0005-0000-0000-0000B7010000}"/>
    <cellStyle name="20% - 강조색1 34 6" xfId="3964" xr:uid="{00000000-0005-0000-0000-0000B8010000}"/>
    <cellStyle name="20% - 강조색1 34 7" xfId="3965" xr:uid="{00000000-0005-0000-0000-0000B9010000}"/>
    <cellStyle name="20% - 강조색1 34 8" xfId="3966" xr:uid="{00000000-0005-0000-0000-0000BA010000}"/>
    <cellStyle name="20% - 강조색1 34 9" xfId="3967" xr:uid="{00000000-0005-0000-0000-0000BB010000}"/>
    <cellStyle name="20% - 강조색1 35" xfId="67" xr:uid="{00000000-0005-0000-0000-0000BC010000}"/>
    <cellStyle name="20% - 강조색1 35 10" xfId="3969" xr:uid="{00000000-0005-0000-0000-0000BD010000}"/>
    <cellStyle name="20% - 강조색1 35 11" xfId="3970" xr:uid="{00000000-0005-0000-0000-0000BE010000}"/>
    <cellStyle name="20% - 강조색1 35 12" xfId="3971" xr:uid="{00000000-0005-0000-0000-0000BF010000}"/>
    <cellStyle name="20% - 강조색1 35 13" xfId="3972" xr:uid="{00000000-0005-0000-0000-0000C0010000}"/>
    <cellStyle name="20% - 강조색1 35 14" xfId="3973" xr:uid="{00000000-0005-0000-0000-0000C1010000}"/>
    <cellStyle name="20% - 강조색1 35 15" xfId="3968" xr:uid="{00000000-0005-0000-0000-0000C2010000}"/>
    <cellStyle name="20% - 강조색1 35 2" xfId="68" xr:uid="{00000000-0005-0000-0000-0000C3010000}"/>
    <cellStyle name="20% - 강조색1 35 2 2" xfId="3974" xr:uid="{00000000-0005-0000-0000-0000C4010000}"/>
    <cellStyle name="20% - 강조색1 35 3" xfId="3975" xr:uid="{00000000-0005-0000-0000-0000C5010000}"/>
    <cellStyle name="20% - 강조색1 35 4" xfId="3976" xr:uid="{00000000-0005-0000-0000-0000C6010000}"/>
    <cellStyle name="20% - 강조색1 35 5" xfId="3977" xr:uid="{00000000-0005-0000-0000-0000C7010000}"/>
    <cellStyle name="20% - 강조색1 35 6" xfId="3978" xr:uid="{00000000-0005-0000-0000-0000C8010000}"/>
    <cellStyle name="20% - 강조색1 35 7" xfId="3979" xr:uid="{00000000-0005-0000-0000-0000C9010000}"/>
    <cellStyle name="20% - 강조색1 35 8" xfId="3980" xr:uid="{00000000-0005-0000-0000-0000CA010000}"/>
    <cellStyle name="20% - 강조색1 35 9" xfId="3981" xr:uid="{00000000-0005-0000-0000-0000CB010000}"/>
    <cellStyle name="20% - 강조색1 36" xfId="69" xr:uid="{00000000-0005-0000-0000-0000CC010000}"/>
    <cellStyle name="20% - 강조색1 36 10" xfId="3983" xr:uid="{00000000-0005-0000-0000-0000CD010000}"/>
    <cellStyle name="20% - 강조색1 36 11" xfId="3984" xr:uid="{00000000-0005-0000-0000-0000CE010000}"/>
    <cellStyle name="20% - 강조색1 36 12" xfId="3985" xr:uid="{00000000-0005-0000-0000-0000CF010000}"/>
    <cellStyle name="20% - 강조색1 36 13" xfId="3986" xr:uid="{00000000-0005-0000-0000-0000D0010000}"/>
    <cellStyle name="20% - 강조색1 36 14" xfId="3987" xr:uid="{00000000-0005-0000-0000-0000D1010000}"/>
    <cellStyle name="20% - 강조색1 36 15" xfId="3982" xr:uid="{00000000-0005-0000-0000-0000D2010000}"/>
    <cellStyle name="20% - 강조색1 36 2" xfId="70" xr:uid="{00000000-0005-0000-0000-0000D3010000}"/>
    <cellStyle name="20% - 강조색1 36 2 2" xfId="3988" xr:uid="{00000000-0005-0000-0000-0000D4010000}"/>
    <cellStyle name="20% - 강조색1 36 3" xfId="3989" xr:uid="{00000000-0005-0000-0000-0000D5010000}"/>
    <cellStyle name="20% - 강조색1 36 4" xfId="3990" xr:uid="{00000000-0005-0000-0000-0000D6010000}"/>
    <cellStyle name="20% - 강조색1 36 5" xfId="3991" xr:uid="{00000000-0005-0000-0000-0000D7010000}"/>
    <cellStyle name="20% - 강조색1 36 6" xfId="3992" xr:uid="{00000000-0005-0000-0000-0000D8010000}"/>
    <cellStyle name="20% - 강조색1 36 7" xfId="3993" xr:uid="{00000000-0005-0000-0000-0000D9010000}"/>
    <cellStyle name="20% - 강조색1 36 8" xfId="3994" xr:uid="{00000000-0005-0000-0000-0000DA010000}"/>
    <cellStyle name="20% - 강조색1 36 9" xfId="3995" xr:uid="{00000000-0005-0000-0000-0000DB010000}"/>
    <cellStyle name="20% - 강조색1 37" xfId="71" xr:uid="{00000000-0005-0000-0000-0000DC010000}"/>
    <cellStyle name="20% - 강조색1 37 10" xfId="3997" xr:uid="{00000000-0005-0000-0000-0000DD010000}"/>
    <cellStyle name="20% - 강조색1 37 11" xfId="3998" xr:uid="{00000000-0005-0000-0000-0000DE010000}"/>
    <cellStyle name="20% - 강조색1 37 12" xfId="3999" xr:uid="{00000000-0005-0000-0000-0000DF010000}"/>
    <cellStyle name="20% - 강조색1 37 13" xfId="4000" xr:uid="{00000000-0005-0000-0000-0000E0010000}"/>
    <cellStyle name="20% - 강조색1 37 14" xfId="4001" xr:uid="{00000000-0005-0000-0000-0000E1010000}"/>
    <cellStyle name="20% - 강조색1 37 15" xfId="3996" xr:uid="{00000000-0005-0000-0000-0000E2010000}"/>
    <cellStyle name="20% - 강조색1 37 2" xfId="72" xr:uid="{00000000-0005-0000-0000-0000E3010000}"/>
    <cellStyle name="20% - 강조색1 37 2 2" xfId="4002" xr:uid="{00000000-0005-0000-0000-0000E4010000}"/>
    <cellStyle name="20% - 강조색1 37 3" xfId="4003" xr:uid="{00000000-0005-0000-0000-0000E5010000}"/>
    <cellStyle name="20% - 강조색1 37 4" xfId="4004" xr:uid="{00000000-0005-0000-0000-0000E6010000}"/>
    <cellStyle name="20% - 강조색1 37 5" xfId="4005" xr:uid="{00000000-0005-0000-0000-0000E7010000}"/>
    <cellStyle name="20% - 강조색1 37 6" xfId="4006" xr:uid="{00000000-0005-0000-0000-0000E8010000}"/>
    <cellStyle name="20% - 강조색1 37 7" xfId="4007" xr:uid="{00000000-0005-0000-0000-0000E9010000}"/>
    <cellStyle name="20% - 강조색1 37 8" xfId="4008" xr:uid="{00000000-0005-0000-0000-0000EA010000}"/>
    <cellStyle name="20% - 강조색1 37 9" xfId="4009" xr:uid="{00000000-0005-0000-0000-0000EB010000}"/>
    <cellStyle name="20% - 강조색1 38" xfId="73" xr:uid="{00000000-0005-0000-0000-0000EC010000}"/>
    <cellStyle name="20% - 강조색1 38 10" xfId="4011" xr:uid="{00000000-0005-0000-0000-0000ED010000}"/>
    <cellStyle name="20% - 강조색1 38 11" xfId="4012" xr:uid="{00000000-0005-0000-0000-0000EE010000}"/>
    <cellStyle name="20% - 강조색1 38 12" xfId="4013" xr:uid="{00000000-0005-0000-0000-0000EF010000}"/>
    <cellStyle name="20% - 강조색1 38 13" xfId="4014" xr:uid="{00000000-0005-0000-0000-0000F0010000}"/>
    <cellStyle name="20% - 강조색1 38 14" xfId="4015" xr:uid="{00000000-0005-0000-0000-0000F1010000}"/>
    <cellStyle name="20% - 강조색1 38 15" xfId="4010" xr:uid="{00000000-0005-0000-0000-0000F2010000}"/>
    <cellStyle name="20% - 강조색1 38 2" xfId="74" xr:uid="{00000000-0005-0000-0000-0000F3010000}"/>
    <cellStyle name="20% - 강조색1 38 2 2" xfId="4016" xr:uid="{00000000-0005-0000-0000-0000F4010000}"/>
    <cellStyle name="20% - 강조색1 38 3" xfId="4017" xr:uid="{00000000-0005-0000-0000-0000F5010000}"/>
    <cellStyle name="20% - 강조색1 38 4" xfId="4018" xr:uid="{00000000-0005-0000-0000-0000F6010000}"/>
    <cellStyle name="20% - 강조색1 38 5" xfId="4019" xr:uid="{00000000-0005-0000-0000-0000F7010000}"/>
    <cellStyle name="20% - 강조색1 38 6" xfId="4020" xr:uid="{00000000-0005-0000-0000-0000F8010000}"/>
    <cellStyle name="20% - 강조색1 38 7" xfId="4021" xr:uid="{00000000-0005-0000-0000-0000F9010000}"/>
    <cellStyle name="20% - 강조색1 38 8" xfId="4022" xr:uid="{00000000-0005-0000-0000-0000FA010000}"/>
    <cellStyle name="20% - 강조색1 38 9" xfId="4023" xr:uid="{00000000-0005-0000-0000-0000FB010000}"/>
    <cellStyle name="20% - 강조색1 39" xfId="75" xr:uid="{00000000-0005-0000-0000-0000FC010000}"/>
    <cellStyle name="20% - 강조색1 39 10" xfId="4025" xr:uid="{00000000-0005-0000-0000-0000FD010000}"/>
    <cellStyle name="20% - 강조색1 39 11" xfId="4026" xr:uid="{00000000-0005-0000-0000-0000FE010000}"/>
    <cellStyle name="20% - 강조색1 39 12" xfId="4027" xr:uid="{00000000-0005-0000-0000-0000FF010000}"/>
    <cellStyle name="20% - 강조색1 39 13" xfId="4028" xr:uid="{00000000-0005-0000-0000-000000020000}"/>
    <cellStyle name="20% - 강조색1 39 14" xfId="4029" xr:uid="{00000000-0005-0000-0000-000001020000}"/>
    <cellStyle name="20% - 강조색1 39 15" xfId="4024" xr:uid="{00000000-0005-0000-0000-000002020000}"/>
    <cellStyle name="20% - 강조색1 39 2" xfId="76" xr:uid="{00000000-0005-0000-0000-000003020000}"/>
    <cellStyle name="20% - 강조색1 39 2 2" xfId="4030" xr:uid="{00000000-0005-0000-0000-000004020000}"/>
    <cellStyle name="20% - 강조색1 39 3" xfId="4031" xr:uid="{00000000-0005-0000-0000-000005020000}"/>
    <cellStyle name="20% - 강조색1 39 4" xfId="4032" xr:uid="{00000000-0005-0000-0000-000006020000}"/>
    <cellStyle name="20% - 강조색1 39 5" xfId="4033" xr:uid="{00000000-0005-0000-0000-000007020000}"/>
    <cellStyle name="20% - 강조색1 39 6" xfId="4034" xr:uid="{00000000-0005-0000-0000-000008020000}"/>
    <cellStyle name="20% - 강조색1 39 7" xfId="4035" xr:uid="{00000000-0005-0000-0000-000009020000}"/>
    <cellStyle name="20% - 강조색1 39 8" xfId="4036" xr:uid="{00000000-0005-0000-0000-00000A020000}"/>
    <cellStyle name="20% - 강조색1 39 9" xfId="4037" xr:uid="{00000000-0005-0000-0000-00000B020000}"/>
    <cellStyle name="20% - 강조색1 4" xfId="77" xr:uid="{00000000-0005-0000-0000-00000C020000}"/>
    <cellStyle name="20% - 강조색1 4 10" xfId="4039" xr:uid="{00000000-0005-0000-0000-00000D020000}"/>
    <cellStyle name="20% - 강조색1 4 11" xfId="4040" xr:uid="{00000000-0005-0000-0000-00000E020000}"/>
    <cellStyle name="20% - 강조색1 4 12" xfId="4041" xr:uid="{00000000-0005-0000-0000-00000F020000}"/>
    <cellStyle name="20% - 강조색1 4 13" xfId="4042" xr:uid="{00000000-0005-0000-0000-000010020000}"/>
    <cellStyle name="20% - 강조색1 4 14" xfId="4043" xr:uid="{00000000-0005-0000-0000-000011020000}"/>
    <cellStyle name="20% - 강조색1 4 15" xfId="4038" xr:uid="{00000000-0005-0000-0000-000012020000}"/>
    <cellStyle name="20% - 강조색1 4 16" xfId="27851" xr:uid="{00000000-0005-0000-0000-000013020000}"/>
    <cellStyle name="20% - 강조색1 4 2" xfId="78" xr:uid="{00000000-0005-0000-0000-000014020000}"/>
    <cellStyle name="20% - 강조색1 4 2 2" xfId="4044" xr:uid="{00000000-0005-0000-0000-000015020000}"/>
    <cellStyle name="20% - 강조색1 4 3" xfId="4045" xr:uid="{00000000-0005-0000-0000-000016020000}"/>
    <cellStyle name="20% - 강조색1 4 4" xfId="4046" xr:uid="{00000000-0005-0000-0000-000017020000}"/>
    <cellStyle name="20% - 강조색1 4 5" xfId="4047" xr:uid="{00000000-0005-0000-0000-000018020000}"/>
    <cellStyle name="20% - 강조색1 4 6" xfId="4048" xr:uid="{00000000-0005-0000-0000-000019020000}"/>
    <cellStyle name="20% - 강조색1 4 7" xfId="4049" xr:uid="{00000000-0005-0000-0000-00001A020000}"/>
    <cellStyle name="20% - 강조색1 4 8" xfId="4050" xr:uid="{00000000-0005-0000-0000-00001B020000}"/>
    <cellStyle name="20% - 강조색1 4 9" xfId="4051" xr:uid="{00000000-0005-0000-0000-00001C020000}"/>
    <cellStyle name="20% - 강조색1 40" xfId="79" xr:uid="{00000000-0005-0000-0000-00001D020000}"/>
    <cellStyle name="20% - 강조색1 40 10" xfId="4053" xr:uid="{00000000-0005-0000-0000-00001E020000}"/>
    <cellStyle name="20% - 강조색1 40 11" xfId="4054" xr:uid="{00000000-0005-0000-0000-00001F020000}"/>
    <cellStyle name="20% - 강조색1 40 12" xfId="4055" xr:uid="{00000000-0005-0000-0000-000020020000}"/>
    <cellStyle name="20% - 강조색1 40 13" xfId="4056" xr:uid="{00000000-0005-0000-0000-000021020000}"/>
    <cellStyle name="20% - 강조색1 40 14" xfId="4057" xr:uid="{00000000-0005-0000-0000-000022020000}"/>
    <cellStyle name="20% - 강조색1 40 15" xfId="4052" xr:uid="{00000000-0005-0000-0000-000023020000}"/>
    <cellStyle name="20% - 강조색1 40 2" xfId="80" xr:uid="{00000000-0005-0000-0000-000024020000}"/>
    <cellStyle name="20% - 강조색1 40 2 2" xfId="4058" xr:uid="{00000000-0005-0000-0000-000025020000}"/>
    <cellStyle name="20% - 강조색1 40 3" xfId="4059" xr:uid="{00000000-0005-0000-0000-000026020000}"/>
    <cellStyle name="20% - 강조색1 40 4" xfId="4060" xr:uid="{00000000-0005-0000-0000-000027020000}"/>
    <cellStyle name="20% - 강조색1 40 5" xfId="4061" xr:uid="{00000000-0005-0000-0000-000028020000}"/>
    <cellStyle name="20% - 강조색1 40 6" xfId="4062" xr:uid="{00000000-0005-0000-0000-000029020000}"/>
    <cellStyle name="20% - 강조색1 40 7" xfId="4063" xr:uid="{00000000-0005-0000-0000-00002A020000}"/>
    <cellStyle name="20% - 강조색1 40 8" xfId="4064" xr:uid="{00000000-0005-0000-0000-00002B020000}"/>
    <cellStyle name="20% - 강조색1 40 9" xfId="4065" xr:uid="{00000000-0005-0000-0000-00002C020000}"/>
    <cellStyle name="20% - 강조색1 41" xfId="81" xr:uid="{00000000-0005-0000-0000-00002D020000}"/>
    <cellStyle name="20% - 강조색1 41 10" xfId="4067" xr:uid="{00000000-0005-0000-0000-00002E020000}"/>
    <cellStyle name="20% - 강조색1 41 11" xfId="4068" xr:uid="{00000000-0005-0000-0000-00002F020000}"/>
    <cellStyle name="20% - 강조색1 41 12" xfId="4069" xr:uid="{00000000-0005-0000-0000-000030020000}"/>
    <cellStyle name="20% - 강조색1 41 13" xfId="4070" xr:uid="{00000000-0005-0000-0000-000031020000}"/>
    <cellStyle name="20% - 강조색1 41 14" xfId="4071" xr:uid="{00000000-0005-0000-0000-000032020000}"/>
    <cellStyle name="20% - 강조색1 41 15" xfId="4066" xr:uid="{00000000-0005-0000-0000-000033020000}"/>
    <cellStyle name="20% - 강조색1 41 2" xfId="82" xr:uid="{00000000-0005-0000-0000-000034020000}"/>
    <cellStyle name="20% - 강조색1 41 2 2" xfId="4072" xr:uid="{00000000-0005-0000-0000-000035020000}"/>
    <cellStyle name="20% - 강조색1 41 3" xfId="4073" xr:uid="{00000000-0005-0000-0000-000036020000}"/>
    <cellStyle name="20% - 강조색1 41 4" xfId="4074" xr:uid="{00000000-0005-0000-0000-000037020000}"/>
    <cellStyle name="20% - 강조색1 41 5" xfId="4075" xr:uid="{00000000-0005-0000-0000-000038020000}"/>
    <cellStyle name="20% - 강조색1 41 6" xfId="4076" xr:uid="{00000000-0005-0000-0000-000039020000}"/>
    <cellStyle name="20% - 강조색1 41 7" xfId="4077" xr:uid="{00000000-0005-0000-0000-00003A020000}"/>
    <cellStyle name="20% - 강조색1 41 8" xfId="4078" xr:uid="{00000000-0005-0000-0000-00003B020000}"/>
    <cellStyle name="20% - 강조색1 41 9" xfId="4079" xr:uid="{00000000-0005-0000-0000-00003C020000}"/>
    <cellStyle name="20% - 강조색1 42" xfId="83" xr:uid="{00000000-0005-0000-0000-00003D020000}"/>
    <cellStyle name="20% - 강조색1 42 10" xfId="4081" xr:uid="{00000000-0005-0000-0000-00003E020000}"/>
    <cellStyle name="20% - 강조색1 42 11" xfId="4082" xr:uid="{00000000-0005-0000-0000-00003F020000}"/>
    <cellStyle name="20% - 강조색1 42 12" xfId="4083" xr:uid="{00000000-0005-0000-0000-000040020000}"/>
    <cellStyle name="20% - 강조색1 42 13" xfId="4084" xr:uid="{00000000-0005-0000-0000-000041020000}"/>
    <cellStyle name="20% - 강조색1 42 14" xfId="4085" xr:uid="{00000000-0005-0000-0000-000042020000}"/>
    <cellStyle name="20% - 강조색1 42 15" xfId="4080" xr:uid="{00000000-0005-0000-0000-000043020000}"/>
    <cellStyle name="20% - 강조색1 42 2" xfId="84" xr:uid="{00000000-0005-0000-0000-000044020000}"/>
    <cellStyle name="20% - 강조색1 42 2 2" xfId="4086" xr:uid="{00000000-0005-0000-0000-000045020000}"/>
    <cellStyle name="20% - 강조색1 42 3" xfId="4087" xr:uid="{00000000-0005-0000-0000-000046020000}"/>
    <cellStyle name="20% - 강조색1 42 4" xfId="4088" xr:uid="{00000000-0005-0000-0000-000047020000}"/>
    <cellStyle name="20% - 강조색1 42 5" xfId="4089" xr:uid="{00000000-0005-0000-0000-000048020000}"/>
    <cellStyle name="20% - 강조색1 42 6" xfId="4090" xr:uid="{00000000-0005-0000-0000-000049020000}"/>
    <cellStyle name="20% - 강조색1 42 7" xfId="4091" xr:uid="{00000000-0005-0000-0000-00004A020000}"/>
    <cellStyle name="20% - 강조색1 42 8" xfId="4092" xr:uid="{00000000-0005-0000-0000-00004B020000}"/>
    <cellStyle name="20% - 강조색1 42 9" xfId="4093" xr:uid="{00000000-0005-0000-0000-00004C020000}"/>
    <cellStyle name="20% - 강조색1 43" xfId="85" xr:uid="{00000000-0005-0000-0000-00004D020000}"/>
    <cellStyle name="20% - 강조색1 43 10" xfId="4095" xr:uid="{00000000-0005-0000-0000-00004E020000}"/>
    <cellStyle name="20% - 강조색1 43 11" xfId="4096" xr:uid="{00000000-0005-0000-0000-00004F020000}"/>
    <cellStyle name="20% - 강조색1 43 12" xfId="4097" xr:uid="{00000000-0005-0000-0000-000050020000}"/>
    <cellStyle name="20% - 강조색1 43 13" xfId="4098" xr:uid="{00000000-0005-0000-0000-000051020000}"/>
    <cellStyle name="20% - 강조색1 43 14" xfId="4099" xr:uid="{00000000-0005-0000-0000-000052020000}"/>
    <cellStyle name="20% - 강조색1 43 15" xfId="4094" xr:uid="{00000000-0005-0000-0000-000053020000}"/>
    <cellStyle name="20% - 강조색1 43 2" xfId="86" xr:uid="{00000000-0005-0000-0000-000054020000}"/>
    <cellStyle name="20% - 강조색1 43 2 2" xfId="4100" xr:uid="{00000000-0005-0000-0000-000055020000}"/>
    <cellStyle name="20% - 강조색1 43 3" xfId="4101" xr:uid="{00000000-0005-0000-0000-000056020000}"/>
    <cellStyle name="20% - 강조색1 43 4" xfId="4102" xr:uid="{00000000-0005-0000-0000-000057020000}"/>
    <cellStyle name="20% - 강조색1 43 5" xfId="4103" xr:uid="{00000000-0005-0000-0000-000058020000}"/>
    <cellStyle name="20% - 강조색1 43 6" xfId="4104" xr:uid="{00000000-0005-0000-0000-000059020000}"/>
    <cellStyle name="20% - 강조색1 43 7" xfId="4105" xr:uid="{00000000-0005-0000-0000-00005A020000}"/>
    <cellStyle name="20% - 강조색1 43 8" xfId="4106" xr:uid="{00000000-0005-0000-0000-00005B020000}"/>
    <cellStyle name="20% - 강조색1 43 9" xfId="4107" xr:uid="{00000000-0005-0000-0000-00005C020000}"/>
    <cellStyle name="20% - 강조색1 44" xfId="87" xr:uid="{00000000-0005-0000-0000-00005D020000}"/>
    <cellStyle name="20% - 강조색1 44 2" xfId="4108" xr:uid="{00000000-0005-0000-0000-00005E020000}"/>
    <cellStyle name="20% - 강조색1 45" xfId="88" xr:uid="{00000000-0005-0000-0000-00005F020000}"/>
    <cellStyle name="20% - 강조색1 45 2" xfId="4109" xr:uid="{00000000-0005-0000-0000-000060020000}"/>
    <cellStyle name="20% - 강조색1 46" xfId="12" xr:uid="{00000000-0005-0000-0000-000061020000}"/>
    <cellStyle name="20% - 강조색1 47" xfId="3596" xr:uid="{00000000-0005-0000-0000-000062020000}"/>
    <cellStyle name="20% - 강조색1 5" xfId="89" xr:uid="{00000000-0005-0000-0000-000063020000}"/>
    <cellStyle name="20% - 강조색1 5 10" xfId="4111" xr:uid="{00000000-0005-0000-0000-000064020000}"/>
    <cellStyle name="20% - 강조색1 5 11" xfId="4112" xr:uid="{00000000-0005-0000-0000-000065020000}"/>
    <cellStyle name="20% - 강조색1 5 12" xfId="4113" xr:uid="{00000000-0005-0000-0000-000066020000}"/>
    <cellStyle name="20% - 강조색1 5 13" xfId="4114" xr:uid="{00000000-0005-0000-0000-000067020000}"/>
    <cellStyle name="20% - 강조색1 5 14" xfId="4115" xr:uid="{00000000-0005-0000-0000-000068020000}"/>
    <cellStyle name="20% - 강조색1 5 15" xfId="4110" xr:uid="{00000000-0005-0000-0000-000069020000}"/>
    <cellStyle name="20% - 강조색1 5 2" xfId="90" xr:uid="{00000000-0005-0000-0000-00006A020000}"/>
    <cellStyle name="20% - 강조색1 5 2 2" xfId="4116" xr:uid="{00000000-0005-0000-0000-00006B020000}"/>
    <cellStyle name="20% - 강조색1 5 3" xfId="4117" xr:uid="{00000000-0005-0000-0000-00006C020000}"/>
    <cellStyle name="20% - 강조색1 5 4" xfId="4118" xr:uid="{00000000-0005-0000-0000-00006D020000}"/>
    <cellStyle name="20% - 강조색1 5 5" xfId="4119" xr:uid="{00000000-0005-0000-0000-00006E020000}"/>
    <cellStyle name="20% - 강조색1 5 6" xfId="4120" xr:uid="{00000000-0005-0000-0000-00006F020000}"/>
    <cellStyle name="20% - 강조색1 5 7" xfId="4121" xr:uid="{00000000-0005-0000-0000-000070020000}"/>
    <cellStyle name="20% - 강조색1 5 8" xfId="4122" xr:uid="{00000000-0005-0000-0000-000071020000}"/>
    <cellStyle name="20% - 강조색1 5 9" xfId="4123" xr:uid="{00000000-0005-0000-0000-000072020000}"/>
    <cellStyle name="20% - 강조색1 6" xfId="91" xr:uid="{00000000-0005-0000-0000-000073020000}"/>
    <cellStyle name="20% - 강조색1 6 10" xfId="4125" xr:uid="{00000000-0005-0000-0000-000074020000}"/>
    <cellStyle name="20% - 강조색1 6 11" xfId="4126" xr:uid="{00000000-0005-0000-0000-000075020000}"/>
    <cellStyle name="20% - 강조색1 6 12" xfId="4127" xr:uid="{00000000-0005-0000-0000-000076020000}"/>
    <cellStyle name="20% - 강조색1 6 13" xfId="4128" xr:uid="{00000000-0005-0000-0000-000077020000}"/>
    <cellStyle name="20% - 강조색1 6 14" xfId="4129" xr:uid="{00000000-0005-0000-0000-000078020000}"/>
    <cellStyle name="20% - 강조색1 6 15" xfId="4124" xr:uid="{00000000-0005-0000-0000-000079020000}"/>
    <cellStyle name="20% - 강조색1 6 2" xfId="92" xr:uid="{00000000-0005-0000-0000-00007A020000}"/>
    <cellStyle name="20% - 강조색1 6 2 2" xfId="4130" xr:uid="{00000000-0005-0000-0000-00007B020000}"/>
    <cellStyle name="20% - 강조색1 6 3" xfId="4131" xr:uid="{00000000-0005-0000-0000-00007C020000}"/>
    <cellStyle name="20% - 강조색1 6 4" xfId="4132" xr:uid="{00000000-0005-0000-0000-00007D020000}"/>
    <cellStyle name="20% - 강조색1 6 5" xfId="4133" xr:uid="{00000000-0005-0000-0000-00007E020000}"/>
    <cellStyle name="20% - 강조색1 6 6" xfId="4134" xr:uid="{00000000-0005-0000-0000-00007F020000}"/>
    <cellStyle name="20% - 강조색1 6 7" xfId="4135" xr:uid="{00000000-0005-0000-0000-000080020000}"/>
    <cellStyle name="20% - 강조색1 6 8" xfId="4136" xr:uid="{00000000-0005-0000-0000-000081020000}"/>
    <cellStyle name="20% - 강조색1 6 9" xfId="4137" xr:uid="{00000000-0005-0000-0000-000082020000}"/>
    <cellStyle name="20% - 강조색1 7" xfId="93" xr:uid="{00000000-0005-0000-0000-000083020000}"/>
    <cellStyle name="20% - 강조색1 7 10" xfId="4139" xr:uid="{00000000-0005-0000-0000-000084020000}"/>
    <cellStyle name="20% - 강조색1 7 11" xfId="4140" xr:uid="{00000000-0005-0000-0000-000085020000}"/>
    <cellStyle name="20% - 강조색1 7 12" xfId="4141" xr:uid="{00000000-0005-0000-0000-000086020000}"/>
    <cellStyle name="20% - 강조색1 7 13" xfId="4142" xr:uid="{00000000-0005-0000-0000-000087020000}"/>
    <cellStyle name="20% - 강조색1 7 14" xfId="4143" xr:uid="{00000000-0005-0000-0000-000088020000}"/>
    <cellStyle name="20% - 강조색1 7 15" xfId="4138" xr:uid="{00000000-0005-0000-0000-000089020000}"/>
    <cellStyle name="20% - 강조색1 7 2" xfId="94" xr:uid="{00000000-0005-0000-0000-00008A020000}"/>
    <cellStyle name="20% - 강조색1 7 2 2" xfId="4144" xr:uid="{00000000-0005-0000-0000-00008B020000}"/>
    <cellStyle name="20% - 강조색1 7 3" xfId="4145" xr:uid="{00000000-0005-0000-0000-00008C020000}"/>
    <cellStyle name="20% - 강조색1 7 4" xfId="4146" xr:uid="{00000000-0005-0000-0000-00008D020000}"/>
    <cellStyle name="20% - 강조색1 7 5" xfId="4147" xr:uid="{00000000-0005-0000-0000-00008E020000}"/>
    <cellStyle name="20% - 강조색1 7 6" xfId="4148" xr:uid="{00000000-0005-0000-0000-00008F020000}"/>
    <cellStyle name="20% - 강조색1 7 7" xfId="4149" xr:uid="{00000000-0005-0000-0000-000090020000}"/>
    <cellStyle name="20% - 강조색1 7 8" xfId="4150" xr:uid="{00000000-0005-0000-0000-000091020000}"/>
    <cellStyle name="20% - 강조색1 7 9" xfId="4151" xr:uid="{00000000-0005-0000-0000-000092020000}"/>
    <cellStyle name="20% - 강조색1 8" xfId="95" xr:uid="{00000000-0005-0000-0000-000093020000}"/>
    <cellStyle name="20% - 강조색1 8 10" xfId="4153" xr:uid="{00000000-0005-0000-0000-000094020000}"/>
    <cellStyle name="20% - 강조색1 8 11" xfId="4154" xr:uid="{00000000-0005-0000-0000-000095020000}"/>
    <cellStyle name="20% - 강조색1 8 12" xfId="4155" xr:uid="{00000000-0005-0000-0000-000096020000}"/>
    <cellStyle name="20% - 강조색1 8 13" xfId="4156" xr:uid="{00000000-0005-0000-0000-000097020000}"/>
    <cellStyle name="20% - 강조색1 8 14" xfId="4157" xr:uid="{00000000-0005-0000-0000-000098020000}"/>
    <cellStyle name="20% - 강조색1 8 15" xfId="4152" xr:uid="{00000000-0005-0000-0000-000099020000}"/>
    <cellStyle name="20% - 강조색1 8 2" xfId="96" xr:uid="{00000000-0005-0000-0000-00009A020000}"/>
    <cellStyle name="20% - 강조색1 8 2 2" xfId="4158" xr:uid="{00000000-0005-0000-0000-00009B020000}"/>
    <cellStyle name="20% - 강조색1 8 3" xfId="4159" xr:uid="{00000000-0005-0000-0000-00009C020000}"/>
    <cellStyle name="20% - 강조색1 8 4" xfId="4160" xr:uid="{00000000-0005-0000-0000-00009D020000}"/>
    <cellStyle name="20% - 강조색1 8 5" xfId="4161" xr:uid="{00000000-0005-0000-0000-00009E020000}"/>
    <cellStyle name="20% - 강조색1 8 6" xfId="4162" xr:uid="{00000000-0005-0000-0000-00009F020000}"/>
    <cellStyle name="20% - 강조색1 8 7" xfId="4163" xr:uid="{00000000-0005-0000-0000-0000A0020000}"/>
    <cellStyle name="20% - 강조색1 8 8" xfId="4164" xr:uid="{00000000-0005-0000-0000-0000A1020000}"/>
    <cellStyle name="20% - 강조색1 8 9" xfId="4165" xr:uid="{00000000-0005-0000-0000-0000A2020000}"/>
    <cellStyle name="20% - 강조색1 9" xfId="97" xr:uid="{00000000-0005-0000-0000-0000A3020000}"/>
    <cellStyle name="20% - 강조색1 9 10" xfId="4167" xr:uid="{00000000-0005-0000-0000-0000A4020000}"/>
    <cellStyle name="20% - 강조색1 9 11" xfId="4168" xr:uid="{00000000-0005-0000-0000-0000A5020000}"/>
    <cellStyle name="20% - 강조색1 9 12" xfId="4169" xr:uid="{00000000-0005-0000-0000-0000A6020000}"/>
    <cellStyle name="20% - 강조색1 9 13" xfId="4170" xr:uid="{00000000-0005-0000-0000-0000A7020000}"/>
    <cellStyle name="20% - 강조색1 9 14" xfId="4171" xr:uid="{00000000-0005-0000-0000-0000A8020000}"/>
    <cellStyle name="20% - 강조색1 9 15" xfId="4166" xr:uid="{00000000-0005-0000-0000-0000A9020000}"/>
    <cellStyle name="20% - 강조색1 9 2" xfId="98" xr:uid="{00000000-0005-0000-0000-0000AA020000}"/>
    <cellStyle name="20% - 강조색1 9 2 2" xfId="4172" xr:uid="{00000000-0005-0000-0000-0000AB020000}"/>
    <cellStyle name="20% - 강조색1 9 3" xfId="4173" xr:uid="{00000000-0005-0000-0000-0000AC020000}"/>
    <cellStyle name="20% - 강조색1 9 4" xfId="4174" xr:uid="{00000000-0005-0000-0000-0000AD020000}"/>
    <cellStyle name="20% - 강조색1 9 5" xfId="4175" xr:uid="{00000000-0005-0000-0000-0000AE020000}"/>
    <cellStyle name="20% - 강조색1 9 6" xfId="4176" xr:uid="{00000000-0005-0000-0000-0000AF020000}"/>
    <cellStyle name="20% - 강조색1 9 7" xfId="4177" xr:uid="{00000000-0005-0000-0000-0000B0020000}"/>
    <cellStyle name="20% - 강조색1 9 8" xfId="4178" xr:uid="{00000000-0005-0000-0000-0000B1020000}"/>
    <cellStyle name="20% - 강조색1 9 9" xfId="4179" xr:uid="{00000000-0005-0000-0000-0000B2020000}"/>
    <cellStyle name="20% - 강조색2 10" xfId="100" xr:uid="{00000000-0005-0000-0000-0000B3020000}"/>
    <cellStyle name="20% - 강조색2 10 10" xfId="4182" xr:uid="{00000000-0005-0000-0000-0000B4020000}"/>
    <cellStyle name="20% - 강조색2 10 11" xfId="4183" xr:uid="{00000000-0005-0000-0000-0000B5020000}"/>
    <cellStyle name="20% - 강조색2 10 12" xfId="4184" xr:uid="{00000000-0005-0000-0000-0000B6020000}"/>
    <cellStyle name="20% - 강조색2 10 13" xfId="4185" xr:uid="{00000000-0005-0000-0000-0000B7020000}"/>
    <cellStyle name="20% - 강조색2 10 14" xfId="4186" xr:uid="{00000000-0005-0000-0000-0000B8020000}"/>
    <cellStyle name="20% - 강조색2 10 15" xfId="4181" xr:uid="{00000000-0005-0000-0000-0000B9020000}"/>
    <cellStyle name="20% - 강조색2 10 2" xfId="101" xr:uid="{00000000-0005-0000-0000-0000BA020000}"/>
    <cellStyle name="20% - 강조색2 10 2 2" xfId="4187" xr:uid="{00000000-0005-0000-0000-0000BB020000}"/>
    <cellStyle name="20% - 강조색2 10 3" xfId="4188" xr:uid="{00000000-0005-0000-0000-0000BC020000}"/>
    <cellStyle name="20% - 강조색2 10 4" xfId="4189" xr:uid="{00000000-0005-0000-0000-0000BD020000}"/>
    <cellStyle name="20% - 강조색2 10 5" xfId="4190" xr:uid="{00000000-0005-0000-0000-0000BE020000}"/>
    <cellStyle name="20% - 강조색2 10 6" xfId="4191" xr:uid="{00000000-0005-0000-0000-0000BF020000}"/>
    <cellStyle name="20% - 강조색2 10 7" xfId="4192" xr:uid="{00000000-0005-0000-0000-0000C0020000}"/>
    <cellStyle name="20% - 강조색2 10 8" xfId="4193" xr:uid="{00000000-0005-0000-0000-0000C1020000}"/>
    <cellStyle name="20% - 강조색2 10 9" xfId="4194" xr:uid="{00000000-0005-0000-0000-0000C2020000}"/>
    <cellStyle name="20% - 강조색2 11" xfId="102" xr:uid="{00000000-0005-0000-0000-0000C3020000}"/>
    <cellStyle name="20% - 강조색2 11 10" xfId="4196" xr:uid="{00000000-0005-0000-0000-0000C4020000}"/>
    <cellStyle name="20% - 강조색2 11 11" xfId="4197" xr:uid="{00000000-0005-0000-0000-0000C5020000}"/>
    <cellStyle name="20% - 강조색2 11 12" xfId="4198" xr:uid="{00000000-0005-0000-0000-0000C6020000}"/>
    <cellStyle name="20% - 강조색2 11 13" xfId="4199" xr:uid="{00000000-0005-0000-0000-0000C7020000}"/>
    <cellStyle name="20% - 강조색2 11 14" xfId="4200" xr:uid="{00000000-0005-0000-0000-0000C8020000}"/>
    <cellStyle name="20% - 강조색2 11 15" xfId="4195" xr:uid="{00000000-0005-0000-0000-0000C9020000}"/>
    <cellStyle name="20% - 강조색2 11 2" xfId="103" xr:uid="{00000000-0005-0000-0000-0000CA020000}"/>
    <cellStyle name="20% - 강조색2 11 2 2" xfId="4201" xr:uid="{00000000-0005-0000-0000-0000CB020000}"/>
    <cellStyle name="20% - 강조색2 11 3" xfId="4202" xr:uid="{00000000-0005-0000-0000-0000CC020000}"/>
    <cellStyle name="20% - 강조색2 11 4" xfId="4203" xr:uid="{00000000-0005-0000-0000-0000CD020000}"/>
    <cellStyle name="20% - 강조색2 11 5" xfId="4204" xr:uid="{00000000-0005-0000-0000-0000CE020000}"/>
    <cellStyle name="20% - 강조색2 11 6" xfId="4205" xr:uid="{00000000-0005-0000-0000-0000CF020000}"/>
    <cellStyle name="20% - 강조색2 11 7" xfId="4206" xr:uid="{00000000-0005-0000-0000-0000D0020000}"/>
    <cellStyle name="20% - 강조색2 11 8" xfId="4207" xr:uid="{00000000-0005-0000-0000-0000D1020000}"/>
    <cellStyle name="20% - 강조색2 11 9" xfId="4208" xr:uid="{00000000-0005-0000-0000-0000D2020000}"/>
    <cellStyle name="20% - 강조색2 12" xfId="104" xr:uid="{00000000-0005-0000-0000-0000D3020000}"/>
    <cellStyle name="20% - 강조색2 12 10" xfId="4210" xr:uid="{00000000-0005-0000-0000-0000D4020000}"/>
    <cellStyle name="20% - 강조색2 12 11" xfId="4211" xr:uid="{00000000-0005-0000-0000-0000D5020000}"/>
    <cellStyle name="20% - 강조색2 12 12" xfId="4212" xr:uid="{00000000-0005-0000-0000-0000D6020000}"/>
    <cellStyle name="20% - 강조색2 12 13" xfId="4213" xr:uid="{00000000-0005-0000-0000-0000D7020000}"/>
    <cellStyle name="20% - 강조색2 12 14" xfId="4214" xr:uid="{00000000-0005-0000-0000-0000D8020000}"/>
    <cellStyle name="20% - 강조색2 12 15" xfId="4209" xr:uid="{00000000-0005-0000-0000-0000D9020000}"/>
    <cellStyle name="20% - 강조색2 12 2" xfId="105" xr:uid="{00000000-0005-0000-0000-0000DA020000}"/>
    <cellStyle name="20% - 강조색2 12 2 2" xfId="4215" xr:uid="{00000000-0005-0000-0000-0000DB020000}"/>
    <cellStyle name="20% - 강조색2 12 3" xfId="4216" xr:uid="{00000000-0005-0000-0000-0000DC020000}"/>
    <cellStyle name="20% - 강조색2 12 4" xfId="4217" xr:uid="{00000000-0005-0000-0000-0000DD020000}"/>
    <cellStyle name="20% - 강조색2 12 5" xfId="4218" xr:uid="{00000000-0005-0000-0000-0000DE020000}"/>
    <cellStyle name="20% - 강조색2 12 6" xfId="4219" xr:uid="{00000000-0005-0000-0000-0000DF020000}"/>
    <cellStyle name="20% - 강조색2 12 7" xfId="4220" xr:uid="{00000000-0005-0000-0000-0000E0020000}"/>
    <cellStyle name="20% - 강조색2 12 8" xfId="4221" xr:uid="{00000000-0005-0000-0000-0000E1020000}"/>
    <cellStyle name="20% - 강조색2 12 9" xfId="4222" xr:uid="{00000000-0005-0000-0000-0000E2020000}"/>
    <cellStyle name="20% - 강조색2 13" xfId="106" xr:uid="{00000000-0005-0000-0000-0000E3020000}"/>
    <cellStyle name="20% - 강조색2 13 10" xfId="4224" xr:uid="{00000000-0005-0000-0000-0000E4020000}"/>
    <cellStyle name="20% - 강조색2 13 11" xfId="4225" xr:uid="{00000000-0005-0000-0000-0000E5020000}"/>
    <cellStyle name="20% - 강조색2 13 12" xfId="4226" xr:uid="{00000000-0005-0000-0000-0000E6020000}"/>
    <cellStyle name="20% - 강조색2 13 13" xfId="4227" xr:uid="{00000000-0005-0000-0000-0000E7020000}"/>
    <cellStyle name="20% - 강조색2 13 14" xfId="4228" xr:uid="{00000000-0005-0000-0000-0000E8020000}"/>
    <cellStyle name="20% - 강조색2 13 15" xfId="4223" xr:uid="{00000000-0005-0000-0000-0000E9020000}"/>
    <cellStyle name="20% - 강조색2 13 2" xfId="107" xr:uid="{00000000-0005-0000-0000-0000EA020000}"/>
    <cellStyle name="20% - 강조색2 13 2 2" xfId="4229" xr:uid="{00000000-0005-0000-0000-0000EB020000}"/>
    <cellStyle name="20% - 강조색2 13 3" xfId="4230" xr:uid="{00000000-0005-0000-0000-0000EC020000}"/>
    <cellStyle name="20% - 강조색2 13 4" xfId="4231" xr:uid="{00000000-0005-0000-0000-0000ED020000}"/>
    <cellStyle name="20% - 강조색2 13 5" xfId="4232" xr:uid="{00000000-0005-0000-0000-0000EE020000}"/>
    <cellStyle name="20% - 강조색2 13 6" xfId="4233" xr:uid="{00000000-0005-0000-0000-0000EF020000}"/>
    <cellStyle name="20% - 강조색2 13 7" xfId="4234" xr:uid="{00000000-0005-0000-0000-0000F0020000}"/>
    <cellStyle name="20% - 강조색2 13 8" xfId="4235" xr:uid="{00000000-0005-0000-0000-0000F1020000}"/>
    <cellStyle name="20% - 강조색2 13 9" xfId="4236" xr:uid="{00000000-0005-0000-0000-0000F2020000}"/>
    <cellStyle name="20% - 강조색2 14" xfId="108" xr:uid="{00000000-0005-0000-0000-0000F3020000}"/>
    <cellStyle name="20% - 강조색2 14 10" xfId="4238" xr:uid="{00000000-0005-0000-0000-0000F4020000}"/>
    <cellStyle name="20% - 강조색2 14 11" xfId="4239" xr:uid="{00000000-0005-0000-0000-0000F5020000}"/>
    <cellStyle name="20% - 강조색2 14 12" xfId="4240" xr:uid="{00000000-0005-0000-0000-0000F6020000}"/>
    <cellStyle name="20% - 강조색2 14 13" xfId="4241" xr:uid="{00000000-0005-0000-0000-0000F7020000}"/>
    <cellStyle name="20% - 강조색2 14 14" xfId="4242" xr:uid="{00000000-0005-0000-0000-0000F8020000}"/>
    <cellStyle name="20% - 강조색2 14 15" xfId="4237" xr:uid="{00000000-0005-0000-0000-0000F9020000}"/>
    <cellStyle name="20% - 강조색2 14 2" xfId="109" xr:uid="{00000000-0005-0000-0000-0000FA020000}"/>
    <cellStyle name="20% - 강조색2 14 2 2" xfId="4243" xr:uid="{00000000-0005-0000-0000-0000FB020000}"/>
    <cellStyle name="20% - 강조색2 14 3" xfId="4244" xr:uid="{00000000-0005-0000-0000-0000FC020000}"/>
    <cellStyle name="20% - 강조색2 14 4" xfId="4245" xr:uid="{00000000-0005-0000-0000-0000FD020000}"/>
    <cellStyle name="20% - 강조색2 14 5" xfId="4246" xr:uid="{00000000-0005-0000-0000-0000FE020000}"/>
    <cellStyle name="20% - 강조색2 14 6" xfId="4247" xr:uid="{00000000-0005-0000-0000-0000FF020000}"/>
    <cellStyle name="20% - 강조색2 14 7" xfId="4248" xr:uid="{00000000-0005-0000-0000-000000030000}"/>
    <cellStyle name="20% - 강조색2 14 8" xfId="4249" xr:uid="{00000000-0005-0000-0000-000001030000}"/>
    <cellStyle name="20% - 강조색2 14 9" xfId="4250" xr:uid="{00000000-0005-0000-0000-000002030000}"/>
    <cellStyle name="20% - 강조색2 15" xfId="110" xr:uid="{00000000-0005-0000-0000-000003030000}"/>
    <cellStyle name="20% - 강조색2 15 10" xfId="4252" xr:uid="{00000000-0005-0000-0000-000004030000}"/>
    <cellStyle name="20% - 강조색2 15 11" xfId="4253" xr:uid="{00000000-0005-0000-0000-000005030000}"/>
    <cellStyle name="20% - 강조색2 15 12" xfId="4254" xr:uid="{00000000-0005-0000-0000-000006030000}"/>
    <cellStyle name="20% - 강조색2 15 13" xfId="4255" xr:uid="{00000000-0005-0000-0000-000007030000}"/>
    <cellStyle name="20% - 강조색2 15 14" xfId="4256" xr:uid="{00000000-0005-0000-0000-000008030000}"/>
    <cellStyle name="20% - 강조색2 15 15" xfId="4251" xr:uid="{00000000-0005-0000-0000-000009030000}"/>
    <cellStyle name="20% - 강조색2 15 2" xfId="111" xr:uid="{00000000-0005-0000-0000-00000A030000}"/>
    <cellStyle name="20% - 강조색2 15 2 2" xfId="4257" xr:uid="{00000000-0005-0000-0000-00000B030000}"/>
    <cellStyle name="20% - 강조색2 15 3" xfId="4258" xr:uid="{00000000-0005-0000-0000-00000C030000}"/>
    <cellStyle name="20% - 강조색2 15 4" xfId="4259" xr:uid="{00000000-0005-0000-0000-00000D030000}"/>
    <cellStyle name="20% - 강조색2 15 5" xfId="4260" xr:uid="{00000000-0005-0000-0000-00000E030000}"/>
    <cellStyle name="20% - 강조색2 15 6" xfId="4261" xr:uid="{00000000-0005-0000-0000-00000F030000}"/>
    <cellStyle name="20% - 강조색2 15 7" xfId="4262" xr:uid="{00000000-0005-0000-0000-000010030000}"/>
    <cellStyle name="20% - 강조색2 15 8" xfId="4263" xr:uid="{00000000-0005-0000-0000-000011030000}"/>
    <cellStyle name="20% - 강조색2 15 9" xfId="4264" xr:uid="{00000000-0005-0000-0000-000012030000}"/>
    <cellStyle name="20% - 강조색2 16" xfId="112" xr:uid="{00000000-0005-0000-0000-000013030000}"/>
    <cellStyle name="20% - 강조색2 16 10" xfId="4266" xr:uid="{00000000-0005-0000-0000-000014030000}"/>
    <cellStyle name="20% - 강조색2 16 11" xfId="4267" xr:uid="{00000000-0005-0000-0000-000015030000}"/>
    <cellStyle name="20% - 강조색2 16 12" xfId="4268" xr:uid="{00000000-0005-0000-0000-000016030000}"/>
    <cellStyle name="20% - 강조색2 16 13" xfId="4269" xr:uid="{00000000-0005-0000-0000-000017030000}"/>
    <cellStyle name="20% - 강조색2 16 14" xfId="4270" xr:uid="{00000000-0005-0000-0000-000018030000}"/>
    <cellStyle name="20% - 강조색2 16 15" xfId="4265" xr:uid="{00000000-0005-0000-0000-000019030000}"/>
    <cellStyle name="20% - 강조색2 16 2" xfId="113" xr:uid="{00000000-0005-0000-0000-00001A030000}"/>
    <cellStyle name="20% - 강조색2 16 2 2" xfId="4271" xr:uid="{00000000-0005-0000-0000-00001B030000}"/>
    <cellStyle name="20% - 강조색2 16 3" xfId="4272" xr:uid="{00000000-0005-0000-0000-00001C030000}"/>
    <cellStyle name="20% - 강조색2 16 4" xfId="4273" xr:uid="{00000000-0005-0000-0000-00001D030000}"/>
    <cellStyle name="20% - 강조색2 16 5" xfId="4274" xr:uid="{00000000-0005-0000-0000-00001E030000}"/>
    <cellStyle name="20% - 강조색2 16 6" xfId="4275" xr:uid="{00000000-0005-0000-0000-00001F030000}"/>
    <cellStyle name="20% - 강조색2 16 7" xfId="4276" xr:uid="{00000000-0005-0000-0000-000020030000}"/>
    <cellStyle name="20% - 강조색2 16 8" xfId="4277" xr:uid="{00000000-0005-0000-0000-000021030000}"/>
    <cellStyle name="20% - 강조색2 16 9" xfId="4278" xr:uid="{00000000-0005-0000-0000-000022030000}"/>
    <cellStyle name="20% - 강조색2 17" xfId="114" xr:uid="{00000000-0005-0000-0000-000023030000}"/>
    <cellStyle name="20% - 강조색2 17 10" xfId="4280" xr:uid="{00000000-0005-0000-0000-000024030000}"/>
    <cellStyle name="20% - 강조색2 17 11" xfId="4281" xr:uid="{00000000-0005-0000-0000-000025030000}"/>
    <cellStyle name="20% - 강조색2 17 12" xfId="4282" xr:uid="{00000000-0005-0000-0000-000026030000}"/>
    <cellStyle name="20% - 강조색2 17 13" xfId="4283" xr:uid="{00000000-0005-0000-0000-000027030000}"/>
    <cellStyle name="20% - 강조색2 17 14" xfId="4284" xr:uid="{00000000-0005-0000-0000-000028030000}"/>
    <cellStyle name="20% - 강조색2 17 15" xfId="4279" xr:uid="{00000000-0005-0000-0000-000029030000}"/>
    <cellStyle name="20% - 강조색2 17 2" xfId="115" xr:uid="{00000000-0005-0000-0000-00002A030000}"/>
    <cellStyle name="20% - 강조색2 17 2 2" xfId="4285" xr:uid="{00000000-0005-0000-0000-00002B030000}"/>
    <cellStyle name="20% - 강조색2 17 3" xfId="4286" xr:uid="{00000000-0005-0000-0000-00002C030000}"/>
    <cellStyle name="20% - 강조색2 17 4" xfId="4287" xr:uid="{00000000-0005-0000-0000-00002D030000}"/>
    <cellStyle name="20% - 강조색2 17 5" xfId="4288" xr:uid="{00000000-0005-0000-0000-00002E030000}"/>
    <cellStyle name="20% - 강조색2 17 6" xfId="4289" xr:uid="{00000000-0005-0000-0000-00002F030000}"/>
    <cellStyle name="20% - 강조색2 17 7" xfId="4290" xr:uid="{00000000-0005-0000-0000-000030030000}"/>
    <cellStyle name="20% - 강조색2 17 8" xfId="4291" xr:uid="{00000000-0005-0000-0000-000031030000}"/>
    <cellStyle name="20% - 강조색2 17 9" xfId="4292" xr:uid="{00000000-0005-0000-0000-000032030000}"/>
    <cellStyle name="20% - 강조색2 18" xfId="116" xr:uid="{00000000-0005-0000-0000-000033030000}"/>
    <cellStyle name="20% - 강조색2 18 10" xfId="4294" xr:uid="{00000000-0005-0000-0000-000034030000}"/>
    <cellStyle name="20% - 강조색2 18 11" xfId="4295" xr:uid="{00000000-0005-0000-0000-000035030000}"/>
    <cellStyle name="20% - 강조색2 18 12" xfId="4296" xr:uid="{00000000-0005-0000-0000-000036030000}"/>
    <cellStyle name="20% - 강조색2 18 13" xfId="4297" xr:uid="{00000000-0005-0000-0000-000037030000}"/>
    <cellStyle name="20% - 강조색2 18 14" xfId="4298" xr:uid="{00000000-0005-0000-0000-000038030000}"/>
    <cellStyle name="20% - 강조색2 18 15" xfId="4293" xr:uid="{00000000-0005-0000-0000-000039030000}"/>
    <cellStyle name="20% - 강조색2 18 2" xfId="117" xr:uid="{00000000-0005-0000-0000-00003A030000}"/>
    <cellStyle name="20% - 강조색2 18 2 2" xfId="4299" xr:uid="{00000000-0005-0000-0000-00003B030000}"/>
    <cellStyle name="20% - 강조색2 18 3" xfId="4300" xr:uid="{00000000-0005-0000-0000-00003C030000}"/>
    <cellStyle name="20% - 강조색2 18 4" xfId="4301" xr:uid="{00000000-0005-0000-0000-00003D030000}"/>
    <cellStyle name="20% - 강조색2 18 5" xfId="4302" xr:uid="{00000000-0005-0000-0000-00003E030000}"/>
    <cellStyle name="20% - 강조색2 18 6" xfId="4303" xr:uid="{00000000-0005-0000-0000-00003F030000}"/>
    <cellStyle name="20% - 강조색2 18 7" xfId="4304" xr:uid="{00000000-0005-0000-0000-000040030000}"/>
    <cellStyle name="20% - 강조색2 18 8" xfId="4305" xr:uid="{00000000-0005-0000-0000-000041030000}"/>
    <cellStyle name="20% - 강조색2 18 9" xfId="4306" xr:uid="{00000000-0005-0000-0000-000042030000}"/>
    <cellStyle name="20% - 강조색2 19" xfId="118" xr:uid="{00000000-0005-0000-0000-000043030000}"/>
    <cellStyle name="20% - 강조색2 19 10" xfId="4308" xr:uid="{00000000-0005-0000-0000-000044030000}"/>
    <cellStyle name="20% - 강조색2 19 11" xfId="4309" xr:uid="{00000000-0005-0000-0000-000045030000}"/>
    <cellStyle name="20% - 강조색2 19 12" xfId="4310" xr:uid="{00000000-0005-0000-0000-000046030000}"/>
    <cellStyle name="20% - 강조색2 19 13" xfId="4311" xr:uid="{00000000-0005-0000-0000-000047030000}"/>
    <cellStyle name="20% - 강조색2 19 14" xfId="4312" xr:uid="{00000000-0005-0000-0000-000048030000}"/>
    <cellStyle name="20% - 강조색2 19 15" xfId="4307" xr:uid="{00000000-0005-0000-0000-000049030000}"/>
    <cellStyle name="20% - 강조색2 19 2" xfId="119" xr:uid="{00000000-0005-0000-0000-00004A030000}"/>
    <cellStyle name="20% - 강조색2 19 2 2" xfId="4313" xr:uid="{00000000-0005-0000-0000-00004B030000}"/>
    <cellStyle name="20% - 강조색2 19 3" xfId="4314" xr:uid="{00000000-0005-0000-0000-00004C030000}"/>
    <cellStyle name="20% - 강조색2 19 4" xfId="4315" xr:uid="{00000000-0005-0000-0000-00004D030000}"/>
    <cellStyle name="20% - 강조색2 19 5" xfId="4316" xr:uid="{00000000-0005-0000-0000-00004E030000}"/>
    <cellStyle name="20% - 강조색2 19 6" xfId="4317" xr:uid="{00000000-0005-0000-0000-00004F030000}"/>
    <cellStyle name="20% - 강조색2 19 7" xfId="4318" xr:uid="{00000000-0005-0000-0000-000050030000}"/>
    <cellStyle name="20% - 강조색2 19 8" xfId="4319" xr:uid="{00000000-0005-0000-0000-000051030000}"/>
    <cellStyle name="20% - 강조색2 19 9" xfId="4320" xr:uid="{00000000-0005-0000-0000-000052030000}"/>
    <cellStyle name="20% - 강조색2 2" xfId="120" xr:uid="{00000000-0005-0000-0000-000053030000}"/>
    <cellStyle name="20% - 강조색2 2 10" xfId="4322" xr:uid="{00000000-0005-0000-0000-000054030000}"/>
    <cellStyle name="20% - 강조색2 2 11" xfId="4323" xr:uid="{00000000-0005-0000-0000-000055030000}"/>
    <cellStyle name="20% - 강조색2 2 12" xfId="4324" xr:uid="{00000000-0005-0000-0000-000056030000}"/>
    <cellStyle name="20% - 강조색2 2 13" xfId="4325" xr:uid="{00000000-0005-0000-0000-000057030000}"/>
    <cellStyle name="20% - 강조색2 2 14" xfId="4326" xr:uid="{00000000-0005-0000-0000-000058030000}"/>
    <cellStyle name="20% - 강조색2 2 15" xfId="4321" xr:uid="{00000000-0005-0000-0000-000059030000}"/>
    <cellStyle name="20% - 강조색2 2 16" xfId="27933" xr:uid="{00000000-0005-0000-0000-00005A030000}"/>
    <cellStyle name="20% - 강조색2 2 2" xfId="121" xr:uid="{00000000-0005-0000-0000-00005B030000}"/>
    <cellStyle name="20% - 강조색2 2 2 2" xfId="4327" xr:uid="{00000000-0005-0000-0000-00005C030000}"/>
    <cellStyle name="20% - 강조색2 2 3" xfId="4328" xr:uid="{00000000-0005-0000-0000-00005D030000}"/>
    <cellStyle name="20% - 강조색2 2 4" xfId="4329" xr:uid="{00000000-0005-0000-0000-00005E030000}"/>
    <cellStyle name="20% - 강조색2 2 5" xfId="4330" xr:uid="{00000000-0005-0000-0000-00005F030000}"/>
    <cellStyle name="20% - 강조색2 2 6" xfId="4331" xr:uid="{00000000-0005-0000-0000-000060030000}"/>
    <cellStyle name="20% - 강조색2 2 7" xfId="4332" xr:uid="{00000000-0005-0000-0000-000061030000}"/>
    <cellStyle name="20% - 강조색2 2 8" xfId="4333" xr:uid="{00000000-0005-0000-0000-000062030000}"/>
    <cellStyle name="20% - 강조색2 2 9" xfId="4334" xr:uid="{00000000-0005-0000-0000-000063030000}"/>
    <cellStyle name="20% - 강조색2 20" xfId="122" xr:uid="{00000000-0005-0000-0000-000064030000}"/>
    <cellStyle name="20% - 강조색2 20 10" xfId="4336" xr:uid="{00000000-0005-0000-0000-000065030000}"/>
    <cellStyle name="20% - 강조색2 20 11" xfId="4337" xr:uid="{00000000-0005-0000-0000-000066030000}"/>
    <cellStyle name="20% - 강조색2 20 12" xfId="4338" xr:uid="{00000000-0005-0000-0000-000067030000}"/>
    <cellStyle name="20% - 강조색2 20 13" xfId="4339" xr:uid="{00000000-0005-0000-0000-000068030000}"/>
    <cellStyle name="20% - 강조색2 20 14" xfId="4340" xr:uid="{00000000-0005-0000-0000-000069030000}"/>
    <cellStyle name="20% - 강조색2 20 15" xfId="4335" xr:uid="{00000000-0005-0000-0000-00006A030000}"/>
    <cellStyle name="20% - 강조색2 20 2" xfId="123" xr:uid="{00000000-0005-0000-0000-00006B030000}"/>
    <cellStyle name="20% - 강조색2 20 2 2" xfId="4341" xr:uid="{00000000-0005-0000-0000-00006C030000}"/>
    <cellStyle name="20% - 강조색2 20 3" xfId="4342" xr:uid="{00000000-0005-0000-0000-00006D030000}"/>
    <cellStyle name="20% - 강조색2 20 4" xfId="4343" xr:uid="{00000000-0005-0000-0000-00006E030000}"/>
    <cellStyle name="20% - 강조색2 20 5" xfId="4344" xr:uid="{00000000-0005-0000-0000-00006F030000}"/>
    <cellStyle name="20% - 강조색2 20 6" xfId="4345" xr:uid="{00000000-0005-0000-0000-000070030000}"/>
    <cellStyle name="20% - 강조색2 20 7" xfId="4346" xr:uid="{00000000-0005-0000-0000-000071030000}"/>
    <cellStyle name="20% - 강조색2 20 8" xfId="4347" xr:uid="{00000000-0005-0000-0000-000072030000}"/>
    <cellStyle name="20% - 강조색2 20 9" xfId="4348" xr:uid="{00000000-0005-0000-0000-000073030000}"/>
    <cellStyle name="20% - 강조색2 21" xfId="124" xr:uid="{00000000-0005-0000-0000-000074030000}"/>
    <cellStyle name="20% - 강조색2 21 10" xfId="4350" xr:uid="{00000000-0005-0000-0000-000075030000}"/>
    <cellStyle name="20% - 강조색2 21 11" xfId="4351" xr:uid="{00000000-0005-0000-0000-000076030000}"/>
    <cellStyle name="20% - 강조색2 21 12" xfId="4352" xr:uid="{00000000-0005-0000-0000-000077030000}"/>
    <cellStyle name="20% - 강조색2 21 13" xfId="4353" xr:uid="{00000000-0005-0000-0000-000078030000}"/>
    <cellStyle name="20% - 강조색2 21 14" xfId="4354" xr:uid="{00000000-0005-0000-0000-000079030000}"/>
    <cellStyle name="20% - 강조색2 21 15" xfId="4349" xr:uid="{00000000-0005-0000-0000-00007A030000}"/>
    <cellStyle name="20% - 강조색2 21 2" xfId="125" xr:uid="{00000000-0005-0000-0000-00007B030000}"/>
    <cellStyle name="20% - 강조색2 21 2 2" xfId="4355" xr:uid="{00000000-0005-0000-0000-00007C030000}"/>
    <cellStyle name="20% - 강조색2 21 3" xfId="4356" xr:uid="{00000000-0005-0000-0000-00007D030000}"/>
    <cellStyle name="20% - 강조색2 21 4" xfId="4357" xr:uid="{00000000-0005-0000-0000-00007E030000}"/>
    <cellStyle name="20% - 강조색2 21 5" xfId="4358" xr:uid="{00000000-0005-0000-0000-00007F030000}"/>
    <cellStyle name="20% - 강조색2 21 6" xfId="4359" xr:uid="{00000000-0005-0000-0000-000080030000}"/>
    <cellStyle name="20% - 강조색2 21 7" xfId="4360" xr:uid="{00000000-0005-0000-0000-000081030000}"/>
    <cellStyle name="20% - 강조색2 21 8" xfId="4361" xr:uid="{00000000-0005-0000-0000-000082030000}"/>
    <cellStyle name="20% - 강조색2 21 9" xfId="4362" xr:uid="{00000000-0005-0000-0000-000083030000}"/>
    <cellStyle name="20% - 강조색2 22" xfId="126" xr:uid="{00000000-0005-0000-0000-000084030000}"/>
    <cellStyle name="20% - 강조색2 22 10" xfId="4364" xr:uid="{00000000-0005-0000-0000-000085030000}"/>
    <cellStyle name="20% - 강조색2 22 11" xfId="4365" xr:uid="{00000000-0005-0000-0000-000086030000}"/>
    <cellStyle name="20% - 강조색2 22 12" xfId="4366" xr:uid="{00000000-0005-0000-0000-000087030000}"/>
    <cellStyle name="20% - 강조색2 22 13" xfId="4367" xr:uid="{00000000-0005-0000-0000-000088030000}"/>
    <cellStyle name="20% - 강조색2 22 14" xfId="4368" xr:uid="{00000000-0005-0000-0000-000089030000}"/>
    <cellStyle name="20% - 강조색2 22 15" xfId="4363" xr:uid="{00000000-0005-0000-0000-00008A030000}"/>
    <cellStyle name="20% - 강조색2 22 2" xfId="127" xr:uid="{00000000-0005-0000-0000-00008B030000}"/>
    <cellStyle name="20% - 강조색2 22 2 2" xfId="4369" xr:uid="{00000000-0005-0000-0000-00008C030000}"/>
    <cellStyle name="20% - 강조색2 22 3" xfId="4370" xr:uid="{00000000-0005-0000-0000-00008D030000}"/>
    <cellStyle name="20% - 강조색2 22 4" xfId="4371" xr:uid="{00000000-0005-0000-0000-00008E030000}"/>
    <cellStyle name="20% - 강조색2 22 5" xfId="4372" xr:uid="{00000000-0005-0000-0000-00008F030000}"/>
    <cellStyle name="20% - 강조색2 22 6" xfId="4373" xr:uid="{00000000-0005-0000-0000-000090030000}"/>
    <cellStyle name="20% - 강조색2 22 7" xfId="4374" xr:uid="{00000000-0005-0000-0000-000091030000}"/>
    <cellStyle name="20% - 강조색2 22 8" xfId="4375" xr:uid="{00000000-0005-0000-0000-000092030000}"/>
    <cellStyle name="20% - 강조색2 22 9" xfId="4376" xr:uid="{00000000-0005-0000-0000-000093030000}"/>
    <cellStyle name="20% - 강조색2 23" xfId="128" xr:uid="{00000000-0005-0000-0000-000094030000}"/>
    <cellStyle name="20% - 강조색2 23 10" xfId="4378" xr:uid="{00000000-0005-0000-0000-000095030000}"/>
    <cellStyle name="20% - 강조색2 23 11" xfId="4379" xr:uid="{00000000-0005-0000-0000-000096030000}"/>
    <cellStyle name="20% - 강조색2 23 12" xfId="4380" xr:uid="{00000000-0005-0000-0000-000097030000}"/>
    <cellStyle name="20% - 강조색2 23 13" xfId="4381" xr:uid="{00000000-0005-0000-0000-000098030000}"/>
    <cellStyle name="20% - 강조색2 23 14" xfId="4382" xr:uid="{00000000-0005-0000-0000-000099030000}"/>
    <cellStyle name="20% - 강조색2 23 15" xfId="4377" xr:uid="{00000000-0005-0000-0000-00009A030000}"/>
    <cellStyle name="20% - 강조색2 23 2" xfId="129" xr:uid="{00000000-0005-0000-0000-00009B030000}"/>
    <cellStyle name="20% - 강조색2 23 2 2" xfId="4383" xr:uid="{00000000-0005-0000-0000-00009C030000}"/>
    <cellStyle name="20% - 강조색2 23 3" xfId="4384" xr:uid="{00000000-0005-0000-0000-00009D030000}"/>
    <cellStyle name="20% - 강조색2 23 4" xfId="4385" xr:uid="{00000000-0005-0000-0000-00009E030000}"/>
    <cellStyle name="20% - 강조색2 23 5" xfId="4386" xr:uid="{00000000-0005-0000-0000-00009F030000}"/>
    <cellStyle name="20% - 강조색2 23 6" xfId="4387" xr:uid="{00000000-0005-0000-0000-0000A0030000}"/>
    <cellStyle name="20% - 강조색2 23 7" xfId="4388" xr:uid="{00000000-0005-0000-0000-0000A1030000}"/>
    <cellStyle name="20% - 강조색2 23 8" xfId="4389" xr:uid="{00000000-0005-0000-0000-0000A2030000}"/>
    <cellStyle name="20% - 강조색2 23 9" xfId="4390" xr:uid="{00000000-0005-0000-0000-0000A3030000}"/>
    <cellStyle name="20% - 강조색2 24" xfId="130" xr:uid="{00000000-0005-0000-0000-0000A4030000}"/>
    <cellStyle name="20% - 강조색2 24 10" xfId="4392" xr:uid="{00000000-0005-0000-0000-0000A5030000}"/>
    <cellStyle name="20% - 강조색2 24 11" xfId="4393" xr:uid="{00000000-0005-0000-0000-0000A6030000}"/>
    <cellStyle name="20% - 강조색2 24 12" xfId="4394" xr:uid="{00000000-0005-0000-0000-0000A7030000}"/>
    <cellStyle name="20% - 강조색2 24 13" xfId="4395" xr:uid="{00000000-0005-0000-0000-0000A8030000}"/>
    <cellStyle name="20% - 강조색2 24 14" xfId="4396" xr:uid="{00000000-0005-0000-0000-0000A9030000}"/>
    <cellStyle name="20% - 강조색2 24 15" xfId="4391" xr:uid="{00000000-0005-0000-0000-0000AA030000}"/>
    <cellStyle name="20% - 강조색2 24 2" xfId="131" xr:uid="{00000000-0005-0000-0000-0000AB030000}"/>
    <cellStyle name="20% - 강조색2 24 2 2" xfId="4397" xr:uid="{00000000-0005-0000-0000-0000AC030000}"/>
    <cellStyle name="20% - 강조색2 24 3" xfId="4398" xr:uid="{00000000-0005-0000-0000-0000AD030000}"/>
    <cellStyle name="20% - 강조색2 24 4" xfId="4399" xr:uid="{00000000-0005-0000-0000-0000AE030000}"/>
    <cellStyle name="20% - 강조색2 24 5" xfId="4400" xr:uid="{00000000-0005-0000-0000-0000AF030000}"/>
    <cellStyle name="20% - 강조색2 24 6" xfId="4401" xr:uid="{00000000-0005-0000-0000-0000B0030000}"/>
    <cellStyle name="20% - 강조색2 24 7" xfId="4402" xr:uid="{00000000-0005-0000-0000-0000B1030000}"/>
    <cellStyle name="20% - 강조색2 24 8" xfId="4403" xr:uid="{00000000-0005-0000-0000-0000B2030000}"/>
    <cellStyle name="20% - 강조색2 24 9" xfId="4404" xr:uid="{00000000-0005-0000-0000-0000B3030000}"/>
    <cellStyle name="20% - 강조색2 25" xfId="132" xr:uid="{00000000-0005-0000-0000-0000B4030000}"/>
    <cellStyle name="20% - 강조색2 25 10" xfId="4406" xr:uid="{00000000-0005-0000-0000-0000B5030000}"/>
    <cellStyle name="20% - 강조색2 25 11" xfId="4407" xr:uid="{00000000-0005-0000-0000-0000B6030000}"/>
    <cellStyle name="20% - 강조색2 25 12" xfId="4408" xr:uid="{00000000-0005-0000-0000-0000B7030000}"/>
    <cellStyle name="20% - 강조색2 25 13" xfId="4409" xr:uid="{00000000-0005-0000-0000-0000B8030000}"/>
    <cellStyle name="20% - 강조색2 25 14" xfId="4410" xr:uid="{00000000-0005-0000-0000-0000B9030000}"/>
    <cellStyle name="20% - 강조색2 25 15" xfId="4405" xr:uid="{00000000-0005-0000-0000-0000BA030000}"/>
    <cellStyle name="20% - 강조색2 25 2" xfId="133" xr:uid="{00000000-0005-0000-0000-0000BB030000}"/>
    <cellStyle name="20% - 강조색2 25 2 2" xfId="4411" xr:uid="{00000000-0005-0000-0000-0000BC030000}"/>
    <cellStyle name="20% - 강조색2 25 3" xfId="4412" xr:uid="{00000000-0005-0000-0000-0000BD030000}"/>
    <cellStyle name="20% - 강조색2 25 4" xfId="4413" xr:uid="{00000000-0005-0000-0000-0000BE030000}"/>
    <cellStyle name="20% - 강조색2 25 5" xfId="4414" xr:uid="{00000000-0005-0000-0000-0000BF030000}"/>
    <cellStyle name="20% - 강조색2 25 6" xfId="4415" xr:uid="{00000000-0005-0000-0000-0000C0030000}"/>
    <cellStyle name="20% - 강조색2 25 7" xfId="4416" xr:uid="{00000000-0005-0000-0000-0000C1030000}"/>
    <cellStyle name="20% - 강조색2 25 8" xfId="4417" xr:uid="{00000000-0005-0000-0000-0000C2030000}"/>
    <cellStyle name="20% - 강조색2 25 9" xfId="4418" xr:uid="{00000000-0005-0000-0000-0000C3030000}"/>
    <cellStyle name="20% - 강조색2 26" xfId="134" xr:uid="{00000000-0005-0000-0000-0000C4030000}"/>
    <cellStyle name="20% - 강조색2 26 10" xfId="4420" xr:uid="{00000000-0005-0000-0000-0000C5030000}"/>
    <cellStyle name="20% - 강조색2 26 11" xfId="4421" xr:uid="{00000000-0005-0000-0000-0000C6030000}"/>
    <cellStyle name="20% - 강조색2 26 12" xfId="4422" xr:uid="{00000000-0005-0000-0000-0000C7030000}"/>
    <cellStyle name="20% - 강조색2 26 13" xfId="4423" xr:uid="{00000000-0005-0000-0000-0000C8030000}"/>
    <cellStyle name="20% - 강조색2 26 14" xfId="4424" xr:uid="{00000000-0005-0000-0000-0000C9030000}"/>
    <cellStyle name="20% - 강조색2 26 15" xfId="4419" xr:uid="{00000000-0005-0000-0000-0000CA030000}"/>
    <cellStyle name="20% - 강조색2 26 2" xfId="135" xr:uid="{00000000-0005-0000-0000-0000CB030000}"/>
    <cellStyle name="20% - 강조색2 26 2 2" xfId="4425" xr:uid="{00000000-0005-0000-0000-0000CC030000}"/>
    <cellStyle name="20% - 강조색2 26 3" xfId="4426" xr:uid="{00000000-0005-0000-0000-0000CD030000}"/>
    <cellStyle name="20% - 강조색2 26 4" xfId="4427" xr:uid="{00000000-0005-0000-0000-0000CE030000}"/>
    <cellStyle name="20% - 강조색2 26 5" xfId="4428" xr:uid="{00000000-0005-0000-0000-0000CF030000}"/>
    <cellStyle name="20% - 강조색2 26 6" xfId="4429" xr:uid="{00000000-0005-0000-0000-0000D0030000}"/>
    <cellStyle name="20% - 강조색2 26 7" xfId="4430" xr:uid="{00000000-0005-0000-0000-0000D1030000}"/>
    <cellStyle name="20% - 강조색2 26 8" xfId="4431" xr:uid="{00000000-0005-0000-0000-0000D2030000}"/>
    <cellStyle name="20% - 강조색2 26 9" xfId="4432" xr:uid="{00000000-0005-0000-0000-0000D3030000}"/>
    <cellStyle name="20% - 강조색2 27" xfId="136" xr:uid="{00000000-0005-0000-0000-0000D4030000}"/>
    <cellStyle name="20% - 강조색2 27 10" xfId="4434" xr:uid="{00000000-0005-0000-0000-0000D5030000}"/>
    <cellStyle name="20% - 강조색2 27 11" xfId="4435" xr:uid="{00000000-0005-0000-0000-0000D6030000}"/>
    <cellStyle name="20% - 강조색2 27 12" xfId="4436" xr:uid="{00000000-0005-0000-0000-0000D7030000}"/>
    <cellStyle name="20% - 강조색2 27 13" xfId="4437" xr:uid="{00000000-0005-0000-0000-0000D8030000}"/>
    <cellStyle name="20% - 강조색2 27 14" xfId="4438" xr:uid="{00000000-0005-0000-0000-0000D9030000}"/>
    <cellStyle name="20% - 강조색2 27 15" xfId="4433" xr:uid="{00000000-0005-0000-0000-0000DA030000}"/>
    <cellStyle name="20% - 강조색2 27 2" xfId="137" xr:uid="{00000000-0005-0000-0000-0000DB030000}"/>
    <cellStyle name="20% - 강조색2 27 2 2" xfId="4439" xr:uid="{00000000-0005-0000-0000-0000DC030000}"/>
    <cellStyle name="20% - 강조색2 27 3" xfId="4440" xr:uid="{00000000-0005-0000-0000-0000DD030000}"/>
    <cellStyle name="20% - 강조색2 27 4" xfId="4441" xr:uid="{00000000-0005-0000-0000-0000DE030000}"/>
    <cellStyle name="20% - 강조색2 27 5" xfId="4442" xr:uid="{00000000-0005-0000-0000-0000DF030000}"/>
    <cellStyle name="20% - 강조색2 27 6" xfId="4443" xr:uid="{00000000-0005-0000-0000-0000E0030000}"/>
    <cellStyle name="20% - 강조색2 27 7" xfId="4444" xr:uid="{00000000-0005-0000-0000-0000E1030000}"/>
    <cellStyle name="20% - 강조색2 27 8" xfId="4445" xr:uid="{00000000-0005-0000-0000-0000E2030000}"/>
    <cellStyle name="20% - 강조색2 27 9" xfId="4446" xr:uid="{00000000-0005-0000-0000-0000E3030000}"/>
    <cellStyle name="20% - 강조색2 28" xfId="138" xr:uid="{00000000-0005-0000-0000-0000E4030000}"/>
    <cellStyle name="20% - 강조색2 28 10" xfId="4448" xr:uid="{00000000-0005-0000-0000-0000E5030000}"/>
    <cellStyle name="20% - 강조색2 28 11" xfId="4449" xr:uid="{00000000-0005-0000-0000-0000E6030000}"/>
    <cellStyle name="20% - 강조색2 28 12" xfId="4450" xr:uid="{00000000-0005-0000-0000-0000E7030000}"/>
    <cellStyle name="20% - 강조색2 28 13" xfId="4451" xr:uid="{00000000-0005-0000-0000-0000E8030000}"/>
    <cellStyle name="20% - 강조색2 28 14" xfId="4452" xr:uid="{00000000-0005-0000-0000-0000E9030000}"/>
    <cellStyle name="20% - 강조색2 28 15" xfId="4447" xr:uid="{00000000-0005-0000-0000-0000EA030000}"/>
    <cellStyle name="20% - 강조색2 28 2" xfId="139" xr:uid="{00000000-0005-0000-0000-0000EB030000}"/>
    <cellStyle name="20% - 강조색2 28 2 2" xfId="4453" xr:uid="{00000000-0005-0000-0000-0000EC030000}"/>
    <cellStyle name="20% - 강조색2 28 3" xfId="4454" xr:uid="{00000000-0005-0000-0000-0000ED030000}"/>
    <cellStyle name="20% - 강조색2 28 4" xfId="4455" xr:uid="{00000000-0005-0000-0000-0000EE030000}"/>
    <cellStyle name="20% - 강조색2 28 5" xfId="4456" xr:uid="{00000000-0005-0000-0000-0000EF030000}"/>
    <cellStyle name="20% - 강조색2 28 6" xfId="4457" xr:uid="{00000000-0005-0000-0000-0000F0030000}"/>
    <cellStyle name="20% - 강조색2 28 7" xfId="4458" xr:uid="{00000000-0005-0000-0000-0000F1030000}"/>
    <cellStyle name="20% - 강조색2 28 8" xfId="4459" xr:uid="{00000000-0005-0000-0000-0000F2030000}"/>
    <cellStyle name="20% - 강조색2 28 9" xfId="4460" xr:uid="{00000000-0005-0000-0000-0000F3030000}"/>
    <cellStyle name="20% - 강조색2 29" xfId="140" xr:uid="{00000000-0005-0000-0000-0000F4030000}"/>
    <cellStyle name="20% - 강조색2 29 10" xfId="4462" xr:uid="{00000000-0005-0000-0000-0000F5030000}"/>
    <cellStyle name="20% - 강조색2 29 11" xfId="4463" xr:uid="{00000000-0005-0000-0000-0000F6030000}"/>
    <cellStyle name="20% - 강조색2 29 12" xfId="4464" xr:uid="{00000000-0005-0000-0000-0000F7030000}"/>
    <cellStyle name="20% - 강조색2 29 13" xfId="4465" xr:uid="{00000000-0005-0000-0000-0000F8030000}"/>
    <cellStyle name="20% - 강조색2 29 14" xfId="4466" xr:uid="{00000000-0005-0000-0000-0000F9030000}"/>
    <cellStyle name="20% - 강조색2 29 15" xfId="4461" xr:uid="{00000000-0005-0000-0000-0000FA030000}"/>
    <cellStyle name="20% - 강조색2 29 2" xfId="141" xr:uid="{00000000-0005-0000-0000-0000FB030000}"/>
    <cellStyle name="20% - 강조색2 29 2 2" xfId="4467" xr:uid="{00000000-0005-0000-0000-0000FC030000}"/>
    <cellStyle name="20% - 강조색2 29 3" xfId="4468" xr:uid="{00000000-0005-0000-0000-0000FD030000}"/>
    <cellStyle name="20% - 강조색2 29 4" xfId="4469" xr:uid="{00000000-0005-0000-0000-0000FE030000}"/>
    <cellStyle name="20% - 강조색2 29 5" xfId="4470" xr:uid="{00000000-0005-0000-0000-0000FF030000}"/>
    <cellStyle name="20% - 강조색2 29 6" xfId="4471" xr:uid="{00000000-0005-0000-0000-000000040000}"/>
    <cellStyle name="20% - 강조색2 29 7" xfId="4472" xr:uid="{00000000-0005-0000-0000-000001040000}"/>
    <cellStyle name="20% - 강조색2 29 8" xfId="4473" xr:uid="{00000000-0005-0000-0000-000002040000}"/>
    <cellStyle name="20% - 강조색2 29 9" xfId="4474" xr:uid="{00000000-0005-0000-0000-000003040000}"/>
    <cellStyle name="20% - 강조색2 3" xfId="142" xr:uid="{00000000-0005-0000-0000-000004040000}"/>
    <cellStyle name="20% - 강조색2 3 10" xfId="4476" xr:uid="{00000000-0005-0000-0000-000005040000}"/>
    <cellStyle name="20% - 강조색2 3 11" xfId="4477" xr:uid="{00000000-0005-0000-0000-000006040000}"/>
    <cellStyle name="20% - 강조색2 3 12" xfId="4478" xr:uid="{00000000-0005-0000-0000-000007040000}"/>
    <cellStyle name="20% - 강조색2 3 13" xfId="4479" xr:uid="{00000000-0005-0000-0000-000008040000}"/>
    <cellStyle name="20% - 강조색2 3 14" xfId="4480" xr:uid="{00000000-0005-0000-0000-000009040000}"/>
    <cellStyle name="20% - 강조색2 3 15" xfId="4475" xr:uid="{00000000-0005-0000-0000-00000A040000}"/>
    <cellStyle name="20% - 강조색2 3 16" xfId="28190" xr:uid="{00000000-0005-0000-0000-00000B040000}"/>
    <cellStyle name="20% - 강조색2 3 2" xfId="143" xr:uid="{00000000-0005-0000-0000-00000C040000}"/>
    <cellStyle name="20% - 강조색2 3 2 2" xfId="4481" xr:uid="{00000000-0005-0000-0000-00000D040000}"/>
    <cellStyle name="20% - 강조색2 3 3" xfId="4482" xr:uid="{00000000-0005-0000-0000-00000E040000}"/>
    <cellStyle name="20% - 강조색2 3 4" xfId="4483" xr:uid="{00000000-0005-0000-0000-00000F040000}"/>
    <cellStyle name="20% - 강조색2 3 5" xfId="4484" xr:uid="{00000000-0005-0000-0000-000010040000}"/>
    <cellStyle name="20% - 강조색2 3 6" xfId="4485" xr:uid="{00000000-0005-0000-0000-000011040000}"/>
    <cellStyle name="20% - 강조색2 3 7" xfId="4486" xr:uid="{00000000-0005-0000-0000-000012040000}"/>
    <cellStyle name="20% - 강조색2 3 8" xfId="4487" xr:uid="{00000000-0005-0000-0000-000013040000}"/>
    <cellStyle name="20% - 강조색2 3 9" xfId="4488" xr:uid="{00000000-0005-0000-0000-000014040000}"/>
    <cellStyle name="20% - 강조색2 30" xfId="144" xr:uid="{00000000-0005-0000-0000-000015040000}"/>
    <cellStyle name="20% - 강조색2 30 10" xfId="4490" xr:uid="{00000000-0005-0000-0000-000016040000}"/>
    <cellStyle name="20% - 강조색2 30 11" xfId="4491" xr:uid="{00000000-0005-0000-0000-000017040000}"/>
    <cellStyle name="20% - 강조색2 30 12" xfId="4492" xr:uid="{00000000-0005-0000-0000-000018040000}"/>
    <cellStyle name="20% - 강조색2 30 13" xfId="4493" xr:uid="{00000000-0005-0000-0000-000019040000}"/>
    <cellStyle name="20% - 강조색2 30 14" xfId="4494" xr:uid="{00000000-0005-0000-0000-00001A040000}"/>
    <cellStyle name="20% - 강조색2 30 15" xfId="4489" xr:uid="{00000000-0005-0000-0000-00001B040000}"/>
    <cellStyle name="20% - 강조색2 30 2" xfId="145" xr:uid="{00000000-0005-0000-0000-00001C040000}"/>
    <cellStyle name="20% - 강조색2 30 2 2" xfId="4495" xr:uid="{00000000-0005-0000-0000-00001D040000}"/>
    <cellStyle name="20% - 강조색2 30 3" xfId="4496" xr:uid="{00000000-0005-0000-0000-00001E040000}"/>
    <cellStyle name="20% - 강조색2 30 4" xfId="4497" xr:uid="{00000000-0005-0000-0000-00001F040000}"/>
    <cellStyle name="20% - 강조색2 30 5" xfId="4498" xr:uid="{00000000-0005-0000-0000-000020040000}"/>
    <cellStyle name="20% - 강조색2 30 6" xfId="4499" xr:uid="{00000000-0005-0000-0000-000021040000}"/>
    <cellStyle name="20% - 강조색2 30 7" xfId="4500" xr:uid="{00000000-0005-0000-0000-000022040000}"/>
    <cellStyle name="20% - 강조색2 30 8" xfId="4501" xr:uid="{00000000-0005-0000-0000-000023040000}"/>
    <cellStyle name="20% - 강조색2 30 9" xfId="4502" xr:uid="{00000000-0005-0000-0000-000024040000}"/>
    <cellStyle name="20% - 강조색2 31" xfId="146" xr:uid="{00000000-0005-0000-0000-000025040000}"/>
    <cellStyle name="20% - 강조색2 31 10" xfId="4504" xr:uid="{00000000-0005-0000-0000-000026040000}"/>
    <cellStyle name="20% - 강조색2 31 11" xfId="4505" xr:uid="{00000000-0005-0000-0000-000027040000}"/>
    <cellStyle name="20% - 강조색2 31 12" xfId="4506" xr:uid="{00000000-0005-0000-0000-000028040000}"/>
    <cellStyle name="20% - 강조색2 31 13" xfId="4507" xr:uid="{00000000-0005-0000-0000-000029040000}"/>
    <cellStyle name="20% - 강조색2 31 14" xfId="4508" xr:uid="{00000000-0005-0000-0000-00002A040000}"/>
    <cellStyle name="20% - 강조색2 31 15" xfId="4503" xr:uid="{00000000-0005-0000-0000-00002B040000}"/>
    <cellStyle name="20% - 강조색2 31 2" xfId="147" xr:uid="{00000000-0005-0000-0000-00002C040000}"/>
    <cellStyle name="20% - 강조색2 31 2 2" xfId="4509" xr:uid="{00000000-0005-0000-0000-00002D040000}"/>
    <cellStyle name="20% - 강조색2 31 3" xfId="4510" xr:uid="{00000000-0005-0000-0000-00002E040000}"/>
    <cellStyle name="20% - 강조색2 31 4" xfId="4511" xr:uid="{00000000-0005-0000-0000-00002F040000}"/>
    <cellStyle name="20% - 강조색2 31 5" xfId="4512" xr:uid="{00000000-0005-0000-0000-000030040000}"/>
    <cellStyle name="20% - 강조색2 31 6" xfId="4513" xr:uid="{00000000-0005-0000-0000-000031040000}"/>
    <cellStyle name="20% - 강조색2 31 7" xfId="4514" xr:uid="{00000000-0005-0000-0000-000032040000}"/>
    <cellStyle name="20% - 강조색2 31 8" xfId="4515" xr:uid="{00000000-0005-0000-0000-000033040000}"/>
    <cellStyle name="20% - 강조색2 31 9" xfId="4516" xr:uid="{00000000-0005-0000-0000-000034040000}"/>
    <cellStyle name="20% - 강조색2 32" xfId="148" xr:uid="{00000000-0005-0000-0000-000035040000}"/>
    <cellStyle name="20% - 강조색2 32 10" xfId="4518" xr:uid="{00000000-0005-0000-0000-000036040000}"/>
    <cellStyle name="20% - 강조색2 32 11" xfId="4519" xr:uid="{00000000-0005-0000-0000-000037040000}"/>
    <cellStyle name="20% - 강조색2 32 12" xfId="4520" xr:uid="{00000000-0005-0000-0000-000038040000}"/>
    <cellStyle name="20% - 강조색2 32 13" xfId="4521" xr:uid="{00000000-0005-0000-0000-000039040000}"/>
    <cellStyle name="20% - 강조색2 32 14" xfId="4522" xr:uid="{00000000-0005-0000-0000-00003A040000}"/>
    <cellStyle name="20% - 강조색2 32 15" xfId="4517" xr:uid="{00000000-0005-0000-0000-00003B040000}"/>
    <cellStyle name="20% - 강조색2 32 2" xfId="149" xr:uid="{00000000-0005-0000-0000-00003C040000}"/>
    <cellStyle name="20% - 강조색2 32 2 2" xfId="4523" xr:uid="{00000000-0005-0000-0000-00003D040000}"/>
    <cellStyle name="20% - 강조색2 32 3" xfId="4524" xr:uid="{00000000-0005-0000-0000-00003E040000}"/>
    <cellStyle name="20% - 강조색2 32 4" xfId="4525" xr:uid="{00000000-0005-0000-0000-00003F040000}"/>
    <cellStyle name="20% - 강조색2 32 5" xfId="4526" xr:uid="{00000000-0005-0000-0000-000040040000}"/>
    <cellStyle name="20% - 강조색2 32 6" xfId="4527" xr:uid="{00000000-0005-0000-0000-000041040000}"/>
    <cellStyle name="20% - 강조색2 32 7" xfId="4528" xr:uid="{00000000-0005-0000-0000-000042040000}"/>
    <cellStyle name="20% - 강조색2 32 8" xfId="4529" xr:uid="{00000000-0005-0000-0000-000043040000}"/>
    <cellStyle name="20% - 강조색2 32 9" xfId="4530" xr:uid="{00000000-0005-0000-0000-000044040000}"/>
    <cellStyle name="20% - 강조색2 33" xfId="150" xr:uid="{00000000-0005-0000-0000-000045040000}"/>
    <cellStyle name="20% - 강조색2 33 10" xfId="4532" xr:uid="{00000000-0005-0000-0000-000046040000}"/>
    <cellStyle name="20% - 강조색2 33 11" xfId="4533" xr:uid="{00000000-0005-0000-0000-000047040000}"/>
    <cellStyle name="20% - 강조색2 33 12" xfId="4534" xr:uid="{00000000-0005-0000-0000-000048040000}"/>
    <cellStyle name="20% - 강조색2 33 13" xfId="4535" xr:uid="{00000000-0005-0000-0000-000049040000}"/>
    <cellStyle name="20% - 강조색2 33 14" xfId="4536" xr:uid="{00000000-0005-0000-0000-00004A040000}"/>
    <cellStyle name="20% - 강조색2 33 15" xfId="4531" xr:uid="{00000000-0005-0000-0000-00004B040000}"/>
    <cellStyle name="20% - 강조색2 33 2" xfId="151" xr:uid="{00000000-0005-0000-0000-00004C040000}"/>
    <cellStyle name="20% - 강조색2 33 2 2" xfId="4537" xr:uid="{00000000-0005-0000-0000-00004D040000}"/>
    <cellStyle name="20% - 강조색2 33 3" xfId="4538" xr:uid="{00000000-0005-0000-0000-00004E040000}"/>
    <cellStyle name="20% - 강조색2 33 4" xfId="4539" xr:uid="{00000000-0005-0000-0000-00004F040000}"/>
    <cellStyle name="20% - 강조색2 33 5" xfId="4540" xr:uid="{00000000-0005-0000-0000-000050040000}"/>
    <cellStyle name="20% - 강조색2 33 6" xfId="4541" xr:uid="{00000000-0005-0000-0000-000051040000}"/>
    <cellStyle name="20% - 강조색2 33 7" xfId="4542" xr:uid="{00000000-0005-0000-0000-000052040000}"/>
    <cellStyle name="20% - 강조색2 33 8" xfId="4543" xr:uid="{00000000-0005-0000-0000-000053040000}"/>
    <cellStyle name="20% - 강조색2 33 9" xfId="4544" xr:uid="{00000000-0005-0000-0000-000054040000}"/>
    <cellStyle name="20% - 강조색2 34" xfId="152" xr:uid="{00000000-0005-0000-0000-000055040000}"/>
    <cellStyle name="20% - 강조색2 34 10" xfId="4546" xr:uid="{00000000-0005-0000-0000-000056040000}"/>
    <cellStyle name="20% - 강조색2 34 11" xfId="4547" xr:uid="{00000000-0005-0000-0000-000057040000}"/>
    <cellStyle name="20% - 강조색2 34 12" xfId="4548" xr:uid="{00000000-0005-0000-0000-000058040000}"/>
    <cellStyle name="20% - 강조색2 34 13" xfId="4549" xr:uid="{00000000-0005-0000-0000-000059040000}"/>
    <cellStyle name="20% - 강조색2 34 14" xfId="4550" xr:uid="{00000000-0005-0000-0000-00005A040000}"/>
    <cellStyle name="20% - 강조색2 34 15" xfId="4545" xr:uid="{00000000-0005-0000-0000-00005B040000}"/>
    <cellStyle name="20% - 강조색2 34 2" xfId="153" xr:uid="{00000000-0005-0000-0000-00005C040000}"/>
    <cellStyle name="20% - 강조색2 34 2 2" xfId="4551" xr:uid="{00000000-0005-0000-0000-00005D040000}"/>
    <cellStyle name="20% - 강조색2 34 3" xfId="4552" xr:uid="{00000000-0005-0000-0000-00005E040000}"/>
    <cellStyle name="20% - 강조색2 34 4" xfId="4553" xr:uid="{00000000-0005-0000-0000-00005F040000}"/>
    <cellStyle name="20% - 강조색2 34 5" xfId="4554" xr:uid="{00000000-0005-0000-0000-000060040000}"/>
    <cellStyle name="20% - 강조색2 34 6" xfId="4555" xr:uid="{00000000-0005-0000-0000-000061040000}"/>
    <cellStyle name="20% - 강조색2 34 7" xfId="4556" xr:uid="{00000000-0005-0000-0000-000062040000}"/>
    <cellStyle name="20% - 강조색2 34 8" xfId="4557" xr:uid="{00000000-0005-0000-0000-000063040000}"/>
    <cellStyle name="20% - 강조색2 34 9" xfId="4558" xr:uid="{00000000-0005-0000-0000-000064040000}"/>
    <cellStyle name="20% - 강조색2 35" xfId="154" xr:uid="{00000000-0005-0000-0000-000065040000}"/>
    <cellStyle name="20% - 강조색2 35 10" xfId="4560" xr:uid="{00000000-0005-0000-0000-000066040000}"/>
    <cellStyle name="20% - 강조색2 35 11" xfId="4561" xr:uid="{00000000-0005-0000-0000-000067040000}"/>
    <cellStyle name="20% - 강조색2 35 12" xfId="4562" xr:uid="{00000000-0005-0000-0000-000068040000}"/>
    <cellStyle name="20% - 강조색2 35 13" xfId="4563" xr:uid="{00000000-0005-0000-0000-000069040000}"/>
    <cellStyle name="20% - 강조색2 35 14" xfId="4564" xr:uid="{00000000-0005-0000-0000-00006A040000}"/>
    <cellStyle name="20% - 강조색2 35 15" xfId="4559" xr:uid="{00000000-0005-0000-0000-00006B040000}"/>
    <cellStyle name="20% - 강조색2 35 2" xfId="155" xr:uid="{00000000-0005-0000-0000-00006C040000}"/>
    <cellStyle name="20% - 강조색2 35 2 2" xfId="4565" xr:uid="{00000000-0005-0000-0000-00006D040000}"/>
    <cellStyle name="20% - 강조색2 35 3" xfId="4566" xr:uid="{00000000-0005-0000-0000-00006E040000}"/>
    <cellStyle name="20% - 강조색2 35 4" xfId="4567" xr:uid="{00000000-0005-0000-0000-00006F040000}"/>
    <cellStyle name="20% - 강조색2 35 5" xfId="4568" xr:uid="{00000000-0005-0000-0000-000070040000}"/>
    <cellStyle name="20% - 강조색2 35 6" xfId="4569" xr:uid="{00000000-0005-0000-0000-000071040000}"/>
    <cellStyle name="20% - 강조색2 35 7" xfId="4570" xr:uid="{00000000-0005-0000-0000-000072040000}"/>
    <cellStyle name="20% - 강조색2 35 8" xfId="4571" xr:uid="{00000000-0005-0000-0000-000073040000}"/>
    <cellStyle name="20% - 강조색2 35 9" xfId="4572" xr:uid="{00000000-0005-0000-0000-000074040000}"/>
    <cellStyle name="20% - 강조색2 36" xfId="156" xr:uid="{00000000-0005-0000-0000-000075040000}"/>
    <cellStyle name="20% - 강조색2 36 10" xfId="4574" xr:uid="{00000000-0005-0000-0000-000076040000}"/>
    <cellStyle name="20% - 강조색2 36 11" xfId="4575" xr:uid="{00000000-0005-0000-0000-000077040000}"/>
    <cellStyle name="20% - 강조색2 36 12" xfId="4576" xr:uid="{00000000-0005-0000-0000-000078040000}"/>
    <cellStyle name="20% - 강조색2 36 13" xfId="4577" xr:uid="{00000000-0005-0000-0000-000079040000}"/>
    <cellStyle name="20% - 강조색2 36 14" xfId="4578" xr:uid="{00000000-0005-0000-0000-00007A040000}"/>
    <cellStyle name="20% - 강조색2 36 15" xfId="4573" xr:uid="{00000000-0005-0000-0000-00007B040000}"/>
    <cellStyle name="20% - 강조색2 36 2" xfId="157" xr:uid="{00000000-0005-0000-0000-00007C040000}"/>
    <cellStyle name="20% - 강조색2 36 2 2" xfId="4579" xr:uid="{00000000-0005-0000-0000-00007D040000}"/>
    <cellStyle name="20% - 강조색2 36 3" xfId="4580" xr:uid="{00000000-0005-0000-0000-00007E040000}"/>
    <cellStyle name="20% - 강조색2 36 4" xfId="4581" xr:uid="{00000000-0005-0000-0000-00007F040000}"/>
    <cellStyle name="20% - 강조색2 36 5" xfId="4582" xr:uid="{00000000-0005-0000-0000-000080040000}"/>
    <cellStyle name="20% - 강조색2 36 6" xfId="4583" xr:uid="{00000000-0005-0000-0000-000081040000}"/>
    <cellStyle name="20% - 강조색2 36 7" xfId="4584" xr:uid="{00000000-0005-0000-0000-000082040000}"/>
    <cellStyle name="20% - 강조색2 36 8" xfId="4585" xr:uid="{00000000-0005-0000-0000-000083040000}"/>
    <cellStyle name="20% - 강조색2 36 9" xfId="4586" xr:uid="{00000000-0005-0000-0000-000084040000}"/>
    <cellStyle name="20% - 강조색2 37" xfId="158" xr:uid="{00000000-0005-0000-0000-000085040000}"/>
    <cellStyle name="20% - 강조색2 37 10" xfId="4588" xr:uid="{00000000-0005-0000-0000-000086040000}"/>
    <cellStyle name="20% - 강조색2 37 11" xfId="4589" xr:uid="{00000000-0005-0000-0000-000087040000}"/>
    <cellStyle name="20% - 강조색2 37 12" xfId="4590" xr:uid="{00000000-0005-0000-0000-000088040000}"/>
    <cellStyle name="20% - 강조색2 37 13" xfId="4591" xr:uid="{00000000-0005-0000-0000-000089040000}"/>
    <cellStyle name="20% - 강조색2 37 14" xfId="4592" xr:uid="{00000000-0005-0000-0000-00008A040000}"/>
    <cellStyle name="20% - 강조색2 37 15" xfId="4587" xr:uid="{00000000-0005-0000-0000-00008B040000}"/>
    <cellStyle name="20% - 강조색2 37 2" xfId="159" xr:uid="{00000000-0005-0000-0000-00008C040000}"/>
    <cellStyle name="20% - 강조색2 37 2 2" xfId="4593" xr:uid="{00000000-0005-0000-0000-00008D040000}"/>
    <cellStyle name="20% - 강조색2 37 3" xfId="4594" xr:uid="{00000000-0005-0000-0000-00008E040000}"/>
    <cellStyle name="20% - 강조색2 37 4" xfId="4595" xr:uid="{00000000-0005-0000-0000-00008F040000}"/>
    <cellStyle name="20% - 강조색2 37 5" xfId="4596" xr:uid="{00000000-0005-0000-0000-000090040000}"/>
    <cellStyle name="20% - 강조색2 37 6" xfId="4597" xr:uid="{00000000-0005-0000-0000-000091040000}"/>
    <cellStyle name="20% - 강조색2 37 7" xfId="4598" xr:uid="{00000000-0005-0000-0000-000092040000}"/>
    <cellStyle name="20% - 강조색2 37 8" xfId="4599" xr:uid="{00000000-0005-0000-0000-000093040000}"/>
    <cellStyle name="20% - 강조색2 37 9" xfId="4600" xr:uid="{00000000-0005-0000-0000-000094040000}"/>
    <cellStyle name="20% - 강조색2 38" xfId="160" xr:uid="{00000000-0005-0000-0000-000095040000}"/>
    <cellStyle name="20% - 강조색2 38 10" xfId="4602" xr:uid="{00000000-0005-0000-0000-000096040000}"/>
    <cellStyle name="20% - 강조색2 38 11" xfId="4603" xr:uid="{00000000-0005-0000-0000-000097040000}"/>
    <cellStyle name="20% - 강조색2 38 12" xfId="4604" xr:uid="{00000000-0005-0000-0000-000098040000}"/>
    <cellStyle name="20% - 강조색2 38 13" xfId="4605" xr:uid="{00000000-0005-0000-0000-000099040000}"/>
    <cellStyle name="20% - 강조색2 38 14" xfId="4606" xr:uid="{00000000-0005-0000-0000-00009A040000}"/>
    <cellStyle name="20% - 강조색2 38 15" xfId="4601" xr:uid="{00000000-0005-0000-0000-00009B040000}"/>
    <cellStyle name="20% - 강조색2 38 2" xfId="161" xr:uid="{00000000-0005-0000-0000-00009C040000}"/>
    <cellStyle name="20% - 강조색2 38 2 2" xfId="4607" xr:uid="{00000000-0005-0000-0000-00009D040000}"/>
    <cellStyle name="20% - 강조색2 38 3" xfId="4608" xr:uid="{00000000-0005-0000-0000-00009E040000}"/>
    <cellStyle name="20% - 강조색2 38 4" xfId="4609" xr:uid="{00000000-0005-0000-0000-00009F040000}"/>
    <cellStyle name="20% - 강조색2 38 5" xfId="4610" xr:uid="{00000000-0005-0000-0000-0000A0040000}"/>
    <cellStyle name="20% - 강조색2 38 6" xfId="4611" xr:uid="{00000000-0005-0000-0000-0000A1040000}"/>
    <cellStyle name="20% - 강조색2 38 7" xfId="4612" xr:uid="{00000000-0005-0000-0000-0000A2040000}"/>
    <cellStyle name="20% - 강조색2 38 8" xfId="4613" xr:uid="{00000000-0005-0000-0000-0000A3040000}"/>
    <cellStyle name="20% - 강조색2 38 9" xfId="4614" xr:uid="{00000000-0005-0000-0000-0000A4040000}"/>
    <cellStyle name="20% - 강조색2 39" xfId="162" xr:uid="{00000000-0005-0000-0000-0000A5040000}"/>
    <cellStyle name="20% - 강조색2 39 10" xfId="4616" xr:uid="{00000000-0005-0000-0000-0000A6040000}"/>
    <cellStyle name="20% - 강조색2 39 11" xfId="4617" xr:uid="{00000000-0005-0000-0000-0000A7040000}"/>
    <cellStyle name="20% - 강조색2 39 12" xfId="4618" xr:uid="{00000000-0005-0000-0000-0000A8040000}"/>
    <cellStyle name="20% - 강조색2 39 13" xfId="4619" xr:uid="{00000000-0005-0000-0000-0000A9040000}"/>
    <cellStyle name="20% - 강조색2 39 14" xfId="4620" xr:uid="{00000000-0005-0000-0000-0000AA040000}"/>
    <cellStyle name="20% - 강조색2 39 15" xfId="4615" xr:uid="{00000000-0005-0000-0000-0000AB040000}"/>
    <cellStyle name="20% - 강조색2 39 2" xfId="163" xr:uid="{00000000-0005-0000-0000-0000AC040000}"/>
    <cellStyle name="20% - 강조색2 39 2 2" xfId="4621" xr:uid="{00000000-0005-0000-0000-0000AD040000}"/>
    <cellStyle name="20% - 강조색2 39 3" xfId="4622" xr:uid="{00000000-0005-0000-0000-0000AE040000}"/>
    <cellStyle name="20% - 강조색2 39 4" xfId="4623" xr:uid="{00000000-0005-0000-0000-0000AF040000}"/>
    <cellStyle name="20% - 강조색2 39 5" xfId="4624" xr:uid="{00000000-0005-0000-0000-0000B0040000}"/>
    <cellStyle name="20% - 강조색2 39 6" xfId="4625" xr:uid="{00000000-0005-0000-0000-0000B1040000}"/>
    <cellStyle name="20% - 강조색2 39 7" xfId="4626" xr:uid="{00000000-0005-0000-0000-0000B2040000}"/>
    <cellStyle name="20% - 강조색2 39 8" xfId="4627" xr:uid="{00000000-0005-0000-0000-0000B3040000}"/>
    <cellStyle name="20% - 강조색2 39 9" xfId="4628" xr:uid="{00000000-0005-0000-0000-0000B4040000}"/>
    <cellStyle name="20% - 강조색2 4" xfId="164" xr:uid="{00000000-0005-0000-0000-0000B5040000}"/>
    <cellStyle name="20% - 강조색2 4 10" xfId="4630" xr:uid="{00000000-0005-0000-0000-0000B6040000}"/>
    <cellStyle name="20% - 강조색2 4 11" xfId="4631" xr:uid="{00000000-0005-0000-0000-0000B7040000}"/>
    <cellStyle name="20% - 강조색2 4 12" xfId="4632" xr:uid="{00000000-0005-0000-0000-0000B8040000}"/>
    <cellStyle name="20% - 강조색2 4 13" xfId="4633" xr:uid="{00000000-0005-0000-0000-0000B9040000}"/>
    <cellStyle name="20% - 강조색2 4 14" xfId="4634" xr:uid="{00000000-0005-0000-0000-0000BA040000}"/>
    <cellStyle name="20% - 강조색2 4 15" xfId="4629" xr:uid="{00000000-0005-0000-0000-0000BB040000}"/>
    <cellStyle name="20% - 강조색2 4 16" xfId="27852" xr:uid="{00000000-0005-0000-0000-0000BC040000}"/>
    <cellStyle name="20% - 강조색2 4 2" xfId="165" xr:uid="{00000000-0005-0000-0000-0000BD040000}"/>
    <cellStyle name="20% - 강조색2 4 2 2" xfId="4635" xr:uid="{00000000-0005-0000-0000-0000BE040000}"/>
    <cellStyle name="20% - 강조색2 4 3" xfId="4636" xr:uid="{00000000-0005-0000-0000-0000BF040000}"/>
    <cellStyle name="20% - 강조색2 4 4" xfId="4637" xr:uid="{00000000-0005-0000-0000-0000C0040000}"/>
    <cellStyle name="20% - 강조색2 4 5" xfId="4638" xr:uid="{00000000-0005-0000-0000-0000C1040000}"/>
    <cellStyle name="20% - 강조색2 4 6" xfId="4639" xr:uid="{00000000-0005-0000-0000-0000C2040000}"/>
    <cellStyle name="20% - 강조색2 4 7" xfId="4640" xr:uid="{00000000-0005-0000-0000-0000C3040000}"/>
    <cellStyle name="20% - 강조색2 4 8" xfId="4641" xr:uid="{00000000-0005-0000-0000-0000C4040000}"/>
    <cellStyle name="20% - 강조색2 4 9" xfId="4642" xr:uid="{00000000-0005-0000-0000-0000C5040000}"/>
    <cellStyle name="20% - 강조색2 40" xfId="166" xr:uid="{00000000-0005-0000-0000-0000C6040000}"/>
    <cellStyle name="20% - 강조색2 40 10" xfId="4644" xr:uid="{00000000-0005-0000-0000-0000C7040000}"/>
    <cellStyle name="20% - 강조색2 40 11" xfId="4645" xr:uid="{00000000-0005-0000-0000-0000C8040000}"/>
    <cellStyle name="20% - 강조색2 40 12" xfId="4646" xr:uid="{00000000-0005-0000-0000-0000C9040000}"/>
    <cellStyle name="20% - 강조색2 40 13" xfId="4647" xr:uid="{00000000-0005-0000-0000-0000CA040000}"/>
    <cellStyle name="20% - 강조색2 40 14" xfId="4648" xr:uid="{00000000-0005-0000-0000-0000CB040000}"/>
    <cellStyle name="20% - 강조색2 40 15" xfId="4643" xr:uid="{00000000-0005-0000-0000-0000CC040000}"/>
    <cellStyle name="20% - 강조색2 40 2" xfId="167" xr:uid="{00000000-0005-0000-0000-0000CD040000}"/>
    <cellStyle name="20% - 강조색2 40 2 2" xfId="4649" xr:uid="{00000000-0005-0000-0000-0000CE040000}"/>
    <cellStyle name="20% - 강조색2 40 3" xfId="4650" xr:uid="{00000000-0005-0000-0000-0000CF040000}"/>
    <cellStyle name="20% - 강조색2 40 4" xfId="4651" xr:uid="{00000000-0005-0000-0000-0000D0040000}"/>
    <cellStyle name="20% - 강조색2 40 5" xfId="4652" xr:uid="{00000000-0005-0000-0000-0000D1040000}"/>
    <cellStyle name="20% - 강조색2 40 6" xfId="4653" xr:uid="{00000000-0005-0000-0000-0000D2040000}"/>
    <cellStyle name="20% - 강조색2 40 7" xfId="4654" xr:uid="{00000000-0005-0000-0000-0000D3040000}"/>
    <cellStyle name="20% - 강조색2 40 8" xfId="4655" xr:uid="{00000000-0005-0000-0000-0000D4040000}"/>
    <cellStyle name="20% - 강조색2 40 9" xfId="4656" xr:uid="{00000000-0005-0000-0000-0000D5040000}"/>
    <cellStyle name="20% - 강조색2 41" xfId="168" xr:uid="{00000000-0005-0000-0000-0000D6040000}"/>
    <cellStyle name="20% - 강조색2 41 10" xfId="4658" xr:uid="{00000000-0005-0000-0000-0000D7040000}"/>
    <cellStyle name="20% - 강조색2 41 11" xfId="4659" xr:uid="{00000000-0005-0000-0000-0000D8040000}"/>
    <cellStyle name="20% - 강조색2 41 12" xfId="4660" xr:uid="{00000000-0005-0000-0000-0000D9040000}"/>
    <cellStyle name="20% - 강조색2 41 13" xfId="4661" xr:uid="{00000000-0005-0000-0000-0000DA040000}"/>
    <cellStyle name="20% - 강조색2 41 14" xfId="4662" xr:uid="{00000000-0005-0000-0000-0000DB040000}"/>
    <cellStyle name="20% - 강조색2 41 15" xfId="4657" xr:uid="{00000000-0005-0000-0000-0000DC040000}"/>
    <cellStyle name="20% - 강조색2 41 2" xfId="169" xr:uid="{00000000-0005-0000-0000-0000DD040000}"/>
    <cellStyle name="20% - 강조색2 41 2 2" xfId="4663" xr:uid="{00000000-0005-0000-0000-0000DE040000}"/>
    <cellStyle name="20% - 강조색2 41 3" xfId="4664" xr:uid="{00000000-0005-0000-0000-0000DF040000}"/>
    <cellStyle name="20% - 강조색2 41 4" xfId="4665" xr:uid="{00000000-0005-0000-0000-0000E0040000}"/>
    <cellStyle name="20% - 강조색2 41 5" xfId="4666" xr:uid="{00000000-0005-0000-0000-0000E1040000}"/>
    <cellStyle name="20% - 강조색2 41 6" xfId="4667" xr:uid="{00000000-0005-0000-0000-0000E2040000}"/>
    <cellStyle name="20% - 강조색2 41 7" xfId="4668" xr:uid="{00000000-0005-0000-0000-0000E3040000}"/>
    <cellStyle name="20% - 강조색2 41 8" xfId="4669" xr:uid="{00000000-0005-0000-0000-0000E4040000}"/>
    <cellStyle name="20% - 강조색2 41 9" xfId="4670" xr:uid="{00000000-0005-0000-0000-0000E5040000}"/>
    <cellStyle name="20% - 강조색2 42" xfId="170" xr:uid="{00000000-0005-0000-0000-0000E6040000}"/>
    <cellStyle name="20% - 강조색2 42 10" xfId="4672" xr:uid="{00000000-0005-0000-0000-0000E7040000}"/>
    <cellStyle name="20% - 강조색2 42 11" xfId="4673" xr:uid="{00000000-0005-0000-0000-0000E8040000}"/>
    <cellStyle name="20% - 강조색2 42 12" xfId="4674" xr:uid="{00000000-0005-0000-0000-0000E9040000}"/>
    <cellStyle name="20% - 강조색2 42 13" xfId="4675" xr:uid="{00000000-0005-0000-0000-0000EA040000}"/>
    <cellStyle name="20% - 강조색2 42 14" xfId="4676" xr:uid="{00000000-0005-0000-0000-0000EB040000}"/>
    <cellStyle name="20% - 강조색2 42 15" xfId="4671" xr:uid="{00000000-0005-0000-0000-0000EC040000}"/>
    <cellStyle name="20% - 강조색2 42 2" xfId="171" xr:uid="{00000000-0005-0000-0000-0000ED040000}"/>
    <cellStyle name="20% - 강조색2 42 2 2" xfId="4677" xr:uid="{00000000-0005-0000-0000-0000EE040000}"/>
    <cellStyle name="20% - 강조색2 42 3" xfId="4678" xr:uid="{00000000-0005-0000-0000-0000EF040000}"/>
    <cellStyle name="20% - 강조색2 42 4" xfId="4679" xr:uid="{00000000-0005-0000-0000-0000F0040000}"/>
    <cellStyle name="20% - 강조색2 42 5" xfId="4680" xr:uid="{00000000-0005-0000-0000-0000F1040000}"/>
    <cellStyle name="20% - 강조색2 42 6" xfId="4681" xr:uid="{00000000-0005-0000-0000-0000F2040000}"/>
    <cellStyle name="20% - 강조색2 42 7" xfId="4682" xr:uid="{00000000-0005-0000-0000-0000F3040000}"/>
    <cellStyle name="20% - 강조색2 42 8" xfId="4683" xr:uid="{00000000-0005-0000-0000-0000F4040000}"/>
    <cellStyle name="20% - 강조색2 42 9" xfId="4684" xr:uid="{00000000-0005-0000-0000-0000F5040000}"/>
    <cellStyle name="20% - 강조색2 43" xfId="172" xr:uid="{00000000-0005-0000-0000-0000F6040000}"/>
    <cellStyle name="20% - 강조색2 43 10" xfId="4686" xr:uid="{00000000-0005-0000-0000-0000F7040000}"/>
    <cellStyle name="20% - 강조색2 43 11" xfId="4687" xr:uid="{00000000-0005-0000-0000-0000F8040000}"/>
    <cellStyle name="20% - 강조색2 43 12" xfId="4688" xr:uid="{00000000-0005-0000-0000-0000F9040000}"/>
    <cellStyle name="20% - 강조색2 43 13" xfId="4689" xr:uid="{00000000-0005-0000-0000-0000FA040000}"/>
    <cellStyle name="20% - 강조색2 43 14" xfId="4690" xr:uid="{00000000-0005-0000-0000-0000FB040000}"/>
    <cellStyle name="20% - 강조색2 43 15" xfId="4685" xr:uid="{00000000-0005-0000-0000-0000FC040000}"/>
    <cellStyle name="20% - 강조색2 43 2" xfId="173" xr:uid="{00000000-0005-0000-0000-0000FD040000}"/>
    <cellStyle name="20% - 강조색2 43 2 2" xfId="4691" xr:uid="{00000000-0005-0000-0000-0000FE040000}"/>
    <cellStyle name="20% - 강조색2 43 3" xfId="4692" xr:uid="{00000000-0005-0000-0000-0000FF040000}"/>
    <cellStyle name="20% - 강조색2 43 4" xfId="4693" xr:uid="{00000000-0005-0000-0000-000000050000}"/>
    <cellStyle name="20% - 강조색2 43 5" xfId="4694" xr:uid="{00000000-0005-0000-0000-000001050000}"/>
    <cellStyle name="20% - 강조색2 43 6" xfId="4695" xr:uid="{00000000-0005-0000-0000-000002050000}"/>
    <cellStyle name="20% - 강조색2 43 7" xfId="4696" xr:uid="{00000000-0005-0000-0000-000003050000}"/>
    <cellStyle name="20% - 강조색2 43 8" xfId="4697" xr:uid="{00000000-0005-0000-0000-000004050000}"/>
    <cellStyle name="20% - 강조색2 43 9" xfId="4698" xr:uid="{00000000-0005-0000-0000-000005050000}"/>
    <cellStyle name="20% - 강조색2 44" xfId="174" xr:uid="{00000000-0005-0000-0000-000006050000}"/>
    <cellStyle name="20% - 강조색2 44 2" xfId="4699" xr:uid="{00000000-0005-0000-0000-000007050000}"/>
    <cellStyle name="20% - 강조색2 45" xfId="175" xr:uid="{00000000-0005-0000-0000-000008050000}"/>
    <cellStyle name="20% - 강조색2 45 2" xfId="4700" xr:uid="{00000000-0005-0000-0000-000009050000}"/>
    <cellStyle name="20% - 강조색2 46" xfId="99" xr:uid="{00000000-0005-0000-0000-00000A050000}"/>
    <cellStyle name="20% - 강조색2 47" xfId="4180" xr:uid="{00000000-0005-0000-0000-00000B050000}"/>
    <cellStyle name="20% - 강조색2 5" xfId="176" xr:uid="{00000000-0005-0000-0000-00000C050000}"/>
    <cellStyle name="20% - 강조색2 5 10" xfId="4702" xr:uid="{00000000-0005-0000-0000-00000D050000}"/>
    <cellStyle name="20% - 강조색2 5 11" xfId="4703" xr:uid="{00000000-0005-0000-0000-00000E050000}"/>
    <cellStyle name="20% - 강조색2 5 12" xfId="4704" xr:uid="{00000000-0005-0000-0000-00000F050000}"/>
    <cellStyle name="20% - 강조색2 5 13" xfId="4705" xr:uid="{00000000-0005-0000-0000-000010050000}"/>
    <cellStyle name="20% - 강조색2 5 14" xfId="4706" xr:uid="{00000000-0005-0000-0000-000011050000}"/>
    <cellStyle name="20% - 강조색2 5 15" xfId="4701" xr:uid="{00000000-0005-0000-0000-000012050000}"/>
    <cellStyle name="20% - 강조색2 5 2" xfId="177" xr:uid="{00000000-0005-0000-0000-000013050000}"/>
    <cellStyle name="20% - 강조색2 5 2 2" xfId="4707" xr:uid="{00000000-0005-0000-0000-000014050000}"/>
    <cellStyle name="20% - 강조색2 5 3" xfId="4708" xr:uid="{00000000-0005-0000-0000-000015050000}"/>
    <cellStyle name="20% - 강조색2 5 4" xfId="4709" xr:uid="{00000000-0005-0000-0000-000016050000}"/>
    <cellStyle name="20% - 강조색2 5 5" xfId="4710" xr:uid="{00000000-0005-0000-0000-000017050000}"/>
    <cellStyle name="20% - 강조색2 5 6" xfId="4711" xr:uid="{00000000-0005-0000-0000-000018050000}"/>
    <cellStyle name="20% - 강조색2 5 7" xfId="4712" xr:uid="{00000000-0005-0000-0000-000019050000}"/>
    <cellStyle name="20% - 강조색2 5 8" xfId="4713" xr:uid="{00000000-0005-0000-0000-00001A050000}"/>
    <cellStyle name="20% - 강조색2 5 9" xfId="4714" xr:uid="{00000000-0005-0000-0000-00001B050000}"/>
    <cellStyle name="20% - 강조색2 6" xfId="178" xr:uid="{00000000-0005-0000-0000-00001C050000}"/>
    <cellStyle name="20% - 강조색2 6 10" xfId="4716" xr:uid="{00000000-0005-0000-0000-00001D050000}"/>
    <cellStyle name="20% - 강조색2 6 11" xfId="4717" xr:uid="{00000000-0005-0000-0000-00001E050000}"/>
    <cellStyle name="20% - 강조색2 6 12" xfId="4718" xr:uid="{00000000-0005-0000-0000-00001F050000}"/>
    <cellStyle name="20% - 강조색2 6 13" xfId="4719" xr:uid="{00000000-0005-0000-0000-000020050000}"/>
    <cellStyle name="20% - 강조색2 6 14" xfId="4720" xr:uid="{00000000-0005-0000-0000-000021050000}"/>
    <cellStyle name="20% - 강조색2 6 15" xfId="4715" xr:uid="{00000000-0005-0000-0000-000022050000}"/>
    <cellStyle name="20% - 강조색2 6 2" xfId="179" xr:uid="{00000000-0005-0000-0000-000023050000}"/>
    <cellStyle name="20% - 강조색2 6 2 2" xfId="4721" xr:uid="{00000000-0005-0000-0000-000024050000}"/>
    <cellStyle name="20% - 강조색2 6 3" xfId="4722" xr:uid="{00000000-0005-0000-0000-000025050000}"/>
    <cellStyle name="20% - 강조색2 6 4" xfId="4723" xr:uid="{00000000-0005-0000-0000-000026050000}"/>
    <cellStyle name="20% - 강조색2 6 5" xfId="4724" xr:uid="{00000000-0005-0000-0000-000027050000}"/>
    <cellStyle name="20% - 강조색2 6 6" xfId="4725" xr:uid="{00000000-0005-0000-0000-000028050000}"/>
    <cellStyle name="20% - 강조색2 6 7" xfId="4726" xr:uid="{00000000-0005-0000-0000-000029050000}"/>
    <cellStyle name="20% - 강조색2 6 8" xfId="4727" xr:uid="{00000000-0005-0000-0000-00002A050000}"/>
    <cellStyle name="20% - 강조색2 6 9" xfId="4728" xr:uid="{00000000-0005-0000-0000-00002B050000}"/>
    <cellStyle name="20% - 강조색2 7" xfId="180" xr:uid="{00000000-0005-0000-0000-00002C050000}"/>
    <cellStyle name="20% - 강조색2 7 10" xfId="4730" xr:uid="{00000000-0005-0000-0000-00002D050000}"/>
    <cellStyle name="20% - 강조색2 7 11" xfId="4731" xr:uid="{00000000-0005-0000-0000-00002E050000}"/>
    <cellStyle name="20% - 강조색2 7 12" xfId="4732" xr:uid="{00000000-0005-0000-0000-00002F050000}"/>
    <cellStyle name="20% - 강조색2 7 13" xfId="4733" xr:uid="{00000000-0005-0000-0000-000030050000}"/>
    <cellStyle name="20% - 강조색2 7 14" xfId="4734" xr:uid="{00000000-0005-0000-0000-000031050000}"/>
    <cellStyle name="20% - 강조색2 7 15" xfId="4729" xr:uid="{00000000-0005-0000-0000-000032050000}"/>
    <cellStyle name="20% - 강조색2 7 2" xfId="181" xr:uid="{00000000-0005-0000-0000-000033050000}"/>
    <cellStyle name="20% - 강조색2 7 2 2" xfId="4735" xr:uid="{00000000-0005-0000-0000-000034050000}"/>
    <cellStyle name="20% - 강조색2 7 3" xfId="4736" xr:uid="{00000000-0005-0000-0000-000035050000}"/>
    <cellStyle name="20% - 강조색2 7 4" xfId="4737" xr:uid="{00000000-0005-0000-0000-000036050000}"/>
    <cellStyle name="20% - 강조색2 7 5" xfId="4738" xr:uid="{00000000-0005-0000-0000-000037050000}"/>
    <cellStyle name="20% - 강조색2 7 6" xfId="4739" xr:uid="{00000000-0005-0000-0000-000038050000}"/>
    <cellStyle name="20% - 강조색2 7 7" xfId="4740" xr:uid="{00000000-0005-0000-0000-000039050000}"/>
    <cellStyle name="20% - 강조색2 7 8" xfId="4741" xr:uid="{00000000-0005-0000-0000-00003A050000}"/>
    <cellStyle name="20% - 강조색2 7 9" xfId="4742" xr:uid="{00000000-0005-0000-0000-00003B050000}"/>
    <cellStyle name="20% - 강조색2 8" xfId="182" xr:uid="{00000000-0005-0000-0000-00003C050000}"/>
    <cellStyle name="20% - 강조색2 8 10" xfId="4744" xr:uid="{00000000-0005-0000-0000-00003D050000}"/>
    <cellStyle name="20% - 강조색2 8 11" xfId="4745" xr:uid="{00000000-0005-0000-0000-00003E050000}"/>
    <cellStyle name="20% - 강조색2 8 12" xfId="4746" xr:uid="{00000000-0005-0000-0000-00003F050000}"/>
    <cellStyle name="20% - 강조색2 8 13" xfId="4747" xr:uid="{00000000-0005-0000-0000-000040050000}"/>
    <cellStyle name="20% - 강조색2 8 14" xfId="4748" xr:uid="{00000000-0005-0000-0000-000041050000}"/>
    <cellStyle name="20% - 강조색2 8 15" xfId="4743" xr:uid="{00000000-0005-0000-0000-000042050000}"/>
    <cellStyle name="20% - 강조색2 8 2" xfId="183" xr:uid="{00000000-0005-0000-0000-000043050000}"/>
    <cellStyle name="20% - 강조색2 8 2 2" xfId="4749" xr:uid="{00000000-0005-0000-0000-000044050000}"/>
    <cellStyle name="20% - 강조색2 8 3" xfId="4750" xr:uid="{00000000-0005-0000-0000-000045050000}"/>
    <cellStyle name="20% - 강조색2 8 4" xfId="4751" xr:uid="{00000000-0005-0000-0000-000046050000}"/>
    <cellStyle name="20% - 강조색2 8 5" xfId="4752" xr:uid="{00000000-0005-0000-0000-000047050000}"/>
    <cellStyle name="20% - 강조색2 8 6" xfId="4753" xr:uid="{00000000-0005-0000-0000-000048050000}"/>
    <cellStyle name="20% - 강조색2 8 7" xfId="4754" xr:uid="{00000000-0005-0000-0000-000049050000}"/>
    <cellStyle name="20% - 강조색2 8 8" xfId="4755" xr:uid="{00000000-0005-0000-0000-00004A050000}"/>
    <cellStyle name="20% - 강조색2 8 9" xfId="4756" xr:uid="{00000000-0005-0000-0000-00004B050000}"/>
    <cellStyle name="20% - 강조색2 9" xfId="184" xr:uid="{00000000-0005-0000-0000-00004C050000}"/>
    <cellStyle name="20% - 강조색2 9 10" xfId="4758" xr:uid="{00000000-0005-0000-0000-00004D050000}"/>
    <cellStyle name="20% - 강조색2 9 11" xfId="4759" xr:uid="{00000000-0005-0000-0000-00004E050000}"/>
    <cellStyle name="20% - 강조색2 9 12" xfId="4760" xr:uid="{00000000-0005-0000-0000-00004F050000}"/>
    <cellStyle name="20% - 강조색2 9 13" xfId="4761" xr:uid="{00000000-0005-0000-0000-000050050000}"/>
    <cellStyle name="20% - 강조색2 9 14" xfId="4762" xr:uid="{00000000-0005-0000-0000-000051050000}"/>
    <cellStyle name="20% - 강조색2 9 15" xfId="4757" xr:uid="{00000000-0005-0000-0000-000052050000}"/>
    <cellStyle name="20% - 강조색2 9 2" xfId="185" xr:uid="{00000000-0005-0000-0000-000053050000}"/>
    <cellStyle name="20% - 강조색2 9 2 2" xfId="4763" xr:uid="{00000000-0005-0000-0000-000054050000}"/>
    <cellStyle name="20% - 강조색2 9 3" xfId="4764" xr:uid="{00000000-0005-0000-0000-000055050000}"/>
    <cellStyle name="20% - 강조색2 9 4" xfId="4765" xr:uid="{00000000-0005-0000-0000-000056050000}"/>
    <cellStyle name="20% - 강조색2 9 5" xfId="4766" xr:uid="{00000000-0005-0000-0000-000057050000}"/>
    <cellStyle name="20% - 강조색2 9 6" xfId="4767" xr:uid="{00000000-0005-0000-0000-000058050000}"/>
    <cellStyle name="20% - 강조색2 9 7" xfId="4768" xr:uid="{00000000-0005-0000-0000-000059050000}"/>
    <cellStyle name="20% - 강조색2 9 8" xfId="4769" xr:uid="{00000000-0005-0000-0000-00005A050000}"/>
    <cellStyle name="20% - 강조색2 9 9" xfId="4770" xr:uid="{00000000-0005-0000-0000-00005B050000}"/>
    <cellStyle name="20% - 강조색3 10" xfId="187" xr:uid="{00000000-0005-0000-0000-00005C050000}"/>
    <cellStyle name="20% - 강조색3 10 10" xfId="4773" xr:uid="{00000000-0005-0000-0000-00005D050000}"/>
    <cellStyle name="20% - 강조색3 10 11" xfId="4774" xr:uid="{00000000-0005-0000-0000-00005E050000}"/>
    <cellStyle name="20% - 강조색3 10 12" xfId="4775" xr:uid="{00000000-0005-0000-0000-00005F050000}"/>
    <cellStyle name="20% - 강조색3 10 13" xfId="4776" xr:uid="{00000000-0005-0000-0000-000060050000}"/>
    <cellStyle name="20% - 강조색3 10 14" xfId="4777" xr:uid="{00000000-0005-0000-0000-000061050000}"/>
    <cellStyle name="20% - 강조색3 10 15" xfId="4772" xr:uid="{00000000-0005-0000-0000-000062050000}"/>
    <cellStyle name="20% - 강조색3 10 2" xfId="188" xr:uid="{00000000-0005-0000-0000-000063050000}"/>
    <cellStyle name="20% - 강조색3 10 2 2" xfId="4778" xr:uid="{00000000-0005-0000-0000-000064050000}"/>
    <cellStyle name="20% - 강조색3 10 3" xfId="4779" xr:uid="{00000000-0005-0000-0000-000065050000}"/>
    <cellStyle name="20% - 강조색3 10 4" xfId="4780" xr:uid="{00000000-0005-0000-0000-000066050000}"/>
    <cellStyle name="20% - 강조색3 10 5" xfId="4781" xr:uid="{00000000-0005-0000-0000-000067050000}"/>
    <cellStyle name="20% - 강조색3 10 6" xfId="4782" xr:uid="{00000000-0005-0000-0000-000068050000}"/>
    <cellStyle name="20% - 강조색3 10 7" xfId="4783" xr:uid="{00000000-0005-0000-0000-000069050000}"/>
    <cellStyle name="20% - 강조색3 10 8" xfId="4784" xr:uid="{00000000-0005-0000-0000-00006A050000}"/>
    <cellStyle name="20% - 강조색3 10 9" xfId="4785" xr:uid="{00000000-0005-0000-0000-00006B050000}"/>
    <cellStyle name="20% - 강조색3 11" xfId="189" xr:uid="{00000000-0005-0000-0000-00006C050000}"/>
    <cellStyle name="20% - 강조색3 11 10" xfId="4787" xr:uid="{00000000-0005-0000-0000-00006D050000}"/>
    <cellStyle name="20% - 강조색3 11 11" xfId="4788" xr:uid="{00000000-0005-0000-0000-00006E050000}"/>
    <cellStyle name="20% - 강조색3 11 12" xfId="4789" xr:uid="{00000000-0005-0000-0000-00006F050000}"/>
    <cellStyle name="20% - 강조색3 11 13" xfId="4790" xr:uid="{00000000-0005-0000-0000-000070050000}"/>
    <cellStyle name="20% - 강조색3 11 14" xfId="4791" xr:uid="{00000000-0005-0000-0000-000071050000}"/>
    <cellStyle name="20% - 강조색3 11 15" xfId="4786" xr:uid="{00000000-0005-0000-0000-000072050000}"/>
    <cellStyle name="20% - 강조색3 11 2" xfId="190" xr:uid="{00000000-0005-0000-0000-000073050000}"/>
    <cellStyle name="20% - 강조색3 11 2 2" xfId="4792" xr:uid="{00000000-0005-0000-0000-000074050000}"/>
    <cellStyle name="20% - 강조색3 11 3" xfId="4793" xr:uid="{00000000-0005-0000-0000-000075050000}"/>
    <cellStyle name="20% - 강조색3 11 4" xfId="4794" xr:uid="{00000000-0005-0000-0000-000076050000}"/>
    <cellStyle name="20% - 강조색3 11 5" xfId="4795" xr:uid="{00000000-0005-0000-0000-000077050000}"/>
    <cellStyle name="20% - 강조색3 11 6" xfId="4796" xr:uid="{00000000-0005-0000-0000-000078050000}"/>
    <cellStyle name="20% - 강조색3 11 7" xfId="4797" xr:uid="{00000000-0005-0000-0000-000079050000}"/>
    <cellStyle name="20% - 강조색3 11 8" xfId="4798" xr:uid="{00000000-0005-0000-0000-00007A050000}"/>
    <cellStyle name="20% - 강조색3 11 9" xfId="4799" xr:uid="{00000000-0005-0000-0000-00007B050000}"/>
    <cellStyle name="20% - 강조색3 12" xfId="191" xr:uid="{00000000-0005-0000-0000-00007C050000}"/>
    <cellStyle name="20% - 강조색3 12 10" xfId="4801" xr:uid="{00000000-0005-0000-0000-00007D050000}"/>
    <cellStyle name="20% - 강조색3 12 11" xfId="4802" xr:uid="{00000000-0005-0000-0000-00007E050000}"/>
    <cellStyle name="20% - 강조색3 12 12" xfId="4803" xr:uid="{00000000-0005-0000-0000-00007F050000}"/>
    <cellStyle name="20% - 강조색3 12 13" xfId="4804" xr:uid="{00000000-0005-0000-0000-000080050000}"/>
    <cellStyle name="20% - 강조색3 12 14" xfId="4805" xr:uid="{00000000-0005-0000-0000-000081050000}"/>
    <cellStyle name="20% - 강조색3 12 15" xfId="4800" xr:uid="{00000000-0005-0000-0000-000082050000}"/>
    <cellStyle name="20% - 강조색3 12 2" xfId="192" xr:uid="{00000000-0005-0000-0000-000083050000}"/>
    <cellStyle name="20% - 강조색3 12 2 2" xfId="4806" xr:uid="{00000000-0005-0000-0000-000084050000}"/>
    <cellStyle name="20% - 강조색3 12 3" xfId="4807" xr:uid="{00000000-0005-0000-0000-000085050000}"/>
    <cellStyle name="20% - 강조색3 12 4" xfId="4808" xr:uid="{00000000-0005-0000-0000-000086050000}"/>
    <cellStyle name="20% - 강조색3 12 5" xfId="4809" xr:uid="{00000000-0005-0000-0000-000087050000}"/>
    <cellStyle name="20% - 강조색3 12 6" xfId="4810" xr:uid="{00000000-0005-0000-0000-000088050000}"/>
    <cellStyle name="20% - 강조색3 12 7" xfId="4811" xr:uid="{00000000-0005-0000-0000-000089050000}"/>
    <cellStyle name="20% - 강조색3 12 8" xfId="4812" xr:uid="{00000000-0005-0000-0000-00008A050000}"/>
    <cellStyle name="20% - 강조색3 12 9" xfId="4813" xr:uid="{00000000-0005-0000-0000-00008B050000}"/>
    <cellStyle name="20% - 강조색3 13" xfId="193" xr:uid="{00000000-0005-0000-0000-00008C050000}"/>
    <cellStyle name="20% - 강조색3 13 10" xfId="4815" xr:uid="{00000000-0005-0000-0000-00008D050000}"/>
    <cellStyle name="20% - 강조색3 13 11" xfId="4816" xr:uid="{00000000-0005-0000-0000-00008E050000}"/>
    <cellStyle name="20% - 강조색3 13 12" xfId="4817" xr:uid="{00000000-0005-0000-0000-00008F050000}"/>
    <cellStyle name="20% - 강조색3 13 13" xfId="4818" xr:uid="{00000000-0005-0000-0000-000090050000}"/>
    <cellStyle name="20% - 강조색3 13 14" xfId="4819" xr:uid="{00000000-0005-0000-0000-000091050000}"/>
    <cellStyle name="20% - 강조색3 13 15" xfId="4814" xr:uid="{00000000-0005-0000-0000-000092050000}"/>
    <cellStyle name="20% - 강조색3 13 2" xfId="194" xr:uid="{00000000-0005-0000-0000-000093050000}"/>
    <cellStyle name="20% - 강조색3 13 2 2" xfId="4820" xr:uid="{00000000-0005-0000-0000-000094050000}"/>
    <cellStyle name="20% - 강조색3 13 3" xfId="4821" xr:uid="{00000000-0005-0000-0000-000095050000}"/>
    <cellStyle name="20% - 강조색3 13 4" xfId="4822" xr:uid="{00000000-0005-0000-0000-000096050000}"/>
    <cellStyle name="20% - 강조색3 13 5" xfId="4823" xr:uid="{00000000-0005-0000-0000-000097050000}"/>
    <cellStyle name="20% - 강조색3 13 6" xfId="4824" xr:uid="{00000000-0005-0000-0000-000098050000}"/>
    <cellStyle name="20% - 강조색3 13 7" xfId="4825" xr:uid="{00000000-0005-0000-0000-000099050000}"/>
    <cellStyle name="20% - 강조색3 13 8" xfId="4826" xr:uid="{00000000-0005-0000-0000-00009A050000}"/>
    <cellStyle name="20% - 강조색3 13 9" xfId="4827" xr:uid="{00000000-0005-0000-0000-00009B050000}"/>
    <cellStyle name="20% - 강조색3 14" xfId="195" xr:uid="{00000000-0005-0000-0000-00009C050000}"/>
    <cellStyle name="20% - 강조색3 14 10" xfId="4829" xr:uid="{00000000-0005-0000-0000-00009D050000}"/>
    <cellStyle name="20% - 강조색3 14 11" xfId="4830" xr:uid="{00000000-0005-0000-0000-00009E050000}"/>
    <cellStyle name="20% - 강조색3 14 12" xfId="4831" xr:uid="{00000000-0005-0000-0000-00009F050000}"/>
    <cellStyle name="20% - 강조색3 14 13" xfId="4832" xr:uid="{00000000-0005-0000-0000-0000A0050000}"/>
    <cellStyle name="20% - 강조색3 14 14" xfId="4833" xr:uid="{00000000-0005-0000-0000-0000A1050000}"/>
    <cellStyle name="20% - 강조색3 14 15" xfId="4828" xr:uid="{00000000-0005-0000-0000-0000A2050000}"/>
    <cellStyle name="20% - 강조색3 14 2" xfId="196" xr:uid="{00000000-0005-0000-0000-0000A3050000}"/>
    <cellStyle name="20% - 강조색3 14 2 2" xfId="4834" xr:uid="{00000000-0005-0000-0000-0000A4050000}"/>
    <cellStyle name="20% - 강조색3 14 3" xfId="4835" xr:uid="{00000000-0005-0000-0000-0000A5050000}"/>
    <cellStyle name="20% - 강조색3 14 4" xfId="4836" xr:uid="{00000000-0005-0000-0000-0000A6050000}"/>
    <cellStyle name="20% - 강조색3 14 5" xfId="4837" xr:uid="{00000000-0005-0000-0000-0000A7050000}"/>
    <cellStyle name="20% - 강조색3 14 6" xfId="4838" xr:uid="{00000000-0005-0000-0000-0000A8050000}"/>
    <cellStyle name="20% - 강조색3 14 7" xfId="4839" xr:uid="{00000000-0005-0000-0000-0000A9050000}"/>
    <cellStyle name="20% - 강조색3 14 8" xfId="4840" xr:uid="{00000000-0005-0000-0000-0000AA050000}"/>
    <cellStyle name="20% - 강조색3 14 9" xfId="4841" xr:uid="{00000000-0005-0000-0000-0000AB050000}"/>
    <cellStyle name="20% - 강조색3 15" xfId="197" xr:uid="{00000000-0005-0000-0000-0000AC050000}"/>
    <cellStyle name="20% - 강조색3 15 10" xfId="4843" xr:uid="{00000000-0005-0000-0000-0000AD050000}"/>
    <cellStyle name="20% - 강조색3 15 11" xfId="4844" xr:uid="{00000000-0005-0000-0000-0000AE050000}"/>
    <cellStyle name="20% - 강조색3 15 12" xfId="4845" xr:uid="{00000000-0005-0000-0000-0000AF050000}"/>
    <cellStyle name="20% - 강조색3 15 13" xfId="4846" xr:uid="{00000000-0005-0000-0000-0000B0050000}"/>
    <cellStyle name="20% - 강조색3 15 14" xfId="4847" xr:uid="{00000000-0005-0000-0000-0000B1050000}"/>
    <cellStyle name="20% - 강조색3 15 15" xfId="4842" xr:uid="{00000000-0005-0000-0000-0000B2050000}"/>
    <cellStyle name="20% - 강조색3 15 2" xfId="198" xr:uid="{00000000-0005-0000-0000-0000B3050000}"/>
    <cellStyle name="20% - 강조색3 15 2 2" xfId="4848" xr:uid="{00000000-0005-0000-0000-0000B4050000}"/>
    <cellStyle name="20% - 강조색3 15 3" xfId="4849" xr:uid="{00000000-0005-0000-0000-0000B5050000}"/>
    <cellStyle name="20% - 강조색3 15 4" xfId="4850" xr:uid="{00000000-0005-0000-0000-0000B6050000}"/>
    <cellStyle name="20% - 강조색3 15 5" xfId="4851" xr:uid="{00000000-0005-0000-0000-0000B7050000}"/>
    <cellStyle name="20% - 강조색3 15 6" xfId="4852" xr:uid="{00000000-0005-0000-0000-0000B8050000}"/>
    <cellStyle name="20% - 강조색3 15 7" xfId="4853" xr:uid="{00000000-0005-0000-0000-0000B9050000}"/>
    <cellStyle name="20% - 강조색3 15 8" xfId="4854" xr:uid="{00000000-0005-0000-0000-0000BA050000}"/>
    <cellStyle name="20% - 강조색3 15 9" xfId="4855" xr:uid="{00000000-0005-0000-0000-0000BB050000}"/>
    <cellStyle name="20% - 강조색3 16" xfId="199" xr:uid="{00000000-0005-0000-0000-0000BC050000}"/>
    <cellStyle name="20% - 강조색3 16 10" xfId="4857" xr:uid="{00000000-0005-0000-0000-0000BD050000}"/>
    <cellStyle name="20% - 강조색3 16 11" xfId="4858" xr:uid="{00000000-0005-0000-0000-0000BE050000}"/>
    <cellStyle name="20% - 강조색3 16 12" xfId="4859" xr:uid="{00000000-0005-0000-0000-0000BF050000}"/>
    <cellStyle name="20% - 강조색3 16 13" xfId="4860" xr:uid="{00000000-0005-0000-0000-0000C0050000}"/>
    <cellStyle name="20% - 강조색3 16 14" xfId="4861" xr:uid="{00000000-0005-0000-0000-0000C1050000}"/>
    <cellStyle name="20% - 강조색3 16 15" xfId="4856" xr:uid="{00000000-0005-0000-0000-0000C2050000}"/>
    <cellStyle name="20% - 강조색3 16 2" xfId="200" xr:uid="{00000000-0005-0000-0000-0000C3050000}"/>
    <cellStyle name="20% - 강조색3 16 2 2" xfId="4862" xr:uid="{00000000-0005-0000-0000-0000C4050000}"/>
    <cellStyle name="20% - 강조색3 16 3" xfId="4863" xr:uid="{00000000-0005-0000-0000-0000C5050000}"/>
    <cellStyle name="20% - 강조색3 16 4" xfId="4864" xr:uid="{00000000-0005-0000-0000-0000C6050000}"/>
    <cellStyle name="20% - 강조색3 16 5" xfId="4865" xr:uid="{00000000-0005-0000-0000-0000C7050000}"/>
    <cellStyle name="20% - 강조색3 16 6" xfId="4866" xr:uid="{00000000-0005-0000-0000-0000C8050000}"/>
    <cellStyle name="20% - 강조색3 16 7" xfId="4867" xr:uid="{00000000-0005-0000-0000-0000C9050000}"/>
    <cellStyle name="20% - 강조색3 16 8" xfId="4868" xr:uid="{00000000-0005-0000-0000-0000CA050000}"/>
    <cellStyle name="20% - 강조색3 16 9" xfId="4869" xr:uid="{00000000-0005-0000-0000-0000CB050000}"/>
    <cellStyle name="20% - 강조색3 17" xfId="201" xr:uid="{00000000-0005-0000-0000-0000CC050000}"/>
    <cellStyle name="20% - 강조색3 17 10" xfId="4871" xr:uid="{00000000-0005-0000-0000-0000CD050000}"/>
    <cellStyle name="20% - 강조색3 17 11" xfId="4872" xr:uid="{00000000-0005-0000-0000-0000CE050000}"/>
    <cellStyle name="20% - 강조색3 17 12" xfId="4873" xr:uid="{00000000-0005-0000-0000-0000CF050000}"/>
    <cellStyle name="20% - 강조색3 17 13" xfId="4874" xr:uid="{00000000-0005-0000-0000-0000D0050000}"/>
    <cellStyle name="20% - 강조색3 17 14" xfId="4875" xr:uid="{00000000-0005-0000-0000-0000D1050000}"/>
    <cellStyle name="20% - 강조색3 17 15" xfId="4870" xr:uid="{00000000-0005-0000-0000-0000D2050000}"/>
    <cellStyle name="20% - 강조색3 17 2" xfId="202" xr:uid="{00000000-0005-0000-0000-0000D3050000}"/>
    <cellStyle name="20% - 강조색3 17 2 2" xfId="4876" xr:uid="{00000000-0005-0000-0000-0000D4050000}"/>
    <cellStyle name="20% - 강조색3 17 3" xfId="4877" xr:uid="{00000000-0005-0000-0000-0000D5050000}"/>
    <cellStyle name="20% - 강조색3 17 4" xfId="4878" xr:uid="{00000000-0005-0000-0000-0000D6050000}"/>
    <cellStyle name="20% - 강조색3 17 5" xfId="4879" xr:uid="{00000000-0005-0000-0000-0000D7050000}"/>
    <cellStyle name="20% - 강조색3 17 6" xfId="4880" xr:uid="{00000000-0005-0000-0000-0000D8050000}"/>
    <cellStyle name="20% - 강조색3 17 7" xfId="4881" xr:uid="{00000000-0005-0000-0000-0000D9050000}"/>
    <cellStyle name="20% - 강조색3 17 8" xfId="4882" xr:uid="{00000000-0005-0000-0000-0000DA050000}"/>
    <cellStyle name="20% - 강조색3 17 9" xfId="4883" xr:uid="{00000000-0005-0000-0000-0000DB050000}"/>
    <cellStyle name="20% - 강조색3 18" xfId="203" xr:uid="{00000000-0005-0000-0000-0000DC050000}"/>
    <cellStyle name="20% - 강조색3 18 10" xfId="4885" xr:uid="{00000000-0005-0000-0000-0000DD050000}"/>
    <cellStyle name="20% - 강조색3 18 11" xfId="4886" xr:uid="{00000000-0005-0000-0000-0000DE050000}"/>
    <cellStyle name="20% - 강조색3 18 12" xfId="4887" xr:uid="{00000000-0005-0000-0000-0000DF050000}"/>
    <cellStyle name="20% - 강조색3 18 13" xfId="4888" xr:uid="{00000000-0005-0000-0000-0000E0050000}"/>
    <cellStyle name="20% - 강조색3 18 14" xfId="4889" xr:uid="{00000000-0005-0000-0000-0000E1050000}"/>
    <cellStyle name="20% - 강조색3 18 15" xfId="4884" xr:uid="{00000000-0005-0000-0000-0000E2050000}"/>
    <cellStyle name="20% - 강조색3 18 2" xfId="204" xr:uid="{00000000-0005-0000-0000-0000E3050000}"/>
    <cellStyle name="20% - 강조색3 18 2 2" xfId="4890" xr:uid="{00000000-0005-0000-0000-0000E4050000}"/>
    <cellStyle name="20% - 강조색3 18 3" xfId="4891" xr:uid="{00000000-0005-0000-0000-0000E5050000}"/>
    <cellStyle name="20% - 강조색3 18 4" xfId="4892" xr:uid="{00000000-0005-0000-0000-0000E6050000}"/>
    <cellStyle name="20% - 강조색3 18 5" xfId="4893" xr:uid="{00000000-0005-0000-0000-0000E7050000}"/>
    <cellStyle name="20% - 강조색3 18 6" xfId="4894" xr:uid="{00000000-0005-0000-0000-0000E8050000}"/>
    <cellStyle name="20% - 강조색3 18 7" xfId="4895" xr:uid="{00000000-0005-0000-0000-0000E9050000}"/>
    <cellStyle name="20% - 강조색3 18 8" xfId="4896" xr:uid="{00000000-0005-0000-0000-0000EA050000}"/>
    <cellStyle name="20% - 강조색3 18 9" xfId="4897" xr:uid="{00000000-0005-0000-0000-0000EB050000}"/>
    <cellStyle name="20% - 강조색3 19" xfId="205" xr:uid="{00000000-0005-0000-0000-0000EC050000}"/>
    <cellStyle name="20% - 강조색3 19 10" xfId="4899" xr:uid="{00000000-0005-0000-0000-0000ED050000}"/>
    <cellStyle name="20% - 강조색3 19 11" xfId="4900" xr:uid="{00000000-0005-0000-0000-0000EE050000}"/>
    <cellStyle name="20% - 강조색3 19 12" xfId="4901" xr:uid="{00000000-0005-0000-0000-0000EF050000}"/>
    <cellStyle name="20% - 강조색3 19 13" xfId="4902" xr:uid="{00000000-0005-0000-0000-0000F0050000}"/>
    <cellStyle name="20% - 강조색3 19 14" xfId="4903" xr:uid="{00000000-0005-0000-0000-0000F1050000}"/>
    <cellStyle name="20% - 강조색3 19 15" xfId="4898" xr:uid="{00000000-0005-0000-0000-0000F2050000}"/>
    <cellStyle name="20% - 강조색3 19 2" xfId="206" xr:uid="{00000000-0005-0000-0000-0000F3050000}"/>
    <cellStyle name="20% - 강조색3 19 2 2" xfId="4904" xr:uid="{00000000-0005-0000-0000-0000F4050000}"/>
    <cellStyle name="20% - 강조색3 19 3" xfId="4905" xr:uid="{00000000-0005-0000-0000-0000F5050000}"/>
    <cellStyle name="20% - 강조색3 19 4" xfId="4906" xr:uid="{00000000-0005-0000-0000-0000F6050000}"/>
    <cellStyle name="20% - 강조색3 19 5" xfId="4907" xr:uid="{00000000-0005-0000-0000-0000F7050000}"/>
    <cellStyle name="20% - 강조색3 19 6" xfId="4908" xr:uid="{00000000-0005-0000-0000-0000F8050000}"/>
    <cellStyle name="20% - 강조색3 19 7" xfId="4909" xr:uid="{00000000-0005-0000-0000-0000F9050000}"/>
    <cellStyle name="20% - 강조색3 19 8" xfId="4910" xr:uid="{00000000-0005-0000-0000-0000FA050000}"/>
    <cellStyle name="20% - 강조색3 19 9" xfId="4911" xr:uid="{00000000-0005-0000-0000-0000FB050000}"/>
    <cellStyle name="20% - 강조색3 2" xfId="207" xr:uid="{00000000-0005-0000-0000-0000FC050000}"/>
    <cellStyle name="20% - 강조색3 2 10" xfId="4913" xr:uid="{00000000-0005-0000-0000-0000FD050000}"/>
    <cellStyle name="20% - 강조색3 2 11" xfId="4914" xr:uid="{00000000-0005-0000-0000-0000FE050000}"/>
    <cellStyle name="20% - 강조색3 2 12" xfId="4915" xr:uid="{00000000-0005-0000-0000-0000FF050000}"/>
    <cellStyle name="20% - 강조색3 2 13" xfId="4916" xr:uid="{00000000-0005-0000-0000-000000060000}"/>
    <cellStyle name="20% - 강조색3 2 14" xfId="4917" xr:uid="{00000000-0005-0000-0000-000001060000}"/>
    <cellStyle name="20% - 강조색3 2 15" xfId="4912" xr:uid="{00000000-0005-0000-0000-000002060000}"/>
    <cellStyle name="20% - 강조색3 2 16" xfId="27934" xr:uid="{00000000-0005-0000-0000-000003060000}"/>
    <cellStyle name="20% - 강조색3 2 2" xfId="208" xr:uid="{00000000-0005-0000-0000-000004060000}"/>
    <cellStyle name="20% - 강조색3 2 2 2" xfId="4918" xr:uid="{00000000-0005-0000-0000-000005060000}"/>
    <cellStyle name="20% - 강조색3 2 3" xfId="4919" xr:uid="{00000000-0005-0000-0000-000006060000}"/>
    <cellStyle name="20% - 강조색3 2 4" xfId="4920" xr:uid="{00000000-0005-0000-0000-000007060000}"/>
    <cellStyle name="20% - 강조색3 2 5" xfId="4921" xr:uid="{00000000-0005-0000-0000-000008060000}"/>
    <cellStyle name="20% - 강조색3 2 6" xfId="4922" xr:uid="{00000000-0005-0000-0000-000009060000}"/>
    <cellStyle name="20% - 강조색3 2 7" xfId="4923" xr:uid="{00000000-0005-0000-0000-00000A060000}"/>
    <cellStyle name="20% - 강조색3 2 8" xfId="4924" xr:uid="{00000000-0005-0000-0000-00000B060000}"/>
    <cellStyle name="20% - 강조색3 2 9" xfId="4925" xr:uid="{00000000-0005-0000-0000-00000C060000}"/>
    <cellStyle name="20% - 강조색3 20" xfId="209" xr:uid="{00000000-0005-0000-0000-00000D060000}"/>
    <cellStyle name="20% - 강조색3 20 10" xfId="4927" xr:uid="{00000000-0005-0000-0000-00000E060000}"/>
    <cellStyle name="20% - 강조색3 20 11" xfId="4928" xr:uid="{00000000-0005-0000-0000-00000F060000}"/>
    <cellStyle name="20% - 강조색3 20 12" xfId="4929" xr:uid="{00000000-0005-0000-0000-000010060000}"/>
    <cellStyle name="20% - 강조색3 20 13" xfId="4930" xr:uid="{00000000-0005-0000-0000-000011060000}"/>
    <cellStyle name="20% - 강조색3 20 14" xfId="4931" xr:uid="{00000000-0005-0000-0000-000012060000}"/>
    <cellStyle name="20% - 강조색3 20 15" xfId="4926" xr:uid="{00000000-0005-0000-0000-000013060000}"/>
    <cellStyle name="20% - 강조색3 20 2" xfId="210" xr:uid="{00000000-0005-0000-0000-000014060000}"/>
    <cellStyle name="20% - 강조색3 20 2 2" xfId="4932" xr:uid="{00000000-0005-0000-0000-000015060000}"/>
    <cellStyle name="20% - 강조색3 20 3" xfId="4933" xr:uid="{00000000-0005-0000-0000-000016060000}"/>
    <cellStyle name="20% - 강조색3 20 4" xfId="4934" xr:uid="{00000000-0005-0000-0000-000017060000}"/>
    <cellStyle name="20% - 강조색3 20 5" xfId="4935" xr:uid="{00000000-0005-0000-0000-000018060000}"/>
    <cellStyle name="20% - 강조색3 20 6" xfId="4936" xr:uid="{00000000-0005-0000-0000-000019060000}"/>
    <cellStyle name="20% - 강조색3 20 7" xfId="4937" xr:uid="{00000000-0005-0000-0000-00001A060000}"/>
    <cellStyle name="20% - 강조색3 20 8" xfId="4938" xr:uid="{00000000-0005-0000-0000-00001B060000}"/>
    <cellStyle name="20% - 강조색3 20 9" xfId="4939" xr:uid="{00000000-0005-0000-0000-00001C060000}"/>
    <cellStyle name="20% - 강조색3 21" xfId="211" xr:uid="{00000000-0005-0000-0000-00001D060000}"/>
    <cellStyle name="20% - 강조색3 21 10" xfId="4941" xr:uid="{00000000-0005-0000-0000-00001E060000}"/>
    <cellStyle name="20% - 강조색3 21 11" xfId="4942" xr:uid="{00000000-0005-0000-0000-00001F060000}"/>
    <cellStyle name="20% - 강조색3 21 12" xfId="4943" xr:uid="{00000000-0005-0000-0000-000020060000}"/>
    <cellStyle name="20% - 강조색3 21 13" xfId="4944" xr:uid="{00000000-0005-0000-0000-000021060000}"/>
    <cellStyle name="20% - 강조색3 21 14" xfId="4945" xr:uid="{00000000-0005-0000-0000-000022060000}"/>
    <cellStyle name="20% - 강조색3 21 15" xfId="4940" xr:uid="{00000000-0005-0000-0000-000023060000}"/>
    <cellStyle name="20% - 강조색3 21 2" xfId="212" xr:uid="{00000000-0005-0000-0000-000024060000}"/>
    <cellStyle name="20% - 강조색3 21 2 2" xfId="4946" xr:uid="{00000000-0005-0000-0000-000025060000}"/>
    <cellStyle name="20% - 강조색3 21 3" xfId="4947" xr:uid="{00000000-0005-0000-0000-000026060000}"/>
    <cellStyle name="20% - 강조색3 21 4" xfId="4948" xr:uid="{00000000-0005-0000-0000-000027060000}"/>
    <cellStyle name="20% - 강조색3 21 5" xfId="4949" xr:uid="{00000000-0005-0000-0000-000028060000}"/>
    <cellStyle name="20% - 강조색3 21 6" xfId="4950" xr:uid="{00000000-0005-0000-0000-000029060000}"/>
    <cellStyle name="20% - 강조색3 21 7" xfId="4951" xr:uid="{00000000-0005-0000-0000-00002A060000}"/>
    <cellStyle name="20% - 강조색3 21 8" xfId="4952" xr:uid="{00000000-0005-0000-0000-00002B060000}"/>
    <cellStyle name="20% - 강조색3 21 9" xfId="4953" xr:uid="{00000000-0005-0000-0000-00002C060000}"/>
    <cellStyle name="20% - 강조색3 22" xfId="213" xr:uid="{00000000-0005-0000-0000-00002D060000}"/>
    <cellStyle name="20% - 강조색3 22 10" xfId="4955" xr:uid="{00000000-0005-0000-0000-00002E060000}"/>
    <cellStyle name="20% - 강조색3 22 11" xfId="4956" xr:uid="{00000000-0005-0000-0000-00002F060000}"/>
    <cellStyle name="20% - 강조색3 22 12" xfId="4957" xr:uid="{00000000-0005-0000-0000-000030060000}"/>
    <cellStyle name="20% - 강조색3 22 13" xfId="4958" xr:uid="{00000000-0005-0000-0000-000031060000}"/>
    <cellStyle name="20% - 강조색3 22 14" xfId="4959" xr:uid="{00000000-0005-0000-0000-000032060000}"/>
    <cellStyle name="20% - 강조색3 22 15" xfId="4954" xr:uid="{00000000-0005-0000-0000-000033060000}"/>
    <cellStyle name="20% - 강조색3 22 2" xfId="214" xr:uid="{00000000-0005-0000-0000-000034060000}"/>
    <cellStyle name="20% - 강조색3 22 2 2" xfId="4960" xr:uid="{00000000-0005-0000-0000-000035060000}"/>
    <cellStyle name="20% - 강조색3 22 3" xfId="4961" xr:uid="{00000000-0005-0000-0000-000036060000}"/>
    <cellStyle name="20% - 강조색3 22 4" xfId="4962" xr:uid="{00000000-0005-0000-0000-000037060000}"/>
    <cellStyle name="20% - 강조색3 22 5" xfId="4963" xr:uid="{00000000-0005-0000-0000-000038060000}"/>
    <cellStyle name="20% - 강조색3 22 6" xfId="4964" xr:uid="{00000000-0005-0000-0000-000039060000}"/>
    <cellStyle name="20% - 강조색3 22 7" xfId="4965" xr:uid="{00000000-0005-0000-0000-00003A060000}"/>
    <cellStyle name="20% - 강조색3 22 8" xfId="4966" xr:uid="{00000000-0005-0000-0000-00003B060000}"/>
    <cellStyle name="20% - 강조색3 22 9" xfId="4967" xr:uid="{00000000-0005-0000-0000-00003C060000}"/>
    <cellStyle name="20% - 강조색3 23" xfId="215" xr:uid="{00000000-0005-0000-0000-00003D060000}"/>
    <cellStyle name="20% - 강조색3 23 10" xfId="4969" xr:uid="{00000000-0005-0000-0000-00003E060000}"/>
    <cellStyle name="20% - 강조색3 23 11" xfId="4970" xr:uid="{00000000-0005-0000-0000-00003F060000}"/>
    <cellStyle name="20% - 강조색3 23 12" xfId="4971" xr:uid="{00000000-0005-0000-0000-000040060000}"/>
    <cellStyle name="20% - 강조색3 23 13" xfId="4972" xr:uid="{00000000-0005-0000-0000-000041060000}"/>
    <cellStyle name="20% - 강조색3 23 14" xfId="4973" xr:uid="{00000000-0005-0000-0000-000042060000}"/>
    <cellStyle name="20% - 강조색3 23 15" xfId="4968" xr:uid="{00000000-0005-0000-0000-000043060000}"/>
    <cellStyle name="20% - 강조색3 23 2" xfId="216" xr:uid="{00000000-0005-0000-0000-000044060000}"/>
    <cellStyle name="20% - 강조색3 23 2 2" xfId="4974" xr:uid="{00000000-0005-0000-0000-000045060000}"/>
    <cellStyle name="20% - 강조색3 23 3" xfId="4975" xr:uid="{00000000-0005-0000-0000-000046060000}"/>
    <cellStyle name="20% - 강조색3 23 4" xfId="4976" xr:uid="{00000000-0005-0000-0000-000047060000}"/>
    <cellStyle name="20% - 강조색3 23 5" xfId="4977" xr:uid="{00000000-0005-0000-0000-000048060000}"/>
    <cellStyle name="20% - 강조색3 23 6" xfId="4978" xr:uid="{00000000-0005-0000-0000-000049060000}"/>
    <cellStyle name="20% - 강조색3 23 7" xfId="4979" xr:uid="{00000000-0005-0000-0000-00004A060000}"/>
    <cellStyle name="20% - 강조색3 23 8" xfId="4980" xr:uid="{00000000-0005-0000-0000-00004B060000}"/>
    <cellStyle name="20% - 강조색3 23 9" xfId="4981" xr:uid="{00000000-0005-0000-0000-00004C060000}"/>
    <cellStyle name="20% - 강조색3 24" xfId="217" xr:uid="{00000000-0005-0000-0000-00004D060000}"/>
    <cellStyle name="20% - 강조색3 24 10" xfId="4983" xr:uid="{00000000-0005-0000-0000-00004E060000}"/>
    <cellStyle name="20% - 강조색3 24 11" xfId="4984" xr:uid="{00000000-0005-0000-0000-00004F060000}"/>
    <cellStyle name="20% - 강조색3 24 12" xfId="4985" xr:uid="{00000000-0005-0000-0000-000050060000}"/>
    <cellStyle name="20% - 강조색3 24 13" xfId="4986" xr:uid="{00000000-0005-0000-0000-000051060000}"/>
    <cellStyle name="20% - 강조색3 24 14" xfId="4987" xr:uid="{00000000-0005-0000-0000-000052060000}"/>
    <cellStyle name="20% - 강조색3 24 15" xfId="4982" xr:uid="{00000000-0005-0000-0000-000053060000}"/>
    <cellStyle name="20% - 강조색3 24 2" xfId="218" xr:uid="{00000000-0005-0000-0000-000054060000}"/>
    <cellStyle name="20% - 강조색3 24 2 2" xfId="4988" xr:uid="{00000000-0005-0000-0000-000055060000}"/>
    <cellStyle name="20% - 강조색3 24 3" xfId="4989" xr:uid="{00000000-0005-0000-0000-000056060000}"/>
    <cellStyle name="20% - 강조색3 24 4" xfId="4990" xr:uid="{00000000-0005-0000-0000-000057060000}"/>
    <cellStyle name="20% - 강조색3 24 5" xfId="4991" xr:uid="{00000000-0005-0000-0000-000058060000}"/>
    <cellStyle name="20% - 강조색3 24 6" xfId="4992" xr:uid="{00000000-0005-0000-0000-000059060000}"/>
    <cellStyle name="20% - 강조색3 24 7" xfId="4993" xr:uid="{00000000-0005-0000-0000-00005A060000}"/>
    <cellStyle name="20% - 강조색3 24 8" xfId="4994" xr:uid="{00000000-0005-0000-0000-00005B060000}"/>
    <cellStyle name="20% - 강조색3 24 9" xfId="4995" xr:uid="{00000000-0005-0000-0000-00005C060000}"/>
    <cellStyle name="20% - 강조색3 25" xfId="219" xr:uid="{00000000-0005-0000-0000-00005D060000}"/>
    <cellStyle name="20% - 강조색3 25 10" xfId="4997" xr:uid="{00000000-0005-0000-0000-00005E060000}"/>
    <cellStyle name="20% - 강조색3 25 11" xfId="4998" xr:uid="{00000000-0005-0000-0000-00005F060000}"/>
    <cellStyle name="20% - 강조색3 25 12" xfId="4999" xr:uid="{00000000-0005-0000-0000-000060060000}"/>
    <cellStyle name="20% - 강조색3 25 13" xfId="5000" xr:uid="{00000000-0005-0000-0000-000061060000}"/>
    <cellStyle name="20% - 강조색3 25 14" xfId="5001" xr:uid="{00000000-0005-0000-0000-000062060000}"/>
    <cellStyle name="20% - 강조색3 25 15" xfId="4996" xr:uid="{00000000-0005-0000-0000-000063060000}"/>
    <cellStyle name="20% - 강조색3 25 2" xfId="220" xr:uid="{00000000-0005-0000-0000-000064060000}"/>
    <cellStyle name="20% - 강조색3 25 2 2" xfId="5002" xr:uid="{00000000-0005-0000-0000-000065060000}"/>
    <cellStyle name="20% - 강조색3 25 3" xfId="5003" xr:uid="{00000000-0005-0000-0000-000066060000}"/>
    <cellStyle name="20% - 강조색3 25 4" xfId="5004" xr:uid="{00000000-0005-0000-0000-000067060000}"/>
    <cellStyle name="20% - 강조색3 25 5" xfId="5005" xr:uid="{00000000-0005-0000-0000-000068060000}"/>
    <cellStyle name="20% - 강조색3 25 6" xfId="5006" xr:uid="{00000000-0005-0000-0000-000069060000}"/>
    <cellStyle name="20% - 강조색3 25 7" xfId="5007" xr:uid="{00000000-0005-0000-0000-00006A060000}"/>
    <cellStyle name="20% - 강조색3 25 8" xfId="5008" xr:uid="{00000000-0005-0000-0000-00006B060000}"/>
    <cellStyle name="20% - 강조색3 25 9" xfId="5009" xr:uid="{00000000-0005-0000-0000-00006C060000}"/>
    <cellStyle name="20% - 강조색3 26" xfId="221" xr:uid="{00000000-0005-0000-0000-00006D060000}"/>
    <cellStyle name="20% - 강조색3 26 10" xfId="5011" xr:uid="{00000000-0005-0000-0000-00006E060000}"/>
    <cellStyle name="20% - 강조색3 26 11" xfId="5012" xr:uid="{00000000-0005-0000-0000-00006F060000}"/>
    <cellStyle name="20% - 강조색3 26 12" xfId="5013" xr:uid="{00000000-0005-0000-0000-000070060000}"/>
    <cellStyle name="20% - 강조색3 26 13" xfId="5014" xr:uid="{00000000-0005-0000-0000-000071060000}"/>
    <cellStyle name="20% - 강조색3 26 14" xfId="5015" xr:uid="{00000000-0005-0000-0000-000072060000}"/>
    <cellStyle name="20% - 강조색3 26 15" xfId="5010" xr:uid="{00000000-0005-0000-0000-000073060000}"/>
    <cellStyle name="20% - 강조색3 26 2" xfId="222" xr:uid="{00000000-0005-0000-0000-000074060000}"/>
    <cellStyle name="20% - 강조색3 26 2 2" xfId="5016" xr:uid="{00000000-0005-0000-0000-000075060000}"/>
    <cellStyle name="20% - 강조색3 26 3" xfId="5017" xr:uid="{00000000-0005-0000-0000-000076060000}"/>
    <cellStyle name="20% - 강조색3 26 4" xfId="5018" xr:uid="{00000000-0005-0000-0000-000077060000}"/>
    <cellStyle name="20% - 강조색3 26 5" xfId="5019" xr:uid="{00000000-0005-0000-0000-000078060000}"/>
    <cellStyle name="20% - 강조색3 26 6" xfId="5020" xr:uid="{00000000-0005-0000-0000-000079060000}"/>
    <cellStyle name="20% - 강조색3 26 7" xfId="5021" xr:uid="{00000000-0005-0000-0000-00007A060000}"/>
    <cellStyle name="20% - 강조색3 26 8" xfId="5022" xr:uid="{00000000-0005-0000-0000-00007B060000}"/>
    <cellStyle name="20% - 강조색3 26 9" xfId="5023" xr:uid="{00000000-0005-0000-0000-00007C060000}"/>
    <cellStyle name="20% - 강조색3 27" xfId="223" xr:uid="{00000000-0005-0000-0000-00007D060000}"/>
    <cellStyle name="20% - 강조색3 27 10" xfId="5025" xr:uid="{00000000-0005-0000-0000-00007E060000}"/>
    <cellStyle name="20% - 강조색3 27 11" xfId="5026" xr:uid="{00000000-0005-0000-0000-00007F060000}"/>
    <cellStyle name="20% - 강조색3 27 12" xfId="5027" xr:uid="{00000000-0005-0000-0000-000080060000}"/>
    <cellStyle name="20% - 강조색3 27 13" xfId="5028" xr:uid="{00000000-0005-0000-0000-000081060000}"/>
    <cellStyle name="20% - 강조색3 27 14" xfId="5029" xr:uid="{00000000-0005-0000-0000-000082060000}"/>
    <cellStyle name="20% - 강조색3 27 15" xfId="5024" xr:uid="{00000000-0005-0000-0000-000083060000}"/>
    <cellStyle name="20% - 강조색3 27 2" xfId="224" xr:uid="{00000000-0005-0000-0000-000084060000}"/>
    <cellStyle name="20% - 강조색3 27 2 2" xfId="5030" xr:uid="{00000000-0005-0000-0000-000085060000}"/>
    <cellStyle name="20% - 강조색3 27 3" xfId="5031" xr:uid="{00000000-0005-0000-0000-000086060000}"/>
    <cellStyle name="20% - 강조색3 27 4" xfId="5032" xr:uid="{00000000-0005-0000-0000-000087060000}"/>
    <cellStyle name="20% - 강조색3 27 5" xfId="5033" xr:uid="{00000000-0005-0000-0000-000088060000}"/>
    <cellStyle name="20% - 강조색3 27 6" xfId="5034" xr:uid="{00000000-0005-0000-0000-000089060000}"/>
    <cellStyle name="20% - 강조색3 27 7" xfId="5035" xr:uid="{00000000-0005-0000-0000-00008A060000}"/>
    <cellStyle name="20% - 강조색3 27 8" xfId="5036" xr:uid="{00000000-0005-0000-0000-00008B060000}"/>
    <cellStyle name="20% - 강조색3 27 9" xfId="5037" xr:uid="{00000000-0005-0000-0000-00008C060000}"/>
    <cellStyle name="20% - 강조색3 28" xfId="225" xr:uid="{00000000-0005-0000-0000-00008D060000}"/>
    <cellStyle name="20% - 강조색3 28 10" xfId="5039" xr:uid="{00000000-0005-0000-0000-00008E060000}"/>
    <cellStyle name="20% - 강조색3 28 11" xfId="5040" xr:uid="{00000000-0005-0000-0000-00008F060000}"/>
    <cellStyle name="20% - 강조색3 28 12" xfId="5041" xr:uid="{00000000-0005-0000-0000-000090060000}"/>
    <cellStyle name="20% - 강조색3 28 13" xfId="5042" xr:uid="{00000000-0005-0000-0000-000091060000}"/>
    <cellStyle name="20% - 강조색3 28 14" xfId="5043" xr:uid="{00000000-0005-0000-0000-000092060000}"/>
    <cellStyle name="20% - 강조색3 28 15" xfId="5038" xr:uid="{00000000-0005-0000-0000-000093060000}"/>
    <cellStyle name="20% - 강조색3 28 2" xfId="226" xr:uid="{00000000-0005-0000-0000-000094060000}"/>
    <cellStyle name="20% - 강조색3 28 2 2" xfId="5044" xr:uid="{00000000-0005-0000-0000-000095060000}"/>
    <cellStyle name="20% - 강조색3 28 3" xfId="5045" xr:uid="{00000000-0005-0000-0000-000096060000}"/>
    <cellStyle name="20% - 강조색3 28 4" xfId="5046" xr:uid="{00000000-0005-0000-0000-000097060000}"/>
    <cellStyle name="20% - 강조색3 28 5" xfId="5047" xr:uid="{00000000-0005-0000-0000-000098060000}"/>
    <cellStyle name="20% - 강조색3 28 6" xfId="5048" xr:uid="{00000000-0005-0000-0000-000099060000}"/>
    <cellStyle name="20% - 강조색3 28 7" xfId="5049" xr:uid="{00000000-0005-0000-0000-00009A060000}"/>
    <cellStyle name="20% - 강조색3 28 8" xfId="5050" xr:uid="{00000000-0005-0000-0000-00009B060000}"/>
    <cellStyle name="20% - 강조색3 28 9" xfId="5051" xr:uid="{00000000-0005-0000-0000-00009C060000}"/>
    <cellStyle name="20% - 강조색3 29" xfId="227" xr:uid="{00000000-0005-0000-0000-00009D060000}"/>
    <cellStyle name="20% - 강조색3 29 10" xfId="5053" xr:uid="{00000000-0005-0000-0000-00009E060000}"/>
    <cellStyle name="20% - 강조색3 29 11" xfId="5054" xr:uid="{00000000-0005-0000-0000-00009F060000}"/>
    <cellStyle name="20% - 강조색3 29 12" xfId="5055" xr:uid="{00000000-0005-0000-0000-0000A0060000}"/>
    <cellStyle name="20% - 강조색3 29 13" xfId="5056" xr:uid="{00000000-0005-0000-0000-0000A1060000}"/>
    <cellStyle name="20% - 강조색3 29 14" xfId="5057" xr:uid="{00000000-0005-0000-0000-0000A2060000}"/>
    <cellStyle name="20% - 강조색3 29 15" xfId="5052" xr:uid="{00000000-0005-0000-0000-0000A3060000}"/>
    <cellStyle name="20% - 강조색3 29 2" xfId="228" xr:uid="{00000000-0005-0000-0000-0000A4060000}"/>
    <cellStyle name="20% - 강조색3 29 2 2" xfId="5058" xr:uid="{00000000-0005-0000-0000-0000A5060000}"/>
    <cellStyle name="20% - 강조색3 29 3" xfId="5059" xr:uid="{00000000-0005-0000-0000-0000A6060000}"/>
    <cellStyle name="20% - 강조색3 29 4" xfId="5060" xr:uid="{00000000-0005-0000-0000-0000A7060000}"/>
    <cellStyle name="20% - 강조색3 29 5" xfId="5061" xr:uid="{00000000-0005-0000-0000-0000A8060000}"/>
    <cellStyle name="20% - 강조색3 29 6" xfId="5062" xr:uid="{00000000-0005-0000-0000-0000A9060000}"/>
    <cellStyle name="20% - 강조색3 29 7" xfId="5063" xr:uid="{00000000-0005-0000-0000-0000AA060000}"/>
    <cellStyle name="20% - 강조색3 29 8" xfId="5064" xr:uid="{00000000-0005-0000-0000-0000AB060000}"/>
    <cellStyle name="20% - 강조색3 29 9" xfId="5065" xr:uid="{00000000-0005-0000-0000-0000AC060000}"/>
    <cellStyle name="20% - 강조색3 3" xfId="229" xr:uid="{00000000-0005-0000-0000-0000AD060000}"/>
    <cellStyle name="20% - 강조색3 3 10" xfId="5067" xr:uid="{00000000-0005-0000-0000-0000AE060000}"/>
    <cellStyle name="20% - 강조색3 3 11" xfId="5068" xr:uid="{00000000-0005-0000-0000-0000AF060000}"/>
    <cellStyle name="20% - 강조색3 3 12" xfId="5069" xr:uid="{00000000-0005-0000-0000-0000B0060000}"/>
    <cellStyle name="20% - 강조색3 3 13" xfId="5070" xr:uid="{00000000-0005-0000-0000-0000B1060000}"/>
    <cellStyle name="20% - 강조색3 3 14" xfId="5071" xr:uid="{00000000-0005-0000-0000-0000B2060000}"/>
    <cellStyle name="20% - 강조색3 3 15" xfId="5066" xr:uid="{00000000-0005-0000-0000-0000B3060000}"/>
    <cellStyle name="20% - 강조색3 3 16" xfId="28191" xr:uid="{00000000-0005-0000-0000-0000B4060000}"/>
    <cellStyle name="20% - 강조색3 3 2" xfId="230" xr:uid="{00000000-0005-0000-0000-0000B5060000}"/>
    <cellStyle name="20% - 강조색3 3 2 2" xfId="5072" xr:uid="{00000000-0005-0000-0000-0000B6060000}"/>
    <cellStyle name="20% - 강조색3 3 3" xfId="5073" xr:uid="{00000000-0005-0000-0000-0000B7060000}"/>
    <cellStyle name="20% - 강조색3 3 4" xfId="5074" xr:uid="{00000000-0005-0000-0000-0000B8060000}"/>
    <cellStyle name="20% - 강조색3 3 5" xfId="5075" xr:uid="{00000000-0005-0000-0000-0000B9060000}"/>
    <cellStyle name="20% - 강조색3 3 6" xfId="5076" xr:uid="{00000000-0005-0000-0000-0000BA060000}"/>
    <cellStyle name="20% - 강조색3 3 7" xfId="5077" xr:uid="{00000000-0005-0000-0000-0000BB060000}"/>
    <cellStyle name="20% - 강조색3 3 8" xfId="5078" xr:uid="{00000000-0005-0000-0000-0000BC060000}"/>
    <cellStyle name="20% - 강조색3 3 9" xfId="5079" xr:uid="{00000000-0005-0000-0000-0000BD060000}"/>
    <cellStyle name="20% - 강조색3 30" xfId="231" xr:uid="{00000000-0005-0000-0000-0000BE060000}"/>
    <cellStyle name="20% - 강조색3 30 10" xfId="5081" xr:uid="{00000000-0005-0000-0000-0000BF060000}"/>
    <cellStyle name="20% - 강조색3 30 11" xfId="5082" xr:uid="{00000000-0005-0000-0000-0000C0060000}"/>
    <cellStyle name="20% - 강조색3 30 12" xfId="5083" xr:uid="{00000000-0005-0000-0000-0000C1060000}"/>
    <cellStyle name="20% - 강조색3 30 13" xfId="5084" xr:uid="{00000000-0005-0000-0000-0000C2060000}"/>
    <cellStyle name="20% - 강조색3 30 14" xfId="5085" xr:uid="{00000000-0005-0000-0000-0000C3060000}"/>
    <cellStyle name="20% - 강조색3 30 15" xfId="5080" xr:uid="{00000000-0005-0000-0000-0000C4060000}"/>
    <cellStyle name="20% - 강조색3 30 2" xfId="232" xr:uid="{00000000-0005-0000-0000-0000C5060000}"/>
    <cellStyle name="20% - 강조색3 30 2 2" xfId="5086" xr:uid="{00000000-0005-0000-0000-0000C6060000}"/>
    <cellStyle name="20% - 강조색3 30 3" xfId="5087" xr:uid="{00000000-0005-0000-0000-0000C7060000}"/>
    <cellStyle name="20% - 강조색3 30 4" xfId="5088" xr:uid="{00000000-0005-0000-0000-0000C8060000}"/>
    <cellStyle name="20% - 강조색3 30 5" xfId="5089" xr:uid="{00000000-0005-0000-0000-0000C9060000}"/>
    <cellStyle name="20% - 강조색3 30 6" xfId="5090" xr:uid="{00000000-0005-0000-0000-0000CA060000}"/>
    <cellStyle name="20% - 강조색3 30 7" xfId="5091" xr:uid="{00000000-0005-0000-0000-0000CB060000}"/>
    <cellStyle name="20% - 강조색3 30 8" xfId="5092" xr:uid="{00000000-0005-0000-0000-0000CC060000}"/>
    <cellStyle name="20% - 강조색3 30 9" xfId="5093" xr:uid="{00000000-0005-0000-0000-0000CD060000}"/>
    <cellStyle name="20% - 강조색3 31" xfId="233" xr:uid="{00000000-0005-0000-0000-0000CE060000}"/>
    <cellStyle name="20% - 강조색3 31 10" xfId="5095" xr:uid="{00000000-0005-0000-0000-0000CF060000}"/>
    <cellStyle name="20% - 강조색3 31 11" xfId="5096" xr:uid="{00000000-0005-0000-0000-0000D0060000}"/>
    <cellStyle name="20% - 강조색3 31 12" xfId="5097" xr:uid="{00000000-0005-0000-0000-0000D1060000}"/>
    <cellStyle name="20% - 강조색3 31 13" xfId="5098" xr:uid="{00000000-0005-0000-0000-0000D2060000}"/>
    <cellStyle name="20% - 강조색3 31 14" xfId="5099" xr:uid="{00000000-0005-0000-0000-0000D3060000}"/>
    <cellStyle name="20% - 강조색3 31 15" xfId="5094" xr:uid="{00000000-0005-0000-0000-0000D4060000}"/>
    <cellStyle name="20% - 강조색3 31 2" xfId="234" xr:uid="{00000000-0005-0000-0000-0000D5060000}"/>
    <cellStyle name="20% - 강조색3 31 2 2" xfId="5100" xr:uid="{00000000-0005-0000-0000-0000D6060000}"/>
    <cellStyle name="20% - 강조색3 31 3" xfId="5101" xr:uid="{00000000-0005-0000-0000-0000D7060000}"/>
    <cellStyle name="20% - 강조색3 31 4" xfId="5102" xr:uid="{00000000-0005-0000-0000-0000D8060000}"/>
    <cellStyle name="20% - 강조색3 31 5" xfId="5103" xr:uid="{00000000-0005-0000-0000-0000D9060000}"/>
    <cellStyle name="20% - 강조색3 31 6" xfId="5104" xr:uid="{00000000-0005-0000-0000-0000DA060000}"/>
    <cellStyle name="20% - 강조색3 31 7" xfId="5105" xr:uid="{00000000-0005-0000-0000-0000DB060000}"/>
    <cellStyle name="20% - 강조색3 31 8" xfId="5106" xr:uid="{00000000-0005-0000-0000-0000DC060000}"/>
    <cellStyle name="20% - 강조색3 31 9" xfId="5107" xr:uid="{00000000-0005-0000-0000-0000DD060000}"/>
    <cellStyle name="20% - 강조색3 32" xfId="235" xr:uid="{00000000-0005-0000-0000-0000DE060000}"/>
    <cellStyle name="20% - 강조색3 32 10" xfId="5109" xr:uid="{00000000-0005-0000-0000-0000DF060000}"/>
    <cellStyle name="20% - 강조색3 32 11" xfId="5110" xr:uid="{00000000-0005-0000-0000-0000E0060000}"/>
    <cellStyle name="20% - 강조색3 32 12" xfId="5111" xr:uid="{00000000-0005-0000-0000-0000E1060000}"/>
    <cellStyle name="20% - 강조색3 32 13" xfId="5112" xr:uid="{00000000-0005-0000-0000-0000E2060000}"/>
    <cellStyle name="20% - 강조색3 32 14" xfId="5113" xr:uid="{00000000-0005-0000-0000-0000E3060000}"/>
    <cellStyle name="20% - 강조색3 32 15" xfId="5108" xr:uid="{00000000-0005-0000-0000-0000E4060000}"/>
    <cellStyle name="20% - 강조색3 32 2" xfId="236" xr:uid="{00000000-0005-0000-0000-0000E5060000}"/>
    <cellStyle name="20% - 강조색3 32 2 2" xfId="5114" xr:uid="{00000000-0005-0000-0000-0000E6060000}"/>
    <cellStyle name="20% - 강조색3 32 3" xfId="5115" xr:uid="{00000000-0005-0000-0000-0000E7060000}"/>
    <cellStyle name="20% - 강조색3 32 4" xfId="5116" xr:uid="{00000000-0005-0000-0000-0000E8060000}"/>
    <cellStyle name="20% - 강조색3 32 5" xfId="5117" xr:uid="{00000000-0005-0000-0000-0000E9060000}"/>
    <cellStyle name="20% - 강조색3 32 6" xfId="5118" xr:uid="{00000000-0005-0000-0000-0000EA060000}"/>
    <cellStyle name="20% - 강조색3 32 7" xfId="5119" xr:uid="{00000000-0005-0000-0000-0000EB060000}"/>
    <cellStyle name="20% - 강조색3 32 8" xfId="5120" xr:uid="{00000000-0005-0000-0000-0000EC060000}"/>
    <cellStyle name="20% - 강조색3 32 9" xfId="5121" xr:uid="{00000000-0005-0000-0000-0000ED060000}"/>
    <cellStyle name="20% - 강조색3 33" xfId="237" xr:uid="{00000000-0005-0000-0000-0000EE060000}"/>
    <cellStyle name="20% - 강조색3 33 10" xfId="5123" xr:uid="{00000000-0005-0000-0000-0000EF060000}"/>
    <cellStyle name="20% - 강조색3 33 11" xfId="5124" xr:uid="{00000000-0005-0000-0000-0000F0060000}"/>
    <cellStyle name="20% - 강조색3 33 12" xfId="5125" xr:uid="{00000000-0005-0000-0000-0000F1060000}"/>
    <cellStyle name="20% - 강조색3 33 13" xfId="5126" xr:uid="{00000000-0005-0000-0000-0000F2060000}"/>
    <cellStyle name="20% - 강조색3 33 14" xfId="5127" xr:uid="{00000000-0005-0000-0000-0000F3060000}"/>
    <cellStyle name="20% - 강조색3 33 15" xfId="5122" xr:uid="{00000000-0005-0000-0000-0000F4060000}"/>
    <cellStyle name="20% - 강조색3 33 2" xfId="238" xr:uid="{00000000-0005-0000-0000-0000F5060000}"/>
    <cellStyle name="20% - 강조색3 33 2 2" xfId="5128" xr:uid="{00000000-0005-0000-0000-0000F6060000}"/>
    <cellStyle name="20% - 강조색3 33 3" xfId="5129" xr:uid="{00000000-0005-0000-0000-0000F7060000}"/>
    <cellStyle name="20% - 강조색3 33 4" xfId="5130" xr:uid="{00000000-0005-0000-0000-0000F8060000}"/>
    <cellStyle name="20% - 강조색3 33 5" xfId="5131" xr:uid="{00000000-0005-0000-0000-0000F9060000}"/>
    <cellStyle name="20% - 강조색3 33 6" xfId="5132" xr:uid="{00000000-0005-0000-0000-0000FA060000}"/>
    <cellStyle name="20% - 강조색3 33 7" xfId="5133" xr:uid="{00000000-0005-0000-0000-0000FB060000}"/>
    <cellStyle name="20% - 강조색3 33 8" xfId="5134" xr:uid="{00000000-0005-0000-0000-0000FC060000}"/>
    <cellStyle name="20% - 강조색3 33 9" xfId="5135" xr:uid="{00000000-0005-0000-0000-0000FD060000}"/>
    <cellStyle name="20% - 강조색3 34" xfId="239" xr:uid="{00000000-0005-0000-0000-0000FE060000}"/>
    <cellStyle name="20% - 강조색3 34 10" xfId="5137" xr:uid="{00000000-0005-0000-0000-0000FF060000}"/>
    <cellStyle name="20% - 강조색3 34 11" xfId="5138" xr:uid="{00000000-0005-0000-0000-000000070000}"/>
    <cellStyle name="20% - 강조색3 34 12" xfId="5139" xr:uid="{00000000-0005-0000-0000-000001070000}"/>
    <cellStyle name="20% - 강조색3 34 13" xfId="5140" xr:uid="{00000000-0005-0000-0000-000002070000}"/>
    <cellStyle name="20% - 강조색3 34 14" xfId="5141" xr:uid="{00000000-0005-0000-0000-000003070000}"/>
    <cellStyle name="20% - 강조색3 34 15" xfId="5136" xr:uid="{00000000-0005-0000-0000-000004070000}"/>
    <cellStyle name="20% - 강조색3 34 2" xfId="240" xr:uid="{00000000-0005-0000-0000-000005070000}"/>
    <cellStyle name="20% - 강조색3 34 2 2" xfId="5142" xr:uid="{00000000-0005-0000-0000-000006070000}"/>
    <cellStyle name="20% - 강조색3 34 3" xfId="5143" xr:uid="{00000000-0005-0000-0000-000007070000}"/>
    <cellStyle name="20% - 강조색3 34 4" xfId="5144" xr:uid="{00000000-0005-0000-0000-000008070000}"/>
    <cellStyle name="20% - 강조색3 34 5" xfId="5145" xr:uid="{00000000-0005-0000-0000-000009070000}"/>
    <cellStyle name="20% - 강조색3 34 6" xfId="5146" xr:uid="{00000000-0005-0000-0000-00000A070000}"/>
    <cellStyle name="20% - 강조색3 34 7" xfId="5147" xr:uid="{00000000-0005-0000-0000-00000B070000}"/>
    <cellStyle name="20% - 강조색3 34 8" xfId="5148" xr:uid="{00000000-0005-0000-0000-00000C070000}"/>
    <cellStyle name="20% - 강조색3 34 9" xfId="5149" xr:uid="{00000000-0005-0000-0000-00000D070000}"/>
    <cellStyle name="20% - 강조색3 35" xfId="241" xr:uid="{00000000-0005-0000-0000-00000E070000}"/>
    <cellStyle name="20% - 강조색3 35 10" xfId="5151" xr:uid="{00000000-0005-0000-0000-00000F070000}"/>
    <cellStyle name="20% - 강조색3 35 11" xfId="5152" xr:uid="{00000000-0005-0000-0000-000010070000}"/>
    <cellStyle name="20% - 강조색3 35 12" xfId="5153" xr:uid="{00000000-0005-0000-0000-000011070000}"/>
    <cellStyle name="20% - 강조색3 35 13" xfId="5154" xr:uid="{00000000-0005-0000-0000-000012070000}"/>
    <cellStyle name="20% - 강조색3 35 14" xfId="5155" xr:uid="{00000000-0005-0000-0000-000013070000}"/>
    <cellStyle name="20% - 강조색3 35 15" xfId="5150" xr:uid="{00000000-0005-0000-0000-000014070000}"/>
    <cellStyle name="20% - 강조색3 35 2" xfId="242" xr:uid="{00000000-0005-0000-0000-000015070000}"/>
    <cellStyle name="20% - 강조색3 35 2 2" xfId="5156" xr:uid="{00000000-0005-0000-0000-000016070000}"/>
    <cellStyle name="20% - 강조색3 35 3" xfId="5157" xr:uid="{00000000-0005-0000-0000-000017070000}"/>
    <cellStyle name="20% - 강조색3 35 4" xfId="5158" xr:uid="{00000000-0005-0000-0000-000018070000}"/>
    <cellStyle name="20% - 강조색3 35 5" xfId="5159" xr:uid="{00000000-0005-0000-0000-000019070000}"/>
    <cellStyle name="20% - 강조색3 35 6" xfId="5160" xr:uid="{00000000-0005-0000-0000-00001A070000}"/>
    <cellStyle name="20% - 강조색3 35 7" xfId="5161" xr:uid="{00000000-0005-0000-0000-00001B070000}"/>
    <cellStyle name="20% - 강조색3 35 8" xfId="5162" xr:uid="{00000000-0005-0000-0000-00001C070000}"/>
    <cellStyle name="20% - 강조색3 35 9" xfId="5163" xr:uid="{00000000-0005-0000-0000-00001D070000}"/>
    <cellStyle name="20% - 강조색3 36" xfId="243" xr:uid="{00000000-0005-0000-0000-00001E070000}"/>
    <cellStyle name="20% - 강조색3 36 10" xfId="5165" xr:uid="{00000000-0005-0000-0000-00001F070000}"/>
    <cellStyle name="20% - 강조색3 36 11" xfId="5166" xr:uid="{00000000-0005-0000-0000-000020070000}"/>
    <cellStyle name="20% - 강조색3 36 12" xfId="5167" xr:uid="{00000000-0005-0000-0000-000021070000}"/>
    <cellStyle name="20% - 강조색3 36 13" xfId="5168" xr:uid="{00000000-0005-0000-0000-000022070000}"/>
    <cellStyle name="20% - 강조색3 36 14" xfId="5169" xr:uid="{00000000-0005-0000-0000-000023070000}"/>
    <cellStyle name="20% - 강조색3 36 15" xfId="5164" xr:uid="{00000000-0005-0000-0000-000024070000}"/>
    <cellStyle name="20% - 강조색3 36 2" xfId="244" xr:uid="{00000000-0005-0000-0000-000025070000}"/>
    <cellStyle name="20% - 강조색3 36 2 2" xfId="5170" xr:uid="{00000000-0005-0000-0000-000026070000}"/>
    <cellStyle name="20% - 강조색3 36 3" xfId="5171" xr:uid="{00000000-0005-0000-0000-000027070000}"/>
    <cellStyle name="20% - 강조색3 36 4" xfId="5172" xr:uid="{00000000-0005-0000-0000-000028070000}"/>
    <cellStyle name="20% - 강조색3 36 5" xfId="5173" xr:uid="{00000000-0005-0000-0000-000029070000}"/>
    <cellStyle name="20% - 강조색3 36 6" xfId="5174" xr:uid="{00000000-0005-0000-0000-00002A070000}"/>
    <cellStyle name="20% - 강조색3 36 7" xfId="5175" xr:uid="{00000000-0005-0000-0000-00002B070000}"/>
    <cellStyle name="20% - 강조색3 36 8" xfId="5176" xr:uid="{00000000-0005-0000-0000-00002C070000}"/>
    <cellStyle name="20% - 강조색3 36 9" xfId="5177" xr:uid="{00000000-0005-0000-0000-00002D070000}"/>
    <cellStyle name="20% - 강조색3 37" xfId="245" xr:uid="{00000000-0005-0000-0000-00002E070000}"/>
    <cellStyle name="20% - 강조색3 37 10" xfId="5179" xr:uid="{00000000-0005-0000-0000-00002F070000}"/>
    <cellStyle name="20% - 강조색3 37 11" xfId="5180" xr:uid="{00000000-0005-0000-0000-000030070000}"/>
    <cellStyle name="20% - 강조색3 37 12" xfId="5181" xr:uid="{00000000-0005-0000-0000-000031070000}"/>
    <cellStyle name="20% - 강조색3 37 13" xfId="5182" xr:uid="{00000000-0005-0000-0000-000032070000}"/>
    <cellStyle name="20% - 강조색3 37 14" xfId="5183" xr:uid="{00000000-0005-0000-0000-000033070000}"/>
    <cellStyle name="20% - 강조색3 37 15" xfId="5178" xr:uid="{00000000-0005-0000-0000-000034070000}"/>
    <cellStyle name="20% - 강조색3 37 2" xfId="246" xr:uid="{00000000-0005-0000-0000-000035070000}"/>
    <cellStyle name="20% - 강조색3 37 2 2" xfId="5184" xr:uid="{00000000-0005-0000-0000-000036070000}"/>
    <cellStyle name="20% - 강조색3 37 3" xfId="5185" xr:uid="{00000000-0005-0000-0000-000037070000}"/>
    <cellStyle name="20% - 강조색3 37 4" xfId="5186" xr:uid="{00000000-0005-0000-0000-000038070000}"/>
    <cellStyle name="20% - 강조색3 37 5" xfId="5187" xr:uid="{00000000-0005-0000-0000-000039070000}"/>
    <cellStyle name="20% - 강조색3 37 6" xfId="5188" xr:uid="{00000000-0005-0000-0000-00003A070000}"/>
    <cellStyle name="20% - 강조색3 37 7" xfId="5189" xr:uid="{00000000-0005-0000-0000-00003B070000}"/>
    <cellStyle name="20% - 강조색3 37 8" xfId="5190" xr:uid="{00000000-0005-0000-0000-00003C070000}"/>
    <cellStyle name="20% - 강조색3 37 9" xfId="5191" xr:uid="{00000000-0005-0000-0000-00003D070000}"/>
    <cellStyle name="20% - 강조색3 38" xfId="247" xr:uid="{00000000-0005-0000-0000-00003E070000}"/>
    <cellStyle name="20% - 강조색3 38 10" xfId="5193" xr:uid="{00000000-0005-0000-0000-00003F070000}"/>
    <cellStyle name="20% - 강조색3 38 11" xfId="5194" xr:uid="{00000000-0005-0000-0000-000040070000}"/>
    <cellStyle name="20% - 강조색3 38 12" xfId="5195" xr:uid="{00000000-0005-0000-0000-000041070000}"/>
    <cellStyle name="20% - 강조색3 38 13" xfId="5196" xr:uid="{00000000-0005-0000-0000-000042070000}"/>
    <cellStyle name="20% - 강조색3 38 14" xfId="5197" xr:uid="{00000000-0005-0000-0000-000043070000}"/>
    <cellStyle name="20% - 강조색3 38 15" xfId="5192" xr:uid="{00000000-0005-0000-0000-000044070000}"/>
    <cellStyle name="20% - 강조색3 38 2" xfId="248" xr:uid="{00000000-0005-0000-0000-000045070000}"/>
    <cellStyle name="20% - 강조색3 38 2 2" xfId="5198" xr:uid="{00000000-0005-0000-0000-000046070000}"/>
    <cellStyle name="20% - 강조색3 38 3" xfId="5199" xr:uid="{00000000-0005-0000-0000-000047070000}"/>
    <cellStyle name="20% - 강조색3 38 4" xfId="5200" xr:uid="{00000000-0005-0000-0000-000048070000}"/>
    <cellStyle name="20% - 강조색3 38 5" xfId="5201" xr:uid="{00000000-0005-0000-0000-000049070000}"/>
    <cellStyle name="20% - 강조색3 38 6" xfId="5202" xr:uid="{00000000-0005-0000-0000-00004A070000}"/>
    <cellStyle name="20% - 강조색3 38 7" xfId="5203" xr:uid="{00000000-0005-0000-0000-00004B070000}"/>
    <cellStyle name="20% - 강조색3 38 8" xfId="5204" xr:uid="{00000000-0005-0000-0000-00004C070000}"/>
    <cellStyle name="20% - 강조색3 38 9" xfId="5205" xr:uid="{00000000-0005-0000-0000-00004D070000}"/>
    <cellStyle name="20% - 강조색3 39" xfId="249" xr:uid="{00000000-0005-0000-0000-00004E070000}"/>
    <cellStyle name="20% - 강조색3 39 10" xfId="5207" xr:uid="{00000000-0005-0000-0000-00004F070000}"/>
    <cellStyle name="20% - 강조색3 39 11" xfId="5208" xr:uid="{00000000-0005-0000-0000-000050070000}"/>
    <cellStyle name="20% - 강조색3 39 12" xfId="5209" xr:uid="{00000000-0005-0000-0000-000051070000}"/>
    <cellStyle name="20% - 강조색3 39 13" xfId="5210" xr:uid="{00000000-0005-0000-0000-000052070000}"/>
    <cellStyle name="20% - 강조색3 39 14" xfId="5211" xr:uid="{00000000-0005-0000-0000-000053070000}"/>
    <cellStyle name="20% - 강조색3 39 15" xfId="5206" xr:uid="{00000000-0005-0000-0000-000054070000}"/>
    <cellStyle name="20% - 강조색3 39 2" xfId="250" xr:uid="{00000000-0005-0000-0000-000055070000}"/>
    <cellStyle name="20% - 강조색3 39 2 2" xfId="5212" xr:uid="{00000000-0005-0000-0000-000056070000}"/>
    <cellStyle name="20% - 강조색3 39 3" xfId="5213" xr:uid="{00000000-0005-0000-0000-000057070000}"/>
    <cellStyle name="20% - 강조색3 39 4" xfId="5214" xr:uid="{00000000-0005-0000-0000-000058070000}"/>
    <cellStyle name="20% - 강조색3 39 5" xfId="5215" xr:uid="{00000000-0005-0000-0000-000059070000}"/>
    <cellStyle name="20% - 강조색3 39 6" xfId="5216" xr:uid="{00000000-0005-0000-0000-00005A070000}"/>
    <cellStyle name="20% - 강조색3 39 7" xfId="5217" xr:uid="{00000000-0005-0000-0000-00005B070000}"/>
    <cellStyle name="20% - 강조색3 39 8" xfId="5218" xr:uid="{00000000-0005-0000-0000-00005C070000}"/>
    <cellStyle name="20% - 강조색3 39 9" xfId="5219" xr:uid="{00000000-0005-0000-0000-00005D070000}"/>
    <cellStyle name="20% - 강조색3 4" xfId="251" xr:uid="{00000000-0005-0000-0000-00005E070000}"/>
    <cellStyle name="20% - 강조색3 4 10" xfId="5221" xr:uid="{00000000-0005-0000-0000-00005F070000}"/>
    <cellStyle name="20% - 강조색3 4 11" xfId="5222" xr:uid="{00000000-0005-0000-0000-000060070000}"/>
    <cellStyle name="20% - 강조색3 4 12" xfId="5223" xr:uid="{00000000-0005-0000-0000-000061070000}"/>
    <cellStyle name="20% - 강조색3 4 13" xfId="5224" xr:uid="{00000000-0005-0000-0000-000062070000}"/>
    <cellStyle name="20% - 강조색3 4 14" xfId="5225" xr:uid="{00000000-0005-0000-0000-000063070000}"/>
    <cellStyle name="20% - 강조색3 4 15" xfId="5220" xr:uid="{00000000-0005-0000-0000-000064070000}"/>
    <cellStyle name="20% - 강조색3 4 16" xfId="27853" xr:uid="{00000000-0005-0000-0000-000065070000}"/>
    <cellStyle name="20% - 강조색3 4 2" xfId="252" xr:uid="{00000000-0005-0000-0000-000066070000}"/>
    <cellStyle name="20% - 강조색3 4 2 2" xfId="5226" xr:uid="{00000000-0005-0000-0000-000067070000}"/>
    <cellStyle name="20% - 강조색3 4 3" xfId="5227" xr:uid="{00000000-0005-0000-0000-000068070000}"/>
    <cellStyle name="20% - 강조색3 4 4" xfId="5228" xr:uid="{00000000-0005-0000-0000-000069070000}"/>
    <cellStyle name="20% - 강조색3 4 5" xfId="5229" xr:uid="{00000000-0005-0000-0000-00006A070000}"/>
    <cellStyle name="20% - 강조색3 4 6" xfId="5230" xr:uid="{00000000-0005-0000-0000-00006B070000}"/>
    <cellStyle name="20% - 강조색3 4 7" xfId="5231" xr:uid="{00000000-0005-0000-0000-00006C070000}"/>
    <cellStyle name="20% - 강조색3 4 8" xfId="5232" xr:uid="{00000000-0005-0000-0000-00006D070000}"/>
    <cellStyle name="20% - 강조색3 4 9" xfId="5233" xr:uid="{00000000-0005-0000-0000-00006E070000}"/>
    <cellStyle name="20% - 강조색3 40" xfId="253" xr:uid="{00000000-0005-0000-0000-00006F070000}"/>
    <cellStyle name="20% - 강조색3 40 10" xfId="5235" xr:uid="{00000000-0005-0000-0000-000070070000}"/>
    <cellStyle name="20% - 강조색3 40 11" xfId="5236" xr:uid="{00000000-0005-0000-0000-000071070000}"/>
    <cellStyle name="20% - 강조색3 40 12" xfId="5237" xr:uid="{00000000-0005-0000-0000-000072070000}"/>
    <cellStyle name="20% - 강조색3 40 13" xfId="5238" xr:uid="{00000000-0005-0000-0000-000073070000}"/>
    <cellStyle name="20% - 강조색3 40 14" xfId="5239" xr:uid="{00000000-0005-0000-0000-000074070000}"/>
    <cellStyle name="20% - 강조색3 40 15" xfId="5234" xr:uid="{00000000-0005-0000-0000-000075070000}"/>
    <cellStyle name="20% - 강조색3 40 2" xfId="254" xr:uid="{00000000-0005-0000-0000-000076070000}"/>
    <cellStyle name="20% - 강조색3 40 2 2" xfId="5240" xr:uid="{00000000-0005-0000-0000-000077070000}"/>
    <cellStyle name="20% - 강조색3 40 3" xfId="5241" xr:uid="{00000000-0005-0000-0000-000078070000}"/>
    <cellStyle name="20% - 강조색3 40 4" xfId="5242" xr:uid="{00000000-0005-0000-0000-000079070000}"/>
    <cellStyle name="20% - 강조색3 40 5" xfId="5243" xr:uid="{00000000-0005-0000-0000-00007A070000}"/>
    <cellStyle name="20% - 강조색3 40 6" xfId="5244" xr:uid="{00000000-0005-0000-0000-00007B070000}"/>
    <cellStyle name="20% - 강조색3 40 7" xfId="5245" xr:uid="{00000000-0005-0000-0000-00007C070000}"/>
    <cellStyle name="20% - 강조색3 40 8" xfId="5246" xr:uid="{00000000-0005-0000-0000-00007D070000}"/>
    <cellStyle name="20% - 강조색3 40 9" xfId="5247" xr:uid="{00000000-0005-0000-0000-00007E070000}"/>
    <cellStyle name="20% - 강조색3 41" xfId="255" xr:uid="{00000000-0005-0000-0000-00007F070000}"/>
    <cellStyle name="20% - 강조색3 41 10" xfId="5249" xr:uid="{00000000-0005-0000-0000-000080070000}"/>
    <cellStyle name="20% - 강조색3 41 11" xfId="5250" xr:uid="{00000000-0005-0000-0000-000081070000}"/>
    <cellStyle name="20% - 강조색3 41 12" xfId="5251" xr:uid="{00000000-0005-0000-0000-000082070000}"/>
    <cellStyle name="20% - 강조색3 41 13" xfId="5252" xr:uid="{00000000-0005-0000-0000-000083070000}"/>
    <cellStyle name="20% - 강조색3 41 14" xfId="5253" xr:uid="{00000000-0005-0000-0000-000084070000}"/>
    <cellStyle name="20% - 강조색3 41 15" xfId="5248" xr:uid="{00000000-0005-0000-0000-000085070000}"/>
    <cellStyle name="20% - 강조색3 41 2" xfId="256" xr:uid="{00000000-0005-0000-0000-000086070000}"/>
    <cellStyle name="20% - 강조색3 41 2 2" xfId="5254" xr:uid="{00000000-0005-0000-0000-000087070000}"/>
    <cellStyle name="20% - 강조색3 41 3" xfId="5255" xr:uid="{00000000-0005-0000-0000-000088070000}"/>
    <cellStyle name="20% - 강조색3 41 4" xfId="5256" xr:uid="{00000000-0005-0000-0000-000089070000}"/>
    <cellStyle name="20% - 강조색3 41 5" xfId="5257" xr:uid="{00000000-0005-0000-0000-00008A070000}"/>
    <cellStyle name="20% - 강조색3 41 6" xfId="5258" xr:uid="{00000000-0005-0000-0000-00008B070000}"/>
    <cellStyle name="20% - 강조색3 41 7" xfId="5259" xr:uid="{00000000-0005-0000-0000-00008C070000}"/>
    <cellStyle name="20% - 강조색3 41 8" xfId="5260" xr:uid="{00000000-0005-0000-0000-00008D070000}"/>
    <cellStyle name="20% - 강조색3 41 9" xfId="5261" xr:uid="{00000000-0005-0000-0000-00008E070000}"/>
    <cellStyle name="20% - 강조색3 42" xfId="257" xr:uid="{00000000-0005-0000-0000-00008F070000}"/>
    <cellStyle name="20% - 강조색3 42 10" xfId="5263" xr:uid="{00000000-0005-0000-0000-000090070000}"/>
    <cellStyle name="20% - 강조색3 42 11" xfId="5264" xr:uid="{00000000-0005-0000-0000-000091070000}"/>
    <cellStyle name="20% - 강조색3 42 12" xfId="5265" xr:uid="{00000000-0005-0000-0000-000092070000}"/>
    <cellStyle name="20% - 강조색3 42 13" xfId="5266" xr:uid="{00000000-0005-0000-0000-000093070000}"/>
    <cellStyle name="20% - 강조색3 42 14" xfId="5267" xr:uid="{00000000-0005-0000-0000-000094070000}"/>
    <cellStyle name="20% - 강조색3 42 15" xfId="5262" xr:uid="{00000000-0005-0000-0000-000095070000}"/>
    <cellStyle name="20% - 강조색3 42 2" xfId="258" xr:uid="{00000000-0005-0000-0000-000096070000}"/>
    <cellStyle name="20% - 강조색3 42 2 2" xfId="5268" xr:uid="{00000000-0005-0000-0000-000097070000}"/>
    <cellStyle name="20% - 강조색3 42 3" xfId="5269" xr:uid="{00000000-0005-0000-0000-000098070000}"/>
    <cellStyle name="20% - 강조색3 42 4" xfId="5270" xr:uid="{00000000-0005-0000-0000-000099070000}"/>
    <cellStyle name="20% - 강조색3 42 5" xfId="5271" xr:uid="{00000000-0005-0000-0000-00009A070000}"/>
    <cellStyle name="20% - 강조색3 42 6" xfId="5272" xr:uid="{00000000-0005-0000-0000-00009B070000}"/>
    <cellStyle name="20% - 강조색3 42 7" xfId="5273" xr:uid="{00000000-0005-0000-0000-00009C070000}"/>
    <cellStyle name="20% - 강조색3 42 8" xfId="5274" xr:uid="{00000000-0005-0000-0000-00009D070000}"/>
    <cellStyle name="20% - 강조색3 42 9" xfId="5275" xr:uid="{00000000-0005-0000-0000-00009E070000}"/>
    <cellStyle name="20% - 강조색3 43" xfId="259" xr:uid="{00000000-0005-0000-0000-00009F070000}"/>
    <cellStyle name="20% - 강조색3 43 10" xfId="5277" xr:uid="{00000000-0005-0000-0000-0000A0070000}"/>
    <cellStyle name="20% - 강조색3 43 11" xfId="5278" xr:uid="{00000000-0005-0000-0000-0000A1070000}"/>
    <cellStyle name="20% - 강조색3 43 12" xfId="5279" xr:uid="{00000000-0005-0000-0000-0000A2070000}"/>
    <cellStyle name="20% - 강조색3 43 13" xfId="5280" xr:uid="{00000000-0005-0000-0000-0000A3070000}"/>
    <cellStyle name="20% - 강조색3 43 14" xfId="5281" xr:uid="{00000000-0005-0000-0000-0000A4070000}"/>
    <cellStyle name="20% - 강조색3 43 15" xfId="5276" xr:uid="{00000000-0005-0000-0000-0000A5070000}"/>
    <cellStyle name="20% - 강조색3 43 2" xfId="260" xr:uid="{00000000-0005-0000-0000-0000A6070000}"/>
    <cellStyle name="20% - 강조색3 43 2 2" xfId="5282" xr:uid="{00000000-0005-0000-0000-0000A7070000}"/>
    <cellStyle name="20% - 강조색3 43 3" xfId="5283" xr:uid="{00000000-0005-0000-0000-0000A8070000}"/>
    <cellStyle name="20% - 강조색3 43 4" xfId="5284" xr:uid="{00000000-0005-0000-0000-0000A9070000}"/>
    <cellStyle name="20% - 강조색3 43 5" xfId="5285" xr:uid="{00000000-0005-0000-0000-0000AA070000}"/>
    <cellStyle name="20% - 강조색3 43 6" xfId="5286" xr:uid="{00000000-0005-0000-0000-0000AB070000}"/>
    <cellStyle name="20% - 강조색3 43 7" xfId="5287" xr:uid="{00000000-0005-0000-0000-0000AC070000}"/>
    <cellStyle name="20% - 강조색3 43 8" xfId="5288" xr:uid="{00000000-0005-0000-0000-0000AD070000}"/>
    <cellStyle name="20% - 강조색3 43 9" xfId="5289" xr:uid="{00000000-0005-0000-0000-0000AE070000}"/>
    <cellStyle name="20% - 강조색3 44" xfId="261" xr:uid="{00000000-0005-0000-0000-0000AF070000}"/>
    <cellStyle name="20% - 강조색3 44 2" xfId="5290" xr:uid="{00000000-0005-0000-0000-0000B0070000}"/>
    <cellStyle name="20% - 강조색3 45" xfId="262" xr:uid="{00000000-0005-0000-0000-0000B1070000}"/>
    <cellStyle name="20% - 강조색3 45 2" xfId="5291" xr:uid="{00000000-0005-0000-0000-0000B2070000}"/>
    <cellStyle name="20% - 강조색3 46" xfId="186" xr:uid="{00000000-0005-0000-0000-0000B3070000}"/>
    <cellStyle name="20% - 강조색3 47" xfId="4771" xr:uid="{00000000-0005-0000-0000-0000B4070000}"/>
    <cellStyle name="20% - 강조색3 5" xfId="263" xr:uid="{00000000-0005-0000-0000-0000B5070000}"/>
    <cellStyle name="20% - 강조색3 5 10" xfId="5293" xr:uid="{00000000-0005-0000-0000-0000B6070000}"/>
    <cellStyle name="20% - 강조색3 5 11" xfId="5294" xr:uid="{00000000-0005-0000-0000-0000B7070000}"/>
    <cellStyle name="20% - 강조색3 5 12" xfId="5295" xr:uid="{00000000-0005-0000-0000-0000B8070000}"/>
    <cellStyle name="20% - 강조색3 5 13" xfId="5296" xr:uid="{00000000-0005-0000-0000-0000B9070000}"/>
    <cellStyle name="20% - 강조색3 5 14" xfId="5297" xr:uid="{00000000-0005-0000-0000-0000BA070000}"/>
    <cellStyle name="20% - 강조색3 5 15" xfId="5292" xr:uid="{00000000-0005-0000-0000-0000BB070000}"/>
    <cellStyle name="20% - 강조색3 5 2" xfId="264" xr:uid="{00000000-0005-0000-0000-0000BC070000}"/>
    <cellStyle name="20% - 강조색3 5 2 2" xfId="5298" xr:uid="{00000000-0005-0000-0000-0000BD070000}"/>
    <cellStyle name="20% - 강조색3 5 3" xfId="5299" xr:uid="{00000000-0005-0000-0000-0000BE070000}"/>
    <cellStyle name="20% - 강조색3 5 4" xfId="5300" xr:uid="{00000000-0005-0000-0000-0000BF070000}"/>
    <cellStyle name="20% - 강조색3 5 5" xfId="5301" xr:uid="{00000000-0005-0000-0000-0000C0070000}"/>
    <cellStyle name="20% - 강조색3 5 6" xfId="5302" xr:uid="{00000000-0005-0000-0000-0000C1070000}"/>
    <cellStyle name="20% - 강조색3 5 7" xfId="5303" xr:uid="{00000000-0005-0000-0000-0000C2070000}"/>
    <cellStyle name="20% - 강조색3 5 8" xfId="5304" xr:uid="{00000000-0005-0000-0000-0000C3070000}"/>
    <cellStyle name="20% - 강조색3 5 9" xfId="5305" xr:uid="{00000000-0005-0000-0000-0000C4070000}"/>
    <cellStyle name="20% - 강조색3 6" xfId="265" xr:uid="{00000000-0005-0000-0000-0000C5070000}"/>
    <cellStyle name="20% - 강조색3 6 10" xfId="5307" xr:uid="{00000000-0005-0000-0000-0000C6070000}"/>
    <cellStyle name="20% - 강조색3 6 11" xfId="5308" xr:uid="{00000000-0005-0000-0000-0000C7070000}"/>
    <cellStyle name="20% - 강조색3 6 12" xfId="5309" xr:uid="{00000000-0005-0000-0000-0000C8070000}"/>
    <cellStyle name="20% - 강조색3 6 13" xfId="5310" xr:uid="{00000000-0005-0000-0000-0000C9070000}"/>
    <cellStyle name="20% - 강조색3 6 14" xfId="5311" xr:uid="{00000000-0005-0000-0000-0000CA070000}"/>
    <cellStyle name="20% - 강조색3 6 15" xfId="5306" xr:uid="{00000000-0005-0000-0000-0000CB070000}"/>
    <cellStyle name="20% - 강조색3 6 2" xfId="266" xr:uid="{00000000-0005-0000-0000-0000CC070000}"/>
    <cellStyle name="20% - 강조색3 6 2 2" xfId="5312" xr:uid="{00000000-0005-0000-0000-0000CD070000}"/>
    <cellStyle name="20% - 강조색3 6 3" xfId="5313" xr:uid="{00000000-0005-0000-0000-0000CE070000}"/>
    <cellStyle name="20% - 강조색3 6 4" xfId="5314" xr:uid="{00000000-0005-0000-0000-0000CF070000}"/>
    <cellStyle name="20% - 강조색3 6 5" xfId="5315" xr:uid="{00000000-0005-0000-0000-0000D0070000}"/>
    <cellStyle name="20% - 강조색3 6 6" xfId="5316" xr:uid="{00000000-0005-0000-0000-0000D1070000}"/>
    <cellStyle name="20% - 강조색3 6 7" xfId="5317" xr:uid="{00000000-0005-0000-0000-0000D2070000}"/>
    <cellStyle name="20% - 강조색3 6 8" xfId="5318" xr:uid="{00000000-0005-0000-0000-0000D3070000}"/>
    <cellStyle name="20% - 강조색3 6 9" xfId="5319" xr:uid="{00000000-0005-0000-0000-0000D4070000}"/>
    <cellStyle name="20% - 강조색3 7" xfId="267" xr:uid="{00000000-0005-0000-0000-0000D5070000}"/>
    <cellStyle name="20% - 강조색3 7 10" xfId="5321" xr:uid="{00000000-0005-0000-0000-0000D6070000}"/>
    <cellStyle name="20% - 강조색3 7 11" xfId="5322" xr:uid="{00000000-0005-0000-0000-0000D7070000}"/>
    <cellStyle name="20% - 강조색3 7 12" xfId="5323" xr:uid="{00000000-0005-0000-0000-0000D8070000}"/>
    <cellStyle name="20% - 강조색3 7 13" xfId="5324" xr:uid="{00000000-0005-0000-0000-0000D9070000}"/>
    <cellStyle name="20% - 강조색3 7 14" xfId="5325" xr:uid="{00000000-0005-0000-0000-0000DA070000}"/>
    <cellStyle name="20% - 강조색3 7 15" xfId="5320" xr:uid="{00000000-0005-0000-0000-0000DB070000}"/>
    <cellStyle name="20% - 강조색3 7 2" xfId="268" xr:uid="{00000000-0005-0000-0000-0000DC070000}"/>
    <cellStyle name="20% - 강조색3 7 2 2" xfId="5326" xr:uid="{00000000-0005-0000-0000-0000DD070000}"/>
    <cellStyle name="20% - 강조색3 7 3" xfId="5327" xr:uid="{00000000-0005-0000-0000-0000DE070000}"/>
    <cellStyle name="20% - 강조색3 7 4" xfId="5328" xr:uid="{00000000-0005-0000-0000-0000DF070000}"/>
    <cellStyle name="20% - 강조색3 7 5" xfId="5329" xr:uid="{00000000-0005-0000-0000-0000E0070000}"/>
    <cellStyle name="20% - 강조색3 7 6" xfId="5330" xr:uid="{00000000-0005-0000-0000-0000E1070000}"/>
    <cellStyle name="20% - 강조색3 7 7" xfId="5331" xr:uid="{00000000-0005-0000-0000-0000E2070000}"/>
    <cellStyle name="20% - 강조색3 7 8" xfId="5332" xr:uid="{00000000-0005-0000-0000-0000E3070000}"/>
    <cellStyle name="20% - 강조색3 7 9" xfId="5333" xr:uid="{00000000-0005-0000-0000-0000E4070000}"/>
    <cellStyle name="20% - 강조색3 8" xfId="269" xr:uid="{00000000-0005-0000-0000-0000E5070000}"/>
    <cellStyle name="20% - 강조색3 8 10" xfId="5335" xr:uid="{00000000-0005-0000-0000-0000E6070000}"/>
    <cellStyle name="20% - 강조색3 8 11" xfId="5336" xr:uid="{00000000-0005-0000-0000-0000E7070000}"/>
    <cellStyle name="20% - 강조색3 8 12" xfId="5337" xr:uid="{00000000-0005-0000-0000-0000E8070000}"/>
    <cellStyle name="20% - 강조색3 8 13" xfId="5338" xr:uid="{00000000-0005-0000-0000-0000E9070000}"/>
    <cellStyle name="20% - 강조색3 8 14" xfId="5339" xr:uid="{00000000-0005-0000-0000-0000EA070000}"/>
    <cellStyle name="20% - 강조색3 8 15" xfId="5334" xr:uid="{00000000-0005-0000-0000-0000EB070000}"/>
    <cellStyle name="20% - 강조색3 8 2" xfId="270" xr:uid="{00000000-0005-0000-0000-0000EC070000}"/>
    <cellStyle name="20% - 강조색3 8 2 2" xfId="5340" xr:uid="{00000000-0005-0000-0000-0000ED070000}"/>
    <cellStyle name="20% - 강조색3 8 3" xfId="5341" xr:uid="{00000000-0005-0000-0000-0000EE070000}"/>
    <cellStyle name="20% - 강조색3 8 4" xfId="5342" xr:uid="{00000000-0005-0000-0000-0000EF070000}"/>
    <cellStyle name="20% - 강조색3 8 5" xfId="5343" xr:uid="{00000000-0005-0000-0000-0000F0070000}"/>
    <cellStyle name="20% - 강조색3 8 6" xfId="5344" xr:uid="{00000000-0005-0000-0000-0000F1070000}"/>
    <cellStyle name="20% - 강조색3 8 7" xfId="5345" xr:uid="{00000000-0005-0000-0000-0000F2070000}"/>
    <cellStyle name="20% - 강조색3 8 8" xfId="5346" xr:uid="{00000000-0005-0000-0000-0000F3070000}"/>
    <cellStyle name="20% - 강조색3 8 9" xfId="5347" xr:uid="{00000000-0005-0000-0000-0000F4070000}"/>
    <cellStyle name="20% - 강조색3 9" xfId="271" xr:uid="{00000000-0005-0000-0000-0000F5070000}"/>
    <cellStyle name="20% - 강조색3 9 10" xfId="5349" xr:uid="{00000000-0005-0000-0000-0000F6070000}"/>
    <cellStyle name="20% - 강조색3 9 11" xfId="5350" xr:uid="{00000000-0005-0000-0000-0000F7070000}"/>
    <cellStyle name="20% - 강조색3 9 12" xfId="5351" xr:uid="{00000000-0005-0000-0000-0000F8070000}"/>
    <cellStyle name="20% - 강조색3 9 13" xfId="5352" xr:uid="{00000000-0005-0000-0000-0000F9070000}"/>
    <cellStyle name="20% - 강조색3 9 14" xfId="5353" xr:uid="{00000000-0005-0000-0000-0000FA070000}"/>
    <cellStyle name="20% - 강조색3 9 15" xfId="5348" xr:uid="{00000000-0005-0000-0000-0000FB070000}"/>
    <cellStyle name="20% - 강조색3 9 2" xfId="272" xr:uid="{00000000-0005-0000-0000-0000FC070000}"/>
    <cellStyle name="20% - 강조색3 9 2 2" xfId="5354" xr:uid="{00000000-0005-0000-0000-0000FD070000}"/>
    <cellStyle name="20% - 강조색3 9 3" xfId="5355" xr:uid="{00000000-0005-0000-0000-0000FE070000}"/>
    <cellStyle name="20% - 강조색3 9 4" xfId="5356" xr:uid="{00000000-0005-0000-0000-0000FF070000}"/>
    <cellStyle name="20% - 강조색3 9 5" xfId="5357" xr:uid="{00000000-0005-0000-0000-000000080000}"/>
    <cellStyle name="20% - 강조색3 9 6" xfId="5358" xr:uid="{00000000-0005-0000-0000-000001080000}"/>
    <cellStyle name="20% - 강조색3 9 7" xfId="5359" xr:uid="{00000000-0005-0000-0000-000002080000}"/>
    <cellStyle name="20% - 강조색3 9 8" xfId="5360" xr:uid="{00000000-0005-0000-0000-000003080000}"/>
    <cellStyle name="20% - 강조색3 9 9" xfId="5361" xr:uid="{00000000-0005-0000-0000-000004080000}"/>
    <cellStyle name="20% - 강조색4 10" xfId="274" xr:uid="{00000000-0005-0000-0000-000005080000}"/>
    <cellStyle name="20% - 강조색4 10 10" xfId="5364" xr:uid="{00000000-0005-0000-0000-000006080000}"/>
    <cellStyle name="20% - 강조색4 10 11" xfId="5365" xr:uid="{00000000-0005-0000-0000-000007080000}"/>
    <cellStyle name="20% - 강조색4 10 12" xfId="5366" xr:uid="{00000000-0005-0000-0000-000008080000}"/>
    <cellStyle name="20% - 강조색4 10 13" xfId="5367" xr:uid="{00000000-0005-0000-0000-000009080000}"/>
    <cellStyle name="20% - 강조색4 10 14" xfId="5368" xr:uid="{00000000-0005-0000-0000-00000A080000}"/>
    <cellStyle name="20% - 강조색4 10 15" xfId="5363" xr:uid="{00000000-0005-0000-0000-00000B080000}"/>
    <cellStyle name="20% - 강조색4 10 2" xfId="275" xr:uid="{00000000-0005-0000-0000-00000C080000}"/>
    <cellStyle name="20% - 강조색4 10 2 2" xfId="5369" xr:uid="{00000000-0005-0000-0000-00000D080000}"/>
    <cellStyle name="20% - 강조색4 10 3" xfId="5370" xr:uid="{00000000-0005-0000-0000-00000E080000}"/>
    <cellStyle name="20% - 강조색4 10 4" xfId="5371" xr:uid="{00000000-0005-0000-0000-00000F080000}"/>
    <cellStyle name="20% - 강조색4 10 5" xfId="5372" xr:uid="{00000000-0005-0000-0000-000010080000}"/>
    <cellStyle name="20% - 강조색4 10 6" xfId="5373" xr:uid="{00000000-0005-0000-0000-000011080000}"/>
    <cellStyle name="20% - 강조색4 10 7" xfId="5374" xr:uid="{00000000-0005-0000-0000-000012080000}"/>
    <cellStyle name="20% - 강조색4 10 8" xfId="5375" xr:uid="{00000000-0005-0000-0000-000013080000}"/>
    <cellStyle name="20% - 강조색4 10 9" xfId="5376" xr:uid="{00000000-0005-0000-0000-000014080000}"/>
    <cellStyle name="20% - 강조색4 11" xfId="276" xr:uid="{00000000-0005-0000-0000-000015080000}"/>
    <cellStyle name="20% - 강조색4 11 10" xfId="5378" xr:uid="{00000000-0005-0000-0000-000016080000}"/>
    <cellStyle name="20% - 강조색4 11 11" xfId="5379" xr:uid="{00000000-0005-0000-0000-000017080000}"/>
    <cellStyle name="20% - 강조색4 11 12" xfId="5380" xr:uid="{00000000-0005-0000-0000-000018080000}"/>
    <cellStyle name="20% - 강조색4 11 13" xfId="5381" xr:uid="{00000000-0005-0000-0000-000019080000}"/>
    <cellStyle name="20% - 강조색4 11 14" xfId="5382" xr:uid="{00000000-0005-0000-0000-00001A080000}"/>
    <cellStyle name="20% - 강조색4 11 15" xfId="5377" xr:uid="{00000000-0005-0000-0000-00001B080000}"/>
    <cellStyle name="20% - 강조색4 11 2" xfId="277" xr:uid="{00000000-0005-0000-0000-00001C080000}"/>
    <cellStyle name="20% - 강조색4 11 2 2" xfId="5383" xr:uid="{00000000-0005-0000-0000-00001D080000}"/>
    <cellStyle name="20% - 강조색4 11 3" xfId="5384" xr:uid="{00000000-0005-0000-0000-00001E080000}"/>
    <cellStyle name="20% - 강조색4 11 4" xfId="5385" xr:uid="{00000000-0005-0000-0000-00001F080000}"/>
    <cellStyle name="20% - 강조색4 11 5" xfId="5386" xr:uid="{00000000-0005-0000-0000-000020080000}"/>
    <cellStyle name="20% - 강조색4 11 6" xfId="5387" xr:uid="{00000000-0005-0000-0000-000021080000}"/>
    <cellStyle name="20% - 강조색4 11 7" xfId="5388" xr:uid="{00000000-0005-0000-0000-000022080000}"/>
    <cellStyle name="20% - 강조색4 11 8" xfId="5389" xr:uid="{00000000-0005-0000-0000-000023080000}"/>
    <cellStyle name="20% - 강조색4 11 9" xfId="5390" xr:uid="{00000000-0005-0000-0000-000024080000}"/>
    <cellStyle name="20% - 강조색4 12" xfId="278" xr:uid="{00000000-0005-0000-0000-000025080000}"/>
    <cellStyle name="20% - 강조색4 12 10" xfId="5392" xr:uid="{00000000-0005-0000-0000-000026080000}"/>
    <cellStyle name="20% - 강조색4 12 11" xfId="5393" xr:uid="{00000000-0005-0000-0000-000027080000}"/>
    <cellStyle name="20% - 강조색4 12 12" xfId="5394" xr:uid="{00000000-0005-0000-0000-000028080000}"/>
    <cellStyle name="20% - 강조색4 12 13" xfId="5395" xr:uid="{00000000-0005-0000-0000-000029080000}"/>
    <cellStyle name="20% - 강조색4 12 14" xfId="5396" xr:uid="{00000000-0005-0000-0000-00002A080000}"/>
    <cellStyle name="20% - 강조색4 12 15" xfId="5391" xr:uid="{00000000-0005-0000-0000-00002B080000}"/>
    <cellStyle name="20% - 강조색4 12 2" xfId="279" xr:uid="{00000000-0005-0000-0000-00002C080000}"/>
    <cellStyle name="20% - 강조색4 12 2 2" xfId="5397" xr:uid="{00000000-0005-0000-0000-00002D080000}"/>
    <cellStyle name="20% - 강조색4 12 3" xfId="5398" xr:uid="{00000000-0005-0000-0000-00002E080000}"/>
    <cellStyle name="20% - 강조색4 12 4" xfId="5399" xr:uid="{00000000-0005-0000-0000-00002F080000}"/>
    <cellStyle name="20% - 강조색4 12 5" xfId="5400" xr:uid="{00000000-0005-0000-0000-000030080000}"/>
    <cellStyle name="20% - 강조색4 12 6" xfId="5401" xr:uid="{00000000-0005-0000-0000-000031080000}"/>
    <cellStyle name="20% - 강조색4 12 7" xfId="5402" xr:uid="{00000000-0005-0000-0000-000032080000}"/>
    <cellStyle name="20% - 강조색4 12 8" xfId="5403" xr:uid="{00000000-0005-0000-0000-000033080000}"/>
    <cellStyle name="20% - 강조색4 12 9" xfId="5404" xr:uid="{00000000-0005-0000-0000-000034080000}"/>
    <cellStyle name="20% - 강조색4 13" xfId="280" xr:uid="{00000000-0005-0000-0000-000035080000}"/>
    <cellStyle name="20% - 강조색4 13 10" xfId="5406" xr:uid="{00000000-0005-0000-0000-000036080000}"/>
    <cellStyle name="20% - 강조색4 13 11" xfId="5407" xr:uid="{00000000-0005-0000-0000-000037080000}"/>
    <cellStyle name="20% - 강조색4 13 12" xfId="5408" xr:uid="{00000000-0005-0000-0000-000038080000}"/>
    <cellStyle name="20% - 강조색4 13 13" xfId="5409" xr:uid="{00000000-0005-0000-0000-000039080000}"/>
    <cellStyle name="20% - 강조색4 13 14" xfId="5410" xr:uid="{00000000-0005-0000-0000-00003A080000}"/>
    <cellStyle name="20% - 강조색4 13 15" xfId="5405" xr:uid="{00000000-0005-0000-0000-00003B080000}"/>
    <cellStyle name="20% - 강조색4 13 2" xfId="281" xr:uid="{00000000-0005-0000-0000-00003C080000}"/>
    <cellStyle name="20% - 강조색4 13 2 2" xfId="5411" xr:uid="{00000000-0005-0000-0000-00003D080000}"/>
    <cellStyle name="20% - 강조색4 13 3" xfId="5412" xr:uid="{00000000-0005-0000-0000-00003E080000}"/>
    <cellStyle name="20% - 강조색4 13 4" xfId="5413" xr:uid="{00000000-0005-0000-0000-00003F080000}"/>
    <cellStyle name="20% - 강조색4 13 5" xfId="5414" xr:uid="{00000000-0005-0000-0000-000040080000}"/>
    <cellStyle name="20% - 강조색4 13 6" xfId="5415" xr:uid="{00000000-0005-0000-0000-000041080000}"/>
    <cellStyle name="20% - 강조색4 13 7" xfId="5416" xr:uid="{00000000-0005-0000-0000-000042080000}"/>
    <cellStyle name="20% - 강조색4 13 8" xfId="5417" xr:uid="{00000000-0005-0000-0000-000043080000}"/>
    <cellStyle name="20% - 강조색4 13 9" xfId="5418" xr:uid="{00000000-0005-0000-0000-000044080000}"/>
    <cellStyle name="20% - 강조색4 14" xfId="282" xr:uid="{00000000-0005-0000-0000-000045080000}"/>
    <cellStyle name="20% - 강조색4 14 10" xfId="5420" xr:uid="{00000000-0005-0000-0000-000046080000}"/>
    <cellStyle name="20% - 강조색4 14 11" xfId="5421" xr:uid="{00000000-0005-0000-0000-000047080000}"/>
    <cellStyle name="20% - 강조색4 14 12" xfId="5422" xr:uid="{00000000-0005-0000-0000-000048080000}"/>
    <cellStyle name="20% - 강조색4 14 13" xfId="5423" xr:uid="{00000000-0005-0000-0000-000049080000}"/>
    <cellStyle name="20% - 강조색4 14 14" xfId="5424" xr:uid="{00000000-0005-0000-0000-00004A080000}"/>
    <cellStyle name="20% - 강조색4 14 15" xfId="5419" xr:uid="{00000000-0005-0000-0000-00004B080000}"/>
    <cellStyle name="20% - 강조색4 14 2" xfId="283" xr:uid="{00000000-0005-0000-0000-00004C080000}"/>
    <cellStyle name="20% - 강조색4 14 2 2" xfId="5425" xr:uid="{00000000-0005-0000-0000-00004D080000}"/>
    <cellStyle name="20% - 강조색4 14 3" xfId="5426" xr:uid="{00000000-0005-0000-0000-00004E080000}"/>
    <cellStyle name="20% - 강조색4 14 4" xfId="5427" xr:uid="{00000000-0005-0000-0000-00004F080000}"/>
    <cellStyle name="20% - 강조색4 14 5" xfId="5428" xr:uid="{00000000-0005-0000-0000-000050080000}"/>
    <cellStyle name="20% - 강조색4 14 6" xfId="5429" xr:uid="{00000000-0005-0000-0000-000051080000}"/>
    <cellStyle name="20% - 강조색4 14 7" xfId="5430" xr:uid="{00000000-0005-0000-0000-000052080000}"/>
    <cellStyle name="20% - 강조색4 14 8" xfId="5431" xr:uid="{00000000-0005-0000-0000-000053080000}"/>
    <cellStyle name="20% - 강조색4 14 9" xfId="5432" xr:uid="{00000000-0005-0000-0000-000054080000}"/>
    <cellStyle name="20% - 강조색4 15" xfId="284" xr:uid="{00000000-0005-0000-0000-000055080000}"/>
    <cellStyle name="20% - 강조색4 15 10" xfId="5434" xr:uid="{00000000-0005-0000-0000-000056080000}"/>
    <cellStyle name="20% - 강조색4 15 11" xfId="5435" xr:uid="{00000000-0005-0000-0000-000057080000}"/>
    <cellStyle name="20% - 강조색4 15 12" xfId="3589" xr:uid="{00000000-0005-0000-0000-000058080000}"/>
    <cellStyle name="20% - 강조색4 15 13" xfId="5436" xr:uid="{00000000-0005-0000-0000-000059080000}"/>
    <cellStyle name="20% - 강조색4 15 14" xfId="5437" xr:uid="{00000000-0005-0000-0000-00005A080000}"/>
    <cellStyle name="20% - 강조색4 15 15" xfId="5433" xr:uid="{00000000-0005-0000-0000-00005B080000}"/>
    <cellStyle name="20% - 강조색4 15 2" xfId="285" xr:uid="{00000000-0005-0000-0000-00005C080000}"/>
    <cellStyle name="20% - 강조색4 15 2 2" xfId="5438" xr:uid="{00000000-0005-0000-0000-00005D080000}"/>
    <cellStyle name="20% - 강조색4 15 3" xfId="5439" xr:uid="{00000000-0005-0000-0000-00005E080000}"/>
    <cellStyle name="20% - 강조색4 15 4" xfId="5440" xr:uid="{00000000-0005-0000-0000-00005F080000}"/>
    <cellStyle name="20% - 강조색4 15 5" xfId="5441" xr:uid="{00000000-0005-0000-0000-000060080000}"/>
    <cellStyle name="20% - 강조색4 15 6" xfId="5442" xr:uid="{00000000-0005-0000-0000-000061080000}"/>
    <cellStyle name="20% - 강조색4 15 7" xfId="5443" xr:uid="{00000000-0005-0000-0000-000062080000}"/>
    <cellStyle name="20% - 강조색4 15 8" xfId="5444" xr:uid="{00000000-0005-0000-0000-000063080000}"/>
    <cellStyle name="20% - 강조색4 15 9" xfId="5445" xr:uid="{00000000-0005-0000-0000-000064080000}"/>
    <cellStyle name="20% - 강조색4 16" xfId="286" xr:uid="{00000000-0005-0000-0000-000065080000}"/>
    <cellStyle name="20% - 강조색4 16 10" xfId="5447" xr:uid="{00000000-0005-0000-0000-000066080000}"/>
    <cellStyle name="20% - 강조색4 16 11" xfId="5448" xr:uid="{00000000-0005-0000-0000-000067080000}"/>
    <cellStyle name="20% - 강조색4 16 12" xfId="5449" xr:uid="{00000000-0005-0000-0000-000068080000}"/>
    <cellStyle name="20% - 강조색4 16 13" xfId="5450" xr:uid="{00000000-0005-0000-0000-000069080000}"/>
    <cellStyle name="20% - 강조색4 16 14" xfId="5451" xr:uid="{00000000-0005-0000-0000-00006A080000}"/>
    <cellStyle name="20% - 강조색4 16 15" xfId="5446" xr:uid="{00000000-0005-0000-0000-00006B080000}"/>
    <cellStyle name="20% - 강조색4 16 2" xfId="287" xr:uid="{00000000-0005-0000-0000-00006C080000}"/>
    <cellStyle name="20% - 강조색4 16 2 2" xfId="5452" xr:uid="{00000000-0005-0000-0000-00006D080000}"/>
    <cellStyle name="20% - 강조색4 16 3" xfId="5453" xr:uid="{00000000-0005-0000-0000-00006E080000}"/>
    <cellStyle name="20% - 강조색4 16 4" xfId="5454" xr:uid="{00000000-0005-0000-0000-00006F080000}"/>
    <cellStyle name="20% - 강조색4 16 5" xfId="5455" xr:uid="{00000000-0005-0000-0000-000070080000}"/>
    <cellStyle name="20% - 강조색4 16 6" xfId="5456" xr:uid="{00000000-0005-0000-0000-000071080000}"/>
    <cellStyle name="20% - 강조색4 16 7" xfId="5457" xr:uid="{00000000-0005-0000-0000-000072080000}"/>
    <cellStyle name="20% - 강조색4 16 8" xfId="5458" xr:uid="{00000000-0005-0000-0000-000073080000}"/>
    <cellStyle name="20% - 강조색4 16 9" xfId="5459" xr:uid="{00000000-0005-0000-0000-000074080000}"/>
    <cellStyle name="20% - 강조색4 17" xfId="288" xr:uid="{00000000-0005-0000-0000-000075080000}"/>
    <cellStyle name="20% - 강조색4 17 10" xfId="5461" xr:uid="{00000000-0005-0000-0000-000076080000}"/>
    <cellStyle name="20% - 강조색4 17 11" xfId="5462" xr:uid="{00000000-0005-0000-0000-000077080000}"/>
    <cellStyle name="20% - 강조색4 17 12" xfId="5463" xr:uid="{00000000-0005-0000-0000-000078080000}"/>
    <cellStyle name="20% - 강조색4 17 13" xfId="5464" xr:uid="{00000000-0005-0000-0000-000079080000}"/>
    <cellStyle name="20% - 강조색4 17 14" xfId="5465" xr:uid="{00000000-0005-0000-0000-00007A080000}"/>
    <cellStyle name="20% - 강조색4 17 15" xfId="5460" xr:uid="{00000000-0005-0000-0000-00007B080000}"/>
    <cellStyle name="20% - 강조색4 17 2" xfId="289" xr:uid="{00000000-0005-0000-0000-00007C080000}"/>
    <cellStyle name="20% - 강조색4 17 2 2" xfId="5466" xr:uid="{00000000-0005-0000-0000-00007D080000}"/>
    <cellStyle name="20% - 강조색4 17 3" xfId="5467" xr:uid="{00000000-0005-0000-0000-00007E080000}"/>
    <cellStyle name="20% - 강조색4 17 4" xfId="5468" xr:uid="{00000000-0005-0000-0000-00007F080000}"/>
    <cellStyle name="20% - 강조색4 17 5" xfId="5469" xr:uid="{00000000-0005-0000-0000-000080080000}"/>
    <cellStyle name="20% - 강조색4 17 6" xfId="5470" xr:uid="{00000000-0005-0000-0000-000081080000}"/>
    <cellStyle name="20% - 강조색4 17 7" xfId="5471" xr:uid="{00000000-0005-0000-0000-000082080000}"/>
    <cellStyle name="20% - 강조색4 17 8" xfId="5472" xr:uid="{00000000-0005-0000-0000-000083080000}"/>
    <cellStyle name="20% - 강조색4 17 9" xfId="5473" xr:uid="{00000000-0005-0000-0000-000084080000}"/>
    <cellStyle name="20% - 강조색4 18" xfId="290" xr:uid="{00000000-0005-0000-0000-000085080000}"/>
    <cellStyle name="20% - 강조색4 18 10" xfId="5475" xr:uid="{00000000-0005-0000-0000-000086080000}"/>
    <cellStyle name="20% - 강조색4 18 11" xfId="5476" xr:uid="{00000000-0005-0000-0000-000087080000}"/>
    <cellStyle name="20% - 강조색4 18 12" xfId="5477" xr:uid="{00000000-0005-0000-0000-000088080000}"/>
    <cellStyle name="20% - 강조색4 18 13" xfId="5478" xr:uid="{00000000-0005-0000-0000-000089080000}"/>
    <cellStyle name="20% - 강조색4 18 14" xfId="5479" xr:uid="{00000000-0005-0000-0000-00008A080000}"/>
    <cellStyle name="20% - 강조색4 18 15" xfId="5474" xr:uid="{00000000-0005-0000-0000-00008B080000}"/>
    <cellStyle name="20% - 강조색4 18 2" xfId="291" xr:uid="{00000000-0005-0000-0000-00008C080000}"/>
    <cellStyle name="20% - 강조색4 18 2 2" xfId="5480" xr:uid="{00000000-0005-0000-0000-00008D080000}"/>
    <cellStyle name="20% - 강조색4 18 3" xfId="5481" xr:uid="{00000000-0005-0000-0000-00008E080000}"/>
    <cellStyle name="20% - 강조색4 18 4" xfId="5482" xr:uid="{00000000-0005-0000-0000-00008F080000}"/>
    <cellStyle name="20% - 강조색4 18 5" xfId="5483" xr:uid="{00000000-0005-0000-0000-000090080000}"/>
    <cellStyle name="20% - 강조색4 18 6" xfId="5484" xr:uid="{00000000-0005-0000-0000-000091080000}"/>
    <cellStyle name="20% - 강조색4 18 7" xfId="5485" xr:uid="{00000000-0005-0000-0000-000092080000}"/>
    <cellStyle name="20% - 강조색4 18 8" xfId="5486" xr:uid="{00000000-0005-0000-0000-000093080000}"/>
    <cellStyle name="20% - 강조색4 18 9" xfId="5487" xr:uid="{00000000-0005-0000-0000-000094080000}"/>
    <cellStyle name="20% - 강조색4 19" xfId="292" xr:uid="{00000000-0005-0000-0000-000095080000}"/>
    <cellStyle name="20% - 강조색4 19 10" xfId="5489" xr:uid="{00000000-0005-0000-0000-000096080000}"/>
    <cellStyle name="20% - 강조색4 19 11" xfId="5490" xr:uid="{00000000-0005-0000-0000-000097080000}"/>
    <cellStyle name="20% - 강조색4 19 12" xfId="5491" xr:uid="{00000000-0005-0000-0000-000098080000}"/>
    <cellStyle name="20% - 강조색4 19 13" xfId="5492" xr:uid="{00000000-0005-0000-0000-000099080000}"/>
    <cellStyle name="20% - 강조색4 19 14" xfId="5493" xr:uid="{00000000-0005-0000-0000-00009A080000}"/>
    <cellStyle name="20% - 강조색4 19 15" xfId="5488" xr:uid="{00000000-0005-0000-0000-00009B080000}"/>
    <cellStyle name="20% - 강조색4 19 2" xfId="293" xr:uid="{00000000-0005-0000-0000-00009C080000}"/>
    <cellStyle name="20% - 강조색4 19 2 2" xfId="5494" xr:uid="{00000000-0005-0000-0000-00009D080000}"/>
    <cellStyle name="20% - 강조색4 19 3" xfId="5495" xr:uid="{00000000-0005-0000-0000-00009E080000}"/>
    <cellStyle name="20% - 강조색4 19 4" xfId="5496" xr:uid="{00000000-0005-0000-0000-00009F080000}"/>
    <cellStyle name="20% - 강조색4 19 5" xfId="5497" xr:uid="{00000000-0005-0000-0000-0000A0080000}"/>
    <cellStyle name="20% - 강조색4 19 6" xfId="5498" xr:uid="{00000000-0005-0000-0000-0000A1080000}"/>
    <cellStyle name="20% - 강조색4 19 7" xfId="5499" xr:uid="{00000000-0005-0000-0000-0000A2080000}"/>
    <cellStyle name="20% - 강조색4 19 8" xfId="5500" xr:uid="{00000000-0005-0000-0000-0000A3080000}"/>
    <cellStyle name="20% - 강조색4 19 9" xfId="5501" xr:uid="{00000000-0005-0000-0000-0000A4080000}"/>
    <cellStyle name="20% - 강조색4 2" xfId="294" xr:uid="{00000000-0005-0000-0000-0000A5080000}"/>
    <cellStyle name="20% - 강조색4 2 10" xfId="5503" xr:uid="{00000000-0005-0000-0000-0000A6080000}"/>
    <cellStyle name="20% - 강조색4 2 11" xfId="5504" xr:uid="{00000000-0005-0000-0000-0000A7080000}"/>
    <cellStyle name="20% - 강조색4 2 12" xfId="5505" xr:uid="{00000000-0005-0000-0000-0000A8080000}"/>
    <cellStyle name="20% - 강조색4 2 13" xfId="5506" xr:uid="{00000000-0005-0000-0000-0000A9080000}"/>
    <cellStyle name="20% - 강조색4 2 14" xfId="5507" xr:uid="{00000000-0005-0000-0000-0000AA080000}"/>
    <cellStyle name="20% - 강조색4 2 15" xfId="5502" xr:uid="{00000000-0005-0000-0000-0000AB080000}"/>
    <cellStyle name="20% - 강조색4 2 16" xfId="27935" xr:uid="{00000000-0005-0000-0000-0000AC080000}"/>
    <cellStyle name="20% - 강조색4 2 2" xfId="295" xr:uid="{00000000-0005-0000-0000-0000AD080000}"/>
    <cellStyle name="20% - 강조색4 2 2 2" xfId="5508" xr:uid="{00000000-0005-0000-0000-0000AE080000}"/>
    <cellStyle name="20% - 강조색4 2 3" xfId="5509" xr:uid="{00000000-0005-0000-0000-0000AF080000}"/>
    <cellStyle name="20% - 강조색4 2 4" xfId="5510" xr:uid="{00000000-0005-0000-0000-0000B0080000}"/>
    <cellStyle name="20% - 강조색4 2 5" xfId="5511" xr:uid="{00000000-0005-0000-0000-0000B1080000}"/>
    <cellStyle name="20% - 강조색4 2 6" xfId="5512" xr:uid="{00000000-0005-0000-0000-0000B2080000}"/>
    <cellStyle name="20% - 강조색4 2 7" xfId="5513" xr:uid="{00000000-0005-0000-0000-0000B3080000}"/>
    <cellStyle name="20% - 강조색4 2 8" xfId="5514" xr:uid="{00000000-0005-0000-0000-0000B4080000}"/>
    <cellStyle name="20% - 강조색4 2 9" xfId="5515" xr:uid="{00000000-0005-0000-0000-0000B5080000}"/>
    <cellStyle name="20% - 강조색4 20" xfId="296" xr:uid="{00000000-0005-0000-0000-0000B6080000}"/>
    <cellStyle name="20% - 강조색4 20 10" xfId="5517" xr:uid="{00000000-0005-0000-0000-0000B7080000}"/>
    <cellStyle name="20% - 강조색4 20 11" xfId="5518" xr:uid="{00000000-0005-0000-0000-0000B8080000}"/>
    <cellStyle name="20% - 강조색4 20 12" xfId="5519" xr:uid="{00000000-0005-0000-0000-0000B9080000}"/>
    <cellStyle name="20% - 강조색4 20 13" xfId="5520" xr:uid="{00000000-0005-0000-0000-0000BA080000}"/>
    <cellStyle name="20% - 강조색4 20 14" xfId="5521" xr:uid="{00000000-0005-0000-0000-0000BB080000}"/>
    <cellStyle name="20% - 강조색4 20 15" xfId="5516" xr:uid="{00000000-0005-0000-0000-0000BC080000}"/>
    <cellStyle name="20% - 강조색4 20 2" xfId="297" xr:uid="{00000000-0005-0000-0000-0000BD080000}"/>
    <cellStyle name="20% - 강조색4 20 2 2" xfId="5522" xr:uid="{00000000-0005-0000-0000-0000BE080000}"/>
    <cellStyle name="20% - 강조색4 20 3" xfId="5523" xr:uid="{00000000-0005-0000-0000-0000BF080000}"/>
    <cellStyle name="20% - 강조색4 20 4" xfId="5524" xr:uid="{00000000-0005-0000-0000-0000C0080000}"/>
    <cellStyle name="20% - 강조색4 20 5" xfId="5525" xr:uid="{00000000-0005-0000-0000-0000C1080000}"/>
    <cellStyle name="20% - 강조색4 20 6" xfId="5526" xr:uid="{00000000-0005-0000-0000-0000C2080000}"/>
    <cellStyle name="20% - 강조색4 20 7" xfId="5527" xr:uid="{00000000-0005-0000-0000-0000C3080000}"/>
    <cellStyle name="20% - 강조색4 20 8" xfId="5528" xr:uid="{00000000-0005-0000-0000-0000C4080000}"/>
    <cellStyle name="20% - 강조색4 20 9" xfId="5529" xr:uid="{00000000-0005-0000-0000-0000C5080000}"/>
    <cellStyle name="20% - 강조색4 21" xfId="298" xr:uid="{00000000-0005-0000-0000-0000C6080000}"/>
    <cellStyle name="20% - 강조색4 21 10" xfId="5531" xr:uid="{00000000-0005-0000-0000-0000C7080000}"/>
    <cellStyle name="20% - 강조색4 21 11" xfId="5532" xr:uid="{00000000-0005-0000-0000-0000C8080000}"/>
    <cellStyle name="20% - 강조색4 21 12" xfId="5533" xr:uid="{00000000-0005-0000-0000-0000C9080000}"/>
    <cellStyle name="20% - 강조색4 21 13" xfId="5534" xr:uid="{00000000-0005-0000-0000-0000CA080000}"/>
    <cellStyle name="20% - 강조색4 21 14" xfId="5535" xr:uid="{00000000-0005-0000-0000-0000CB080000}"/>
    <cellStyle name="20% - 강조색4 21 15" xfId="5530" xr:uid="{00000000-0005-0000-0000-0000CC080000}"/>
    <cellStyle name="20% - 강조색4 21 2" xfId="299" xr:uid="{00000000-0005-0000-0000-0000CD080000}"/>
    <cellStyle name="20% - 강조색4 21 2 2" xfId="5536" xr:uid="{00000000-0005-0000-0000-0000CE080000}"/>
    <cellStyle name="20% - 강조색4 21 3" xfId="5537" xr:uid="{00000000-0005-0000-0000-0000CF080000}"/>
    <cellStyle name="20% - 강조색4 21 4" xfId="5538" xr:uid="{00000000-0005-0000-0000-0000D0080000}"/>
    <cellStyle name="20% - 강조색4 21 5" xfId="5539" xr:uid="{00000000-0005-0000-0000-0000D1080000}"/>
    <cellStyle name="20% - 강조색4 21 6" xfId="5540" xr:uid="{00000000-0005-0000-0000-0000D2080000}"/>
    <cellStyle name="20% - 강조색4 21 7" xfId="5541" xr:uid="{00000000-0005-0000-0000-0000D3080000}"/>
    <cellStyle name="20% - 강조색4 21 8" xfId="5542" xr:uid="{00000000-0005-0000-0000-0000D4080000}"/>
    <cellStyle name="20% - 강조색4 21 9" xfId="5543" xr:uid="{00000000-0005-0000-0000-0000D5080000}"/>
    <cellStyle name="20% - 강조색4 22" xfId="300" xr:uid="{00000000-0005-0000-0000-0000D6080000}"/>
    <cellStyle name="20% - 강조색4 22 10" xfId="5545" xr:uid="{00000000-0005-0000-0000-0000D7080000}"/>
    <cellStyle name="20% - 강조색4 22 11" xfId="5546" xr:uid="{00000000-0005-0000-0000-0000D8080000}"/>
    <cellStyle name="20% - 강조색4 22 12" xfId="5547" xr:uid="{00000000-0005-0000-0000-0000D9080000}"/>
    <cellStyle name="20% - 강조색4 22 13" xfId="5548" xr:uid="{00000000-0005-0000-0000-0000DA080000}"/>
    <cellStyle name="20% - 강조색4 22 14" xfId="5549" xr:uid="{00000000-0005-0000-0000-0000DB080000}"/>
    <cellStyle name="20% - 강조색4 22 15" xfId="5544" xr:uid="{00000000-0005-0000-0000-0000DC080000}"/>
    <cellStyle name="20% - 강조색4 22 2" xfId="301" xr:uid="{00000000-0005-0000-0000-0000DD080000}"/>
    <cellStyle name="20% - 강조색4 22 2 2" xfId="5550" xr:uid="{00000000-0005-0000-0000-0000DE080000}"/>
    <cellStyle name="20% - 강조색4 22 3" xfId="5551" xr:uid="{00000000-0005-0000-0000-0000DF080000}"/>
    <cellStyle name="20% - 강조색4 22 4" xfId="5552" xr:uid="{00000000-0005-0000-0000-0000E0080000}"/>
    <cellStyle name="20% - 강조색4 22 5" xfId="5553" xr:uid="{00000000-0005-0000-0000-0000E1080000}"/>
    <cellStyle name="20% - 강조색4 22 6" xfId="5554" xr:uid="{00000000-0005-0000-0000-0000E2080000}"/>
    <cellStyle name="20% - 강조색4 22 7" xfId="5555" xr:uid="{00000000-0005-0000-0000-0000E3080000}"/>
    <cellStyle name="20% - 강조색4 22 8" xfId="5556" xr:uid="{00000000-0005-0000-0000-0000E4080000}"/>
    <cellStyle name="20% - 강조색4 22 9" xfId="5557" xr:uid="{00000000-0005-0000-0000-0000E5080000}"/>
    <cellStyle name="20% - 강조색4 23" xfId="302" xr:uid="{00000000-0005-0000-0000-0000E6080000}"/>
    <cellStyle name="20% - 강조색4 23 10" xfId="5559" xr:uid="{00000000-0005-0000-0000-0000E7080000}"/>
    <cellStyle name="20% - 강조색4 23 11" xfId="5560" xr:uid="{00000000-0005-0000-0000-0000E8080000}"/>
    <cellStyle name="20% - 강조색4 23 12" xfId="5561" xr:uid="{00000000-0005-0000-0000-0000E9080000}"/>
    <cellStyle name="20% - 강조색4 23 13" xfId="5562" xr:uid="{00000000-0005-0000-0000-0000EA080000}"/>
    <cellStyle name="20% - 강조색4 23 14" xfId="5563" xr:uid="{00000000-0005-0000-0000-0000EB080000}"/>
    <cellStyle name="20% - 강조색4 23 15" xfId="5558" xr:uid="{00000000-0005-0000-0000-0000EC080000}"/>
    <cellStyle name="20% - 강조색4 23 2" xfId="303" xr:uid="{00000000-0005-0000-0000-0000ED080000}"/>
    <cellStyle name="20% - 강조색4 23 2 2" xfId="5564" xr:uid="{00000000-0005-0000-0000-0000EE080000}"/>
    <cellStyle name="20% - 강조색4 23 3" xfId="5565" xr:uid="{00000000-0005-0000-0000-0000EF080000}"/>
    <cellStyle name="20% - 강조색4 23 4" xfId="5566" xr:uid="{00000000-0005-0000-0000-0000F0080000}"/>
    <cellStyle name="20% - 강조색4 23 5" xfId="5567" xr:uid="{00000000-0005-0000-0000-0000F1080000}"/>
    <cellStyle name="20% - 강조색4 23 6" xfId="5568" xr:uid="{00000000-0005-0000-0000-0000F2080000}"/>
    <cellStyle name="20% - 강조색4 23 7" xfId="5569" xr:uid="{00000000-0005-0000-0000-0000F3080000}"/>
    <cellStyle name="20% - 강조색4 23 8" xfId="5570" xr:uid="{00000000-0005-0000-0000-0000F4080000}"/>
    <cellStyle name="20% - 강조색4 23 9" xfId="5571" xr:uid="{00000000-0005-0000-0000-0000F5080000}"/>
    <cellStyle name="20% - 강조색4 24" xfId="304" xr:uid="{00000000-0005-0000-0000-0000F6080000}"/>
    <cellStyle name="20% - 강조색4 24 10" xfId="5573" xr:uid="{00000000-0005-0000-0000-0000F7080000}"/>
    <cellStyle name="20% - 강조색4 24 11" xfId="5574" xr:uid="{00000000-0005-0000-0000-0000F8080000}"/>
    <cellStyle name="20% - 강조색4 24 12" xfId="5575" xr:uid="{00000000-0005-0000-0000-0000F9080000}"/>
    <cellStyle name="20% - 강조색4 24 13" xfId="5576" xr:uid="{00000000-0005-0000-0000-0000FA080000}"/>
    <cellStyle name="20% - 강조색4 24 14" xfId="5577" xr:uid="{00000000-0005-0000-0000-0000FB080000}"/>
    <cellStyle name="20% - 강조색4 24 15" xfId="5572" xr:uid="{00000000-0005-0000-0000-0000FC080000}"/>
    <cellStyle name="20% - 강조색4 24 2" xfId="305" xr:uid="{00000000-0005-0000-0000-0000FD080000}"/>
    <cellStyle name="20% - 강조색4 24 2 2" xfId="5578" xr:uid="{00000000-0005-0000-0000-0000FE080000}"/>
    <cellStyle name="20% - 강조색4 24 3" xfId="5579" xr:uid="{00000000-0005-0000-0000-0000FF080000}"/>
    <cellStyle name="20% - 강조색4 24 4" xfId="5580" xr:uid="{00000000-0005-0000-0000-000000090000}"/>
    <cellStyle name="20% - 강조색4 24 5" xfId="5581" xr:uid="{00000000-0005-0000-0000-000001090000}"/>
    <cellStyle name="20% - 강조색4 24 6" xfId="5582" xr:uid="{00000000-0005-0000-0000-000002090000}"/>
    <cellStyle name="20% - 강조색4 24 7" xfId="5583" xr:uid="{00000000-0005-0000-0000-000003090000}"/>
    <cellStyle name="20% - 강조색4 24 8" xfId="5584" xr:uid="{00000000-0005-0000-0000-000004090000}"/>
    <cellStyle name="20% - 강조색4 24 9" xfId="5585" xr:uid="{00000000-0005-0000-0000-000005090000}"/>
    <cellStyle name="20% - 강조색4 25" xfId="306" xr:uid="{00000000-0005-0000-0000-000006090000}"/>
    <cellStyle name="20% - 강조색4 25 10" xfId="5587" xr:uid="{00000000-0005-0000-0000-000007090000}"/>
    <cellStyle name="20% - 강조색4 25 11" xfId="5588" xr:uid="{00000000-0005-0000-0000-000008090000}"/>
    <cellStyle name="20% - 강조색4 25 12" xfId="5589" xr:uid="{00000000-0005-0000-0000-000009090000}"/>
    <cellStyle name="20% - 강조색4 25 13" xfId="5590" xr:uid="{00000000-0005-0000-0000-00000A090000}"/>
    <cellStyle name="20% - 강조색4 25 14" xfId="5591" xr:uid="{00000000-0005-0000-0000-00000B090000}"/>
    <cellStyle name="20% - 강조색4 25 15" xfId="5586" xr:uid="{00000000-0005-0000-0000-00000C090000}"/>
    <cellStyle name="20% - 강조색4 25 2" xfId="307" xr:uid="{00000000-0005-0000-0000-00000D090000}"/>
    <cellStyle name="20% - 강조색4 25 2 2" xfId="5592" xr:uid="{00000000-0005-0000-0000-00000E090000}"/>
    <cellStyle name="20% - 강조색4 25 3" xfId="5593" xr:uid="{00000000-0005-0000-0000-00000F090000}"/>
    <cellStyle name="20% - 강조색4 25 4" xfId="5594" xr:uid="{00000000-0005-0000-0000-000010090000}"/>
    <cellStyle name="20% - 강조색4 25 5" xfId="5595" xr:uid="{00000000-0005-0000-0000-000011090000}"/>
    <cellStyle name="20% - 강조색4 25 6" xfId="5596" xr:uid="{00000000-0005-0000-0000-000012090000}"/>
    <cellStyle name="20% - 강조색4 25 7" xfId="5597" xr:uid="{00000000-0005-0000-0000-000013090000}"/>
    <cellStyle name="20% - 강조색4 25 8" xfId="5598" xr:uid="{00000000-0005-0000-0000-000014090000}"/>
    <cellStyle name="20% - 강조색4 25 9" xfId="5599" xr:uid="{00000000-0005-0000-0000-000015090000}"/>
    <cellStyle name="20% - 강조색4 26" xfId="308" xr:uid="{00000000-0005-0000-0000-000016090000}"/>
    <cellStyle name="20% - 강조색4 26 10" xfId="5601" xr:uid="{00000000-0005-0000-0000-000017090000}"/>
    <cellStyle name="20% - 강조색4 26 11" xfId="5602" xr:uid="{00000000-0005-0000-0000-000018090000}"/>
    <cellStyle name="20% - 강조색4 26 12" xfId="5603" xr:uid="{00000000-0005-0000-0000-000019090000}"/>
    <cellStyle name="20% - 강조색4 26 13" xfId="5604" xr:uid="{00000000-0005-0000-0000-00001A090000}"/>
    <cellStyle name="20% - 강조색4 26 14" xfId="5605" xr:uid="{00000000-0005-0000-0000-00001B090000}"/>
    <cellStyle name="20% - 강조색4 26 15" xfId="5600" xr:uid="{00000000-0005-0000-0000-00001C090000}"/>
    <cellStyle name="20% - 강조색4 26 2" xfId="309" xr:uid="{00000000-0005-0000-0000-00001D090000}"/>
    <cellStyle name="20% - 강조색4 26 2 2" xfId="5606" xr:uid="{00000000-0005-0000-0000-00001E090000}"/>
    <cellStyle name="20% - 강조색4 26 3" xfId="5607" xr:uid="{00000000-0005-0000-0000-00001F090000}"/>
    <cellStyle name="20% - 강조색4 26 4" xfId="5608" xr:uid="{00000000-0005-0000-0000-000020090000}"/>
    <cellStyle name="20% - 강조색4 26 5" xfId="5609" xr:uid="{00000000-0005-0000-0000-000021090000}"/>
    <cellStyle name="20% - 강조색4 26 6" xfId="5610" xr:uid="{00000000-0005-0000-0000-000022090000}"/>
    <cellStyle name="20% - 강조색4 26 7" xfId="5611" xr:uid="{00000000-0005-0000-0000-000023090000}"/>
    <cellStyle name="20% - 강조색4 26 8" xfId="5612" xr:uid="{00000000-0005-0000-0000-000024090000}"/>
    <cellStyle name="20% - 강조색4 26 9" xfId="5613" xr:uid="{00000000-0005-0000-0000-000025090000}"/>
    <cellStyle name="20% - 강조색4 27" xfId="310" xr:uid="{00000000-0005-0000-0000-000026090000}"/>
    <cellStyle name="20% - 강조색4 27 10" xfId="5615" xr:uid="{00000000-0005-0000-0000-000027090000}"/>
    <cellStyle name="20% - 강조색4 27 11" xfId="5616" xr:uid="{00000000-0005-0000-0000-000028090000}"/>
    <cellStyle name="20% - 강조색4 27 12" xfId="5617" xr:uid="{00000000-0005-0000-0000-000029090000}"/>
    <cellStyle name="20% - 강조색4 27 13" xfId="5618" xr:uid="{00000000-0005-0000-0000-00002A090000}"/>
    <cellStyle name="20% - 강조색4 27 14" xfId="5619" xr:uid="{00000000-0005-0000-0000-00002B090000}"/>
    <cellStyle name="20% - 강조색4 27 15" xfId="5614" xr:uid="{00000000-0005-0000-0000-00002C090000}"/>
    <cellStyle name="20% - 강조색4 27 2" xfId="311" xr:uid="{00000000-0005-0000-0000-00002D090000}"/>
    <cellStyle name="20% - 강조색4 27 2 2" xfId="5620" xr:uid="{00000000-0005-0000-0000-00002E090000}"/>
    <cellStyle name="20% - 강조색4 27 3" xfId="5621" xr:uid="{00000000-0005-0000-0000-00002F090000}"/>
    <cellStyle name="20% - 강조색4 27 4" xfId="5622" xr:uid="{00000000-0005-0000-0000-000030090000}"/>
    <cellStyle name="20% - 강조색4 27 5" xfId="5623" xr:uid="{00000000-0005-0000-0000-000031090000}"/>
    <cellStyle name="20% - 강조색4 27 6" xfId="5624" xr:uid="{00000000-0005-0000-0000-000032090000}"/>
    <cellStyle name="20% - 강조색4 27 7" xfId="5625" xr:uid="{00000000-0005-0000-0000-000033090000}"/>
    <cellStyle name="20% - 강조색4 27 8" xfId="5626" xr:uid="{00000000-0005-0000-0000-000034090000}"/>
    <cellStyle name="20% - 강조색4 27 9" xfId="5627" xr:uid="{00000000-0005-0000-0000-000035090000}"/>
    <cellStyle name="20% - 강조색4 28" xfId="312" xr:uid="{00000000-0005-0000-0000-000036090000}"/>
    <cellStyle name="20% - 강조색4 28 10" xfId="5629" xr:uid="{00000000-0005-0000-0000-000037090000}"/>
    <cellStyle name="20% - 강조색4 28 11" xfId="5630" xr:uid="{00000000-0005-0000-0000-000038090000}"/>
    <cellStyle name="20% - 강조색4 28 12" xfId="5631" xr:uid="{00000000-0005-0000-0000-000039090000}"/>
    <cellStyle name="20% - 강조색4 28 13" xfId="5632" xr:uid="{00000000-0005-0000-0000-00003A090000}"/>
    <cellStyle name="20% - 강조색4 28 14" xfId="5633" xr:uid="{00000000-0005-0000-0000-00003B090000}"/>
    <cellStyle name="20% - 강조색4 28 15" xfId="5628" xr:uid="{00000000-0005-0000-0000-00003C090000}"/>
    <cellStyle name="20% - 강조색4 28 2" xfId="313" xr:uid="{00000000-0005-0000-0000-00003D090000}"/>
    <cellStyle name="20% - 강조색4 28 2 2" xfId="5634" xr:uid="{00000000-0005-0000-0000-00003E090000}"/>
    <cellStyle name="20% - 강조색4 28 3" xfId="5635" xr:uid="{00000000-0005-0000-0000-00003F090000}"/>
    <cellStyle name="20% - 강조색4 28 4" xfId="5636" xr:uid="{00000000-0005-0000-0000-000040090000}"/>
    <cellStyle name="20% - 강조색4 28 5" xfId="5637" xr:uid="{00000000-0005-0000-0000-000041090000}"/>
    <cellStyle name="20% - 강조색4 28 6" xfId="5638" xr:uid="{00000000-0005-0000-0000-000042090000}"/>
    <cellStyle name="20% - 강조색4 28 7" xfId="5639" xr:uid="{00000000-0005-0000-0000-000043090000}"/>
    <cellStyle name="20% - 강조색4 28 8" xfId="5640" xr:uid="{00000000-0005-0000-0000-000044090000}"/>
    <cellStyle name="20% - 강조색4 28 9" xfId="5641" xr:uid="{00000000-0005-0000-0000-000045090000}"/>
    <cellStyle name="20% - 강조색4 29" xfId="314" xr:uid="{00000000-0005-0000-0000-000046090000}"/>
    <cellStyle name="20% - 강조색4 29 10" xfId="5643" xr:uid="{00000000-0005-0000-0000-000047090000}"/>
    <cellStyle name="20% - 강조색4 29 11" xfId="5644" xr:uid="{00000000-0005-0000-0000-000048090000}"/>
    <cellStyle name="20% - 강조색4 29 12" xfId="5645" xr:uid="{00000000-0005-0000-0000-000049090000}"/>
    <cellStyle name="20% - 강조색4 29 13" xfId="5646" xr:uid="{00000000-0005-0000-0000-00004A090000}"/>
    <cellStyle name="20% - 강조색4 29 14" xfId="5647" xr:uid="{00000000-0005-0000-0000-00004B090000}"/>
    <cellStyle name="20% - 강조색4 29 15" xfId="5642" xr:uid="{00000000-0005-0000-0000-00004C090000}"/>
    <cellStyle name="20% - 강조색4 29 2" xfId="315" xr:uid="{00000000-0005-0000-0000-00004D090000}"/>
    <cellStyle name="20% - 강조색4 29 2 2" xfId="5648" xr:uid="{00000000-0005-0000-0000-00004E090000}"/>
    <cellStyle name="20% - 강조색4 29 3" xfId="5649" xr:uid="{00000000-0005-0000-0000-00004F090000}"/>
    <cellStyle name="20% - 강조색4 29 4" xfId="5650" xr:uid="{00000000-0005-0000-0000-000050090000}"/>
    <cellStyle name="20% - 강조색4 29 5" xfId="5651" xr:uid="{00000000-0005-0000-0000-000051090000}"/>
    <cellStyle name="20% - 강조색4 29 6" xfId="5652" xr:uid="{00000000-0005-0000-0000-000052090000}"/>
    <cellStyle name="20% - 강조색4 29 7" xfId="5653" xr:uid="{00000000-0005-0000-0000-000053090000}"/>
    <cellStyle name="20% - 강조색4 29 8" xfId="5654" xr:uid="{00000000-0005-0000-0000-000054090000}"/>
    <cellStyle name="20% - 강조색4 29 9" xfId="5655" xr:uid="{00000000-0005-0000-0000-000055090000}"/>
    <cellStyle name="20% - 강조색4 3" xfId="316" xr:uid="{00000000-0005-0000-0000-000056090000}"/>
    <cellStyle name="20% - 강조색4 3 10" xfId="5657" xr:uid="{00000000-0005-0000-0000-000057090000}"/>
    <cellStyle name="20% - 강조색4 3 11" xfId="5658" xr:uid="{00000000-0005-0000-0000-000058090000}"/>
    <cellStyle name="20% - 강조색4 3 12" xfId="5659" xr:uid="{00000000-0005-0000-0000-000059090000}"/>
    <cellStyle name="20% - 강조색4 3 13" xfId="5660" xr:uid="{00000000-0005-0000-0000-00005A090000}"/>
    <cellStyle name="20% - 강조색4 3 14" xfId="5661" xr:uid="{00000000-0005-0000-0000-00005B090000}"/>
    <cellStyle name="20% - 강조색4 3 15" xfId="5656" xr:uid="{00000000-0005-0000-0000-00005C090000}"/>
    <cellStyle name="20% - 강조색4 3 16" xfId="28192" xr:uid="{00000000-0005-0000-0000-00005D090000}"/>
    <cellStyle name="20% - 강조색4 3 2" xfId="317" xr:uid="{00000000-0005-0000-0000-00005E090000}"/>
    <cellStyle name="20% - 강조색4 3 2 2" xfId="5662" xr:uid="{00000000-0005-0000-0000-00005F090000}"/>
    <cellStyle name="20% - 강조색4 3 3" xfId="5663" xr:uid="{00000000-0005-0000-0000-000060090000}"/>
    <cellStyle name="20% - 강조색4 3 4" xfId="5664" xr:uid="{00000000-0005-0000-0000-000061090000}"/>
    <cellStyle name="20% - 강조색4 3 5" xfId="5665" xr:uid="{00000000-0005-0000-0000-000062090000}"/>
    <cellStyle name="20% - 강조색4 3 6" xfId="5666" xr:uid="{00000000-0005-0000-0000-000063090000}"/>
    <cellStyle name="20% - 강조색4 3 7" xfId="5667" xr:uid="{00000000-0005-0000-0000-000064090000}"/>
    <cellStyle name="20% - 강조색4 3 8" xfId="5668" xr:uid="{00000000-0005-0000-0000-000065090000}"/>
    <cellStyle name="20% - 강조색4 3 9" xfId="5669" xr:uid="{00000000-0005-0000-0000-000066090000}"/>
    <cellStyle name="20% - 강조색4 30" xfId="318" xr:uid="{00000000-0005-0000-0000-000067090000}"/>
    <cellStyle name="20% - 강조색4 30 10" xfId="5671" xr:uid="{00000000-0005-0000-0000-000068090000}"/>
    <cellStyle name="20% - 강조색4 30 11" xfId="5672" xr:uid="{00000000-0005-0000-0000-000069090000}"/>
    <cellStyle name="20% - 강조색4 30 12" xfId="5673" xr:uid="{00000000-0005-0000-0000-00006A090000}"/>
    <cellStyle name="20% - 강조색4 30 13" xfId="5674" xr:uid="{00000000-0005-0000-0000-00006B090000}"/>
    <cellStyle name="20% - 강조색4 30 14" xfId="5675" xr:uid="{00000000-0005-0000-0000-00006C090000}"/>
    <cellStyle name="20% - 강조색4 30 15" xfId="5670" xr:uid="{00000000-0005-0000-0000-00006D090000}"/>
    <cellStyle name="20% - 강조색4 30 2" xfId="319" xr:uid="{00000000-0005-0000-0000-00006E090000}"/>
    <cellStyle name="20% - 강조색4 30 2 2" xfId="5676" xr:uid="{00000000-0005-0000-0000-00006F090000}"/>
    <cellStyle name="20% - 강조색4 30 3" xfId="5677" xr:uid="{00000000-0005-0000-0000-000070090000}"/>
    <cellStyle name="20% - 강조색4 30 4" xfId="5678" xr:uid="{00000000-0005-0000-0000-000071090000}"/>
    <cellStyle name="20% - 강조색4 30 5" xfId="5679" xr:uid="{00000000-0005-0000-0000-000072090000}"/>
    <cellStyle name="20% - 강조색4 30 6" xfId="5680" xr:uid="{00000000-0005-0000-0000-000073090000}"/>
    <cellStyle name="20% - 강조색4 30 7" xfId="5681" xr:uid="{00000000-0005-0000-0000-000074090000}"/>
    <cellStyle name="20% - 강조색4 30 8" xfId="5682" xr:uid="{00000000-0005-0000-0000-000075090000}"/>
    <cellStyle name="20% - 강조색4 30 9" xfId="5683" xr:uid="{00000000-0005-0000-0000-000076090000}"/>
    <cellStyle name="20% - 강조색4 31" xfId="320" xr:uid="{00000000-0005-0000-0000-000077090000}"/>
    <cellStyle name="20% - 강조색4 31 10" xfId="5685" xr:uid="{00000000-0005-0000-0000-000078090000}"/>
    <cellStyle name="20% - 강조색4 31 11" xfId="5686" xr:uid="{00000000-0005-0000-0000-000079090000}"/>
    <cellStyle name="20% - 강조색4 31 12" xfId="5687" xr:uid="{00000000-0005-0000-0000-00007A090000}"/>
    <cellStyle name="20% - 강조색4 31 13" xfId="5688" xr:uid="{00000000-0005-0000-0000-00007B090000}"/>
    <cellStyle name="20% - 강조색4 31 14" xfId="5689" xr:uid="{00000000-0005-0000-0000-00007C090000}"/>
    <cellStyle name="20% - 강조색4 31 15" xfId="5684" xr:uid="{00000000-0005-0000-0000-00007D090000}"/>
    <cellStyle name="20% - 강조색4 31 2" xfId="321" xr:uid="{00000000-0005-0000-0000-00007E090000}"/>
    <cellStyle name="20% - 강조색4 31 2 2" xfId="5690" xr:uid="{00000000-0005-0000-0000-00007F090000}"/>
    <cellStyle name="20% - 강조색4 31 3" xfId="5691" xr:uid="{00000000-0005-0000-0000-000080090000}"/>
    <cellStyle name="20% - 강조색4 31 4" xfId="5692" xr:uid="{00000000-0005-0000-0000-000081090000}"/>
    <cellStyle name="20% - 강조색4 31 5" xfId="5693" xr:uid="{00000000-0005-0000-0000-000082090000}"/>
    <cellStyle name="20% - 강조색4 31 6" xfId="5694" xr:uid="{00000000-0005-0000-0000-000083090000}"/>
    <cellStyle name="20% - 강조색4 31 7" xfId="5695" xr:uid="{00000000-0005-0000-0000-000084090000}"/>
    <cellStyle name="20% - 강조색4 31 8" xfId="5696" xr:uid="{00000000-0005-0000-0000-000085090000}"/>
    <cellStyle name="20% - 강조색4 31 9" xfId="5697" xr:uid="{00000000-0005-0000-0000-000086090000}"/>
    <cellStyle name="20% - 강조색4 32" xfId="322" xr:uid="{00000000-0005-0000-0000-000087090000}"/>
    <cellStyle name="20% - 강조색4 32 10" xfId="5699" xr:uid="{00000000-0005-0000-0000-000088090000}"/>
    <cellStyle name="20% - 강조색4 32 11" xfId="5700" xr:uid="{00000000-0005-0000-0000-000089090000}"/>
    <cellStyle name="20% - 강조색4 32 12" xfId="5701" xr:uid="{00000000-0005-0000-0000-00008A090000}"/>
    <cellStyle name="20% - 강조색4 32 13" xfId="5702" xr:uid="{00000000-0005-0000-0000-00008B090000}"/>
    <cellStyle name="20% - 강조색4 32 14" xfId="5703" xr:uid="{00000000-0005-0000-0000-00008C090000}"/>
    <cellStyle name="20% - 강조색4 32 15" xfId="5698" xr:uid="{00000000-0005-0000-0000-00008D090000}"/>
    <cellStyle name="20% - 강조색4 32 2" xfId="323" xr:uid="{00000000-0005-0000-0000-00008E090000}"/>
    <cellStyle name="20% - 강조색4 32 2 2" xfId="5704" xr:uid="{00000000-0005-0000-0000-00008F090000}"/>
    <cellStyle name="20% - 강조색4 32 3" xfId="5705" xr:uid="{00000000-0005-0000-0000-000090090000}"/>
    <cellStyle name="20% - 강조색4 32 4" xfId="5706" xr:uid="{00000000-0005-0000-0000-000091090000}"/>
    <cellStyle name="20% - 강조색4 32 5" xfId="5707" xr:uid="{00000000-0005-0000-0000-000092090000}"/>
    <cellStyle name="20% - 강조색4 32 6" xfId="5708" xr:uid="{00000000-0005-0000-0000-000093090000}"/>
    <cellStyle name="20% - 강조색4 32 7" xfId="5709" xr:uid="{00000000-0005-0000-0000-000094090000}"/>
    <cellStyle name="20% - 강조색4 32 8" xfId="5710" xr:uid="{00000000-0005-0000-0000-000095090000}"/>
    <cellStyle name="20% - 강조색4 32 9" xfId="5711" xr:uid="{00000000-0005-0000-0000-000096090000}"/>
    <cellStyle name="20% - 강조색4 33" xfId="324" xr:uid="{00000000-0005-0000-0000-000097090000}"/>
    <cellStyle name="20% - 강조색4 33 10" xfId="5713" xr:uid="{00000000-0005-0000-0000-000098090000}"/>
    <cellStyle name="20% - 강조색4 33 11" xfId="5714" xr:uid="{00000000-0005-0000-0000-000099090000}"/>
    <cellStyle name="20% - 강조색4 33 12" xfId="5715" xr:uid="{00000000-0005-0000-0000-00009A090000}"/>
    <cellStyle name="20% - 강조색4 33 13" xfId="5716" xr:uid="{00000000-0005-0000-0000-00009B090000}"/>
    <cellStyle name="20% - 강조색4 33 14" xfId="5717" xr:uid="{00000000-0005-0000-0000-00009C090000}"/>
    <cellStyle name="20% - 강조색4 33 15" xfId="5712" xr:uid="{00000000-0005-0000-0000-00009D090000}"/>
    <cellStyle name="20% - 강조색4 33 2" xfId="325" xr:uid="{00000000-0005-0000-0000-00009E090000}"/>
    <cellStyle name="20% - 강조색4 33 2 2" xfId="5718" xr:uid="{00000000-0005-0000-0000-00009F090000}"/>
    <cellStyle name="20% - 강조색4 33 3" xfId="5719" xr:uid="{00000000-0005-0000-0000-0000A0090000}"/>
    <cellStyle name="20% - 강조색4 33 4" xfId="5720" xr:uid="{00000000-0005-0000-0000-0000A1090000}"/>
    <cellStyle name="20% - 강조색4 33 5" xfId="5721" xr:uid="{00000000-0005-0000-0000-0000A2090000}"/>
    <cellStyle name="20% - 강조색4 33 6" xfId="5722" xr:uid="{00000000-0005-0000-0000-0000A3090000}"/>
    <cellStyle name="20% - 강조색4 33 7" xfId="5723" xr:uid="{00000000-0005-0000-0000-0000A4090000}"/>
    <cellStyle name="20% - 강조색4 33 8" xfId="5724" xr:uid="{00000000-0005-0000-0000-0000A5090000}"/>
    <cellStyle name="20% - 강조색4 33 9" xfId="5725" xr:uid="{00000000-0005-0000-0000-0000A6090000}"/>
    <cellStyle name="20% - 강조색4 34" xfId="326" xr:uid="{00000000-0005-0000-0000-0000A7090000}"/>
    <cellStyle name="20% - 강조색4 34 10" xfId="5727" xr:uid="{00000000-0005-0000-0000-0000A8090000}"/>
    <cellStyle name="20% - 강조색4 34 11" xfId="5728" xr:uid="{00000000-0005-0000-0000-0000A9090000}"/>
    <cellStyle name="20% - 강조색4 34 12" xfId="5729" xr:uid="{00000000-0005-0000-0000-0000AA090000}"/>
    <cellStyle name="20% - 강조색4 34 13" xfId="5730" xr:uid="{00000000-0005-0000-0000-0000AB090000}"/>
    <cellStyle name="20% - 강조색4 34 14" xfId="5731" xr:uid="{00000000-0005-0000-0000-0000AC090000}"/>
    <cellStyle name="20% - 강조색4 34 15" xfId="5726" xr:uid="{00000000-0005-0000-0000-0000AD090000}"/>
    <cellStyle name="20% - 강조색4 34 2" xfId="327" xr:uid="{00000000-0005-0000-0000-0000AE090000}"/>
    <cellStyle name="20% - 강조색4 34 2 2" xfId="5732" xr:uid="{00000000-0005-0000-0000-0000AF090000}"/>
    <cellStyle name="20% - 강조색4 34 3" xfId="5733" xr:uid="{00000000-0005-0000-0000-0000B0090000}"/>
    <cellStyle name="20% - 강조색4 34 4" xfId="5734" xr:uid="{00000000-0005-0000-0000-0000B1090000}"/>
    <cellStyle name="20% - 강조색4 34 5" xfId="5735" xr:uid="{00000000-0005-0000-0000-0000B2090000}"/>
    <cellStyle name="20% - 강조색4 34 6" xfId="5736" xr:uid="{00000000-0005-0000-0000-0000B3090000}"/>
    <cellStyle name="20% - 강조색4 34 7" xfId="5737" xr:uid="{00000000-0005-0000-0000-0000B4090000}"/>
    <cellStyle name="20% - 강조색4 34 8" xfId="5738" xr:uid="{00000000-0005-0000-0000-0000B5090000}"/>
    <cellStyle name="20% - 강조색4 34 9" xfId="5739" xr:uid="{00000000-0005-0000-0000-0000B6090000}"/>
    <cellStyle name="20% - 강조색4 35" xfId="328" xr:uid="{00000000-0005-0000-0000-0000B7090000}"/>
    <cellStyle name="20% - 강조색4 35 10" xfId="5741" xr:uid="{00000000-0005-0000-0000-0000B8090000}"/>
    <cellStyle name="20% - 강조색4 35 11" xfId="5742" xr:uid="{00000000-0005-0000-0000-0000B9090000}"/>
    <cellStyle name="20% - 강조색4 35 12" xfId="5743" xr:uid="{00000000-0005-0000-0000-0000BA090000}"/>
    <cellStyle name="20% - 강조색4 35 13" xfId="5744" xr:uid="{00000000-0005-0000-0000-0000BB090000}"/>
    <cellStyle name="20% - 강조색4 35 14" xfId="5745" xr:uid="{00000000-0005-0000-0000-0000BC090000}"/>
    <cellStyle name="20% - 강조색4 35 15" xfId="5740" xr:uid="{00000000-0005-0000-0000-0000BD090000}"/>
    <cellStyle name="20% - 강조색4 35 2" xfId="329" xr:uid="{00000000-0005-0000-0000-0000BE090000}"/>
    <cellStyle name="20% - 강조색4 35 2 2" xfId="5746" xr:uid="{00000000-0005-0000-0000-0000BF090000}"/>
    <cellStyle name="20% - 강조색4 35 3" xfId="5747" xr:uid="{00000000-0005-0000-0000-0000C0090000}"/>
    <cellStyle name="20% - 강조색4 35 4" xfId="5748" xr:uid="{00000000-0005-0000-0000-0000C1090000}"/>
    <cellStyle name="20% - 강조색4 35 5" xfId="5749" xr:uid="{00000000-0005-0000-0000-0000C2090000}"/>
    <cellStyle name="20% - 강조색4 35 6" xfId="5750" xr:uid="{00000000-0005-0000-0000-0000C3090000}"/>
    <cellStyle name="20% - 강조색4 35 7" xfId="5751" xr:uid="{00000000-0005-0000-0000-0000C4090000}"/>
    <cellStyle name="20% - 강조색4 35 8" xfId="5752" xr:uid="{00000000-0005-0000-0000-0000C5090000}"/>
    <cellStyle name="20% - 강조색4 35 9" xfId="5753" xr:uid="{00000000-0005-0000-0000-0000C6090000}"/>
    <cellStyle name="20% - 강조색4 36" xfId="330" xr:uid="{00000000-0005-0000-0000-0000C7090000}"/>
    <cellStyle name="20% - 강조색4 36 10" xfId="5755" xr:uid="{00000000-0005-0000-0000-0000C8090000}"/>
    <cellStyle name="20% - 강조색4 36 11" xfId="5756" xr:uid="{00000000-0005-0000-0000-0000C9090000}"/>
    <cellStyle name="20% - 강조색4 36 12" xfId="5757" xr:uid="{00000000-0005-0000-0000-0000CA090000}"/>
    <cellStyle name="20% - 강조색4 36 13" xfId="5758" xr:uid="{00000000-0005-0000-0000-0000CB090000}"/>
    <cellStyle name="20% - 강조색4 36 14" xfId="5759" xr:uid="{00000000-0005-0000-0000-0000CC090000}"/>
    <cellStyle name="20% - 강조색4 36 15" xfId="5754" xr:uid="{00000000-0005-0000-0000-0000CD090000}"/>
    <cellStyle name="20% - 강조색4 36 2" xfId="331" xr:uid="{00000000-0005-0000-0000-0000CE090000}"/>
    <cellStyle name="20% - 강조색4 36 2 2" xfId="5760" xr:uid="{00000000-0005-0000-0000-0000CF090000}"/>
    <cellStyle name="20% - 강조색4 36 3" xfId="5761" xr:uid="{00000000-0005-0000-0000-0000D0090000}"/>
    <cellStyle name="20% - 강조색4 36 4" xfId="5762" xr:uid="{00000000-0005-0000-0000-0000D1090000}"/>
    <cellStyle name="20% - 강조색4 36 5" xfId="5763" xr:uid="{00000000-0005-0000-0000-0000D2090000}"/>
    <cellStyle name="20% - 강조색4 36 6" xfId="5764" xr:uid="{00000000-0005-0000-0000-0000D3090000}"/>
    <cellStyle name="20% - 강조색4 36 7" xfId="5765" xr:uid="{00000000-0005-0000-0000-0000D4090000}"/>
    <cellStyle name="20% - 강조색4 36 8" xfId="5766" xr:uid="{00000000-0005-0000-0000-0000D5090000}"/>
    <cellStyle name="20% - 강조색4 36 9" xfId="5767" xr:uid="{00000000-0005-0000-0000-0000D6090000}"/>
    <cellStyle name="20% - 강조색4 37" xfId="332" xr:uid="{00000000-0005-0000-0000-0000D7090000}"/>
    <cellStyle name="20% - 강조색4 37 10" xfId="5769" xr:uid="{00000000-0005-0000-0000-0000D8090000}"/>
    <cellStyle name="20% - 강조색4 37 11" xfId="5770" xr:uid="{00000000-0005-0000-0000-0000D9090000}"/>
    <cellStyle name="20% - 강조색4 37 12" xfId="5771" xr:uid="{00000000-0005-0000-0000-0000DA090000}"/>
    <cellStyle name="20% - 강조색4 37 13" xfId="5772" xr:uid="{00000000-0005-0000-0000-0000DB090000}"/>
    <cellStyle name="20% - 강조색4 37 14" xfId="5773" xr:uid="{00000000-0005-0000-0000-0000DC090000}"/>
    <cellStyle name="20% - 강조색4 37 15" xfId="5768" xr:uid="{00000000-0005-0000-0000-0000DD090000}"/>
    <cellStyle name="20% - 강조색4 37 2" xfId="333" xr:uid="{00000000-0005-0000-0000-0000DE090000}"/>
    <cellStyle name="20% - 강조색4 37 2 2" xfId="5774" xr:uid="{00000000-0005-0000-0000-0000DF090000}"/>
    <cellStyle name="20% - 강조색4 37 3" xfId="5775" xr:uid="{00000000-0005-0000-0000-0000E0090000}"/>
    <cellStyle name="20% - 강조색4 37 4" xfId="5776" xr:uid="{00000000-0005-0000-0000-0000E1090000}"/>
    <cellStyle name="20% - 강조색4 37 5" xfId="5777" xr:uid="{00000000-0005-0000-0000-0000E2090000}"/>
    <cellStyle name="20% - 강조색4 37 6" xfId="5778" xr:uid="{00000000-0005-0000-0000-0000E3090000}"/>
    <cellStyle name="20% - 강조색4 37 7" xfId="5779" xr:uid="{00000000-0005-0000-0000-0000E4090000}"/>
    <cellStyle name="20% - 강조색4 37 8" xfId="5780" xr:uid="{00000000-0005-0000-0000-0000E5090000}"/>
    <cellStyle name="20% - 강조색4 37 9" xfId="5781" xr:uid="{00000000-0005-0000-0000-0000E6090000}"/>
    <cellStyle name="20% - 강조색4 38" xfId="334" xr:uid="{00000000-0005-0000-0000-0000E7090000}"/>
    <cellStyle name="20% - 강조색4 38 10" xfId="5783" xr:uid="{00000000-0005-0000-0000-0000E8090000}"/>
    <cellStyle name="20% - 강조색4 38 11" xfId="5784" xr:uid="{00000000-0005-0000-0000-0000E9090000}"/>
    <cellStyle name="20% - 강조색4 38 12" xfId="5785" xr:uid="{00000000-0005-0000-0000-0000EA090000}"/>
    <cellStyle name="20% - 강조색4 38 13" xfId="5786" xr:uid="{00000000-0005-0000-0000-0000EB090000}"/>
    <cellStyle name="20% - 강조색4 38 14" xfId="5787" xr:uid="{00000000-0005-0000-0000-0000EC090000}"/>
    <cellStyle name="20% - 강조색4 38 15" xfId="5782" xr:uid="{00000000-0005-0000-0000-0000ED090000}"/>
    <cellStyle name="20% - 강조색4 38 2" xfId="335" xr:uid="{00000000-0005-0000-0000-0000EE090000}"/>
    <cellStyle name="20% - 강조색4 38 2 2" xfId="5788" xr:uid="{00000000-0005-0000-0000-0000EF090000}"/>
    <cellStyle name="20% - 강조색4 38 3" xfId="5789" xr:uid="{00000000-0005-0000-0000-0000F0090000}"/>
    <cellStyle name="20% - 강조색4 38 4" xfId="5790" xr:uid="{00000000-0005-0000-0000-0000F1090000}"/>
    <cellStyle name="20% - 강조색4 38 5" xfId="5791" xr:uid="{00000000-0005-0000-0000-0000F2090000}"/>
    <cellStyle name="20% - 강조색4 38 6" xfId="5792" xr:uid="{00000000-0005-0000-0000-0000F3090000}"/>
    <cellStyle name="20% - 강조색4 38 7" xfId="5793" xr:uid="{00000000-0005-0000-0000-0000F4090000}"/>
    <cellStyle name="20% - 강조색4 38 8" xfId="5794" xr:uid="{00000000-0005-0000-0000-0000F5090000}"/>
    <cellStyle name="20% - 강조색4 38 9" xfId="5795" xr:uid="{00000000-0005-0000-0000-0000F6090000}"/>
    <cellStyle name="20% - 강조색4 39" xfId="336" xr:uid="{00000000-0005-0000-0000-0000F7090000}"/>
    <cellStyle name="20% - 강조색4 39 10" xfId="5797" xr:uid="{00000000-0005-0000-0000-0000F8090000}"/>
    <cellStyle name="20% - 강조색4 39 11" xfId="5798" xr:uid="{00000000-0005-0000-0000-0000F9090000}"/>
    <cellStyle name="20% - 강조색4 39 12" xfId="5799" xr:uid="{00000000-0005-0000-0000-0000FA090000}"/>
    <cellStyle name="20% - 강조색4 39 13" xfId="5800" xr:uid="{00000000-0005-0000-0000-0000FB090000}"/>
    <cellStyle name="20% - 강조색4 39 14" xfId="5801" xr:uid="{00000000-0005-0000-0000-0000FC090000}"/>
    <cellStyle name="20% - 강조색4 39 15" xfId="5796" xr:uid="{00000000-0005-0000-0000-0000FD090000}"/>
    <cellStyle name="20% - 강조색4 39 2" xfId="337" xr:uid="{00000000-0005-0000-0000-0000FE090000}"/>
    <cellStyle name="20% - 강조색4 39 2 2" xfId="5802" xr:uid="{00000000-0005-0000-0000-0000FF090000}"/>
    <cellStyle name="20% - 강조색4 39 3" xfId="5803" xr:uid="{00000000-0005-0000-0000-0000000A0000}"/>
    <cellStyle name="20% - 강조색4 39 4" xfId="5804" xr:uid="{00000000-0005-0000-0000-0000010A0000}"/>
    <cellStyle name="20% - 강조색4 39 5" xfId="5805" xr:uid="{00000000-0005-0000-0000-0000020A0000}"/>
    <cellStyle name="20% - 강조색4 39 6" xfId="5806" xr:uid="{00000000-0005-0000-0000-0000030A0000}"/>
    <cellStyle name="20% - 강조색4 39 7" xfId="5807" xr:uid="{00000000-0005-0000-0000-0000040A0000}"/>
    <cellStyle name="20% - 강조색4 39 8" xfId="5808" xr:uid="{00000000-0005-0000-0000-0000050A0000}"/>
    <cellStyle name="20% - 강조색4 39 9" xfId="5809" xr:uid="{00000000-0005-0000-0000-0000060A0000}"/>
    <cellStyle name="20% - 강조색4 4" xfId="338" xr:uid="{00000000-0005-0000-0000-0000070A0000}"/>
    <cellStyle name="20% - 강조색4 4 10" xfId="5811" xr:uid="{00000000-0005-0000-0000-0000080A0000}"/>
    <cellStyle name="20% - 강조색4 4 11" xfId="5812" xr:uid="{00000000-0005-0000-0000-0000090A0000}"/>
    <cellStyle name="20% - 강조색4 4 12" xfId="5813" xr:uid="{00000000-0005-0000-0000-00000A0A0000}"/>
    <cellStyle name="20% - 강조색4 4 13" xfId="5814" xr:uid="{00000000-0005-0000-0000-00000B0A0000}"/>
    <cellStyle name="20% - 강조색4 4 14" xfId="5815" xr:uid="{00000000-0005-0000-0000-00000C0A0000}"/>
    <cellStyle name="20% - 강조색4 4 15" xfId="5810" xr:uid="{00000000-0005-0000-0000-00000D0A0000}"/>
    <cellStyle name="20% - 강조색4 4 16" xfId="27854" xr:uid="{00000000-0005-0000-0000-00000E0A0000}"/>
    <cellStyle name="20% - 강조색4 4 2" xfId="339" xr:uid="{00000000-0005-0000-0000-00000F0A0000}"/>
    <cellStyle name="20% - 강조색4 4 2 2" xfId="5816" xr:uid="{00000000-0005-0000-0000-0000100A0000}"/>
    <cellStyle name="20% - 강조색4 4 3" xfId="5817" xr:uid="{00000000-0005-0000-0000-0000110A0000}"/>
    <cellStyle name="20% - 강조색4 4 4" xfId="5818" xr:uid="{00000000-0005-0000-0000-0000120A0000}"/>
    <cellStyle name="20% - 강조색4 4 5" xfId="5819" xr:uid="{00000000-0005-0000-0000-0000130A0000}"/>
    <cellStyle name="20% - 강조색4 4 6" xfId="5820" xr:uid="{00000000-0005-0000-0000-0000140A0000}"/>
    <cellStyle name="20% - 강조색4 4 7" xfId="5821" xr:uid="{00000000-0005-0000-0000-0000150A0000}"/>
    <cellStyle name="20% - 강조색4 4 8" xfId="5822" xr:uid="{00000000-0005-0000-0000-0000160A0000}"/>
    <cellStyle name="20% - 강조색4 4 9" xfId="5823" xr:uid="{00000000-0005-0000-0000-0000170A0000}"/>
    <cellStyle name="20% - 강조색4 40" xfId="340" xr:uid="{00000000-0005-0000-0000-0000180A0000}"/>
    <cellStyle name="20% - 강조색4 40 10" xfId="5825" xr:uid="{00000000-0005-0000-0000-0000190A0000}"/>
    <cellStyle name="20% - 강조색4 40 11" xfId="5826" xr:uid="{00000000-0005-0000-0000-00001A0A0000}"/>
    <cellStyle name="20% - 강조색4 40 12" xfId="5827" xr:uid="{00000000-0005-0000-0000-00001B0A0000}"/>
    <cellStyle name="20% - 강조색4 40 13" xfId="5828" xr:uid="{00000000-0005-0000-0000-00001C0A0000}"/>
    <cellStyle name="20% - 강조색4 40 14" xfId="5829" xr:uid="{00000000-0005-0000-0000-00001D0A0000}"/>
    <cellStyle name="20% - 강조색4 40 15" xfId="5824" xr:uid="{00000000-0005-0000-0000-00001E0A0000}"/>
    <cellStyle name="20% - 강조색4 40 2" xfId="341" xr:uid="{00000000-0005-0000-0000-00001F0A0000}"/>
    <cellStyle name="20% - 강조색4 40 2 2" xfId="5830" xr:uid="{00000000-0005-0000-0000-0000200A0000}"/>
    <cellStyle name="20% - 강조색4 40 3" xfId="5831" xr:uid="{00000000-0005-0000-0000-0000210A0000}"/>
    <cellStyle name="20% - 강조색4 40 4" xfId="5832" xr:uid="{00000000-0005-0000-0000-0000220A0000}"/>
    <cellStyle name="20% - 강조색4 40 5" xfId="5833" xr:uid="{00000000-0005-0000-0000-0000230A0000}"/>
    <cellStyle name="20% - 강조색4 40 6" xfId="5834" xr:uid="{00000000-0005-0000-0000-0000240A0000}"/>
    <cellStyle name="20% - 강조색4 40 7" xfId="5835" xr:uid="{00000000-0005-0000-0000-0000250A0000}"/>
    <cellStyle name="20% - 강조색4 40 8" xfId="5836" xr:uid="{00000000-0005-0000-0000-0000260A0000}"/>
    <cellStyle name="20% - 강조색4 40 9" xfId="5837" xr:uid="{00000000-0005-0000-0000-0000270A0000}"/>
    <cellStyle name="20% - 강조색4 41" xfId="342" xr:uid="{00000000-0005-0000-0000-0000280A0000}"/>
    <cellStyle name="20% - 강조색4 41 10" xfId="5839" xr:uid="{00000000-0005-0000-0000-0000290A0000}"/>
    <cellStyle name="20% - 강조색4 41 11" xfId="5840" xr:uid="{00000000-0005-0000-0000-00002A0A0000}"/>
    <cellStyle name="20% - 강조색4 41 12" xfId="5841" xr:uid="{00000000-0005-0000-0000-00002B0A0000}"/>
    <cellStyle name="20% - 강조색4 41 13" xfId="5842" xr:uid="{00000000-0005-0000-0000-00002C0A0000}"/>
    <cellStyle name="20% - 강조색4 41 14" xfId="5843" xr:uid="{00000000-0005-0000-0000-00002D0A0000}"/>
    <cellStyle name="20% - 강조색4 41 15" xfId="5838" xr:uid="{00000000-0005-0000-0000-00002E0A0000}"/>
    <cellStyle name="20% - 강조색4 41 2" xfId="343" xr:uid="{00000000-0005-0000-0000-00002F0A0000}"/>
    <cellStyle name="20% - 강조색4 41 2 2" xfId="5844" xr:uid="{00000000-0005-0000-0000-0000300A0000}"/>
    <cellStyle name="20% - 강조색4 41 3" xfId="5845" xr:uid="{00000000-0005-0000-0000-0000310A0000}"/>
    <cellStyle name="20% - 강조색4 41 4" xfId="5846" xr:uid="{00000000-0005-0000-0000-0000320A0000}"/>
    <cellStyle name="20% - 강조색4 41 5" xfId="5847" xr:uid="{00000000-0005-0000-0000-0000330A0000}"/>
    <cellStyle name="20% - 강조색4 41 6" xfId="5848" xr:uid="{00000000-0005-0000-0000-0000340A0000}"/>
    <cellStyle name="20% - 강조색4 41 7" xfId="5849" xr:uid="{00000000-0005-0000-0000-0000350A0000}"/>
    <cellStyle name="20% - 강조색4 41 8" xfId="5850" xr:uid="{00000000-0005-0000-0000-0000360A0000}"/>
    <cellStyle name="20% - 강조색4 41 9" xfId="5851" xr:uid="{00000000-0005-0000-0000-0000370A0000}"/>
    <cellStyle name="20% - 강조색4 42" xfId="344" xr:uid="{00000000-0005-0000-0000-0000380A0000}"/>
    <cellStyle name="20% - 강조색4 42 10" xfId="5853" xr:uid="{00000000-0005-0000-0000-0000390A0000}"/>
    <cellStyle name="20% - 강조색4 42 11" xfId="5854" xr:uid="{00000000-0005-0000-0000-00003A0A0000}"/>
    <cellStyle name="20% - 강조색4 42 12" xfId="5855" xr:uid="{00000000-0005-0000-0000-00003B0A0000}"/>
    <cellStyle name="20% - 강조색4 42 13" xfId="5856" xr:uid="{00000000-0005-0000-0000-00003C0A0000}"/>
    <cellStyle name="20% - 강조색4 42 14" xfId="5857" xr:uid="{00000000-0005-0000-0000-00003D0A0000}"/>
    <cellStyle name="20% - 강조색4 42 15" xfId="5852" xr:uid="{00000000-0005-0000-0000-00003E0A0000}"/>
    <cellStyle name="20% - 강조색4 42 2" xfId="345" xr:uid="{00000000-0005-0000-0000-00003F0A0000}"/>
    <cellStyle name="20% - 강조색4 42 2 2" xfId="5858" xr:uid="{00000000-0005-0000-0000-0000400A0000}"/>
    <cellStyle name="20% - 강조색4 42 3" xfId="5859" xr:uid="{00000000-0005-0000-0000-0000410A0000}"/>
    <cellStyle name="20% - 강조색4 42 4" xfId="5860" xr:uid="{00000000-0005-0000-0000-0000420A0000}"/>
    <cellStyle name="20% - 강조색4 42 5" xfId="5861" xr:uid="{00000000-0005-0000-0000-0000430A0000}"/>
    <cellStyle name="20% - 강조색4 42 6" xfId="5862" xr:uid="{00000000-0005-0000-0000-0000440A0000}"/>
    <cellStyle name="20% - 강조색4 42 7" xfId="5863" xr:uid="{00000000-0005-0000-0000-0000450A0000}"/>
    <cellStyle name="20% - 강조색4 42 8" xfId="5864" xr:uid="{00000000-0005-0000-0000-0000460A0000}"/>
    <cellStyle name="20% - 강조색4 42 9" xfId="5865" xr:uid="{00000000-0005-0000-0000-0000470A0000}"/>
    <cellStyle name="20% - 강조색4 43" xfId="346" xr:uid="{00000000-0005-0000-0000-0000480A0000}"/>
    <cellStyle name="20% - 강조색4 43 10" xfId="5867" xr:uid="{00000000-0005-0000-0000-0000490A0000}"/>
    <cellStyle name="20% - 강조색4 43 11" xfId="5868" xr:uid="{00000000-0005-0000-0000-00004A0A0000}"/>
    <cellStyle name="20% - 강조색4 43 12" xfId="5869" xr:uid="{00000000-0005-0000-0000-00004B0A0000}"/>
    <cellStyle name="20% - 강조색4 43 13" xfId="5870" xr:uid="{00000000-0005-0000-0000-00004C0A0000}"/>
    <cellStyle name="20% - 강조색4 43 14" xfId="5871" xr:uid="{00000000-0005-0000-0000-00004D0A0000}"/>
    <cellStyle name="20% - 강조색4 43 15" xfId="5866" xr:uid="{00000000-0005-0000-0000-00004E0A0000}"/>
    <cellStyle name="20% - 강조색4 43 2" xfId="347" xr:uid="{00000000-0005-0000-0000-00004F0A0000}"/>
    <cellStyle name="20% - 강조색4 43 2 2" xfId="5872" xr:uid="{00000000-0005-0000-0000-0000500A0000}"/>
    <cellStyle name="20% - 강조색4 43 3" xfId="5873" xr:uid="{00000000-0005-0000-0000-0000510A0000}"/>
    <cellStyle name="20% - 강조색4 43 4" xfId="5874" xr:uid="{00000000-0005-0000-0000-0000520A0000}"/>
    <cellStyle name="20% - 강조색4 43 5" xfId="5875" xr:uid="{00000000-0005-0000-0000-0000530A0000}"/>
    <cellStyle name="20% - 강조색4 43 6" xfId="5876" xr:uid="{00000000-0005-0000-0000-0000540A0000}"/>
    <cellStyle name="20% - 강조색4 43 7" xfId="5877" xr:uid="{00000000-0005-0000-0000-0000550A0000}"/>
    <cellStyle name="20% - 강조색4 43 8" xfId="5878" xr:uid="{00000000-0005-0000-0000-0000560A0000}"/>
    <cellStyle name="20% - 강조색4 43 9" xfId="5879" xr:uid="{00000000-0005-0000-0000-0000570A0000}"/>
    <cellStyle name="20% - 강조색4 44" xfId="348" xr:uid="{00000000-0005-0000-0000-0000580A0000}"/>
    <cellStyle name="20% - 강조색4 44 2" xfId="5880" xr:uid="{00000000-0005-0000-0000-0000590A0000}"/>
    <cellStyle name="20% - 강조색4 45" xfId="349" xr:uid="{00000000-0005-0000-0000-00005A0A0000}"/>
    <cellStyle name="20% - 강조색4 45 2" xfId="5881" xr:uid="{00000000-0005-0000-0000-00005B0A0000}"/>
    <cellStyle name="20% - 강조색4 46" xfId="273" xr:uid="{00000000-0005-0000-0000-00005C0A0000}"/>
    <cellStyle name="20% - 강조색4 47" xfId="5362" xr:uid="{00000000-0005-0000-0000-00005D0A0000}"/>
    <cellStyle name="20% - 강조색4 5" xfId="350" xr:uid="{00000000-0005-0000-0000-00005E0A0000}"/>
    <cellStyle name="20% - 강조색4 5 10" xfId="5883" xr:uid="{00000000-0005-0000-0000-00005F0A0000}"/>
    <cellStyle name="20% - 강조색4 5 11" xfId="5884" xr:uid="{00000000-0005-0000-0000-0000600A0000}"/>
    <cellStyle name="20% - 강조색4 5 12" xfId="5885" xr:uid="{00000000-0005-0000-0000-0000610A0000}"/>
    <cellStyle name="20% - 강조색4 5 13" xfId="5886" xr:uid="{00000000-0005-0000-0000-0000620A0000}"/>
    <cellStyle name="20% - 강조색4 5 14" xfId="5887" xr:uid="{00000000-0005-0000-0000-0000630A0000}"/>
    <cellStyle name="20% - 강조색4 5 15" xfId="5882" xr:uid="{00000000-0005-0000-0000-0000640A0000}"/>
    <cellStyle name="20% - 강조색4 5 2" xfId="351" xr:uid="{00000000-0005-0000-0000-0000650A0000}"/>
    <cellStyle name="20% - 강조색4 5 2 2" xfId="5888" xr:uid="{00000000-0005-0000-0000-0000660A0000}"/>
    <cellStyle name="20% - 강조색4 5 3" xfId="5889" xr:uid="{00000000-0005-0000-0000-0000670A0000}"/>
    <cellStyle name="20% - 강조색4 5 4" xfId="5890" xr:uid="{00000000-0005-0000-0000-0000680A0000}"/>
    <cellStyle name="20% - 강조색4 5 5" xfId="5891" xr:uid="{00000000-0005-0000-0000-0000690A0000}"/>
    <cellStyle name="20% - 강조색4 5 6" xfId="5892" xr:uid="{00000000-0005-0000-0000-00006A0A0000}"/>
    <cellStyle name="20% - 강조색4 5 7" xfId="5893" xr:uid="{00000000-0005-0000-0000-00006B0A0000}"/>
    <cellStyle name="20% - 강조색4 5 8" xfId="5894" xr:uid="{00000000-0005-0000-0000-00006C0A0000}"/>
    <cellStyle name="20% - 강조색4 5 9" xfId="5895" xr:uid="{00000000-0005-0000-0000-00006D0A0000}"/>
    <cellStyle name="20% - 강조색4 6" xfId="352" xr:uid="{00000000-0005-0000-0000-00006E0A0000}"/>
    <cellStyle name="20% - 강조색4 6 10" xfId="5897" xr:uid="{00000000-0005-0000-0000-00006F0A0000}"/>
    <cellStyle name="20% - 강조색4 6 11" xfId="5898" xr:uid="{00000000-0005-0000-0000-0000700A0000}"/>
    <cellStyle name="20% - 강조색4 6 12" xfId="5899" xr:uid="{00000000-0005-0000-0000-0000710A0000}"/>
    <cellStyle name="20% - 강조색4 6 13" xfId="5900" xr:uid="{00000000-0005-0000-0000-0000720A0000}"/>
    <cellStyle name="20% - 강조색4 6 14" xfId="5901" xr:uid="{00000000-0005-0000-0000-0000730A0000}"/>
    <cellStyle name="20% - 강조색4 6 15" xfId="5896" xr:uid="{00000000-0005-0000-0000-0000740A0000}"/>
    <cellStyle name="20% - 강조색4 6 2" xfId="353" xr:uid="{00000000-0005-0000-0000-0000750A0000}"/>
    <cellStyle name="20% - 강조색4 6 2 2" xfId="5902" xr:uid="{00000000-0005-0000-0000-0000760A0000}"/>
    <cellStyle name="20% - 강조색4 6 3" xfId="5903" xr:uid="{00000000-0005-0000-0000-0000770A0000}"/>
    <cellStyle name="20% - 강조색4 6 4" xfId="5904" xr:uid="{00000000-0005-0000-0000-0000780A0000}"/>
    <cellStyle name="20% - 강조색4 6 5" xfId="5905" xr:uid="{00000000-0005-0000-0000-0000790A0000}"/>
    <cellStyle name="20% - 강조색4 6 6" xfId="5906" xr:uid="{00000000-0005-0000-0000-00007A0A0000}"/>
    <cellStyle name="20% - 강조색4 6 7" xfId="5907" xr:uid="{00000000-0005-0000-0000-00007B0A0000}"/>
    <cellStyle name="20% - 강조색4 6 8" xfId="5908" xr:uid="{00000000-0005-0000-0000-00007C0A0000}"/>
    <cellStyle name="20% - 강조색4 6 9" xfId="5909" xr:uid="{00000000-0005-0000-0000-00007D0A0000}"/>
    <cellStyle name="20% - 강조색4 7" xfId="354" xr:uid="{00000000-0005-0000-0000-00007E0A0000}"/>
    <cellStyle name="20% - 강조색4 7 10" xfId="5911" xr:uid="{00000000-0005-0000-0000-00007F0A0000}"/>
    <cellStyle name="20% - 강조색4 7 11" xfId="5912" xr:uid="{00000000-0005-0000-0000-0000800A0000}"/>
    <cellStyle name="20% - 강조색4 7 12" xfId="5913" xr:uid="{00000000-0005-0000-0000-0000810A0000}"/>
    <cellStyle name="20% - 강조색4 7 13" xfId="5914" xr:uid="{00000000-0005-0000-0000-0000820A0000}"/>
    <cellStyle name="20% - 강조색4 7 14" xfId="5915" xr:uid="{00000000-0005-0000-0000-0000830A0000}"/>
    <cellStyle name="20% - 강조색4 7 15" xfId="5910" xr:uid="{00000000-0005-0000-0000-0000840A0000}"/>
    <cellStyle name="20% - 강조색4 7 2" xfId="355" xr:uid="{00000000-0005-0000-0000-0000850A0000}"/>
    <cellStyle name="20% - 강조색4 7 2 2" xfId="5916" xr:uid="{00000000-0005-0000-0000-0000860A0000}"/>
    <cellStyle name="20% - 강조색4 7 3" xfId="5917" xr:uid="{00000000-0005-0000-0000-0000870A0000}"/>
    <cellStyle name="20% - 강조색4 7 4" xfId="5918" xr:uid="{00000000-0005-0000-0000-0000880A0000}"/>
    <cellStyle name="20% - 강조색4 7 5" xfId="5919" xr:uid="{00000000-0005-0000-0000-0000890A0000}"/>
    <cellStyle name="20% - 강조색4 7 6" xfId="5920" xr:uid="{00000000-0005-0000-0000-00008A0A0000}"/>
    <cellStyle name="20% - 강조색4 7 7" xfId="5921" xr:uid="{00000000-0005-0000-0000-00008B0A0000}"/>
    <cellStyle name="20% - 강조색4 7 8" xfId="5922" xr:uid="{00000000-0005-0000-0000-00008C0A0000}"/>
    <cellStyle name="20% - 강조색4 7 9" xfId="5923" xr:uid="{00000000-0005-0000-0000-00008D0A0000}"/>
    <cellStyle name="20% - 강조색4 8" xfId="356" xr:uid="{00000000-0005-0000-0000-00008E0A0000}"/>
    <cellStyle name="20% - 강조색4 8 10" xfId="5925" xr:uid="{00000000-0005-0000-0000-00008F0A0000}"/>
    <cellStyle name="20% - 강조색4 8 11" xfId="5926" xr:uid="{00000000-0005-0000-0000-0000900A0000}"/>
    <cellStyle name="20% - 강조색4 8 12" xfId="5927" xr:uid="{00000000-0005-0000-0000-0000910A0000}"/>
    <cellStyle name="20% - 강조색4 8 13" xfId="5928" xr:uid="{00000000-0005-0000-0000-0000920A0000}"/>
    <cellStyle name="20% - 강조색4 8 14" xfId="5929" xr:uid="{00000000-0005-0000-0000-0000930A0000}"/>
    <cellStyle name="20% - 강조색4 8 15" xfId="5924" xr:uid="{00000000-0005-0000-0000-0000940A0000}"/>
    <cellStyle name="20% - 강조색4 8 2" xfId="357" xr:uid="{00000000-0005-0000-0000-0000950A0000}"/>
    <cellStyle name="20% - 강조색4 8 2 2" xfId="5930" xr:uid="{00000000-0005-0000-0000-0000960A0000}"/>
    <cellStyle name="20% - 강조색4 8 3" xfId="5931" xr:uid="{00000000-0005-0000-0000-0000970A0000}"/>
    <cellStyle name="20% - 강조색4 8 4" xfId="5932" xr:uid="{00000000-0005-0000-0000-0000980A0000}"/>
    <cellStyle name="20% - 강조색4 8 5" xfId="5933" xr:uid="{00000000-0005-0000-0000-0000990A0000}"/>
    <cellStyle name="20% - 강조색4 8 6" xfId="5934" xr:uid="{00000000-0005-0000-0000-00009A0A0000}"/>
    <cellStyle name="20% - 강조색4 8 7" xfId="5935" xr:uid="{00000000-0005-0000-0000-00009B0A0000}"/>
    <cellStyle name="20% - 강조색4 8 8" xfId="5936" xr:uid="{00000000-0005-0000-0000-00009C0A0000}"/>
    <cellStyle name="20% - 강조색4 8 9" xfId="5937" xr:uid="{00000000-0005-0000-0000-00009D0A0000}"/>
    <cellStyle name="20% - 강조색4 9" xfId="358" xr:uid="{00000000-0005-0000-0000-00009E0A0000}"/>
    <cellStyle name="20% - 강조색4 9 10" xfId="5939" xr:uid="{00000000-0005-0000-0000-00009F0A0000}"/>
    <cellStyle name="20% - 강조색4 9 11" xfId="5940" xr:uid="{00000000-0005-0000-0000-0000A00A0000}"/>
    <cellStyle name="20% - 강조색4 9 12" xfId="5941" xr:uid="{00000000-0005-0000-0000-0000A10A0000}"/>
    <cellStyle name="20% - 강조색4 9 13" xfId="5942" xr:uid="{00000000-0005-0000-0000-0000A20A0000}"/>
    <cellStyle name="20% - 강조색4 9 14" xfId="5943" xr:uid="{00000000-0005-0000-0000-0000A30A0000}"/>
    <cellStyle name="20% - 강조색4 9 15" xfId="5938" xr:uid="{00000000-0005-0000-0000-0000A40A0000}"/>
    <cellStyle name="20% - 강조색4 9 2" xfId="359" xr:uid="{00000000-0005-0000-0000-0000A50A0000}"/>
    <cellStyle name="20% - 강조색4 9 2 2" xfId="5944" xr:uid="{00000000-0005-0000-0000-0000A60A0000}"/>
    <cellStyle name="20% - 강조색4 9 3" xfId="5945" xr:uid="{00000000-0005-0000-0000-0000A70A0000}"/>
    <cellStyle name="20% - 강조색4 9 4" xfId="5946" xr:uid="{00000000-0005-0000-0000-0000A80A0000}"/>
    <cellStyle name="20% - 강조색4 9 5" xfId="5947" xr:uid="{00000000-0005-0000-0000-0000A90A0000}"/>
    <cellStyle name="20% - 강조색4 9 6" xfId="5948" xr:uid="{00000000-0005-0000-0000-0000AA0A0000}"/>
    <cellStyle name="20% - 강조색4 9 7" xfId="5949" xr:uid="{00000000-0005-0000-0000-0000AB0A0000}"/>
    <cellStyle name="20% - 강조색4 9 8" xfId="5950" xr:uid="{00000000-0005-0000-0000-0000AC0A0000}"/>
    <cellStyle name="20% - 강조색4 9 9" xfId="5951" xr:uid="{00000000-0005-0000-0000-0000AD0A0000}"/>
    <cellStyle name="20% - 강조색5 10" xfId="361" xr:uid="{00000000-0005-0000-0000-0000AE0A0000}"/>
    <cellStyle name="20% - 강조색5 10 10" xfId="5952" xr:uid="{00000000-0005-0000-0000-0000AF0A0000}"/>
    <cellStyle name="20% - 강조색5 10 11" xfId="5953" xr:uid="{00000000-0005-0000-0000-0000B00A0000}"/>
    <cellStyle name="20% - 강조색5 10 12" xfId="5954" xr:uid="{00000000-0005-0000-0000-0000B10A0000}"/>
    <cellStyle name="20% - 강조색5 10 13" xfId="5955" xr:uid="{00000000-0005-0000-0000-0000B20A0000}"/>
    <cellStyle name="20% - 강조색5 10 14" xfId="5956" xr:uid="{00000000-0005-0000-0000-0000B30A0000}"/>
    <cellStyle name="20% - 강조색5 10 2" xfId="362" xr:uid="{00000000-0005-0000-0000-0000B40A0000}"/>
    <cellStyle name="20% - 강조색5 10 3" xfId="5957" xr:uid="{00000000-0005-0000-0000-0000B50A0000}"/>
    <cellStyle name="20% - 강조색5 10 4" xfId="5958" xr:uid="{00000000-0005-0000-0000-0000B60A0000}"/>
    <cellStyle name="20% - 강조색5 10 5" xfId="5959" xr:uid="{00000000-0005-0000-0000-0000B70A0000}"/>
    <cellStyle name="20% - 강조색5 10 6" xfId="5960" xr:uid="{00000000-0005-0000-0000-0000B80A0000}"/>
    <cellStyle name="20% - 강조색5 10 7" xfId="5961" xr:uid="{00000000-0005-0000-0000-0000B90A0000}"/>
    <cellStyle name="20% - 강조색5 10 8" xfId="5962" xr:uid="{00000000-0005-0000-0000-0000BA0A0000}"/>
    <cellStyle name="20% - 강조색5 10 9" xfId="5963" xr:uid="{00000000-0005-0000-0000-0000BB0A0000}"/>
    <cellStyle name="20% - 강조색5 11" xfId="363" xr:uid="{00000000-0005-0000-0000-0000BC0A0000}"/>
    <cellStyle name="20% - 강조색5 11 10" xfId="5964" xr:uid="{00000000-0005-0000-0000-0000BD0A0000}"/>
    <cellStyle name="20% - 강조색5 11 11" xfId="5965" xr:uid="{00000000-0005-0000-0000-0000BE0A0000}"/>
    <cellStyle name="20% - 강조색5 11 12" xfId="5966" xr:uid="{00000000-0005-0000-0000-0000BF0A0000}"/>
    <cellStyle name="20% - 강조색5 11 13" xfId="5967" xr:uid="{00000000-0005-0000-0000-0000C00A0000}"/>
    <cellStyle name="20% - 강조색5 11 14" xfId="5968" xr:uid="{00000000-0005-0000-0000-0000C10A0000}"/>
    <cellStyle name="20% - 강조색5 11 2" xfId="364" xr:uid="{00000000-0005-0000-0000-0000C20A0000}"/>
    <cellStyle name="20% - 강조색5 11 3" xfId="5969" xr:uid="{00000000-0005-0000-0000-0000C30A0000}"/>
    <cellStyle name="20% - 강조색5 11 4" xfId="5970" xr:uid="{00000000-0005-0000-0000-0000C40A0000}"/>
    <cellStyle name="20% - 강조색5 11 5" xfId="5971" xr:uid="{00000000-0005-0000-0000-0000C50A0000}"/>
    <cellStyle name="20% - 강조색5 11 6" xfId="5972" xr:uid="{00000000-0005-0000-0000-0000C60A0000}"/>
    <cellStyle name="20% - 강조색5 11 7" xfId="5973" xr:uid="{00000000-0005-0000-0000-0000C70A0000}"/>
    <cellStyle name="20% - 강조색5 11 8" xfId="5974" xr:uid="{00000000-0005-0000-0000-0000C80A0000}"/>
    <cellStyle name="20% - 강조색5 11 9" xfId="5975" xr:uid="{00000000-0005-0000-0000-0000C90A0000}"/>
    <cellStyle name="20% - 강조색5 12" xfId="365" xr:uid="{00000000-0005-0000-0000-0000CA0A0000}"/>
    <cellStyle name="20% - 강조색5 12 10" xfId="5976" xr:uid="{00000000-0005-0000-0000-0000CB0A0000}"/>
    <cellStyle name="20% - 강조색5 12 11" xfId="5977" xr:uid="{00000000-0005-0000-0000-0000CC0A0000}"/>
    <cellStyle name="20% - 강조색5 12 12" xfId="5978" xr:uid="{00000000-0005-0000-0000-0000CD0A0000}"/>
    <cellStyle name="20% - 강조색5 12 13" xfId="5979" xr:uid="{00000000-0005-0000-0000-0000CE0A0000}"/>
    <cellStyle name="20% - 강조색5 12 14" xfId="5980" xr:uid="{00000000-0005-0000-0000-0000CF0A0000}"/>
    <cellStyle name="20% - 강조색5 12 2" xfId="366" xr:uid="{00000000-0005-0000-0000-0000D00A0000}"/>
    <cellStyle name="20% - 강조색5 12 3" xfId="5981" xr:uid="{00000000-0005-0000-0000-0000D10A0000}"/>
    <cellStyle name="20% - 강조색5 12 4" xfId="5982" xr:uid="{00000000-0005-0000-0000-0000D20A0000}"/>
    <cellStyle name="20% - 강조색5 12 5" xfId="5983" xr:uid="{00000000-0005-0000-0000-0000D30A0000}"/>
    <cellStyle name="20% - 강조색5 12 6" xfId="5984" xr:uid="{00000000-0005-0000-0000-0000D40A0000}"/>
    <cellStyle name="20% - 강조색5 12 7" xfId="5985" xr:uid="{00000000-0005-0000-0000-0000D50A0000}"/>
    <cellStyle name="20% - 강조색5 12 8" xfId="5986" xr:uid="{00000000-0005-0000-0000-0000D60A0000}"/>
    <cellStyle name="20% - 강조색5 12 9" xfId="5987" xr:uid="{00000000-0005-0000-0000-0000D70A0000}"/>
    <cellStyle name="20% - 강조색5 13" xfId="367" xr:uid="{00000000-0005-0000-0000-0000D80A0000}"/>
    <cellStyle name="20% - 강조색5 13 10" xfId="5988" xr:uid="{00000000-0005-0000-0000-0000D90A0000}"/>
    <cellStyle name="20% - 강조색5 13 11" xfId="5989" xr:uid="{00000000-0005-0000-0000-0000DA0A0000}"/>
    <cellStyle name="20% - 강조색5 13 12" xfId="5990" xr:uid="{00000000-0005-0000-0000-0000DB0A0000}"/>
    <cellStyle name="20% - 강조색5 13 13" xfId="5991" xr:uid="{00000000-0005-0000-0000-0000DC0A0000}"/>
    <cellStyle name="20% - 강조색5 13 14" xfId="5992" xr:uid="{00000000-0005-0000-0000-0000DD0A0000}"/>
    <cellStyle name="20% - 강조색5 13 2" xfId="368" xr:uid="{00000000-0005-0000-0000-0000DE0A0000}"/>
    <cellStyle name="20% - 강조색5 13 3" xfId="5993" xr:uid="{00000000-0005-0000-0000-0000DF0A0000}"/>
    <cellStyle name="20% - 강조색5 13 4" xfId="5994" xr:uid="{00000000-0005-0000-0000-0000E00A0000}"/>
    <cellStyle name="20% - 강조색5 13 5" xfId="5995" xr:uid="{00000000-0005-0000-0000-0000E10A0000}"/>
    <cellStyle name="20% - 강조색5 13 6" xfId="5996" xr:uid="{00000000-0005-0000-0000-0000E20A0000}"/>
    <cellStyle name="20% - 강조색5 13 7" xfId="5997" xr:uid="{00000000-0005-0000-0000-0000E30A0000}"/>
    <cellStyle name="20% - 강조색5 13 8" xfId="5998" xr:uid="{00000000-0005-0000-0000-0000E40A0000}"/>
    <cellStyle name="20% - 강조색5 13 9" xfId="5999" xr:uid="{00000000-0005-0000-0000-0000E50A0000}"/>
    <cellStyle name="20% - 강조색5 14" xfId="369" xr:uid="{00000000-0005-0000-0000-0000E60A0000}"/>
    <cellStyle name="20% - 강조색5 14 10" xfId="6000" xr:uid="{00000000-0005-0000-0000-0000E70A0000}"/>
    <cellStyle name="20% - 강조색5 14 11" xfId="6001" xr:uid="{00000000-0005-0000-0000-0000E80A0000}"/>
    <cellStyle name="20% - 강조색5 14 12" xfId="6002" xr:uid="{00000000-0005-0000-0000-0000E90A0000}"/>
    <cellStyle name="20% - 강조색5 14 13" xfId="6003" xr:uid="{00000000-0005-0000-0000-0000EA0A0000}"/>
    <cellStyle name="20% - 강조색5 14 14" xfId="6004" xr:uid="{00000000-0005-0000-0000-0000EB0A0000}"/>
    <cellStyle name="20% - 강조색5 14 2" xfId="370" xr:uid="{00000000-0005-0000-0000-0000EC0A0000}"/>
    <cellStyle name="20% - 강조색5 14 3" xfId="6005" xr:uid="{00000000-0005-0000-0000-0000ED0A0000}"/>
    <cellStyle name="20% - 강조색5 14 4" xfId="6006" xr:uid="{00000000-0005-0000-0000-0000EE0A0000}"/>
    <cellStyle name="20% - 강조색5 14 5" xfId="6007" xr:uid="{00000000-0005-0000-0000-0000EF0A0000}"/>
    <cellStyle name="20% - 강조색5 14 6" xfId="6008" xr:uid="{00000000-0005-0000-0000-0000F00A0000}"/>
    <cellStyle name="20% - 강조색5 14 7" xfId="6009" xr:uid="{00000000-0005-0000-0000-0000F10A0000}"/>
    <cellStyle name="20% - 강조색5 14 8" xfId="6010" xr:uid="{00000000-0005-0000-0000-0000F20A0000}"/>
    <cellStyle name="20% - 강조색5 14 9" xfId="6011" xr:uid="{00000000-0005-0000-0000-0000F30A0000}"/>
    <cellStyle name="20% - 강조색5 15" xfId="371" xr:uid="{00000000-0005-0000-0000-0000F40A0000}"/>
    <cellStyle name="20% - 강조색5 15 10" xfId="6012" xr:uid="{00000000-0005-0000-0000-0000F50A0000}"/>
    <cellStyle name="20% - 강조색5 15 11" xfId="6013" xr:uid="{00000000-0005-0000-0000-0000F60A0000}"/>
    <cellStyle name="20% - 강조색5 15 12" xfId="6014" xr:uid="{00000000-0005-0000-0000-0000F70A0000}"/>
    <cellStyle name="20% - 강조색5 15 13" xfId="6015" xr:uid="{00000000-0005-0000-0000-0000F80A0000}"/>
    <cellStyle name="20% - 강조색5 15 14" xfId="6016" xr:uid="{00000000-0005-0000-0000-0000F90A0000}"/>
    <cellStyle name="20% - 강조색5 15 2" xfId="372" xr:uid="{00000000-0005-0000-0000-0000FA0A0000}"/>
    <cellStyle name="20% - 강조색5 15 3" xfId="6017" xr:uid="{00000000-0005-0000-0000-0000FB0A0000}"/>
    <cellStyle name="20% - 강조색5 15 4" xfId="6018" xr:uid="{00000000-0005-0000-0000-0000FC0A0000}"/>
    <cellStyle name="20% - 강조색5 15 5" xfId="6019" xr:uid="{00000000-0005-0000-0000-0000FD0A0000}"/>
    <cellStyle name="20% - 강조색5 15 6" xfId="6020" xr:uid="{00000000-0005-0000-0000-0000FE0A0000}"/>
    <cellStyle name="20% - 강조색5 15 7" xfId="6021" xr:uid="{00000000-0005-0000-0000-0000FF0A0000}"/>
    <cellStyle name="20% - 강조색5 15 8" xfId="6022" xr:uid="{00000000-0005-0000-0000-0000000B0000}"/>
    <cellStyle name="20% - 강조색5 15 9" xfId="6023" xr:uid="{00000000-0005-0000-0000-0000010B0000}"/>
    <cellStyle name="20% - 강조색5 16" xfId="373" xr:uid="{00000000-0005-0000-0000-0000020B0000}"/>
    <cellStyle name="20% - 강조색5 16 10" xfId="6024" xr:uid="{00000000-0005-0000-0000-0000030B0000}"/>
    <cellStyle name="20% - 강조색5 16 11" xfId="6025" xr:uid="{00000000-0005-0000-0000-0000040B0000}"/>
    <cellStyle name="20% - 강조색5 16 12" xfId="6026" xr:uid="{00000000-0005-0000-0000-0000050B0000}"/>
    <cellStyle name="20% - 강조색5 16 13" xfId="6027" xr:uid="{00000000-0005-0000-0000-0000060B0000}"/>
    <cellStyle name="20% - 강조색5 16 14" xfId="6028" xr:uid="{00000000-0005-0000-0000-0000070B0000}"/>
    <cellStyle name="20% - 강조색5 16 2" xfId="374" xr:uid="{00000000-0005-0000-0000-0000080B0000}"/>
    <cellStyle name="20% - 강조색5 16 3" xfId="6029" xr:uid="{00000000-0005-0000-0000-0000090B0000}"/>
    <cellStyle name="20% - 강조색5 16 4" xfId="6030" xr:uid="{00000000-0005-0000-0000-00000A0B0000}"/>
    <cellStyle name="20% - 강조색5 16 5" xfId="6031" xr:uid="{00000000-0005-0000-0000-00000B0B0000}"/>
    <cellStyle name="20% - 강조색5 16 6" xfId="6032" xr:uid="{00000000-0005-0000-0000-00000C0B0000}"/>
    <cellStyle name="20% - 강조색5 16 7" xfId="6033" xr:uid="{00000000-0005-0000-0000-00000D0B0000}"/>
    <cellStyle name="20% - 강조색5 16 8" xfId="6034" xr:uid="{00000000-0005-0000-0000-00000E0B0000}"/>
    <cellStyle name="20% - 강조색5 16 9" xfId="6035" xr:uid="{00000000-0005-0000-0000-00000F0B0000}"/>
    <cellStyle name="20% - 강조색5 17" xfId="375" xr:uid="{00000000-0005-0000-0000-0000100B0000}"/>
    <cellStyle name="20% - 강조색5 17 10" xfId="6036" xr:uid="{00000000-0005-0000-0000-0000110B0000}"/>
    <cellStyle name="20% - 강조색5 17 11" xfId="6037" xr:uid="{00000000-0005-0000-0000-0000120B0000}"/>
    <cellStyle name="20% - 강조색5 17 12" xfId="6038" xr:uid="{00000000-0005-0000-0000-0000130B0000}"/>
    <cellStyle name="20% - 강조색5 17 13" xfId="6039" xr:uid="{00000000-0005-0000-0000-0000140B0000}"/>
    <cellStyle name="20% - 강조색5 17 14" xfId="6040" xr:uid="{00000000-0005-0000-0000-0000150B0000}"/>
    <cellStyle name="20% - 강조색5 17 2" xfId="376" xr:uid="{00000000-0005-0000-0000-0000160B0000}"/>
    <cellStyle name="20% - 강조색5 17 3" xfId="6041" xr:uid="{00000000-0005-0000-0000-0000170B0000}"/>
    <cellStyle name="20% - 강조색5 17 4" xfId="6042" xr:uid="{00000000-0005-0000-0000-0000180B0000}"/>
    <cellStyle name="20% - 강조색5 17 5" xfId="6043" xr:uid="{00000000-0005-0000-0000-0000190B0000}"/>
    <cellStyle name="20% - 강조색5 17 6" xfId="6044" xr:uid="{00000000-0005-0000-0000-00001A0B0000}"/>
    <cellStyle name="20% - 강조색5 17 7" xfId="6045" xr:uid="{00000000-0005-0000-0000-00001B0B0000}"/>
    <cellStyle name="20% - 강조색5 17 8" xfId="6046" xr:uid="{00000000-0005-0000-0000-00001C0B0000}"/>
    <cellStyle name="20% - 강조색5 17 9" xfId="6047" xr:uid="{00000000-0005-0000-0000-00001D0B0000}"/>
    <cellStyle name="20% - 강조색5 18" xfId="377" xr:uid="{00000000-0005-0000-0000-00001E0B0000}"/>
    <cellStyle name="20% - 강조색5 18 10" xfId="6048" xr:uid="{00000000-0005-0000-0000-00001F0B0000}"/>
    <cellStyle name="20% - 강조색5 18 11" xfId="6049" xr:uid="{00000000-0005-0000-0000-0000200B0000}"/>
    <cellStyle name="20% - 강조색5 18 12" xfId="6050" xr:uid="{00000000-0005-0000-0000-0000210B0000}"/>
    <cellStyle name="20% - 강조색5 18 13" xfId="6051" xr:uid="{00000000-0005-0000-0000-0000220B0000}"/>
    <cellStyle name="20% - 강조색5 18 14" xfId="6052" xr:uid="{00000000-0005-0000-0000-0000230B0000}"/>
    <cellStyle name="20% - 강조색5 18 2" xfId="378" xr:uid="{00000000-0005-0000-0000-0000240B0000}"/>
    <cellStyle name="20% - 강조색5 18 3" xfId="6053" xr:uid="{00000000-0005-0000-0000-0000250B0000}"/>
    <cellStyle name="20% - 강조색5 18 4" xfId="6054" xr:uid="{00000000-0005-0000-0000-0000260B0000}"/>
    <cellStyle name="20% - 강조색5 18 5" xfId="6055" xr:uid="{00000000-0005-0000-0000-0000270B0000}"/>
    <cellStyle name="20% - 강조색5 18 6" xfId="6056" xr:uid="{00000000-0005-0000-0000-0000280B0000}"/>
    <cellStyle name="20% - 강조색5 18 7" xfId="6057" xr:uid="{00000000-0005-0000-0000-0000290B0000}"/>
    <cellStyle name="20% - 강조색5 18 8" xfId="6058" xr:uid="{00000000-0005-0000-0000-00002A0B0000}"/>
    <cellStyle name="20% - 강조색5 18 9" xfId="6059" xr:uid="{00000000-0005-0000-0000-00002B0B0000}"/>
    <cellStyle name="20% - 강조색5 19" xfId="379" xr:uid="{00000000-0005-0000-0000-00002C0B0000}"/>
    <cellStyle name="20% - 강조색5 19 10" xfId="6060" xr:uid="{00000000-0005-0000-0000-00002D0B0000}"/>
    <cellStyle name="20% - 강조색5 19 11" xfId="6061" xr:uid="{00000000-0005-0000-0000-00002E0B0000}"/>
    <cellStyle name="20% - 강조색5 19 12" xfId="6062" xr:uid="{00000000-0005-0000-0000-00002F0B0000}"/>
    <cellStyle name="20% - 강조색5 19 13" xfId="6063" xr:uid="{00000000-0005-0000-0000-0000300B0000}"/>
    <cellStyle name="20% - 강조색5 19 14" xfId="6064" xr:uid="{00000000-0005-0000-0000-0000310B0000}"/>
    <cellStyle name="20% - 강조색5 19 2" xfId="380" xr:uid="{00000000-0005-0000-0000-0000320B0000}"/>
    <cellStyle name="20% - 강조색5 19 3" xfId="6065" xr:uid="{00000000-0005-0000-0000-0000330B0000}"/>
    <cellStyle name="20% - 강조색5 19 4" xfId="6066" xr:uid="{00000000-0005-0000-0000-0000340B0000}"/>
    <cellStyle name="20% - 강조색5 19 5" xfId="6067" xr:uid="{00000000-0005-0000-0000-0000350B0000}"/>
    <cellStyle name="20% - 강조색5 19 6" xfId="6068" xr:uid="{00000000-0005-0000-0000-0000360B0000}"/>
    <cellStyle name="20% - 강조색5 19 7" xfId="6069" xr:uid="{00000000-0005-0000-0000-0000370B0000}"/>
    <cellStyle name="20% - 강조색5 19 8" xfId="6070" xr:uid="{00000000-0005-0000-0000-0000380B0000}"/>
    <cellStyle name="20% - 강조색5 19 9" xfId="6071" xr:uid="{00000000-0005-0000-0000-0000390B0000}"/>
    <cellStyle name="20% - 강조색5 2" xfId="381" xr:uid="{00000000-0005-0000-0000-00003A0B0000}"/>
    <cellStyle name="20% - 강조색5 2 10" xfId="6072" xr:uid="{00000000-0005-0000-0000-00003B0B0000}"/>
    <cellStyle name="20% - 강조색5 2 11" xfId="6073" xr:uid="{00000000-0005-0000-0000-00003C0B0000}"/>
    <cellStyle name="20% - 강조색5 2 12" xfId="6074" xr:uid="{00000000-0005-0000-0000-00003D0B0000}"/>
    <cellStyle name="20% - 강조색5 2 13" xfId="6075" xr:uid="{00000000-0005-0000-0000-00003E0B0000}"/>
    <cellStyle name="20% - 강조색5 2 14" xfId="6076" xr:uid="{00000000-0005-0000-0000-00003F0B0000}"/>
    <cellStyle name="20% - 강조색5 2 15" xfId="27936" xr:uid="{00000000-0005-0000-0000-0000400B0000}"/>
    <cellStyle name="20% - 강조색5 2 2" xfId="382" xr:uid="{00000000-0005-0000-0000-0000410B0000}"/>
    <cellStyle name="20% - 강조색5 2 3" xfId="6077" xr:uid="{00000000-0005-0000-0000-0000420B0000}"/>
    <cellStyle name="20% - 강조색5 2 4" xfId="6078" xr:uid="{00000000-0005-0000-0000-0000430B0000}"/>
    <cellStyle name="20% - 강조색5 2 5" xfId="6079" xr:uid="{00000000-0005-0000-0000-0000440B0000}"/>
    <cellStyle name="20% - 강조색5 2 6" xfId="6080" xr:uid="{00000000-0005-0000-0000-0000450B0000}"/>
    <cellStyle name="20% - 강조색5 2 7" xfId="6081" xr:uid="{00000000-0005-0000-0000-0000460B0000}"/>
    <cellStyle name="20% - 강조색5 2 8" xfId="6082" xr:uid="{00000000-0005-0000-0000-0000470B0000}"/>
    <cellStyle name="20% - 강조색5 2 9" xfId="6083" xr:uid="{00000000-0005-0000-0000-0000480B0000}"/>
    <cellStyle name="20% - 강조색5 20" xfId="383" xr:uid="{00000000-0005-0000-0000-0000490B0000}"/>
    <cellStyle name="20% - 강조색5 20 10" xfId="6084" xr:uid="{00000000-0005-0000-0000-00004A0B0000}"/>
    <cellStyle name="20% - 강조색5 20 11" xfId="6085" xr:uid="{00000000-0005-0000-0000-00004B0B0000}"/>
    <cellStyle name="20% - 강조색5 20 12" xfId="6086" xr:uid="{00000000-0005-0000-0000-00004C0B0000}"/>
    <cellStyle name="20% - 강조색5 20 13" xfId="6087" xr:uid="{00000000-0005-0000-0000-00004D0B0000}"/>
    <cellStyle name="20% - 강조색5 20 14" xfId="6088" xr:uid="{00000000-0005-0000-0000-00004E0B0000}"/>
    <cellStyle name="20% - 강조색5 20 2" xfId="384" xr:uid="{00000000-0005-0000-0000-00004F0B0000}"/>
    <cellStyle name="20% - 강조색5 20 3" xfId="6089" xr:uid="{00000000-0005-0000-0000-0000500B0000}"/>
    <cellStyle name="20% - 강조색5 20 4" xfId="6090" xr:uid="{00000000-0005-0000-0000-0000510B0000}"/>
    <cellStyle name="20% - 강조색5 20 5" xfId="6091" xr:uid="{00000000-0005-0000-0000-0000520B0000}"/>
    <cellStyle name="20% - 강조색5 20 6" xfId="6092" xr:uid="{00000000-0005-0000-0000-0000530B0000}"/>
    <cellStyle name="20% - 강조색5 20 7" xfId="6093" xr:uid="{00000000-0005-0000-0000-0000540B0000}"/>
    <cellStyle name="20% - 강조색5 20 8" xfId="6094" xr:uid="{00000000-0005-0000-0000-0000550B0000}"/>
    <cellStyle name="20% - 강조색5 20 9" xfId="6095" xr:uid="{00000000-0005-0000-0000-0000560B0000}"/>
    <cellStyle name="20% - 강조색5 21" xfId="385" xr:uid="{00000000-0005-0000-0000-0000570B0000}"/>
    <cellStyle name="20% - 강조색5 21 10" xfId="6096" xr:uid="{00000000-0005-0000-0000-0000580B0000}"/>
    <cellStyle name="20% - 강조색5 21 11" xfId="6097" xr:uid="{00000000-0005-0000-0000-0000590B0000}"/>
    <cellStyle name="20% - 강조색5 21 12" xfId="6098" xr:uid="{00000000-0005-0000-0000-00005A0B0000}"/>
    <cellStyle name="20% - 강조색5 21 13" xfId="6099" xr:uid="{00000000-0005-0000-0000-00005B0B0000}"/>
    <cellStyle name="20% - 강조색5 21 14" xfId="6100" xr:uid="{00000000-0005-0000-0000-00005C0B0000}"/>
    <cellStyle name="20% - 강조색5 21 2" xfId="386" xr:uid="{00000000-0005-0000-0000-00005D0B0000}"/>
    <cellStyle name="20% - 강조색5 21 3" xfId="6101" xr:uid="{00000000-0005-0000-0000-00005E0B0000}"/>
    <cellStyle name="20% - 강조색5 21 4" xfId="6102" xr:uid="{00000000-0005-0000-0000-00005F0B0000}"/>
    <cellStyle name="20% - 강조색5 21 5" xfId="6103" xr:uid="{00000000-0005-0000-0000-0000600B0000}"/>
    <cellStyle name="20% - 강조색5 21 6" xfId="6104" xr:uid="{00000000-0005-0000-0000-0000610B0000}"/>
    <cellStyle name="20% - 강조색5 21 7" xfId="6105" xr:uid="{00000000-0005-0000-0000-0000620B0000}"/>
    <cellStyle name="20% - 강조색5 21 8" xfId="6106" xr:uid="{00000000-0005-0000-0000-0000630B0000}"/>
    <cellStyle name="20% - 강조색5 21 9" xfId="6107" xr:uid="{00000000-0005-0000-0000-0000640B0000}"/>
    <cellStyle name="20% - 강조색5 22" xfId="387" xr:uid="{00000000-0005-0000-0000-0000650B0000}"/>
    <cellStyle name="20% - 강조색5 22 10" xfId="6108" xr:uid="{00000000-0005-0000-0000-0000660B0000}"/>
    <cellStyle name="20% - 강조색5 22 11" xfId="6109" xr:uid="{00000000-0005-0000-0000-0000670B0000}"/>
    <cellStyle name="20% - 강조색5 22 12" xfId="6110" xr:uid="{00000000-0005-0000-0000-0000680B0000}"/>
    <cellStyle name="20% - 강조색5 22 13" xfId="6111" xr:uid="{00000000-0005-0000-0000-0000690B0000}"/>
    <cellStyle name="20% - 강조색5 22 14" xfId="6112" xr:uid="{00000000-0005-0000-0000-00006A0B0000}"/>
    <cellStyle name="20% - 강조색5 22 2" xfId="388" xr:uid="{00000000-0005-0000-0000-00006B0B0000}"/>
    <cellStyle name="20% - 강조색5 22 3" xfId="6113" xr:uid="{00000000-0005-0000-0000-00006C0B0000}"/>
    <cellStyle name="20% - 강조색5 22 4" xfId="6114" xr:uid="{00000000-0005-0000-0000-00006D0B0000}"/>
    <cellStyle name="20% - 강조색5 22 5" xfId="6115" xr:uid="{00000000-0005-0000-0000-00006E0B0000}"/>
    <cellStyle name="20% - 강조색5 22 6" xfId="6116" xr:uid="{00000000-0005-0000-0000-00006F0B0000}"/>
    <cellStyle name="20% - 강조색5 22 7" xfId="6117" xr:uid="{00000000-0005-0000-0000-0000700B0000}"/>
    <cellStyle name="20% - 강조색5 22 8" xfId="6118" xr:uid="{00000000-0005-0000-0000-0000710B0000}"/>
    <cellStyle name="20% - 강조색5 22 9" xfId="6119" xr:uid="{00000000-0005-0000-0000-0000720B0000}"/>
    <cellStyle name="20% - 강조색5 23" xfId="389" xr:uid="{00000000-0005-0000-0000-0000730B0000}"/>
    <cellStyle name="20% - 강조색5 23 10" xfId="6120" xr:uid="{00000000-0005-0000-0000-0000740B0000}"/>
    <cellStyle name="20% - 강조색5 23 11" xfId="6121" xr:uid="{00000000-0005-0000-0000-0000750B0000}"/>
    <cellStyle name="20% - 강조색5 23 12" xfId="6122" xr:uid="{00000000-0005-0000-0000-0000760B0000}"/>
    <cellStyle name="20% - 강조색5 23 13" xfId="6123" xr:uid="{00000000-0005-0000-0000-0000770B0000}"/>
    <cellStyle name="20% - 강조색5 23 14" xfId="6124" xr:uid="{00000000-0005-0000-0000-0000780B0000}"/>
    <cellStyle name="20% - 강조색5 23 2" xfId="390" xr:uid="{00000000-0005-0000-0000-0000790B0000}"/>
    <cellStyle name="20% - 강조색5 23 3" xfId="6125" xr:uid="{00000000-0005-0000-0000-00007A0B0000}"/>
    <cellStyle name="20% - 강조색5 23 4" xfId="6126" xr:uid="{00000000-0005-0000-0000-00007B0B0000}"/>
    <cellStyle name="20% - 강조색5 23 5" xfId="6127" xr:uid="{00000000-0005-0000-0000-00007C0B0000}"/>
    <cellStyle name="20% - 강조색5 23 6" xfId="6128" xr:uid="{00000000-0005-0000-0000-00007D0B0000}"/>
    <cellStyle name="20% - 강조색5 23 7" xfId="6129" xr:uid="{00000000-0005-0000-0000-00007E0B0000}"/>
    <cellStyle name="20% - 강조색5 23 8" xfId="6130" xr:uid="{00000000-0005-0000-0000-00007F0B0000}"/>
    <cellStyle name="20% - 강조색5 23 9" xfId="6131" xr:uid="{00000000-0005-0000-0000-0000800B0000}"/>
    <cellStyle name="20% - 강조색5 24" xfId="391" xr:uid="{00000000-0005-0000-0000-0000810B0000}"/>
    <cellStyle name="20% - 강조색5 24 10" xfId="6132" xr:uid="{00000000-0005-0000-0000-0000820B0000}"/>
    <cellStyle name="20% - 강조색5 24 11" xfId="6133" xr:uid="{00000000-0005-0000-0000-0000830B0000}"/>
    <cellStyle name="20% - 강조색5 24 12" xfId="6134" xr:uid="{00000000-0005-0000-0000-0000840B0000}"/>
    <cellStyle name="20% - 강조색5 24 13" xfId="6135" xr:uid="{00000000-0005-0000-0000-0000850B0000}"/>
    <cellStyle name="20% - 강조색5 24 14" xfId="6136" xr:uid="{00000000-0005-0000-0000-0000860B0000}"/>
    <cellStyle name="20% - 강조색5 24 2" xfId="392" xr:uid="{00000000-0005-0000-0000-0000870B0000}"/>
    <cellStyle name="20% - 강조색5 24 3" xfId="6137" xr:uid="{00000000-0005-0000-0000-0000880B0000}"/>
    <cellStyle name="20% - 강조색5 24 4" xfId="6138" xr:uid="{00000000-0005-0000-0000-0000890B0000}"/>
    <cellStyle name="20% - 강조색5 24 5" xfId="6139" xr:uid="{00000000-0005-0000-0000-00008A0B0000}"/>
    <cellStyle name="20% - 강조색5 24 6" xfId="6140" xr:uid="{00000000-0005-0000-0000-00008B0B0000}"/>
    <cellStyle name="20% - 강조색5 24 7" xfId="6141" xr:uid="{00000000-0005-0000-0000-00008C0B0000}"/>
    <cellStyle name="20% - 강조색5 24 8" xfId="6142" xr:uid="{00000000-0005-0000-0000-00008D0B0000}"/>
    <cellStyle name="20% - 강조색5 24 9" xfId="6143" xr:uid="{00000000-0005-0000-0000-00008E0B0000}"/>
    <cellStyle name="20% - 강조색5 25" xfId="393" xr:uid="{00000000-0005-0000-0000-00008F0B0000}"/>
    <cellStyle name="20% - 강조색5 25 10" xfId="6144" xr:uid="{00000000-0005-0000-0000-0000900B0000}"/>
    <cellStyle name="20% - 강조색5 25 11" xfId="6145" xr:uid="{00000000-0005-0000-0000-0000910B0000}"/>
    <cellStyle name="20% - 강조색5 25 12" xfId="6146" xr:uid="{00000000-0005-0000-0000-0000920B0000}"/>
    <cellStyle name="20% - 강조색5 25 13" xfId="6147" xr:uid="{00000000-0005-0000-0000-0000930B0000}"/>
    <cellStyle name="20% - 강조색5 25 14" xfId="6148" xr:uid="{00000000-0005-0000-0000-0000940B0000}"/>
    <cellStyle name="20% - 강조색5 25 2" xfId="394" xr:uid="{00000000-0005-0000-0000-0000950B0000}"/>
    <cellStyle name="20% - 강조색5 25 3" xfId="6149" xr:uid="{00000000-0005-0000-0000-0000960B0000}"/>
    <cellStyle name="20% - 강조색5 25 4" xfId="6150" xr:uid="{00000000-0005-0000-0000-0000970B0000}"/>
    <cellStyle name="20% - 강조색5 25 5" xfId="6151" xr:uid="{00000000-0005-0000-0000-0000980B0000}"/>
    <cellStyle name="20% - 강조색5 25 6" xfId="6152" xr:uid="{00000000-0005-0000-0000-0000990B0000}"/>
    <cellStyle name="20% - 강조색5 25 7" xfId="6153" xr:uid="{00000000-0005-0000-0000-00009A0B0000}"/>
    <cellStyle name="20% - 강조색5 25 8" xfId="6154" xr:uid="{00000000-0005-0000-0000-00009B0B0000}"/>
    <cellStyle name="20% - 강조색5 25 9" xfId="6155" xr:uid="{00000000-0005-0000-0000-00009C0B0000}"/>
    <cellStyle name="20% - 강조색5 26" xfId="395" xr:uid="{00000000-0005-0000-0000-00009D0B0000}"/>
    <cellStyle name="20% - 강조색5 26 10" xfId="6156" xr:uid="{00000000-0005-0000-0000-00009E0B0000}"/>
    <cellStyle name="20% - 강조색5 26 11" xfId="6157" xr:uid="{00000000-0005-0000-0000-00009F0B0000}"/>
    <cellStyle name="20% - 강조색5 26 12" xfId="6158" xr:uid="{00000000-0005-0000-0000-0000A00B0000}"/>
    <cellStyle name="20% - 강조색5 26 13" xfId="6159" xr:uid="{00000000-0005-0000-0000-0000A10B0000}"/>
    <cellStyle name="20% - 강조색5 26 14" xfId="6160" xr:uid="{00000000-0005-0000-0000-0000A20B0000}"/>
    <cellStyle name="20% - 강조색5 26 2" xfId="396" xr:uid="{00000000-0005-0000-0000-0000A30B0000}"/>
    <cellStyle name="20% - 강조색5 26 3" xfId="6161" xr:uid="{00000000-0005-0000-0000-0000A40B0000}"/>
    <cellStyle name="20% - 강조색5 26 4" xfId="6162" xr:uid="{00000000-0005-0000-0000-0000A50B0000}"/>
    <cellStyle name="20% - 강조색5 26 5" xfId="6163" xr:uid="{00000000-0005-0000-0000-0000A60B0000}"/>
    <cellStyle name="20% - 강조색5 26 6" xfId="6164" xr:uid="{00000000-0005-0000-0000-0000A70B0000}"/>
    <cellStyle name="20% - 강조색5 26 7" xfId="6165" xr:uid="{00000000-0005-0000-0000-0000A80B0000}"/>
    <cellStyle name="20% - 강조색5 26 8" xfId="6166" xr:uid="{00000000-0005-0000-0000-0000A90B0000}"/>
    <cellStyle name="20% - 강조색5 26 9" xfId="6167" xr:uid="{00000000-0005-0000-0000-0000AA0B0000}"/>
    <cellStyle name="20% - 강조색5 27" xfId="397" xr:uid="{00000000-0005-0000-0000-0000AB0B0000}"/>
    <cellStyle name="20% - 강조색5 27 10" xfId="6168" xr:uid="{00000000-0005-0000-0000-0000AC0B0000}"/>
    <cellStyle name="20% - 강조색5 27 11" xfId="6169" xr:uid="{00000000-0005-0000-0000-0000AD0B0000}"/>
    <cellStyle name="20% - 강조색5 27 12" xfId="6170" xr:uid="{00000000-0005-0000-0000-0000AE0B0000}"/>
    <cellStyle name="20% - 강조색5 27 13" xfId="6171" xr:uid="{00000000-0005-0000-0000-0000AF0B0000}"/>
    <cellStyle name="20% - 강조색5 27 14" xfId="6172" xr:uid="{00000000-0005-0000-0000-0000B00B0000}"/>
    <cellStyle name="20% - 강조색5 27 2" xfId="398" xr:uid="{00000000-0005-0000-0000-0000B10B0000}"/>
    <cellStyle name="20% - 강조색5 27 3" xfId="6173" xr:uid="{00000000-0005-0000-0000-0000B20B0000}"/>
    <cellStyle name="20% - 강조색5 27 4" xfId="6174" xr:uid="{00000000-0005-0000-0000-0000B30B0000}"/>
    <cellStyle name="20% - 강조색5 27 5" xfId="6175" xr:uid="{00000000-0005-0000-0000-0000B40B0000}"/>
    <cellStyle name="20% - 강조색5 27 6" xfId="6176" xr:uid="{00000000-0005-0000-0000-0000B50B0000}"/>
    <cellStyle name="20% - 강조색5 27 7" xfId="6177" xr:uid="{00000000-0005-0000-0000-0000B60B0000}"/>
    <cellStyle name="20% - 강조색5 27 8" xfId="6178" xr:uid="{00000000-0005-0000-0000-0000B70B0000}"/>
    <cellStyle name="20% - 강조색5 27 9" xfId="6179" xr:uid="{00000000-0005-0000-0000-0000B80B0000}"/>
    <cellStyle name="20% - 강조색5 28" xfId="399" xr:uid="{00000000-0005-0000-0000-0000B90B0000}"/>
    <cellStyle name="20% - 강조색5 28 10" xfId="6180" xr:uid="{00000000-0005-0000-0000-0000BA0B0000}"/>
    <cellStyle name="20% - 강조색5 28 11" xfId="6181" xr:uid="{00000000-0005-0000-0000-0000BB0B0000}"/>
    <cellStyle name="20% - 강조색5 28 12" xfId="6182" xr:uid="{00000000-0005-0000-0000-0000BC0B0000}"/>
    <cellStyle name="20% - 강조색5 28 13" xfId="6183" xr:uid="{00000000-0005-0000-0000-0000BD0B0000}"/>
    <cellStyle name="20% - 강조색5 28 14" xfId="6184" xr:uid="{00000000-0005-0000-0000-0000BE0B0000}"/>
    <cellStyle name="20% - 강조색5 28 2" xfId="400" xr:uid="{00000000-0005-0000-0000-0000BF0B0000}"/>
    <cellStyle name="20% - 강조색5 28 3" xfId="6185" xr:uid="{00000000-0005-0000-0000-0000C00B0000}"/>
    <cellStyle name="20% - 강조색5 28 4" xfId="6186" xr:uid="{00000000-0005-0000-0000-0000C10B0000}"/>
    <cellStyle name="20% - 강조색5 28 5" xfId="6187" xr:uid="{00000000-0005-0000-0000-0000C20B0000}"/>
    <cellStyle name="20% - 강조색5 28 6" xfId="6188" xr:uid="{00000000-0005-0000-0000-0000C30B0000}"/>
    <cellStyle name="20% - 강조색5 28 7" xfId="6189" xr:uid="{00000000-0005-0000-0000-0000C40B0000}"/>
    <cellStyle name="20% - 강조색5 28 8" xfId="6190" xr:uid="{00000000-0005-0000-0000-0000C50B0000}"/>
    <cellStyle name="20% - 강조색5 28 9" xfId="6191" xr:uid="{00000000-0005-0000-0000-0000C60B0000}"/>
    <cellStyle name="20% - 강조색5 29" xfId="401" xr:uid="{00000000-0005-0000-0000-0000C70B0000}"/>
    <cellStyle name="20% - 강조색5 29 10" xfId="6192" xr:uid="{00000000-0005-0000-0000-0000C80B0000}"/>
    <cellStyle name="20% - 강조색5 29 11" xfId="6193" xr:uid="{00000000-0005-0000-0000-0000C90B0000}"/>
    <cellStyle name="20% - 강조색5 29 12" xfId="6194" xr:uid="{00000000-0005-0000-0000-0000CA0B0000}"/>
    <cellStyle name="20% - 강조색5 29 13" xfId="6195" xr:uid="{00000000-0005-0000-0000-0000CB0B0000}"/>
    <cellStyle name="20% - 강조색5 29 14" xfId="6196" xr:uid="{00000000-0005-0000-0000-0000CC0B0000}"/>
    <cellStyle name="20% - 강조색5 29 2" xfId="402" xr:uid="{00000000-0005-0000-0000-0000CD0B0000}"/>
    <cellStyle name="20% - 강조색5 29 3" xfId="6197" xr:uid="{00000000-0005-0000-0000-0000CE0B0000}"/>
    <cellStyle name="20% - 강조색5 29 4" xfId="6198" xr:uid="{00000000-0005-0000-0000-0000CF0B0000}"/>
    <cellStyle name="20% - 강조색5 29 5" xfId="6199" xr:uid="{00000000-0005-0000-0000-0000D00B0000}"/>
    <cellStyle name="20% - 강조색5 29 6" xfId="6200" xr:uid="{00000000-0005-0000-0000-0000D10B0000}"/>
    <cellStyle name="20% - 강조색5 29 7" xfId="6201" xr:uid="{00000000-0005-0000-0000-0000D20B0000}"/>
    <cellStyle name="20% - 강조색5 29 8" xfId="6202" xr:uid="{00000000-0005-0000-0000-0000D30B0000}"/>
    <cellStyle name="20% - 강조색5 29 9" xfId="6203" xr:uid="{00000000-0005-0000-0000-0000D40B0000}"/>
    <cellStyle name="20% - 강조색5 3" xfId="403" xr:uid="{00000000-0005-0000-0000-0000D50B0000}"/>
    <cellStyle name="20% - 강조색5 3 10" xfId="6204" xr:uid="{00000000-0005-0000-0000-0000D60B0000}"/>
    <cellStyle name="20% - 강조색5 3 11" xfId="6205" xr:uid="{00000000-0005-0000-0000-0000D70B0000}"/>
    <cellStyle name="20% - 강조색5 3 12" xfId="6206" xr:uid="{00000000-0005-0000-0000-0000D80B0000}"/>
    <cellStyle name="20% - 강조색5 3 13" xfId="6207" xr:uid="{00000000-0005-0000-0000-0000D90B0000}"/>
    <cellStyle name="20% - 강조색5 3 14" xfId="6208" xr:uid="{00000000-0005-0000-0000-0000DA0B0000}"/>
    <cellStyle name="20% - 강조색5 3 15" xfId="28193" xr:uid="{00000000-0005-0000-0000-0000DB0B0000}"/>
    <cellStyle name="20% - 강조색5 3 2" xfId="404" xr:uid="{00000000-0005-0000-0000-0000DC0B0000}"/>
    <cellStyle name="20% - 강조색5 3 3" xfId="6209" xr:uid="{00000000-0005-0000-0000-0000DD0B0000}"/>
    <cellStyle name="20% - 강조색5 3 4" xfId="6210" xr:uid="{00000000-0005-0000-0000-0000DE0B0000}"/>
    <cellStyle name="20% - 강조색5 3 5" xfId="6211" xr:uid="{00000000-0005-0000-0000-0000DF0B0000}"/>
    <cellStyle name="20% - 강조색5 3 6" xfId="6212" xr:uid="{00000000-0005-0000-0000-0000E00B0000}"/>
    <cellStyle name="20% - 강조색5 3 7" xfId="6213" xr:uid="{00000000-0005-0000-0000-0000E10B0000}"/>
    <cellStyle name="20% - 강조색5 3 8" xfId="6214" xr:uid="{00000000-0005-0000-0000-0000E20B0000}"/>
    <cellStyle name="20% - 강조색5 3 9" xfId="6215" xr:uid="{00000000-0005-0000-0000-0000E30B0000}"/>
    <cellStyle name="20% - 강조색5 30" xfId="405" xr:uid="{00000000-0005-0000-0000-0000E40B0000}"/>
    <cellStyle name="20% - 강조색5 30 10" xfId="6216" xr:uid="{00000000-0005-0000-0000-0000E50B0000}"/>
    <cellStyle name="20% - 강조색5 30 11" xfId="6217" xr:uid="{00000000-0005-0000-0000-0000E60B0000}"/>
    <cellStyle name="20% - 강조색5 30 12" xfId="6218" xr:uid="{00000000-0005-0000-0000-0000E70B0000}"/>
    <cellStyle name="20% - 강조색5 30 13" xfId="6219" xr:uid="{00000000-0005-0000-0000-0000E80B0000}"/>
    <cellStyle name="20% - 강조색5 30 14" xfId="6220" xr:uid="{00000000-0005-0000-0000-0000E90B0000}"/>
    <cellStyle name="20% - 강조색5 30 2" xfId="406" xr:uid="{00000000-0005-0000-0000-0000EA0B0000}"/>
    <cellStyle name="20% - 강조색5 30 3" xfId="6221" xr:uid="{00000000-0005-0000-0000-0000EB0B0000}"/>
    <cellStyle name="20% - 강조색5 30 4" xfId="6222" xr:uid="{00000000-0005-0000-0000-0000EC0B0000}"/>
    <cellStyle name="20% - 강조색5 30 5" xfId="6223" xr:uid="{00000000-0005-0000-0000-0000ED0B0000}"/>
    <cellStyle name="20% - 강조색5 30 6" xfId="6224" xr:uid="{00000000-0005-0000-0000-0000EE0B0000}"/>
    <cellStyle name="20% - 강조색5 30 7" xfId="6225" xr:uid="{00000000-0005-0000-0000-0000EF0B0000}"/>
    <cellStyle name="20% - 강조색5 30 8" xfId="6226" xr:uid="{00000000-0005-0000-0000-0000F00B0000}"/>
    <cellStyle name="20% - 강조색5 30 9" xfId="6227" xr:uid="{00000000-0005-0000-0000-0000F10B0000}"/>
    <cellStyle name="20% - 강조색5 31" xfId="407" xr:uid="{00000000-0005-0000-0000-0000F20B0000}"/>
    <cellStyle name="20% - 강조색5 31 10" xfId="6228" xr:uid="{00000000-0005-0000-0000-0000F30B0000}"/>
    <cellStyle name="20% - 강조색5 31 11" xfId="6229" xr:uid="{00000000-0005-0000-0000-0000F40B0000}"/>
    <cellStyle name="20% - 강조색5 31 12" xfId="6230" xr:uid="{00000000-0005-0000-0000-0000F50B0000}"/>
    <cellStyle name="20% - 강조색5 31 13" xfId="6231" xr:uid="{00000000-0005-0000-0000-0000F60B0000}"/>
    <cellStyle name="20% - 강조색5 31 14" xfId="6232" xr:uid="{00000000-0005-0000-0000-0000F70B0000}"/>
    <cellStyle name="20% - 강조색5 31 2" xfId="408" xr:uid="{00000000-0005-0000-0000-0000F80B0000}"/>
    <cellStyle name="20% - 강조색5 31 3" xfId="6233" xr:uid="{00000000-0005-0000-0000-0000F90B0000}"/>
    <cellStyle name="20% - 강조색5 31 4" xfId="6234" xr:uid="{00000000-0005-0000-0000-0000FA0B0000}"/>
    <cellStyle name="20% - 강조색5 31 5" xfId="6235" xr:uid="{00000000-0005-0000-0000-0000FB0B0000}"/>
    <cellStyle name="20% - 강조색5 31 6" xfId="6236" xr:uid="{00000000-0005-0000-0000-0000FC0B0000}"/>
    <cellStyle name="20% - 강조색5 31 7" xfId="6237" xr:uid="{00000000-0005-0000-0000-0000FD0B0000}"/>
    <cellStyle name="20% - 강조색5 31 8" xfId="6238" xr:uid="{00000000-0005-0000-0000-0000FE0B0000}"/>
    <cellStyle name="20% - 강조색5 31 9" xfId="6239" xr:uid="{00000000-0005-0000-0000-0000FF0B0000}"/>
    <cellStyle name="20% - 강조색5 32" xfId="409" xr:uid="{00000000-0005-0000-0000-0000000C0000}"/>
    <cellStyle name="20% - 강조색5 32 10" xfId="6240" xr:uid="{00000000-0005-0000-0000-0000010C0000}"/>
    <cellStyle name="20% - 강조색5 32 11" xfId="6241" xr:uid="{00000000-0005-0000-0000-0000020C0000}"/>
    <cellStyle name="20% - 강조색5 32 12" xfId="6242" xr:uid="{00000000-0005-0000-0000-0000030C0000}"/>
    <cellStyle name="20% - 강조색5 32 13" xfId="6243" xr:uid="{00000000-0005-0000-0000-0000040C0000}"/>
    <cellStyle name="20% - 강조색5 32 14" xfId="6244" xr:uid="{00000000-0005-0000-0000-0000050C0000}"/>
    <cellStyle name="20% - 강조색5 32 2" xfId="410" xr:uid="{00000000-0005-0000-0000-0000060C0000}"/>
    <cellStyle name="20% - 강조색5 32 3" xfId="6245" xr:uid="{00000000-0005-0000-0000-0000070C0000}"/>
    <cellStyle name="20% - 강조색5 32 4" xfId="6246" xr:uid="{00000000-0005-0000-0000-0000080C0000}"/>
    <cellStyle name="20% - 강조색5 32 5" xfId="6247" xr:uid="{00000000-0005-0000-0000-0000090C0000}"/>
    <cellStyle name="20% - 강조색5 32 6" xfId="6248" xr:uid="{00000000-0005-0000-0000-00000A0C0000}"/>
    <cellStyle name="20% - 강조색5 32 7" xfId="6249" xr:uid="{00000000-0005-0000-0000-00000B0C0000}"/>
    <cellStyle name="20% - 강조색5 32 8" xfId="6250" xr:uid="{00000000-0005-0000-0000-00000C0C0000}"/>
    <cellStyle name="20% - 강조색5 32 9" xfId="6251" xr:uid="{00000000-0005-0000-0000-00000D0C0000}"/>
    <cellStyle name="20% - 강조색5 33" xfId="411" xr:uid="{00000000-0005-0000-0000-00000E0C0000}"/>
    <cellStyle name="20% - 강조색5 33 10" xfId="6252" xr:uid="{00000000-0005-0000-0000-00000F0C0000}"/>
    <cellStyle name="20% - 강조색5 33 11" xfId="6253" xr:uid="{00000000-0005-0000-0000-0000100C0000}"/>
    <cellStyle name="20% - 강조색5 33 12" xfId="6254" xr:uid="{00000000-0005-0000-0000-0000110C0000}"/>
    <cellStyle name="20% - 강조색5 33 13" xfId="6255" xr:uid="{00000000-0005-0000-0000-0000120C0000}"/>
    <cellStyle name="20% - 강조색5 33 14" xfId="6256" xr:uid="{00000000-0005-0000-0000-0000130C0000}"/>
    <cellStyle name="20% - 강조색5 33 2" xfId="412" xr:uid="{00000000-0005-0000-0000-0000140C0000}"/>
    <cellStyle name="20% - 강조색5 33 3" xfId="6257" xr:uid="{00000000-0005-0000-0000-0000150C0000}"/>
    <cellStyle name="20% - 강조색5 33 4" xfId="6258" xr:uid="{00000000-0005-0000-0000-0000160C0000}"/>
    <cellStyle name="20% - 강조색5 33 5" xfId="6259" xr:uid="{00000000-0005-0000-0000-0000170C0000}"/>
    <cellStyle name="20% - 강조색5 33 6" xfId="6260" xr:uid="{00000000-0005-0000-0000-0000180C0000}"/>
    <cellStyle name="20% - 강조색5 33 7" xfId="6261" xr:uid="{00000000-0005-0000-0000-0000190C0000}"/>
    <cellStyle name="20% - 강조색5 33 8" xfId="6262" xr:uid="{00000000-0005-0000-0000-00001A0C0000}"/>
    <cellStyle name="20% - 강조색5 33 9" xfId="6263" xr:uid="{00000000-0005-0000-0000-00001B0C0000}"/>
    <cellStyle name="20% - 강조색5 34" xfId="413" xr:uid="{00000000-0005-0000-0000-00001C0C0000}"/>
    <cellStyle name="20% - 강조색5 34 10" xfId="6264" xr:uid="{00000000-0005-0000-0000-00001D0C0000}"/>
    <cellStyle name="20% - 강조색5 34 11" xfId="6265" xr:uid="{00000000-0005-0000-0000-00001E0C0000}"/>
    <cellStyle name="20% - 강조색5 34 12" xfId="6266" xr:uid="{00000000-0005-0000-0000-00001F0C0000}"/>
    <cellStyle name="20% - 강조색5 34 13" xfId="6267" xr:uid="{00000000-0005-0000-0000-0000200C0000}"/>
    <cellStyle name="20% - 강조색5 34 14" xfId="6268" xr:uid="{00000000-0005-0000-0000-0000210C0000}"/>
    <cellStyle name="20% - 강조색5 34 2" xfId="414" xr:uid="{00000000-0005-0000-0000-0000220C0000}"/>
    <cellStyle name="20% - 강조색5 34 3" xfId="6269" xr:uid="{00000000-0005-0000-0000-0000230C0000}"/>
    <cellStyle name="20% - 강조색5 34 4" xfId="6270" xr:uid="{00000000-0005-0000-0000-0000240C0000}"/>
    <cellStyle name="20% - 강조색5 34 5" xfId="6271" xr:uid="{00000000-0005-0000-0000-0000250C0000}"/>
    <cellStyle name="20% - 강조색5 34 6" xfId="6272" xr:uid="{00000000-0005-0000-0000-0000260C0000}"/>
    <cellStyle name="20% - 강조색5 34 7" xfId="6273" xr:uid="{00000000-0005-0000-0000-0000270C0000}"/>
    <cellStyle name="20% - 강조색5 34 8" xfId="6274" xr:uid="{00000000-0005-0000-0000-0000280C0000}"/>
    <cellStyle name="20% - 강조색5 34 9" xfId="6275" xr:uid="{00000000-0005-0000-0000-0000290C0000}"/>
    <cellStyle name="20% - 강조색5 35" xfId="415" xr:uid="{00000000-0005-0000-0000-00002A0C0000}"/>
    <cellStyle name="20% - 강조색5 35 10" xfId="6276" xr:uid="{00000000-0005-0000-0000-00002B0C0000}"/>
    <cellStyle name="20% - 강조색5 35 11" xfId="6277" xr:uid="{00000000-0005-0000-0000-00002C0C0000}"/>
    <cellStyle name="20% - 강조색5 35 12" xfId="6278" xr:uid="{00000000-0005-0000-0000-00002D0C0000}"/>
    <cellStyle name="20% - 강조색5 35 13" xfId="6279" xr:uid="{00000000-0005-0000-0000-00002E0C0000}"/>
    <cellStyle name="20% - 강조색5 35 14" xfId="6280" xr:uid="{00000000-0005-0000-0000-00002F0C0000}"/>
    <cellStyle name="20% - 강조색5 35 2" xfId="416" xr:uid="{00000000-0005-0000-0000-0000300C0000}"/>
    <cellStyle name="20% - 강조색5 35 3" xfId="6281" xr:uid="{00000000-0005-0000-0000-0000310C0000}"/>
    <cellStyle name="20% - 강조색5 35 4" xfId="6282" xr:uid="{00000000-0005-0000-0000-0000320C0000}"/>
    <cellStyle name="20% - 강조색5 35 5" xfId="6283" xr:uid="{00000000-0005-0000-0000-0000330C0000}"/>
    <cellStyle name="20% - 강조색5 35 6" xfId="6284" xr:uid="{00000000-0005-0000-0000-0000340C0000}"/>
    <cellStyle name="20% - 강조색5 35 7" xfId="6285" xr:uid="{00000000-0005-0000-0000-0000350C0000}"/>
    <cellStyle name="20% - 강조색5 35 8" xfId="6286" xr:uid="{00000000-0005-0000-0000-0000360C0000}"/>
    <cellStyle name="20% - 강조색5 35 9" xfId="6287" xr:uid="{00000000-0005-0000-0000-0000370C0000}"/>
    <cellStyle name="20% - 강조색5 36" xfId="417" xr:uid="{00000000-0005-0000-0000-0000380C0000}"/>
    <cellStyle name="20% - 강조색5 36 10" xfId="6288" xr:uid="{00000000-0005-0000-0000-0000390C0000}"/>
    <cellStyle name="20% - 강조색5 36 11" xfId="6289" xr:uid="{00000000-0005-0000-0000-00003A0C0000}"/>
    <cellStyle name="20% - 강조색5 36 12" xfId="6290" xr:uid="{00000000-0005-0000-0000-00003B0C0000}"/>
    <cellStyle name="20% - 강조색5 36 13" xfId="6291" xr:uid="{00000000-0005-0000-0000-00003C0C0000}"/>
    <cellStyle name="20% - 강조색5 36 14" xfId="6292" xr:uid="{00000000-0005-0000-0000-00003D0C0000}"/>
    <cellStyle name="20% - 강조색5 36 2" xfId="418" xr:uid="{00000000-0005-0000-0000-00003E0C0000}"/>
    <cellStyle name="20% - 강조색5 36 3" xfId="6293" xr:uid="{00000000-0005-0000-0000-00003F0C0000}"/>
    <cellStyle name="20% - 강조색5 36 4" xfId="6294" xr:uid="{00000000-0005-0000-0000-0000400C0000}"/>
    <cellStyle name="20% - 강조색5 36 5" xfId="6295" xr:uid="{00000000-0005-0000-0000-0000410C0000}"/>
    <cellStyle name="20% - 강조색5 36 6" xfId="6296" xr:uid="{00000000-0005-0000-0000-0000420C0000}"/>
    <cellStyle name="20% - 강조색5 36 7" xfId="6297" xr:uid="{00000000-0005-0000-0000-0000430C0000}"/>
    <cellStyle name="20% - 강조색5 36 8" xfId="6298" xr:uid="{00000000-0005-0000-0000-0000440C0000}"/>
    <cellStyle name="20% - 강조색5 36 9" xfId="6299" xr:uid="{00000000-0005-0000-0000-0000450C0000}"/>
    <cellStyle name="20% - 강조색5 37" xfId="419" xr:uid="{00000000-0005-0000-0000-0000460C0000}"/>
    <cellStyle name="20% - 강조색5 37 10" xfId="6300" xr:uid="{00000000-0005-0000-0000-0000470C0000}"/>
    <cellStyle name="20% - 강조색5 37 11" xfId="6301" xr:uid="{00000000-0005-0000-0000-0000480C0000}"/>
    <cellStyle name="20% - 강조색5 37 12" xfId="6302" xr:uid="{00000000-0005-0000-0000-0000490C0000}"/>
    <cellStyle name="20% - 강조색5 37 13" xfId="6303" xr:uid="{00000000-0005-0000-0000-00004A0C0000}"/>
    <cellStyle name="20% - 강조색5 37 14" xfId="6304" xr:uid="{00000000-0005-0000-0000-00004B0C0000}"/>
    <cellStyle name="20% - 강조색5 37 2" xfId="420" xr:uid="{00000000-0005-0000-0000-00004C0C0000}"/>
    <cellStyle name="20% - 강조색5 37 3" xfId="6305" xr:uid="{00000000-0005-0000-0000-00004D0C0000}"/>
    <cellStyle name="20% - 강조색5 37 4" xfId="6306" xr:uid="{00000000-0005-0000-0000-00004E0C0000}"/>
    <cellStyle name="20% - 강조색5 37 5" xfId="6307" xr:uid="{00000000-0005-0000-0000-00004F0C0000}"/>
    <cellStyle name="20% - 강조색5 37 6" xfId="6308" xr:uid="{00000000-0005-0000-0000-0000500C0000}"/>
    <cellStyle name="20% - 강조색5 37 7" xfId="6309" xr:uid="{00000000-0005-0000-0000-0000510C0000}"/>
    <cellStyle name="20% - 강조색5 37 8" xfId="6310" xr:uid="{00000000-0005-0000-0000-0000520C0000}"/>
    <cellStyle name="20% - 강조색5 37 9" xfId="6311" xr:uid="{00000000-0005-0000-0000-0000530C0000}"/>
    <cellStyle name="20% - 강조색5 38" xfId="421" xr:uid="{00000000-0005-0000-0000-0000540C0000}"/>
    <cellStyle name="20% - 강조색5 38 10" xfId="6312" xr:uid="{00000000-0005-0000-0000-0000550C0000}"/>
    <cellStyle name="20% - 강조색5 38 11" xfId="6313" xr:uid="{00000000-0005-0000-0000-0000560C0000}"/>
    <cellStyle name="20% - 강조색5 38 12" xfId="6314" xr:uid="{00000000-0005-0000-0000-0000570C0000}"/>
    <cellStyle name="20% - 강조색5 38 13" xfId="6315" xr:uid="{00000000-0005-0000-0000-0000580C0000}"/>
    <cellStyle name="20% - 강조색5 38 14" xfId="6316" xr:uid="{00000000-0005-0000-0000-0000590C0000}"/>
    <cellStyle name="20% - 강조색5 38 2" xfId="422" xr:uid="{00000000-0005-0000-0000-00005A0C0000}"/>
    <cellStyle name="20% - 강조색5 38 3" xfId="6317" xr:uid="{00000000-0005-0000-0000-00005B0C0000}"/>
    <cellStyle name="20% - 강조색5 38 4" xfId="6318" xr:uid="{00000000-0005-0000-0000-00005C0C0000}"/>
    <cellStyle name="20% - 강조색5 38 5" xfId="6319" xr:uid="{00000000-0005-0000-0000-00005D0C0000}"/>
    <cellStyle name="20% - 강조색5 38 6" xfId="6320" xr:uid="{00000000-0005-0000-0000-00005E0C0000}"/>
    <cellStyle name="20% - 강조색5 38 7" xfId="6321" xr:uid="{00000000-0005-0000-0000-00005F0C0000}"/>
    <cellStyle name="20% - 강조색5 38 8" xfId="6322" xr:uid="{00000000-0005-0000-0000-0000600C0000}"/>
    <cellStyle name="20% - 강조색5 38 9" xfId="6323" xr:uid="{00000000-0005-0000-0000-0000610C0000}"/>
    <cellStyle name="20% - 강조색5 39" xfId="423" xr:uid="{00000000-0005-0000-0000-0000620C0000}"/>
    <cellStyle name="20% - 강조색5 39 10" xfId="6324" xr:uid="{00000000-0005-0000-0000-0000630C0000}"/>
    <cellStyle name="20% - 강조색5 39 11" xfId="6325" xr:uid="{00000000-0005-0000-0000-0000640C0000}"/>
    <cellStyle name="20% - 강조색5 39 12" xfId="6326" xr:uid="{00000000-0005-0000-0000-0000650C0000}"/>
    <cellStyle name="20% - 강조색5 39 13" xfId="6327" xr:uid="{00000000-0005-0000-0000-0000660C0000}"/>
    <cellStyle name="20% - 강조색5 39 14" xfId="6328" xr:uid="{00000000-0005-0000-0000-0000670C0000}"/>
    <cellStyle name="20% - 강조색5 39 2" xfId="424" xr:uid="{00000000-0005-0000-0000-0000680C0000}"/>
    <cellStyle name="20% - 강조색5 39 3" xfId="6329" xr:uid="{00000000-0005-0000-0000-0000690C0000}"/>
    <cellStyle name="20% - 강조색5 39 4" xfId="6330" xr:uid="{00000000-0005-0000-0000-00006A0C0000}"/>
    <cellStyle name="20% - 강조색5 39 5" xfId="6331" xr:uid="{00000000-0005-0000-0000-00006B0C0000}"/>
    <cellStyle name="20% - 강조색5 39 6" xfId="6332" xr:uid="{00000000-0005-0000-0000-00006C0C0000}"/>
    <cellStyle name="20% - 강조색5 39 7" xfId="6333" xr:uid="{00000000-0005-0000-0000-00006D0C0000}"/>
    <cellStyle name="20% - 강조색5 39 8" xfId="6334" xr:uid="{00000000-0005-0000-0000-00006E0C0000}"/>
    <cellStyle name="20% - 강조색5 39 9" xfId="6335" xr:uid="{00000000-0005-0000-0000-00006F0C0000}"/>
    <cellStyle name="20% - 강조색5 4" xfId="425" xr:uid="{00000000-0005-0000-0000-0000700C0000}"/>
    <cellStyle name="20% - 강조색5 4 10" xfId="6336" xr:uid="{00000000-0005-0000-0000-0000710C0000}"/>
    <cellStyle name="20% - 강조색5 4 11" xfId="6337" xr:uid="{00000000-0005-0000-0000-0000720C0000}"/>
    <cellStyle name="20% - 강조색5 4 12" xfId="6338" xr:uid="{00000000-0005-0000-0000-0000730C0000}"/>
    <cellStyle name="20% - 강조색5 4 13" xfId="6339" xr:uid="{00000000-0005-0000-0000-0000740C0000}"/>
    <cellStyle name="20% - 강조색5 4 14" xfId="6340" xr:uid="{00000000-0005-0000-0000-0000750C0000}"/>
    <cellStyle name="20% - 강조색5 4 15" xfId="27855" xr:uid="{00000000-0005-0000-0000-0000760C0000}"/>
    <cellStyle name="20% - 강조색5 4 2" xfId="426" xr:uid="{00000000-0005-0000-0000-0000770C0000}"/>
    <cellStyle name="20% - 강조색5 4 3" xfId="6341" xr:uid="{00000000-0005-0000-0000-0000780C0000}"/>
    <cellStyle name="20% - 강조색5 4 4" xfId="6342" xr:uid="{00000000-0005-0000-0000-0000790C0000}"/>
    <cellStyle name="20% - 강조색5 4 5" xfId="6343" xr:uid="{00000000-0005-0000-0000-00007A0C0000}"/>
    <cellStyle name="20% - 강조색5 4 6" xfId="6344" xr:uid="{00000000-0005-0000-0000-00007B0C0000}"/>
    <cellStyle name="20% - 강조색5 4 7" xfId="6345" xr:uid="{00000000-0005-0000-0000-00007C0C0000}"/>
    <cellStyle name="20% - 강조색5 4 8" xfId="6346" xr:uid="{00000000-0005-0000-0000-00007D0C0000}"/>
    <cellStyle name="20% - 강조색5 4 9" xfId="6347" xr:uid="{00000000-0005-0000-0000-00007E0C0000}"/>
    <cellStyle name="20% - 강조색5 40" xfId="427" xr:uid="{00000000-0005-0000-0000-00007F0C0000}"/>
    <cellStyle name="20% - 강조색5 40 10" xfId="6348" xr:uid="{00000000-0005-0000-0000-0000800C0000}"/>
    <cellStyle name="20% - 강조색5 40 11" xfId="6349" xr:uid="{00000000-0005-0000-0000-0000810C0000}"/>
    <cellStyle name="20% - 강조색5 40 12" xfId="6350" xr:uid="{00000000-0005-0000-0000-0000820C0000}"/>
    <cellStyle name="20% - 강조색5 40 13" xfId="6351" xr:uid="{00000000-0005-0000-0000-0000830C0000}"/>
    <cellStyle name="20% - 강조색5 40 14" xfId="6352" xr:uid="{00000000-0005-0000-0000-0000840C0000}"/>
    <cellStyle name="20% - 강조색5 40 2" xfId="428" xr:uid="{00000000-0005-0000-0000-0000850C0000}"/>
    <cellStyle name="20% - 강조색5 40 3" xfId="6353" xr:uid="{00000000-0005-0000-0000-0000860C0000}"/>
    <cellStyle name="20% - 강조색5 40 4" xfId="6354" xr:uid="{00000000-0005-0000-0000-0000870C0000}"/>
    <cellStyle name="20% - 강조색5 40 5" xfId="6355" xr:uid="{00000000-0005-0000-0000-0000880C0000}"/>
    <cellStyle name="20% - 강조색5 40 6" xfId="6356" xr:uid="{00000000-0005-0000-0000-0000890C0000}"/>
    <cellStyle name="20% - 강조색5 40 7" xfId="6357" xr:uid="{00000000-0005-0000-0000-00008A0C0000}"/>
    <cellStyle name="20% - 강조색5 40 8" xfId="6358" xr:uid="{00000000-0005-0000-0000-00008B0C0000}"/>
    <cellStyle name="20% - 강조색5 40 9" xfId="6359" xr:uid="{00000000-0005-0000-0000-00008C0C0000}"/>
    <cellStyle name="20% - 강조색5 41" xfId="429" xr:uid="{00000000-0005-0000-0000-00008D0C0000}"/>
    <cellStyle name="20% - 강조색5 41 10" xfId="6360" xr:uid="{00000000-0005-0000-0000-00008E0C0000}"/>
    <cellStyle name="20% - 강조색5 41 11" xfId="6361" xr:uid="{00000000-0005-0000-0000-00008F0C0000}"/>
    <cellStyle name="20% - 강조색5 41 12" xfId="6362" xr:uid="{00000000-0005-0000-0000-0000900C0000}"/>
    <cellStyle name="20% - 강조색5 41 13" xfId="6363" xr:uid="{00000000-0005-0000-0000-0000910C0000}"/>
    <cellStyle name="20% - 강조색5 41 14" xfId="6364" xr:uid="{00000000-0005-0000-0000-0000920C0000}"/>
    <cellStyle name="20% - 강조색5 41 2" xfId="430" xr:uid="{00000000-0005-0000-0000-0000930C0000}"/>
    <cellStyle name="20% - 강조색5 41 3" xfId="6365" xr:uid="{00000000-0005-0000-0000-0000940C0000}"/>
    <cellStyle name="20% - 강조색5 41 4" xfId="6366" xr:uid="{00000000-0005-0000-0000-0000950C0000}"/>
    <cellStyle name="20% - 강조색5 41 5" xfId="6367" xr:uid="{00000000-0005-0000-0000-0000960C0000}"/>
    <cellStyle name="20% - 강조색5 41 6" xfId="6368" xr:uid="{00000000-0005-0000-0000-0000970C0000}"/>
    <cellStyle name="20% - 강조색5 41 7" xfId="6369" xr:uid="{00000000-0005-0000-0000-0000980C0000}"/>
    <cellStyle name="20% - 강조색5 41 8" xfId="6370" xr:uid="{00000000-0005-0000-0000-0000990C0000}"/>
    <cellStyle name="20% - 강조색5 41 9" xfId="6371" xr:uid="{00000000-0005-0000-0000-00009A0C0000}"/>
    <cellStyle name="20% - 강조색5 42" xfId="431" xr:uid="{00000000-0005-0000-0000-00009B0C0000}"/>
    <cellStyle name="20% - 강조색5 42 10" xfId="6372" xr:uid="{00000000-0005-0000-0000-00009C0C0000}"/>
    <cellStyle name="20% - 강조색5 42 11" xfId="6373" xr:uid="{00000000-0005-0000-0000-00009D0C0000}"/>
    <cellStyle name="20% - 강조색5 42 12" xfId="6374" xr:uid="{00000000-0005-0000-0000-00009E0C0000}"/>
    <cellStyle name="20% - 강조색5 42 13" xfId="6375" xr:uid="{00000000-0005-0000-0000-00009F0C0000}"/>
    <cellStyle name="20% - 강조색5 42 14" xfId="6376" xr:uid="{00000000-0005-0000-0000-0000A00C0000}"/>
    <cellStyle name="20% - 강조색5 42 2" xfId="432" xr:uid="{00000000-0005-0000-0000-0000A10C0000}"/>
    <cellStyle name="20% - 강조색5 42 3" xfId="6377" xr:uid="{00000000-0005-0000-0000-0000A20C0000}"/>
    <cellStyle name="20% - 강조색5 42 4" xfId="6378" xr:uid="{00000000-0005-0000-0000-0000A30C0000}"/>
    <cellStyle name="20% - 강조색5 42 5" xfId="6379" xr:uid="{00000000-0005-0000-0000-0000A40C0000}"/>
    <cellStyle name="20% - 강조색5 42 6" xfId="6380" xr:uid="{00000000-0005-0000-0000-0000A50C0000}"/>
    <cellStyle name="20% - 강조색5 42 7" xfId="6381" xr:uid="{00000000-0005-0000-0000-0000A60C0000}"/>
    <cellStyle name="20% - 강조색5 42 8" xfId="6382" xr:uid="{00000000-0005-0000-0000-0000A70C0000}"/>
    <cellStyle name="20% - 강조색5 42 9" xfId="6383" xr:uid="{00000000-0005-0000-0000-0000A80C0000}"/>
    <cellStyle name="20% - 강조색5 43" xfId="433" xr:uid="{00000000-0005-0000-0000-0000A90C0000}"/>
    <cellStyle name="20% - 강조색5 43 10" xfId="6384" xr:uid="{00000000-0005-0000-0000-0000AA0C0000}"/>
    <cellStyle name="20% - 강조색5 43 11" xfId="6385" xr:uid="{00000000-0005-0000-0000-0000AB0C0000}"/>
    <cellStyle name="20% - 강조색5 43 12" xfId="6386" xr:uid="{00000000-0005-0000-0000-0000AC0C0000}"/>
    <cellStyle name="20% - 강조색5 43 13" xfId="6387" xr:uid="{00000000-0005-0000-0000-0000AD0C0000}"/>
    <cellStyle name="20% - 강조색5 43 14" xfId="6388" xr:uid="{00000000-0005-0000-0000-0000AE0C0000}"/>
    <cellStyle name="20% - 강조색5 43 2" xfId="434" xr:uid="{00000000-0005-0000-0000-0000AF0C0000}"/>
    <cellStyle name="20% - 강조색5 43 3" xfId="6389" xr:uid="{00000000-0005-0000-0000-0000B00C0000}"/>
    <cellStyle name="20% - 강조색5 43 4" xfId="6390" xr:uid="{00000000-0005-0000-0000-0000B10C0000}"/>
    <cellStyle name="20% - 강조색5 43 5" xfId="6391" xr:uid="{00000000-0005-0000-0000-0000B20C0000}"/>
    <cellStyle name="20% - 강조색5 43 6" xfId="6392" xr:uid="{00000000-0005-0000-0000-0000B30C0000}"/>
    <cellStyle name="20% - 강조색5 43 7" xfId="6393" xr:uid="{00000000-0005-0000-0000-0000B40C0000}"/>
    <cellStyle name="20% - 강조색5 43 8" xfId="6394" xr:uid="{00000000-0005-0000-0000-0000B50C0000}"/>
    <cellStyle name="20% - 강조색5 43 9" xfId="6395" xr:uid="{00000000-0005-0000-0000-0000B60C0000}"/>
    <cellStyle name="20% - 강조색5 44" xfId="435" xr:uid="{00000000-0005-0000-0000-0000B70C0000}"/>
    <cellStyle name="20% - 강조색5 45" xfId="436" xr:uid="{00000000-0005-0000-0000-0000B80C0000}"/>
    <cellStyle name="20% - 강조색5 46" xfId="360" xr:uid="{00000000-0005-0000-0000-0000B90C0000}"/>
    <cellStyle name="20% - 강조색5 5" xfId="437" xr:uid="{00000000-0005-0000-0000-0000BA0C0000}"/>
    <cellStyle name="20% - 강조색5 5 10" xfId="6396" xr:uid="{00000000-0005-0000-0000-0000BB0C0000}"/>
    <cellStyle name="20% - 강조색5 5 11" xfId="6397" xr:uid="{00000000-0005-0000-0000-0000BC0C0000}"/>
    <cellStyle name="20% - 강조색5 5 12" xfId="6398" xr:uid="{00000000-0005-0000-0000-0000BD0C0000}"/>
    <cellStyle name="20% - 강조색5 5 13" xfId="6399" xr:uid="{00000000-0005-0000-0000-0000BE0C0000}"/>
    <cellStyle name="20% - 강조색5 5 14" xfId="6400" xr:uid="{00000000-0005-0000-0000-0000BF0C0000}"/>
    <cellStyle name="20% - 강조색5 5 2" xfId="438" xr:uid="{00000000-0005-0000-0000-0000C00C0000}"/>
    <cellStyle name="20% - 강조색5 5 3" xfId="6401" xr:uid="{00000000-0005-0000-0000-0000C10C0000}"/>
    <cellStyle name="20% - 강조색5 5 4" xfId="6402" xr:uid="{00000000-0005-0000-0000-0000C20C0000}"/>
    <cellStyle name="20% - 강조색5 5 5" xfId="6403" xr:uid="{00000000-0005-0000-0000-0000C30C0000}"/>
    <cellStyle name="20% - 강조색5 5 6" xfId="6404" xr:uid="{00000000-0005-0000-0000-0000C40C0000}"/>
    <cellStyle name="20% - 강조색5 5 7" xfId="6405" xr:uid="{00000000-0005-0000-0000-0000C50C0000}"/>
    <cellStyle name="20% - 강조색5 5 8" xfId="6406" xr:uid="{00000000-0005-0000-0000-0000C60C0000}"/>
    <cellStyle name="20% - 강조색5 5 9" xfId="6407" xr:uid="{00000000-0005-0000-0000-0000C70C0000}"/>
    <cellStyle name="20% - 강조색5 6" xfId="439" xr:uid="{00000000-0005-0000-0000-0000C80C0000}"/>
    <cellStyle name="20% - 강조색5 6 10" xfId="6408" xr:uid="{00000000-0005-0000-0000-0000C90C0000}"/>
    <cellStyle name="20% - 강조색5 6 11" xfId="6409" xr:uid="{00000000-0005-0000-0000-0000CA0C0000}"/>
    <cellStyle name="20% - 강조색5 6 12" xfId="6410" xr:uid="{00000000-0005-0000-0000-0000CB0C0000}"/>
    <cellStyle name="20% - 강조색5 6 13" xfId="6411" xr:uid="{00000000-0005-0000-0000-0000CC0C0000}"/>
    <cellStyle name="20% - 강조색5 6 14" xfId="6412" xr:uid="{00000000-0005-0000-0000-0000CD0C0000}"/>
    <cellStyle name="20% - 강조색5 6 2" xfId="440" xr:uid="{00000000-0005-0000-0000-0000CE0C0000}"/>
    <cellStyle name="20% - 강조색5 6 3" xfId="6413" xr:uid="{00000000-0005-0000-0000-0000CF0C0000}"/>
    <cellStyle name="20% - 강조색5 6 4" xfId="6414" xr:uid="{00000000-0005-0000-0000-0000D00C0000}"/>
    <cellStyle name="20% - 강조색5 6 5" xfId="6415" xr:uid="{00000000-0005-0000-0000-0000D10C0000}"/>
    <cellStyle name="20% - 강조색5 6 6" xfId="6416" xr:uid="{00000000-0005-0000-0000-0000D20C0000}"/>
    <cellStyle name="20% - 강조색5 6 7" xfId="6417" xr:uid="{00000000-0005-0000-0000-0000D30C0000}"/>
    <cellStyle name="20% - 강조색5 6 8" xfId="6418" xr:uid="{00000000-0005-0000-0000-0000D40C0000}"/>
    <cellStyle name="20% - 강조색5 6 9" xfId="6419" xr:uid="{00000000-0005-0000-0000-0000D50C0000}"/>
    <cellStyle name="20% - 강조색5 7" xfId="441" xr:uid="{00000000-0005-0000-0000-0000D60C0000}"/>
    <cellStyle name="20% - 강조색5 7 10" xfId="6420" xr:uid="{00000000-0005-0000-0000-0000D70C0000}"/>
    <cellStyle name="20% - 강조색5 7 11" xfId="6421" xr:uid="{00000000-0005-0000-0000-0000D80C0000}"/>
    <cellStyle name="20% - 강조색5 7 12" xfId="6422" xr:uid="{00000000-0005-0000-0000-0000D90C0000}"/>
    <cellStyle name="20% - 강조색5 7 13" xfId="6423" xr:uid="{00000000-0005-0000-0000-0000DA0C0000}"/>
    <cellStyle name="20% - 강조색5 7 14" xfId="6424" xr:uid="{00000000-0005-0000-0000-0000DB0C0000}"/>
    <cellStyle name="20% - 강조색5 7 2" xfId="442" xr:uid="{00000000-0005-0000-0000-0000DC0C0000}"/>
    <cellStyle name="20% - 강조색5 7 3" xfId="6425" xr:uid="{00000000-0005-0000-0000-0000DD0C0000}"/>
    <cellStyle name="20% - 강조색5 7 4" xfId="6426" xr:uid="{00000000-0005-0000-0000-0000DE0C0000}"/>
    <cellStyle name="20% - 강조색5 7 5" xfId="6427" xr:uid="{00000000-0005-0000-0000-0000DF0C0000}"/>
    <cellStyle name="20% - 강조색5 7 6" xfId="6428" xr:uid="{00000000-0005-0000-0000-0000E00C0000}"/>
    <cellStyle name="20% - 강조색5 7 7" xfId="6429" xr:uid="{00000000-0005-0000-0000-0000E10C0000}"/>
    <cellStyle name="20% - 강조색5 7 8" xfId="6430" xr:uid="{00000000-0005-0000-0000-0000E20C0000}"/>
    <cellStyle name="20% - 강조색5 7 9" xfId="6431" xr:uid="{00000000-0005-0000-0000-0000E30C0000}"/>
    <cellStyle name="20% - 강조색5 8" xfId="443" xr:uid="{00000000-0005-0000-0000-0000E40C0000}"/>
    <cellStyle name="20% - 강조색5 8 10" xfId="6432" xr:uid="{00000000-0005-0000-0000-0000E50C0000}"/>
    <cellStyle name="20% - 강조색5 8 11" xfId="6433" xr:uid="{00000000-0005-0000-0000-0000E60C0000}"/>
    <cellStyle name="20% - 강조색5 8 12" xfId="6434" xr:uid="{00000000-0005-0000-0000-0000E70C0000}"/>
    <cellStyle name="20% - 강조색5 8 13" xfId="6435" xr:uid="{00000000-0005-0000-0000-0000E80C0000}"/>
    <cellStyle name="20% - 강조색5 8 14" xfId="6436" xr:uid="{00000000-0005-0000-0000-0000E90C0000}"/>
    <cellStyle name="20% - 강조색5 8 2" xfId="444" xr:uid="{00000000-0005-0000-0000-0000EA0C0000}"/>
    <cellStyle name="20% - 강조색5 8 3" xfId="6437" xr:uid="{00000000-0005-0000-0000-0000EB0C0000}"/>
    <cellStyle name="20% - 강조색5 8 4" xfId="6438" xr:uid="{00000000-0005-0000-0000-0000EC0C0000}"/>
    <cellStyle name="20% - 강조색5 8 5" xfId="6439" xr:uid="{00000000-0005-0000-0000-0000ED0C0000}"/>
    <cellStyle name="20% - 강조색5 8 6" xfId="6440" xr:uid="{00000000-0005-0000-0000-0000EE0C0000}"/>
    <cellStyle name="20% - 강조색5 8 7" xfId="6441" xr:uid="{00000000-0005-0000-0000-0000EF0C0000}"/>
    <cellStyle name="20% - 강조색5 8 8" xfId="6442" xr:uid="{00000000-0005-0000-0000-0000F00C0000}"/>
    <cellStyle name="20% - 강조색5 8 9" xfId="6443" xr:uid="{00000000-0005-0000-0000-0000F10C0000}"/>
    <cellStyle name="20% - 강조색5 9" xfId="445" xr:uid="{00000000-0005-0000-0000-0000F20C0000}"/>
    <cellStyle name="20% - 강조색5 9 10" xfId="6444" xr:uid="{00000000-0005-0000-0000-0000F30C0000}"/>
    <cellStyle name="20% - 강조색5 9 11" xfId="6445" xr:uid="{00000000-0005-0000-0000-0000F40C0000}"/>
    <cellStyle name="20% - 강조색5 9 12" xfId="6446" xr:uid="{00000000-0005-0000-0000-0000F50C0000}"/>
    <cellStyle name="20% - 강조색5 9 13" xfId="6447" xr:uid="{00000000-0005-0000-0000-0000F60C0000}"/>
    <cellStyle name="20% - 강조색5 9 14" xfId="6448" xr:uid="{00000000-0005-0000-0000-0000F70C0000}"/>
    <cellStyle name="20% - 강조색5 9 2" xfId="446" xr:uid="{00000000-0005-0000-0000-0000F80C0000}"/>
    <cellStyle name="20% - 강조색5 9 3" xfId="6449" xr:uid="{00000000-0005-0000-0000-0000F90C0000}"/>
    <cellStyle name="20% - 강조색5 9 4" xfId="6450" xr:uid="{00000000-0005-0000-0000-0000FA0C0000}"/>
    <cellStyle name="20% - 강조색5 9 5" xfId="6451" xr:uid="{00000000-0005-0000-0000-0000FB0C0000}"/>
    <cellStyle name="20% - 강조색5 9 6" xfId="6452" xr:uid="{00000000-0005-0000-0000-0000FC0C0000}"/>
    <cellStyle name="20% - 강조색5 9 7" xfId="6453" xr:uid="{00000000-0005-0000-0000-0000FD0C0000}"/>
    <cellStyle name="20% - 강조색5 9 8" xfId="6454" xr:uid="{00000000-0005-0000-0000-0000FE0C0000}"/>
    <cellStyle name="20% - 강조색5 9 9" xfId="6455" xr:uid="{00000000-0005-0000-0000-0000FF0C0000}"/>
    <cellStyle name="20% - 강조색6 10" xfId="448" xr:uid="{00000000-0005-0000-0000-0000000D0000}"/>
    <cellStyle name="20% - 강조색6 10 10" xfId="6456" xr:uid="{00000000-0005-0000-0000-0000010D0000}"/>
    <cellStyle name="20% - 강조색6 10 11" xfId="6457" xr:uid="{00000000-0005-0000-0000-0000020D0000}"/>
    <cellStyle name="20% - 강조색6 10 12" xfId="6458" xr:uid="{00000000-0005-0000-0000-0000030D0000}"/>
    <cellStyle name="20% - 강조색6 10 13" xfId="6459" xr:uid="{00000000-0005-0000-0000-0000040D0000}"/>
    <cellStyle name="20% - 강조색6 10 14" xfId="6460" xr:uid="{00000000-0005-0000-0000-0000050D0000}"/>
    <cellStyle name="20% - 강조색6 10 2" xfId="449" xr:uid="{00000000-0005-0000-0000-0000060D0000}"/>
    <cellStyle name="20% - 강조색6 10 3" xfId="6461" xr:uid="{00000000-0005-0000-0000-0000070D0000}"/>
    <cellStyle name="20% - 강조색6 10 4" xfId="6462" xr:uid="{00000000-0005-0000-0000-0000080D0000}"/>
    <cellStyle name="20% - 강조색6 10 5" xfId="6463" xr:uid="{00000000-0005-0000-0000-0000090D0000}"/>
    <cellStyle name="20% - 강조색6 10 6" xfId="6464" xr:uid="{00000000-0005-0000-0000-00000A0D0000}"/>
    <cellStyle name="20% - 강조색6 10 7" xfId="6465" xr:uid="{00000000-0005-0000-0000-00000B0D0000}"/>
    <cellStyle name="20% - 강조색6 10 8" xfId="6466" xr:uid="{00000000-0005-0000-0000-00000C0D0000}"/>
    <cellStyle name="20% - 강조색6 10 9" xfId="6467" xr:uid="{00000000-0005-0000-0000-00000D0D0000}"/>
    <cellStyle name="20% - 강조색6 11" xfId="450" xr:uid="{00000000-0005-0000-0000-00000E0D0000}"/>
    <cellStyle name="20% - 강조색6 11 10" xfId="6468" xr:uid="{00000000-0005-0000-0000-00000F0D0000}"/>
    <cellStyle name="20% - 강조색6 11 11" xfId="6469" xr:uid="{00000000-0005-0000-0000-0000100D0000}"/>
    <cellStyle name="20% - 강조색6 11 12" xfId="6470" xr:uid="{00000000-0005-0000-0000-0000110D0000}"/>
    <cellStyle name="20% - 강조색6 11 13" xfId="6471" xr:uid="{00000000-0005-0000-0000-0000120D0000}"/>
    <cellStyle name="20% - 강조색6 11 14" xfId="6472" xr:uid="{00000000-0005-0000-0000-0000130D0000}"/>
    <cellStyle name="20% - 강조색6 11 2" xfId="451" xr:uid="{00000000-0005-0000-0000-0000140D0000}"/>
    <cellStyle name="20% - 강조색6 11 3" xfId="6473" xr:uid="{00000000-0005-0000-0000-0000150D0000}"/>
    <cellStyle name="20% - 강조색6 11 4" xfId="6474" xr:uid="{00000000-0005-0000-0000-0000160D0000}"/>
    <cellStyle name="20% - 강조색6 11 5" xfId="6475" xr:uid="{00000000-0005-0000-0000-0000170D0000}"/>
    <cellStyle name="20% - 강조색6 11 6" xfId="6476" xr:uid="{00000000-0005-0000-0000-0000180D0000}"/>
    <cellStyle name="20% - 강조색6 11 7" xfId="6477" xr:uid="{00000000-0005-0000-0000-0000190D0000}"/>
    <cellStyle name="20% - 강조색6 11 8" xfId="6478" xr:uid="{00000000-0005-0000-0000-00001A0D0000}"/>
    <cellStyle name="20% - 강조색6 11 9" xfId="6479" xr:uid="{00000000-0005-0000-0000-00001B0D0000}"/>
    <cellStyle name="20% - 강조색6 12" xfId="452" xr:uid="{00000000-0005-0000-0000-00001C0D0000}"/>
    <cellStyle name="20% - 강조색6 12 10" xfId="6480" xr:uid="{00000000-0005-0000-0000-00001D0D0000}"/>
    <cellStyle name="20% - 강조색6 12 11" xfId="6481" xr:uid="{00000000-0005-0000-0000-00001E0D0000}"/>
    <cellStyle name="20% - 강조색6 12 12" xfId="6482" xr:uid="{00000000-0005-0000-0000-00001F0D0000}"/>
    <cellStyle name="20% - 강조색6 12 13" xfId="6483" xr:uid="{00000000-0005-0000-0000-0000200D0000}"/>
    <cellStyle name="20% - 강조색6 12 14" xfId="6484" xr:uid="{00000000-0005-0000-0000-0000210D0000}"/>
    <cellStyle name="20% - 강조색6 12 2" xfId="453" xr:uid="{00000000-0005-0000-0000-0000220D0000}"/>
    <cellStyle name="20% - 강조색6 12 3" xfId="6485" xr:uid="{00000000-0005-0000-0000-0000230D0000}"/>
    <cellStyle name="20% - 강조색6 12 4" xfId="6486" xr:uid="{00000000-0005-0000-0000-0000240D0000}"/>
    <cellStyle name="20% - 강조색6 12 5" xfId="6487" xr:uid="{00000000-0005-0000-0000-0000250D0000}"/>
    <cellStyle name="20% - 강조색6 12 6" xfId="6488" xr:uid="{00000000-0005-0000-0000-0000260D0000}"/>
    <cellStyle name="20% - 강조색6 12 7" xfId="6489" xr:uid="{00000000-0005-0000-0000-0000270D0000}"/>
    <cellStyle name="20% - 강조색6 12 8" xfId="6490" xr:uid="{00000000-0005-0000-0000-0000280D0000}"/>
    <cellStyle name="20% - 강조색6 12 9" xfId="6491" xr:uid="{00000000-0005-0000-0000-0000290D0000}"/>
    <cellStyle name="20% - 강조색6 13" xfId="454" xr:uid="{00000000-0005-0000-0000-00002A0D0000}"/>
    <cellStyle name="20% - 강조색6 13 10" xfId="6492" xr:uid="{00000000-0005-0000-0000-00002B0D0000}"/>
    <cellStyle name="20% - 강조색6 13 11" xfId="6493" xr:uid="{00000000-0005-0000-0000-00002C0D0000}"/>
    <cellStyle name="20% - 강조색6 13 12" xfId="6494" xr:uid="{00000000-0005-0000-0000-00002D0D0000}"/>
    <cellStyle name="20% - 강조색6 13 13" xfId="6495" xr:uid="{00000000-0005-0000-0000-00002E0D0000}"/>
    <cellStyle name="20% - 강조색6 13 14" xfId="6496" xr:uid="{00000000-0005-0000-0000-00002F0D0000}"/>
    <cellStyle name="20% - 강조색6 13 2" xfId="455" xr:uid="{00000000-0005-0000-0000-0000300D0000}"/>
    <cellStyle name="20% - 강조색6 13 3" xfId="6497" xr:uid="{00000000-0005-0000-0000-0000310D0000}"/>
    <cellStyle name="20% - 강조색6 13 4" xfId="6498" xr:uid="{00000000-0005-0000-0000-0000320D0000}"/>
    <cellStyle name="20% - 강조색6 13 5" xfId="6499" xr:uid="{00000000-0005-0000-0000-0000330D0000}"/>
    <cellStyle name="20% - 강조색6 13 6" xfId="6500" xr:uid="{00000000-0005-0000-0000-0000340D0000}"/>
    <cellStyle name="20% - 강조색6 13 7" xfId="6501" xr:uid="{00000000-0005-0000-0000-0000350D0000}"/>
    <cellStyle name="20% - 강조색6 13 8" xfId="6502" xr:uid="{00000000-0005-0000-0000-0000360D0000}"/>
    <cellStyle name="20% - 강조색6 13 9" xfId="6503" xr:uid="{00000000-0005-0000-0000-0000370D0000}"/>
    <cellStyle name="20% - 강조색6 14" xfId="456" xr:uid="{00000000-0005-0000-0000-0000380D0000}"/>
    <cellStyle name="20% - 강조색6 14 10" xfId="6504" xr:uid="{00000000-0005-0000-0000-0000390D0000}"/>
    <cellStyle name="20% - 강조색6 14 11" xfId="6505" xr:uid="{00000000-0005-0000-0000-00003A0D0000}"/>
    <cellStyle name="20% - 강조색6 14 12" xfId="6506" xr:uid="{00000000-0005-0000-0000-00003B0D0000}"/>
    <cellStyle name="20% - 강조색6 14 13" xfId="6507" xr:uid="{00000000-0005-0000-0000-00003C0D0000}"/>
    <cellStyle name="20% - 강조색6 14 14" xfId="6508" xr:uid="{00000000-0005-0000-0000-00003D0D0000}"/>
    <cellStyle name="20% - 강조색6 14 2" xfId="457" xr:uid="{00000000-0005-0000-0000-00003E0D0000}"/>
    <cellStyle name="20% - 강조색6 14 3" xfId="6509" xr:uid="{00000000-0005-0000-0000-00003F0D0000}"/>
    <cellStyle name="20% - 강조색6 14 4" xfId="6510" xr:uid="{00000000-0005-0000-0000-0000400D0000}"/>
    <cellStyle name="20% - 강조색6 14 5" xfId="6511" xr:uid="{00000000-0005-0000-0000-0000410D0000}"/>
    <cellStyle name="20% - 강조색6 14 6" xfId="6512" xr:uid="{00000000-0005-0000-0000-0000420D0000}"/>
    <cellStyle name="20% - 강조색6 14 7" xfId="6513" xr:uid="{00000000-0005-0000-0000-0000430D0000}"/>
    <cellStyle name="20% - 강조색6 14 8" xfId="6514" xr:uid="{00000000-0005-0000-0000-0000440D0000}"/>
    <cellStyle name="20% - 강조색6 14 9" xfId="6515" xr:uid="{00000000-0005-0000-0000-0000450D0000}"/>
    <cellStyle name="20% - 강조색6 15" xfId="458" xr:uid="{00000000-0005-0000-0000-0000460D0000}"/>
    <cellStyle name="20% - 강조색6 15 10" xfId="6516" xr:uid="{00000000-0005-0000-0000-0000470D0000}"/>
    <cellStyle name="20% - 강조색6 15 11" xfId="6517" xr:uid="{00000000-0005-0000-0000-0000480D0000}"/>
    <cellStyle name="20% - 강조색6 15 12" xfId="6518" xr:uid="{00000000-0005-0000-0000-0000490D0000}"/>
    <cellStyle name="20% - 강조색6 15 13" xfId="6519" xr:uid="{00000000-0005-0000-0000-00004A0D0000}"/>
    <cellStyle name="20% - 강조색6 15 14" xfId="6520" xr:uid="{00000000-0005-0000-0000-00004B0D0000}"/>
    <cellStyle name="20% - 강조색6 15 2" xfId="459" xr:uid="{00000000-0005-0000-0000-00004C0D0000}"/>
    <cellStyle name="20% - 강조색6 15 3" xfId="6521" xr:uid="{00000000-0005-0000-0000-00004D0D0000}"/>
    <cellStyle name="20% - 강조색6 15 4" xfId="6522" xr:uid="{00000000-0005-0000-0000-00004E0D0000}"/>
    <cellStyle name="20% - 강조색6 15 5" xfId="6523" xr:uid="{00000000-0005-0000-0000-00004F0D0000}"/>
    <cellStyle name="20% - 강조색6 15 6" xfId="6524" xr:uid="{00000000-0005-0000-0000-0000500D0000}"/>
    <cellStyle name="20% - 강조색6 15 7" xfId="6525" xr:uid="{00000000-0005-0000-0000-0000510D0000}"/>
    <cellStyle name="20% - 강조색6 15 8" xfId="6526" xr:uid="{00000000-0005-0000-0000-0000520D0000}"/>
    <cellStyle name="20% - 강조색6 15 9" xfId="6527" xr:uid="{00000000-0005-0000-0000-0000530D0000}"/>
    <cellStyle name="20% - 강조색6 16" xfId="460" xr:uid="{00000000-0005-0000-0000-0000540D0000}"/>
    <cellStyle name="20% - 강조색6 16 10" xfId="6528" xr:uid="{00000000-0005-0000-0000-0000550D0000}"/>
    <cellStyle name="20% - 강조색6 16 11" xfId="6529" xr:uid="{00000000-0005-0000-0000-0000560D0000}"/>
    <cellStyle name="20% - 강조색6 16 12" xfId="6530" xr:uid="{00000000-0005-0000-0000-0000570D0000}"/>
    <cellStyle name="20% - 강조색6 16 13" xfId="6531" xr:uid="{00000000-0005-0000-0000-0000580D0000}"/>
    <cellStyle name="20% - 강조색6 16 14" xfId="6532" xr:uid="{00000000-0005-0000-0000-0000590D0000}"/>
    <cellStyle name="20% - 강조색6 16 2" xfId="461" xr:uid="{00000000-0005-0000-0000-00005A0D0000}"/>
    <cellStyle name="20% - 강조색6 16 3" xfId="6533" xr:uid="{00000000-0005-0000-0000-00005B0D0000}"/>
    <cellStyle name="20% - 강조색6 16 4" xfId="6534" xr:uid="{00000000-0005-0000-0000-00005C0D0000}"/>
    <cellStyle name="20% - 강조색6 16 5" xfId="6535" xr:uid="{00000000-0005-0000-0000-00005D0D0000}"/>
    <cellStyle name="20% - 강조색6 16 6" xfId="6536" xr:uid="{00000000-0005-0000-0000-00005E0D0000}"/>
    <cellStyle name="20% - 강조색6 16 7" xfId="6537" xr:uid="{00000000-0005-0000-0000-00005F0D0000}"/>
    <cellStyle name="20% - 강조색6 16 8" xfId="6538" xr:uid="{00000000-0005-0000-0000-0000600D0000}"/>
    <cellStyle name="20% - 강조색6 16 9" xfId="6539" xr:uid="{00000000-0005-0000-0000-0000610D0000}"/>
    <cellStyle name="20% - 강조색6 17" xfId="462" xr:uid="{00000000-0005-0000-0000-0000620D0000}"/>
    <cellStyle name="20% - 강조색6 17 10" xfId="6540" xr:uid="{00000000-0005-0000-0000-0000630D0000}"/>
    <cellStyle name="20% - 강조색6 17 11" xfId="6541" xr:uid="{00000000-0005-0000-0000-0000640D0000}"/>
    <cellStyle name="20% - 강조색6 17 12" xfId="6542" xr:uid="{00000000-0005-0000-0000-0000650D0000}"/>
    <cellStyle name="20% - 강조색6 17 13" xfId="6543" xr:uid="{00000000-0005-0000-0000-0000660D0000}"/>
    <cellStyle name="20% - 강조색6 17 14" xfId="6544" xr:uid="{00000000-0005-0000-0000-0000670D0000}"/>
    <cellStyle name="20% - 강조색6 17 2" xfId="463" xr:uid="{00000000-0005-0000-0000-0000680D0000}"/>
    <cellStyle name="20% - 강조색6 17 3" xfId="6545" xr:uid="{00000000-0005-0000-0000-0000690D0000}"/>
    <cellStyle name="20% - 강조색6 17 4" xfId="6546" xr:uid="{00000000-0005-0000-0000-00006A0D0000}"/>
    <cellStyle name="20% - 강조색6 17 5" xfId="6547" xr:uid="{00000000-0005-0000-0000-00006B0D0000}"/>
    <cellStyle name="20% - 강조색6 17 6" xfId="6548" xr:uid="{00000000-0005-0000-0000-00006C0D0000}"/>
    <cellStyle name="20% - 강조색6 17 7" xfId="6549" xr:uid="{00000000-0005-0000-0000-00006D0D0000}"/>
    <cellStyle name="20% - 강조색6 17 8" xfId="6550" xr:uid="{00000000-0005-0000-0000-00006E0D0000}"/>
    <cellStyle name="20% - 강조색6 17 9" xfId="6551" xr:uid="{00000000-0005-0000-0000-00006F0D0000}"/>
    <cellStyle name="20% - 강조색6 18" xfId="464" xr:uid="{00000000-0005-0000-0000-0000700D0000}"/>
    <cellStyle name="20% - 강조색6 18 10" xfId="6552" xr:uid="{00000000-0005-0000-0000-0000710D0000}"/>
    <cellStyle name="20% - 강조색6 18 11" xfId="6553" xr:uid="{00000000-0005-0000-0000-0000720D0000}"/>
    <cellStyle name="20% - 강조색6 18 12" xfId="6554" xr:uid="{00000000-0005-0000-0000-0000730D0000}"/>
    <cellStyle name="20% - 강조색6 18 13" xfId="6555" xr:uid="{00000000-0005-0000-0000-0000740D0000}"/>
    <cellStyle name="20% - 강조색6 18 14" xfId="6556" xr:uid="{00000000-0005-0000-0000-0000750D0000}"/>
    <cellStyle name="20% - 강조색6 18 2" xfId="465" xr:uid="{00000000-0005-0000-0000-0000760D0000}"/>
    <cellStyle name="20% - 강조색6 18 3" xfId="6557" xr:uid="{00000000-0005-0000-0000-0000770D0000}"/>
    <cellStyle name="20% - 강조색6 18 4" xfId="6558" xr:uid="{00000000-0005-0000-0000-0000780D0000}"/>
    <cellStyle name="20% - 강조색6 18 5" xfId="6559" xr:uid="{00000000-0005-0000-0000-0000790D0000}"/>
    <cellStyle name="20% - 강조색6 18 6" xfId="6560" xr:uid="{00000000-0005-0000-0000-00007A0D0000}"/>
    <cellStyle name="20% - 강조색6 18 7" xfId="6561" xr:uid="{00000000-0005-0000-0000-00007B0D0000}"/>
    <cellStyle name="20% - 강조색6 18 8" xfId="6562" xr:uid="{00000000-0005-0000-0000-00007C0D0000}"/>
    <cellStyle name="20% - 강조색6 18 9" xfId="6563" xr:uid="{00000000-0005-0000-0000-00007D0D0000}"/>
    <cellStyle name="20% - 강조색6 19" xfId="466" xr:uid="{00000000-0005-0000-0000-00007E0D0000}"/>
    <cellStyle name="20% - 강조색6 19 10" xfId="6564" xr:uid="{00000000-0005-0000-0000-00007F0D0000}"/>
    <cellStyle name="20% - 강조색6 19 11" xfId="6565" xr:uid="{00000000-0005-0000-0000-0000800D0000}"/>
    <cellStyle name="20% - 강조색6 19 12" xfId="6566" xr:uid="{00000000-0005-0000-0000-0000810D0000}"/>
    <cellStyle name="20% - 강조색6 19 13" xfId="6567" xr:uid="{00000000-0005-0000-0000-0000820D0000}"/>
    <cellStyle name="20% - 강조색6 19 14" xfId="6568" xr:uid="{00000000-0005-0000-0000-0000830D0000}"/>
    <cellStyle name="20% - 강조색6 19 2" xfId="467" xr:uid="{00000000-0005-0000-0000-0000840D0000}"/>
    <cellStyle name="20% - 강조색6 19 3" xfId="6569" xr:uid="{00000000-0005-0000-0000-0000850D0000}"/>
    <cellStyle name="20% - 강조색6 19 4" xfId="6570" xr:uid="{00000000-0005-0000-0000-0000860D0000}"/>
    <cellStyle name="20% - 강조색6 19 5" xfId="6571" xr:uid="{00000000-0005-0000-0000-0000870D0000}"/>
    <cellStyle name="20% - 강조색6 19 6" xfId="6572" xr:uid="{00000000-0005-0000-0000-0000880D0000}"/>
    <cellStyle name="20% - 강조색6 19 7" xfId="6573" xr:uid="{00000000-0005-0000-0000-0000890D0000}"/>
    <cellStyle name="20% - 강조색6 19 8" xfId="6574" xr:uid="{00000000-0005-0000-0000-00008A0D0000}"/>
    <cellStyle name="20% - 강조색6 19 9" xfId="6575" xr:uid="{00000000-0005-0000-0000-00008B0D0000}"/>
    <cellStyle name="20% - 강조색6 2" xfId="468" xr:uid="{00000000-0005-0000-0000-00008C0D0000}"/>
    <cellStyle name="20% - 강조색6 2 10" xfId="6576" xr:uid="{00000000-0005-0000-0000-00008D0D0000}"/>
    <cellStyle name="20% - 강조색6 2 11" xfId="6577" xr:uid="{00000000-0005-0000-0000-00008E0D0000}"/>
    <cellStyle name="20% - 강조색6 2 12" xfId="6578" xr:uid="{00000000-0005-0000-0000-00008F0D0000}"/>
    <cellStyle name="20% - 강조색6 2 13" xfId="6579" xr:uid="{00000000-0005-0000-0000-0000900D0000}"/>
    <cellStyle name="20% - 강조색6 2 14" xfId="6580" xr:uid="{00000000-0005-0000-0000-0000910D0000}"/>
    <cellStyle name="20% - 강조색6 2 15" xfId="27937" xr:uid="{00000000-0005-0000-0000-0000920D0000}"/>
    <cellStyle name="20% - 강조색6 2 2" xfId="469" xr:uid="{00000000-0005-0000-0000-0000930D0000}"/>
    <cellStyle name="20% - 강조색6 2 3" xfId="6581" xr:uid="{00000000-0005-0000-0000-0000940D0000}"/>
    <cellStyle name="20% - 강조색6 2 4" xfId="6582" xr:uid="{00000000-0005-0000-0000-0000950D0000}"/>
    <cellStyle name="20% - 강조색6 2 5" xfId="6583" xr:uid="{00000000-0005-0000-0000-0000960D0000}"/>
    <cellStyle name="20% - 강조색6 2 6" xfId="6584" xr:uid="{00000000-0005-0000-0000-0000970D0000}"/>
    <cellStyle name="20% - 강조색6 2 7" xfId="6585" xr:uid="{00000000-0005-0000-0000-0000980D0000}"/>
    <cellStyle name="20% - 강조색6 2 8" xfId="6586" xr:uid="{00000000-0005-0000-0000-0000990D0000}"/>
    <cellStyle name="20% - 강조색6 2 9" xfId="6587" xr:uid="{00000000-0005-0000-0000-00009A0D0000}"/>
    <cellStyle name="20% - 강조색6 20" xfId="470" xr:uid="{00000000-0005-0000-0000-00009B0D0000}"/>
    <cellStyle name="20% - 강조색6 20 10" xfId="6588" xr:uid="{00000000-0005-0000-0000-00009C0D0000}"/>
    <cellStyle name="20% - 강조색6 20 11" xfId="6589" xr:uid="{00000000-0005-0000-0000-00009D0D0000}"/>
    <cellStyle name="20% - 강조색6 20 12" xfId="6590" xr:uid="{00000000-0005-0000-0000-00009E0D0000}"/>
    <cellStyle name="20% - 강조색6 20 13" xfId="6591" xr:uid="{00000000-0005-0000-0000-00009F0D0000}"/>
    <cellStyle name="20% - 강조색6 20 14" xfId="6592" xr:uid="{00000000-0005-0000-0000-0000A00D0000}"/>
    <cellStyle name="20% - 강조색6 20 2" xfId="471" xr:uid="{00000000-0005-0000-0000-0000A10D0000}"/>
    <cellStyle name="20% - 강조색6 20 3" xfId="6593" xr:uid="{00000000-0005-0000-0000-0000A20D0000}"/>
    <cellStyle name="20% - 강조색6 20 4" xfId="6594" xr:uid="{00000000-0005-0000-0000-0000A30D0000}"/>
    <cellStyle name="20% - 강조색6 20 5" xfId="6595" xr:uid="{00000000-0005-0000-0000-0000A40D0000}"/>
    <cellStyle name="20% - 강조색6 20 6" xfId="6596" xr:uid="{00000000-0005-0000-0000-0000A50D0000}"/>
    <cellStyle name="20% - 강조색6 20 7" xfId="6597" xr:uid="{00000000-0005-0000-0000-0000A60D0000}"/>
    <cellStyle name="20% - 강조색6 20 8" xfId="6598" xr:uid="{00000000-0005-0000-0000-0000A70D0000}"/>
    <cellStyle name="20% - 강조색6 20 9" xfId="6599" xr:uid="{00000000-0005-0000-0000-0000A80D0000}"/>
    <cellStyle name="20% - 강조색6 21" xfId="472" xr:uid="{00000000-0005-0000-0000-0000A90D0000}"/>
    <cellStyle name="20% - 강조색6 21 10" xfId="6600" xr:uid="{00000000-0005-0000-0000-0000AA0D0000}"/>
    <cellStyle name="20% - 강조색6 21 11" xfId="6601" xr:uid="{00000000-0005-0000-0000-0000AB0D0000}"/>
    <cellStyle name="20% - 강조색6 21 12" xfId="6602" xr:uid="{00000000-0005-0000-0000-0000AC0D0000}"/>
    <cellStyle name="20% - 강조색6 21 13" xfId="6603" xr:uid="{00000000-0005-0000-0000-0000AD0D0000}"/>
    <cellStyle name="20% - 강조색6 21 14" xfId="6604" xr:uid="{00000000-0005-0000-0000-0000AE0D0000}"/>
    <cellStyle name="20% - 강조색6 21 2" xfId="473" xr:uid="{00000000-0005-0000-0000-0000AF0D0000}"/>
    <cellStyle name="20% - 강조색6 21 3" xfId="6605" xr:uid="{00000000-0005-0000-0000-0000B00D0000}"/>
    <cellStyle name="20% - 강조색6 21 4" xfId="6606" xr:uid="{00000000-0005-0000-0000-0000B10D0000}"/>
    <cellStyle name="20% - 강조색6 21 5" xfId="6607" xr:uid="{00000000-0005-0000-0000-0000B20D0000}"/>
    <cellStyle name="20% - 강조색6 21 6" xfId="6608" xr:uid="{00000000-0005-0000-0000-0000B30D0000}"/>
    <cellStyle name="20% - 강조색6 21 7" xfId="6609" xr:uid="{00000000-0005-0000-0000-0000B40D0000}"/>
    <cellStyle name="20% - 강조색6 21 8" xfId="6610" xr:uid="{00000000-0005-0000-0000-0000B50D0000}"/>
    <cellStyle name="20% - 강조색6 21 9" xfId="6611" xr:uid="{00000000-0005-0000-0000-0000B60D0000}"/>
    <cellStyle name="20% - 강조색6 22" xfId="474" xr:uid="{00000000-0005-0000-0000-0000B70D0000}"/>
    <cellStyle name="20% - 강조색6 22 10" xfId="6612" xr:uid="{00000000-0005-0000-0000-0000B80D0000}"/>
    <cellStyle name="20% - 강조색6 22 11" xfId="6613" xr:uid="{00000000-0005-0000-0000-0000B90D0000}"/>
    <cellStyle name="20% - 강조색6 22 12" xfId="6614" xr:uid="{00000000-0005-0000-0000-0000BA0D0000}"/>
    <cellStyle name="20% - 강조색6 22 13" xfId="6615" xr:uid="{00000000-0005-0000-0000-0000BB0D0000}"/>
    <cellStyle name="20% - 강조색6 22 14" xfId="6616" xr:uid="{00000000-0005-0000-0000-0000BC0D0000}"/>
    <cellStyle name="20% - 강조색6 22 2" xfId="475" xr:uid="{00000000-0005-0000-0000-0000BD0D0000}"/>
    <cellStyle name="20% - 강조색6 22 3" xfId="6617" xr:uid="{00000000-0005-0000-0000-0000BE0D0000}"/>
    <cellStyle name="20% - 강조색6 22 4" xfId="6618" xr:uid="{00000000-0005-0000-0000-0000BF0D0000}"/>
    <cellStyle name="20% - 강조색6 22 5" xfId="6619" xr:uid="{00000000-0005-0000-0000-0000C00D0000}"/>
    <cellStyle name="20% - 강조색6 22 6" xfId="6620" xr:uid="{00000000-0005-0000-0000-0000C10D0000}"/>
    <cellStyle name="20% - 강조색6 22 7" xfId="6621" xr:uid="{00000000-0005-0000-0000-0000C20D0000}"/>
    <cellStyle name="20% - 강조색6 22 8" xfId="6622" xr:uid="{00000000-0005-0000-0000-0000C30D0000}"/>
    <cellStyle name="20% - 강조색6 22 9" xfId="6623" xr:uid="{00000000-0005-0000-0000-0000C40D0000}"/>
    <cellStyle name="20% - 강조색6 23" xfId="476" xr:uid="{00000000-0005-0000-0000-0000C50D0000}"/>
    <cellStyle name="20% - 강조색6 23 10" xfId="6624" xr:uid="{00000000-0005-0000-0000-0000C60D0000}"/>
    <cellStyle name="20% - 강조색6 23 11" xfId="6625" xr:uid="{00000000-0005-0000-0000-0000C70D0000}"/>
    <cellStyle name="20% - 강조색6 23 12" xfId="6626" xr:uid="{00000000-0005-0000-0000-0000C80D0000}"/>
    <cellStyle name="20% - 강조색6 23 13" xfId="6627" xr:uid="{00000000-0005-0000-0000-0000C90D0000}"/>
    <cellStyle name="20% - 강조색6 23 14" xfId="6628" xr:uid="{00000000-0005-0000-0000-0000CA0D0000}"/>
    <cellStyle name="20% - 강조색6 23 2" xfId="477" xr:uid="{00000000-0005-0000-0000-0000CB0D0000}"/>
    <cellStyle name="20% - 강조색6 23 3" xfId="6629" xr:uid="{00000000-0005-0000-0000-0000CC0D0000}"/>
    <cellStyle name="20% - 강조색6 23 4" xfId="6630" xr:uid="{00000000-0005-0000-0000-0000CD0D0000}"/>
    <cellStyle name="20% - 강조색6 23 5" xfId="6631" xr:uid="{00000000-0005-0000-0000-0000CE0D0000}"/>
    <cellStyle name="20% - 강조색6 23 6" xfId="6632" xr:uid="{00000000-0005-0000-0000-0000CF0D0000}"/>
    <cellStyle name="20% - 강조색6 23 7" xfId="6633" xr:uid="{00000000-0005-0000-0000-0000D00D0000}"/>
    <cellStyle name="20% - 강조색6 23 8" xfId="6634" xr:uid="{00000000-0005-0000-0000-0000D10D0000}"/>
    <cellStyle name="20% - 강조색6 23 9" xfId="6635" xr:uid="{00000000-0005-0000-0000-0000D20D0000}"/>
    <cellStyle name="20% - 강조색6 24" xfId="478" xr:uid="{00000000-0005-0000-0000-0000D30D0000}"/>
    <cellStyle name="20% - 강조색6 24 10" xfId="6636" xr:uid="{00000000-0005-0000-0000-0000D40D0000}"/>
    <cellStyle name="20% - 강조색6 24 11" xfId="6637" xr:uid="{00000000-0005-0000-0000-0000D50D0000}"/>
    <cellStyle name="20% - 강조색6 24 12" xfId="6638" xr:uid="{00000000-0005-0000-0000-0000D60D0000}"/>
    <cellStyle name="20% - 강조색6 24 13" xfId="6639" xr:uid="{00000000-0005-0000-0000-0000D70D0000}"/>
    <cellStyle name="20% - 강조색6 24 14" xfId="6640" xr:uid="{00000000-0005-0000-0000-0000D80D0000}"/>
    <cellStyle name="20% - 강조색6 24 2" xfId="479" xr:uid="{00000000-0005-0000-0000-0000D90D0000}"/>
    <cellStyle name="20% - 강조색6 24 3" xfId="6641" xr:uid="{00000000-0005-0000-0000-0000DA0D0000}"/>
    <cellStyle name="20% - 강조색6 24 4" xfId="6642" xr:uid="{00000000-0005-0000-0000-0000DB0D0000}"/>
    <cellStyle name="20% - 강조색6 24 5" xfId="6643" xr:uid="{00000000-0005-0000-0000-0000DC0D0000}"/>
    <cellStyle name="20% - 강조색6 24 6" xfId="6644" xr:uid="{00000000-0005-0000-0000-0000DD0D0000}"/>
    <cellStyle name="20% - 강조색6 24 7" xfId="6645" xr:uid="{00000000-0005-0000-0000-0000DE0D0000}"/>
    <cellStyle name="20% - 강조색6 24 8" xfId="6646" xr:uid="{00000000-0005-0000-0000-0000DF0D0000}"/>
    <cellStyle name="20% - 강조색6 24 9" xfId="6647" xr:uid="{00000000-0005-0000-0000-0000E00D0000}"/>
    <cellStyle name="20% - 강조색6 25" xfId="480" xr:uid="{00000000-0005-0000-0000-0000E10D0000}"/>
    <cellStyle name="20% - 강조색6 25 10" xfId="6648" xr:uid="{00000000-0005-0000-0000-0000E20D0000}"/>
    <cellStyle name="20% - 강조색6 25 11" xfId="6649" xr:uid="{00000000-0005-0000-0000-0000E30D0000}"/>
    <cellStyle name="20% - 강조색6 25 12" xfId="6650" xr:uid="{00000000-0005-0000-0000-0000E40D0000}"/>
    <cellStyle name="20% - 강조색6 25 13" xfId="6651" xr:uid="{00000000-0005-0000-0000-0000E50D0000}"/>
    <cellStyle name="20% - 강조색6 25 14" xfId="6652" xr:uid="{00000000-0005-0000-0000-0000E60D0000}"/>
    <cellStyle name="20% - 강조색6 25 2" xfId="481" xr:uid="{00000000-0005-0000-0000-0000E70D0000}"/>
    <cellStyle name="20% - 강조색6 25 3" xfId="6653" xr:uid="{00000000-0005-0000-0000-0000E80D0000}"/>
    <cellStyle name="20% - 강조색6 25 4" xfId="6654" xr:uid="{00000000-0005-0000-0000-0000E90D0000}"/>
    <cellStyle name="20% - 강조색6 25 5" xfId="6655" xr:uid="{00000000-0005-0000-0000-0000EA0D0000}"/>
    <cellStyle name="20% - 강조색6 25 6" xfId="6656" xr:uid="{00000000-0005-0000-0000-0000EB0D0000}"/>
    <cellStyle name="20% - 강조색6 25 7" xfId="6657" xr:uid="{00000000-0005-0000-0000-0000EC0D0000}"/>
    <cellStyle name="20% - 강조색6 25 8" xfId="6658" xr:uid="{00000000-0005-0000-0000-0000ED0D0000}"/>
    <cellStyle name="20% - 강조색6 25 9" xfId="6659" xr:uid="{00000000-0005-0000-0000-0000EE0D0000}"/>
    <cellStyle name="20% - 강조색6 26" xfId="482" xr:uid="{00000000-0005-0000-0000-0000EF0D0000}"/>
    <cellStyle name="20% - 강조색6 26 10" xfId="6660" xr:uid="{00000000-0005-0000-0000-0000F00D0000}"/>
    <cellStyle name="20% - 강조색6 26 11" xfId="6661" xr:uid="{00000000-0005-0000-0000-0000F10D0000}"/>
    <cellStyle name="20% - 강조색6 26 12" xfId="6662" xr:uid="{00000000-0005-0000-0000-0000F20D0000}"/>
    <cellStyle name="20% - 강조색6 26 13" xfId="6663" xr:uid="{00000000-0005-0000-0000-0000F30D0000}"/>
    <cellStyle name="20% - 강조색6 26 14" xfId="6664" xr:uid="{00000000-0005-0000-0000-0000F40D0000}"/>
    <cellStyle name="20% - 강조색6 26 2" xfId="483" xr:uid="{00000000-0005-0000-0000-0000F50D0000}"/>
    <cellStyle name="20% - 강조색6 26 3" xfId="6665" xr:uid="{00000000-0005-0000-0000-0000F60D0000}"/>
    <cellStyle name="20% - 강조색6 26 4" xfId="6666" xr:uid="{00000000-0005-0000-0000-0000F70D0000}"/>
    <cellStyle name="20% - 강조색6 26 5" xfId="6667" xr:uid="{00000000-0005-0000-0000-0000F80D0000}"/>
    <cellStyle name="20% - 강조색6 26 6" xfId="6668" xr:uid="{00000000-0005-0000-0000-0000F90D0000}"/>
    <cellStyle name="20% - 강조색6 26 7" xfId="6669" xr:uid="{00000000-0005-0000-0000-0000FA0D0000}"/>
    <cellStyle name="20% - 강조색6 26 8" xfId="6670" xr:uid="{00000000-0005-0000-0000-0000FB0D0000}"/>
    <cellStyle name="20% - 강조색6 26 9" xfId="6671" xr:uid="{00000000-0005-0000-0000-0000FC0D0000}"/>
    <cellStyle name="20% - 강조색6 27" xfId="484" xr:uid="{00000000-0005-0000-0000-0000FD0D0000}"/>
    <cellStyle name="20% - 강조색6 27 10" xfId="6672" xr:uid="{00000000-0005-0000-0000-0000FE0D0000}"/>
    <cellStyle name="20% - 강조색6 27 11" xfId="6673" xr:uid="{00000000-0005-0000-0000-0000FF0D0000}"/>
    <cellStyle name="20% - 강조색6 27 12" xfId="6674" xr:uid="{00000000-0005-0000-0000-0000000E0000}"/>
    <cellStyle name="20% - 강조색6 27 13" xfId="6675" xr:uid="{00000000-0005-0000-0000-0000010E0000}"/>
    <cellStyle name="20% - 강조색6 27 14" xfId="6676" xr:uid="{00000000-0005-0000-0000-0000020E0000}"/>
    <cellStyle name="20% - 강조색6 27 2" xfId="485" xr:uid="{00000000-0005-0000-0000-0000030E0000}"/>
    <cellStyle name="20% - 강조색6 27 3" xfId="6677" xr:uid="{00000000-0005-0000-0000-0000040E0000}"/>
    <cellStyle name="20% - 강조색6 27 4" xfId="6678" xr:uid="{00000000-0005-0000-0000-0000050E0000}"/>
    <cellStyle name="20% - 강조색6 27 5" xfId="6679" xr:uid="{00000000-0005-0000-0000-0000060E0000}"/>
    <cellStyle name="20% - 강조색6 27 6" xfId="6680" xr:uid="{00000000-0005-0000-0000-0000070E0000}"/>
    <cellStyle name="20% - 강조색6 27 7" xfId="6681" xr:uid="{00000000-0005-0000-0000-0000080E0000}"/>
    <cellStyle name="20% - 강조색6 27 8" xfId="6682" xr:uid="{00000000-0005-0000-0000-0000090E0000}"/>
    <cellStyle name="20% - 강조색6 27 9" xfId="6683" xr:uid="{00000000-0005-0000-0000-00000A0E0000}"/>
    <cellStyle name="20% - 강조색6 28" xfId="486" xr:uid="{00000000-0005-0000-0000-00000B0E0000}"/>
    <cellStyle name="20% - 강조색6 28 10" xfId="6684" xr:uid="{00000000-0005-0000-0000-00000C0E0000}"/>
    <cellStyle name="20% - 강조색6 28 11" xfId="6685" xr:uid="{00000000-0005-0000-0000-00000D0E0000}"/>
    <cellStyle name="20% - 강조색6 28 12" xfId="6686" xr:uid="{00000000-0005-0000-0000-00000E0E0000}"/>
    <cellStyle name="20% - 강조색6 28 13" xfId="6687" xr:uid="{00000000-0005-0000-0000-00000F0E0000}"/>
    <cellStyle name="20% - 강조색6 28 14" xfId="6688" xr:uid="{00000000-0005-0000-0000-0000100E0000}"/>
    <cellStyle name="20% - 강조색6 28 2" xfId="487" xr:uid="{00000000-0005-0000-0000-0000110E0000}"/>
    <cellStyle name="20% - 강조색6 28 3" xfId="6689" xr:uid="{00000000-0005-0000-0000-0000120E0000}"/>
    <cellStyle name="20% - 강조색6 28 4" xfId="6690" xr:uid="{00000000-0005-0000-0000-0000130E0000}"/>
    <cellStyle name="20% - 강조색6 28 5" xfId="6691" xr:uid="{00000000-0005-0000-0000-0000140E0000}"/>
    <cellStyle name="20% - 강조색6 28 6" xfId="6692" xr:uid="{00000000-0005-0000-0000-0000150E0000}"/>
    <cellStyle name="20% - 강조색6 28 7" xfId="6693" xr:uid="{00000000-0005-0000-0000-0000160E0000}"/>
    <cellStyle name="20% - 강조색6 28 8" xfId="6694" xr:uid="{00000000-0005-0000-0000-0000170E0000}"/>
    <cellStyle name="20% - 강조색6 28 9" xfId="6695" xr:uid="{00000000-0005-0000-0000-0000180E0000}"/>
    <cellStyle name="20% - 강조색6 29" xfId="488" xr:uid="{00000000-0005-0000-0000-0000190E0000}"/>
    <cellStyle name="20% - 강조색6 29 10" xfId="6696" xr:uid="{00000000-0005-0000-0000-00001A0E0000}"/>
    <cellStyle name="20% - 강조색6 29 11" xfId="6697" xr:uid="{00000000-0005-0000-0000-00001B0E0000}"/>
    <cellStyle name="20% - 강조색6 29 12" xfId="6698" xr:uid="{00000000-0005-0000-0000-00001C0E0000}"/>
    <cellStyle name="20% - 강조색6 29 13" xfId="6699" xr:uid="{00000000-0005-0000-0000-00001D0E0000}"/>
    <cellStyle name="20% - 강조색6 29 14" xfId="6700" xr:uid="{00000000-0005-0000-0000-00001E0E0000}"/>
    <cellStyle name="20% - 강조색6 29 2" xfId="489" xr:uid="{00000000-0005-0000-0000-00001F0E0000}"/>
    <cellStyle name="20% - 강조색6 29 3" xfId="6701" xr:uid="{00000000-0005-0000-0000-0000200E0000}"/>
    <cellStyle name="20% - 강조색6 29 4" xfId="6702" xr:uid="{00000000-0005-0000-0000-0000210E0000}"/>
    <cellStyle name="20% - 강조색6 29 5" xfId="6703" xr:uid="{00000000-0005-0000-0000-0000220E0000}"/>
    <cellStyle name="20% - 강조색6 29 6" xfId="6704" xr:uid="{00000000-0005-0000-0000-0000230E0000}"/>
    <cellStyle name="20% - 강조색6 29 7" xfId="6705" xr:uid="{00000000-0005-0000-0000-0000240E0000}"/>
    <cellStyle name="20% - 강조색6 29 8" xfId="6706" xr:uid="{00000000-0005-0000-0000-0000250E0000}"/>
    <cellStyle name="20% - 강조색6 29 9" xfId="6707" xr:uid="{00000000-0005-0000-0000-0000260E0000}"/>
    <cellStyle name="20% - 강조색6 3" xfId="490" xr:uid="{00000000-0005-0000-0000-0000270E0000}"/>
    <cellStyle name="20% - 강조색6 3 10" xfId="6708" xr:uid="{00000000-0005-0000-0000-0000280E0000}"/>
    <cellStyle name="20% - 강조색6 3 11" xfId="6709" xr:uid="{00000000-0005-0000-0000-0000290E0000}"/>
    <cellStyle name="20% - 강조색6 3 12" xfId="6710" xr:uid="{00000000-0005-0000-0000-00002A0E0000}"/>
    <cellStyle name="20% - 강조색6 3 13" xfId="6711" xr:uid="{00000000-0005-0000-0000-00002B0E0000}"/>
    <cellStyle name="20% - 강조색6 3 14" xfId="6712" xr:uid="{00000000-0005-0000-0000-00002C0E0000}"/>
    <cellStyle name="20% - 강조색6 3 15" xfId="28194" xr:uid="{00000000-0005-0000-0000-00002D0E0000}"/>
    <cellStyle name="20% - 강조색6 3 2" xfId="491" xr:uid="{00000000-0005-0000-0000-00002E0E0000}"/>
    <cellStyle name="20% - 강조색6 3 3" xfId="6713" xr:uid="{00000000-0005-0000-0000-00002F0E0000}"/>
    <cellStyle name="20% - 강조색6 3 4" xfId="6714" xr:uid="{00000000-0005-0000-0000-0000300E0000}"/>
    <cellStyle name="20% - 강조색6 3 5" xfId="6715" xr:uid="{00000000-0005-0000-0000-0000310E0000}"/>
    <cellStyle name="20% - 강조색6 3 6" xfId="6716" xr:uid="{00000000-0005-0000-0000-0000320E0000}"/>
    <cellStyle name="20% - 강조색6 3 7" xfId="6717" xr:uid="{00000000-0005-0000-0000-0000330E0000}"/>
    <cellStyle name="20% - 강조색6 3 8" xfId="6718" xr:uid="{00000000-0005-0000-0000-0000340E0000}"/>
    <cellStyle name="20% - 강조색6 3 9" xfId="6719" xr:uid="{00000000-0005-0000-0000-0000350E0000}"/>
    <cellStyle name="20% - 강조색6 30" xfId="492" xr:uid="{00000000-0005-0000-0000-0000360E0000}"/>
    <cellStyle name="20% - 강조색6 30 10" xfId="6720" xr:uid="{00000000-0005-0000-0000-0000370E0000}"/>
    <cellStyle name="20% - 강조색6 30 11" xfId="6721" xr:uid="{00000000-0005-0000-0000-0000380E0000}"/>
    <cellStyle name="20% - 강조색6 30 12" xfId="6722" xr:uid="{00000000-0005-0000-0000-0000390E0000}"/>
    <cellStyle name="20% - 강조색6 30 13" xfId="6723" xr:uid="{00000000-0005-0000-0000-00003A0E0000}"/>
    <cellStyle name="20% - 강조색6 30 14" xfId="6724" xr:uid="{00000000-0005-0000-0000-00003B0E0000}"/>
    <cellStyle name="20% - 강조색6 30 2" xfId="493" xr:uid="{00000000-0005-0000-0000-00003C0E0000}"/>
    <cellStyle name="20% - 강조색6 30 3" xfId="6725" xr:uid="{00000000-0005-0000-0000-00003D0E0000}"/>
    <cellStyle name="20% - 강조색6 30 4" xfId="6726" xr:uid="{00000000-0005-0000-0000-00003E0E0000}"/>
    <cellStyle name="20% - 강조색6 30 5" xfId="6727" xr:uid="{00000000-0005-0000-0000-00003F0E0000}"/>
    <cellStyle name="20% - 강조색6 30 6" xfId="6728" xr:uid="{00000000-0005-0000-0000-0000400E0000}"/>
    <cellStyle name="20% - 강조색6 30 7" xfId="6729" xr:uid="{00000000-0005-0000-0000-0000410E0000}"/>
    <cellStyle name="20% - 강조색6 30 8" xfId="6730" xr:uid="{00000000-0005-0000-0000-0000420E0000}"/>
    <cellStyle name="20% - 강조색6 30 9" xfId="6731" xr:uid="{00000000-0005-0000-0000-0000430E0000}"/>
    <cellStyle name="20% - 강조색6 31" xfId="494" xr:uid="{00000000-0005-0000-0000-0000440E0000}"/>
    <cellStyle name="20% - 강조색6 31 10" xfId="6732" xr:uid="{00000000-0005-0000-0000-0000450E0000}"/>
    <cellStyle name="20% - 강조색6 31 11" xfId="6733" xr:uid="{00000000-0005-0000-0000-0000460E0000}"/>
    <cellStyle name="20% - 강조색6 31 12" xfId="6734" xr:uid="{00000000-0005-0000-0000-0000470E0000}"/>
    <cellStyle name="20% - 강조색6 31 13" xfId="6735" xr:uid="{00000000-0005-0000-0000-0000480E0000}"/>
    <cellStyle name="20% - 강조색6 31 14" xfId="6736" xr:uid="{00000000-0005-0000-0000-0000490E0000}"/>
    <cellStyle name="20% - 강조색6 31 2" xfId="495" xr:uid="{00000000-0005-0000-0000-00004A0E0000}"/>
    <cellStyle name="20% - 강조색6 31 3" xfId="6737" xr:uid="{00000000-0005-0000-0000-00004B0E0000}"/>
    <cellStyle name="20% - 강조색6 31 4" xfId="6738" xr:uid="{00000000-0005-0000-0000-00004C0E0000}"/>
    <cellStyle name="20% - 강조색6 31 5" xfId="6739" xr:uid="{00000000-0005-0000-0000-00004D0E0000}"/>
    <cellStyle name="20% - 강조색6 31 6" xfId="6740" xr:uid="{00000000-0005-0000-0000-00004E0E0000}"/>
    <cellStyle name="20% - 강조색6 31 7" xfId="6741" xr:uid="{00000000-0005-0000-0000-00004F0E0000}"/>
    <cellStyle name="20% - 강조색6 31 8" xfId="6742" xr:uid="{00000000-0005-0000-0000-0000500E0000}"/>
    <cellStyle name="20% - 강조색6 31 9" xfId="6743" xr:uid="{00000000-0005-0000-0000-0000510E0000}"/>
    <cellStyle name="20% - 강조색6 32" xfId="496" xr:uid="{00000000-0005-0000-0000-0000520E0000}"/>
    <cellStyle name="20% - 강조색6 32 10" xfId="6744" xr:uid="{00000000-0005-0000-0000-0000530E0000}"/>
    <cellStyle name="20% - 강조색6 32 11" xfId="6745" xr:uid="{00000000-0005-0000-0000-0000540E0000}"/>
    <cellStyle name="20% - 강조색6 32 12" xfId="6746" xr:uid="{00000000-0005-0000-0000-0000550E0000}"/>
    <cellStyle name="20% - 강조색6 32 13" xfId="6747" xr:uid="{00000000-0005-0000-0000-0000560E0000}"/>
    <cellStyle name="20% - 강조색6 32 14" xfId="6748" xr:uid="{00000000-0005-0000-0000-0000570E0000}"/>
    <cellStyle name="20% - 강조색6 32 2" xfId="497" xr:uid="{00000000-0005-0000-0000-0000580E0000}"/>
    <cellStyle name="20% - 강조색6 32 3" xfId="6749" xr:uid="{00000000-0005-0000-0000-0000590E0000}"/>
    <cellStyle name="20% - 강조색6 32 4" xfId="6750" xr:uid="{00000000-0005-0000-0000-00005A0E0000}"/>
    <cellStyle name="20% - 강조색6 32 5" xfId="6751" xr:uid="{00000000-0005-0000-0000-00005B0E0000}"/>
    <cellStyle name="20% - 강조색6 32 6" xfId="6752" xr:uid="{00000000-0005-0000-0000-00005C0E0000}"/>
    <cellStyle name="20% - 강조색6 32 7" xfId="6753" xr:uid="{00000000-0005-0000-0000-00005D0E0000}"/>
    <cellStyle name="20% - 강조색6 32 8" xfId="6754" xr:uid="{00000000-0005-0000-0000-00005E0E0000}"/>
    <cellStyle name="20% - 강조색6 32 9" xfId="6755" xr:uid="{00000000-0005-0000-0000-00005F0E0000}"/>
    <cellStyle name="20% - 강조색6 33" xfId="498" xr:uid="{00000000-0005-0000-0000-0000600E0000}"/>
    <cellStyle name="20% - 강조색6 33 10" xfId="6756" xr:uid="{00000000-0005-0000-0000-0000610E0000}"/>
    <cellStyle name="20% - 강조색6 33 11" xfId="6757" xr:uid="{00000000-0005-0000-0000-0000620E0000}"/>
    <cellStyle name="20% - 강조색6 33 12" xfId="6758" xr:uid="{00000000-0005-0000-0000-0000630E0000}"/>
    <cellStyle name="20% - 강조색6 33 13" xfId="6759" xr:uid="{00000000-0005-0000-0000-0000640E0000}"/>
    <cellStyle name="20% - 강조색6 33 14" xfId="6760" xr:uid="{00000000-0005-0000-0000-0000650E0000}"/>
    <cellStyle name="20% - 강조색6 33 2" xfId="499" xr:uid="{00000000-0005-0000-0000-0000660E0000}"/>
    <cellStyle name="20% - 강조색6 33 3" xfId="6761" xr:uid="{00000000-0005-0000-0000-0000670E0000}"/>
    <cellStyle name="20% - 강조색6 33 4" xfId="6762" xr:uid="{00000000-0005-0000-0000-0000680E0000}"/>
    <cellStyle name="20% - 강조색6 33 5" xfId="6763" xr:uid="{00000000-0005-0000-0000-0000690E0000}"/>
    <cellStyle name="20% - 강조색6 33 6" xfId="6764" xr:uid="{00000000-0005-0000-0000-00006A0E0000}"/>
    <cellStyle name="20% - 강조색6 33 7" xfId="6765" xr:uid="{00000000-0005-0000-0000-00006B0E0000}"/>
    <cellStyle name="20% - 강조색6 33 8" xfId="6766" xr:uid="{00000000-0005-0000-0000-00006C0E0000}"/>
    <cellStyle name="20% - 강조색6 33 9" xfId="6767" xr:uid="{00000000-0005-0000-0000-00006D0E0000}"/>
    <cellStyle name="20% - 강조색6 34" xfId="500" xr:uid="{00000000-0005-0000-0000-00006E0E0000}"/>
    <cellStyle name="20% - 강조색6 34 10" xfId="6768" xr:uid="{00000000-0005-0000-0000-00006F0E0000}"/>
    <cellStyle name="20% - 강조색6 34 11" xfId="6769" xr:uid="{00000000-0005-0000-0000-0000700E0000}"/>
    <cellStyle name="20% - 강조색6 34 12" xfId="6770" xr:uid="{00000000-0005-0000-0000-0000710E0000}"/>
    <cellStyle name="20% - 강조색6 34 13" xfId="6771" xr:uid="{00000000-0005-0000-0000-0000720E0000}"/>
    <cellStyle name="20% - 강조색6 34 14" xfId="6772" xr:uid="{00000000-0005-0000-0000-0000730E0000}"/>
    <cellStyle name="20% - 강조색6 34 2" xfId="501" xr:uid="{00000000-0005-0000-0000-0000740E0000}"/>
    <cellStyle name="20% - 강조색6 34 3" xfId="6773" xr:uid="{00000000-0005-0000-0000-0000750E0000}"/>
    <cellStyle name="20% - 강조색6 34 4" xfId="6774" xr:uid="{00000000-0005-0000-0000-0000760E0000}"/>
    <cellStyle name="20% - 강조색6 34 5" xfId="6775" xr:uid="{00000000-0005-0000-0000-0000770E0000}"/>
    <cellStyle name="20% - 강조색6 34 6" xfId="6776" xr:uid="{00000000-0005-0000-0000-0000780E0000}"/>
    <cellStyle name="20% - 강조색6 34 7" xfId="6777" xr:uid="{00000000-0005-0000-0000-0000790E0000}"/>
    <cellStyle name="20% - 강조색6 34 8" xfId="6778" xr:uid="{00000000-0005-0000-0000-00007A0E0000}"/>
    <cellStyle name="20% - 강조색6 34 9" xfId="6779" xr:uid="{00000000-0005-0000-0000-00007B0E0000}"/>
    <cellStyle name="20% - 강조색6 35" xfId="502" xr:uid="{00000000-0005-0000-0000-00007C0E0000}"/>
    <cellStyle name="20% - 강조색6 35 10" xfId="6780" xr:uid="{00000000-0005-0000-0000-00007D0E0000}"/>
    <cellStyle name="20% - 강조색6 35 11" xfId="6781" xr:uid="{00000000-0005-0000-0000-00007E0E0000}"/>
    <cellStyle name="20% - 강조색6 35 12" xfId="6782" xr:uid="{00000000-0005-0000-0000-00007F0E0000}"/>
    <cellStyle name="20% - 강조색6 35 13" xfId="6783" xr:uid="{00000000-0005-0000-0000-0000800E0000}"/>
    <cellStyle name="20% - 강조색6 35 14" xfId="6784" xr:uid="{00000000-0005-0000-0000-0000810E0000}"/>
    <cellStyle name="20% - 강조색6 35 2" xfId="503" xr:uid="{00000000-0005-0000-0000-0000820E0000}"/>
    <cellStyle name="20% - 강조색6 35 3" xfId="6785" xr:uid="{00000000-0005-0000-0000-0000830E0000}"/>
    <cellStyle name="20% - 강조색6 35 4" xfId="6786" xr:uid="{00000000-0005-0000-0000-0000840E0000}"/>
    <cellStyle name="20% - 강조색6 35 5" xfId="6787" xr:uid="{00000000-0005-0000-0000-0000850E0000}"/>
    <cellStyle name="20% - 강조색6 35 6" xfId="6788" xr:uid="{00000000-0005-0000-0000-0000860E0000}"/>
    <cellStyle name="20% - 강조색6 35 7" xfId="6789" xr:uid="{00000000-0005-0000-0000-0000870E0000}"/>
    <cellStyle name="20% - 강조색6 35 8" xfId="6790" xr:uid="{00000000-0005-0000-0000-0000880E0000}"/>
    <cellStyle name="20% - 강조색6 35 9" xfId="6791" xr:uid="{00000000-0005-0000-0000-0000890E0000}"/>
    <cellStyle name="20% - 강조색6 36" xfId="504" xr:uid="{00000000-0005-0000-0000-00008A0E0000}"/>
    <cellStyle name="20% - 강조색6 36 10" xfId="6792" xr:uid="{00000000-0005-0000-0000-00008B0E0000}"/>
    <cellStyle name="20% - 강조색6 36 11" xfId="6793" xr:uid="{00000000-0005-0000-0000-00008C0E0000}"/>
    <cellStyle name="20% - 강조색6 36 12" xfId="6794" xr:uid="{00000000-0005-0000-0000-00008D0E0000}"/>
    <cellStyle name="20% - 강조색6 36 13" xfId="6795" xr:uid="{00000000-0005-0000-0000-00008E0E0000}"/>
    <cellStyle name="20% - 강조색6 36 14" xfId="6796" xr:uid="{00000000-0005-0000-0000-00008F0E0000}"/>
    <cellStyle name="20% - 강조색6 36 2" xfId="505" xr:uid="{00000000-0005-0000-0000-0000900E0000}"/>
    <cellStyle name="20% - 강조색6 36 3" xfId="6797" xr:uid="{00000000-0005-0000-0000-0000910E0000}"/>
    <cellStyle name="20% - 강조색6 36 4" xfId="6798" xr:uid="{00000000-0005-0000-0000-0000920E0000}"/>
    <cellStyle name="20% - 강조색6 36 5" xfId="6799" xr:uid="{00000000-0005-0000-0000-0000930E0000}"/>
    <cellStyle name="20% - 강조색6 36 6" xfId="6800" xr:uid="{00000000-0005-0000-0000-0000940E0000}"/>
    <cellStyle name="20% - 강조색6 36 7" xfId="6801" xr:uid="{00000000-0005-0000-0000-0000950E0000}"/>
    <cellStyle name="20% - 강조색6 36 8" xfId="6802" xr:uid="{00000000-0005-0000-0000-0000960E0000}"/>
    <cellStyle name="20% - 강조색6 36 9" xfId="6803" xr:uid="{00000000-0005-0000-0000-0000970E0000}"/>
    <cellStyle name="20% - 강조색6 37" xfId="506" xr:uid="{00000000-0005-0000-0000-0000980E0000}"/>
    <cellStyle name="20% - 강조색6 37 10" xfId="6804" xr:uid="{00000000-0005-0000-0000-0000990E0000}"/>
    <cellStyle name="20% - 강조색6 37 11" xfId="6805" xr:uid="{00000000-0005-0000-0000-00009A0E0000}"/>
    <cellStyle name="20% - 강조색6 37 12" xfId="6806" xr:uid="{00000000-0005-0000-0000-00009B0E0000}"/>
    <cellStyle name="20% - 강조색6 37 13" xfId="6807" xr:uid="{00000000-0005-0000-0000-00009C0E0000}"/>
    <cellStyle name="20% - 강조색6 37 14" xfId="6808" xr:uid="{00000000-0005-0000-0000-00009D0E0000}"/>
    <cellStyle name="20% - 강조색6 37 2" xfId="507" xr:uid="{00000000-0005-0000-0000-00009E0E0000}"/>
    <cellStyle name="20% - 강조색6 37 3" xfId="6809" xr:uid="{00000000-0005-0000-0000-00009F0E0000}"/>
    <cellStyle name="20% - 강조색6 37 4" xfId="6810" xr:uid="{00000000-0005-0000-0000-0000A00E0000}"/>
    <cellStyle name="20% - 강조색6 37 5" xfId="6811" xr:uid="{00000000-0005-0000-0000-0000A10E0000}"/>
    <cellStyle name="20% - 강조색6 37 6" xfId="6812" xr:uid="{00000000-0005-0000-0000-0000A20E0000}"/>
    <cellStyle name="20% - 강조색6 37 7" xfId="6813" xr:uid="{00000000-0005-0000-0000-0000A30E0000}"/>
    <cellStyle name="20% - 강조색6 37 8" xfId="6814" xr:uid="{00000000-0005-0000-0000-0000A40E0000}"/>
    <cellStyle name="20% - 강조색6 37 9" xfId="6815" xr:uid="{00000000-0005-0000-0000-0000A50E0000}"/>
    <cellStyle name="20% - 강조색6 38" xfId="508" xr:uid="{00000000-0005-0000-0000-0000A60E0000}"/>
    <cellStyle name="20% - 강조색6 38 10" xfId="6816" xr:uid="{00000000-0005-0000-0000-0000A70E0000}"/>
    <cellStyle name="20% - 강조색6 38 11" xfId="6817" xr:uid="{00000000-0005-0000-0000-0000A80E0000}"/>
    <cellStyle name="20% - 강조색6 38 12" xfId="6818" xr:uid="{00000000-0005-0000-0000-0000A90E0000}"/>
    <cellStyle name="20% - 강조색6 38 13" xfId="6819" xr:uid="{00000000-0005-0000-0000-0000AA0E0000}"/>
    <cellStyle name="20% - 강조색6 38 14" xfId="6820" xr:uid="{00000000-0005-0000-0000-0000AB0E0000}"/>
    <cellStyle name="20% - 강조색6 38 2" xfId="509" xr:uid="{00000000-0005-0000-0000-0000AC0E0000}"/>
    <cellStyle name="20% - 강조색6 38 3" xfId="6821" xr:uid="{00000000-0005-0000-0000-0000AD0E0000}"/>
    <cellStyle name="20% - 강조색6 38 4" xfId="6822" xr:uid="{00000000-0005-0000-0000-0000AE0E0000}"/>
    <cellStyle name="20% - 강조색6 38 5" xfId="6823" xr:uid="{00000000-0005-0000-0000-0000AF0E0000}"/>
    <cellStyle name="20% - 강조색6 38 6" xfId="6824" xr:uid="{00000000-0005-0000-0000-0000B00E0000}"/>
    <cellStyle name="20% - 강조색6 38 7" xfId="6825" xr:uid="{00000000-0005-0000-0000-0000B10E0000}"/>
    <cellStyle name="20% - 강조색6 38 8" xfId="6826" xr:uid="{00000000-0005-0000-0000-0000B20E0000}"/>
    <cellStyle name="20% - 강조색6 38 9" xfId="6827" xr:uid="{00000000-0005-0000-0000-0000B30E0000}"/>
    <cellStyle name="20% - 강조색6 39" xfId="510" xr:uid="{00000000-0005-0000-0000-0000B40E0000}"/>
    <cellStyle name="20% - 강조색6 39 10" xfId="6828" xr:uid="{00000000-0005-0000-0000-0000B50E0000}"/>
    <cellStyle name="20% - 강조색6 39 11" xfId="6829" xr:uid="{00000000-0005-0000-0000-0000B60E0000}"/>
    <cellStyle name="20% - 강조색6 39 12" xfId="6830" xr:uid="{00000000-0005-0000-0000-0000B70E0000}"/>
    <cellStyle name="20% - 강조색6 39 13" xfId="6831" xr:uid="{00000000-0005-0000-0000-0000B80E0000}"/>
    <cellStyle name="20% - 강조색6 39 14" xfId="6832" xr:uid="{00000000-0005-0000-0000-0000B90E0000}"/>
    <cellStyle name="20% - 강조색6 39 2" xfId="511" xr:uid="{00000000-0005-0000-0000-0000BA0E0000}"/>
    <cellStyle name="20% - 강조색6 39 3" xfId="6833" xr:uid="{00000000-0005-0000-0000-0000BB0E0000}"/>
    <cellStyle name="20% - 강조색6 39 4" xfId="6834" xr:uid="{00000000-0005-0000-0000-0000BC0E0000}"/>
    <cellStyle name="20% - 강조색6 39 5" xfId="6835" xr:uid="{00000000-0005-0000-0000-0000BD0E0000}"/>
    <cellStyle name="20% - 강조색6 39 6" xfId="6836" xr:uid="{00000000-0005-0000-0000-0000BE0E0000}"/>
    <cellStyle name="20% - 강조색6 39 7" xfId="6837" xr:uid="{00000000-0005-0000-0000-0000BF0E0000}"/>
    <cellStyle name="20% - 강조색6 39 8" xfId="6838" xr:uid="{00000000-0005-0000-0000-0000C00E0000}"/>
    <cellStyle name="20% - 강조색6 39 9" xfId="6839" xr:uid="{00000000-0005-0000-0000-0000C10E0000}"/>
    <cellStyle name="20% - 강조색6 4" xfId="512" xr:uid="{00000000-0005-0000-0000-0000C20E0000}"/>
    <cellStyle name="20% - 강조색6 4 10" xfId="6840" xr:uid="{00000000-0005-0000-0000-0000C30E0000}"/>
    <cellStyle name="20% - 강조색6 4 11" xfId="6841" xr:uid="{00000000-0005-0000-0000-0000C40E0000}"/>
    <cellStyle name="20% - 강조색6 4 12" xfId="6842" xr:uid="{00000000-0005-0000-0000-0000C50E0000}"/>
    <cellStyle name="20% - 강조색6 4 13" xfId="6843" xr:uid="{00000000-0005-0000-0000-0000C60E0000}"/>
    <cellStyle name="20% - 강조색6 4 14" xfId="6844" xr:uid="{00000000-0005-0000-0000-0000C70E0000}"/>
    <cellStyle name="20% - 강조색6 4 15" xfId="27856" xr:uid="{00000000-0005-0000-0000-0000C80E0000}"/>
    <cellStyle name="20% - 강조색6 4 2" xfId="513" xr:uid="{00000000-0005-0000-0000-0000C90E0000}"/>
    <cellStyle name="20% - 강조색6 4 3" xfId="6845" xr:uid="{00000000-0005-0000-0000-0000CA0E0000}"/>
    <cellStyle name="20% - 강조색6 4 4" xfId="6846" xr:uid="{00000000-0005-0000-0000-0000CB0E0000}"/>
    <cellStyle name="20% - 강조색6 4 5" xfId="6847" xr:uid="{00000000-0005-0000-0000-0000CC0E0000}"/>
    <cellStyle name="20% - 강조색6 4 6" xfId="6848" xr:uid="{00000000-0005-0000-0000-0000CD0E0000}"/>
    <cellStyle name="20% - 강조색6 4 7" xfId="6849" xr:uid="{00000000-0005-0000-0000-0000CE0E0000}"/>
    <cellStyle name="20% - 강조색6 4 8" xfId="6850" xr:uid="{00000000-0005-0000-0000-0000CF0E0000}"/>
    <cellStyle name="20% - 강조색6 4 9" xfId="6851" xr:uid="{00000000-0005-0000-0000-0000D00E0000}"/>
    <cellStyle name="20% - 강조색6 40" xfId="514" xr:uid="{00000000-0005-0000-0000-0000D10E0000}"/>
    <cellStyle name="20% - 강조색6 40 10" xfId="6852" xr:uid="{00000000-0005-0000-0000-0000D20E0000}"/>
    <cellStyle name="20% - 강조색6 40 11" xfId="6853" xr:uid="{00000000-0005-0000-0000-0000D30E0000}"/>
    <cellStyle name="20% - 강조색6 40 12" xfId="6854" xr:uid="{00000000-0005-0000-0000-0000D40E0000}"/>
    <cellStyle name="20% - 강조색6 40 13" xfId="6855" xr:uid="{00000000-0005-0000-0000-0000D50E0000}"/>
    <cellStyle name="20% - 강조색6 40 14" xfId="6856" xr:uid="{00000000-0005-0000-0000-0000D60E0000}"/>
    <cellStyle name="20% - 강조색6 40 2" xfId="515" xr:uid="{00000000-0005-0000-0000-0000D70E0000}"/>
    <cellStyle name="20% - 강조색6 40 3" xfId="6857" xr:uid="{00000000-0005-0000-0000-0000D80E0000}"/>
    <cellStyle name="20% - 강조색6 40 4" xfId="6858" xr:uid="{00000000-0005-0000-0000-0000D90E0000}"/>
    <cellStyle name="20% - 강조색6 40 5" xfId="6859" xr:uid="{00000000-0005-0000-0000-0000DA0E0000}"/>
    <cellStyle name="20% - 강조색6 40 6" xfId="6860" xr:uid="{00000000-0005-0000-0000-0000DB0E0000}"/>
    <cellStyle name="20% - 강조색6 40 7" xfId="6861" xr:uid="{00000000-0005-0000-0000-0000DC0E0000}"/>
    <cellStyle name="20% - 강조색6 40 8" xfId="6862" xr:uid="{00000000-0005-0000-0000-0000DD0E0000}"/>
    <cellStyle name="20% - 강조색6 40 9" xfId="6863" xr:uid="{00000000-0005-0000-0000-0000DE0E0000}"/>
    <cellStyle name="20% - 강조색6 41" xfId="516" xr:uid="{00000000-0005-0000-0000-0000DF0E0000}"/>
    <cellStyle name="20% - 강조색6 41 10" xfId="6864" xr:uid="{00000000-0005-0000-0000-0000E00E0000}"/>
    <cellStyle name="20% - 강조색6 41 11" xfId="6865" xr:uid="{00000000-0005-0000-0000-0000E10E0000}"/>
    <cellStyle name="20% - 강조색6 41 12" xfId="6866" xr:uid="{00000000-0005-0000-0000-0000E20E0000}"/>
    <cellStyle name="20% - 강조색6 41 13" xfId="6867" xr:uid="{00000000-0005-0000-0000-0000E30E0000}"/>
    <cellStyle name="20% - 강조색6 41 14" xfId="6868" xr:uid="{00000000-0005-0000-0000-0000E40E0000}"/>
    <cellStyle name="20% - 강조색6 41 2" xfId="517" xr:uid="{00000000-0005-0000-0000-0000E50E0000}"/>
    <cellStyle name="20% - 강조색6 41 3" xfId="6869" xr:uid="{00000000-0005-0000-0000-0000E60E0000}"/>
    <cellStyle name="20% - 강조색6 41 4" xfId="6870" xr:uid="{00000000-0005-0000-0000-0000E70E0000}"/>
    <cellStyle name="20% - 강조색6 41 5" xfId="6871" xr:uid="{00000000-0005-0000-0000-0000E80E0000}"/>
    <cellStyle name="20% - 강조색6 41 6" xfId="6872" xr:uid="{00000000-0005-0000-0000-0000E90E0000}"/>
    <cellStyle name="20% - 강조색6 41 7" xfId="6873" xr:uid="{00000000-0005-0000-0000-0000EA0E0000}"/>
    <cellStyle name="20% - 강조색6 41 8" xfId="6874" xr:uid="{00000000-0005-0000-0000-0000EB0E0000}"/>
    <cellStyle name="20% - 강조색6 41 9" xfId="6875" xr:uid="{00000000-0005-0000-0000-0000EC0E0000}"/>
    <cellStyle name="20% - 강조색6 42" xfId="518" xr:uid="{00000000-0005-0000-0000-0000ED0E0000}"/>
    <cellStyle name="20% - 강조색6 42 10" xfId="6876" xr:uid="{00000000-0005-0000-0000-0000EE0E0000}"/>
    <cellStyle name="20% - 강조색6 42 11" xfId="6877" xr:uid="{00000000-0005-0000-0000-0000EF0E0000}"/>
    <cellStyle name="20% - 강조색6 42 12" xfId="6878" xr:uid="{00000000-0005-0000-0000-0000F00E0000}"/>
    <cellStyle name="20% - 강조색6 42 13" xfId="6879" xr:uid="{00000000-0005-0000-0000-0000F10E0000}"/>
    <cellStyle name="20% - 강조색6 42 14" xfId="6880" xr:uid="{00000000-0005-0000-0000-0000F20E0000}"/>
    <cellStyle name="20% - 강조색6 42 2" xfId="519" xr:uid="{00000000-0005-0000-0000-0000F30E0000}"/>
    <cellStyle name="20% - 강조색6 42 3" xfId="6881" xr:uid="{00000000-0005-0000-0000-0000F40E0000}"/>
    <cellStyle name="20% - 강조색6 42 4" xfId="6882" xr:uid="{00000000-0005-0000-0000-0000F50E0000}"/>
    <cellStyle name="20% - 강조색6 42 5" xfId="6883" xr:uid="{00000000-0005-0000-0000-0000F60E0000}"/>
    <cellStyle name="20% - 강조색6 42 6" xfId="6884" xr:uid="{00000000-0005-0000-0000-0000F70E0000}"/>
    <cellStyle name="20% - 강조색6 42 7" xfId="6885" xr:uid="{00000000-0005-0000-0000-0000F80E0000}"/>
    <cellStyle name="20% - 강조색6 42 8" xfId="6886" xr:uid="{00000000-0005-0000-0000-0000F90E0000}"/>
    <cellStyle name="20% - 강조색6 42 9" xfId="6887" xr:uid="{00000000-0005-0000-0000-0000FA0E0000}"/>
    <cellStyle name="20% - 강조색6 43" xfId="520" xr:uid="{00000000-0005-0000-0000-0000FB0E0000}"/>
    <cellStyle name="20% - 강조색6 43 10" xfId="6888" xr:uid="{00000000-0005-0000-0000-0000FC0E0000}"/>
    <cellStyle name="20% - 강조색6 43 11" xfId="6889" xr:uid="{00000000-0005-0000-0000-0000FD0E0000}"/>
    <cellStyle name="20% - 강조색6 43 12" xfId="6890" xr:uid="{00000000-0005-0000-0000-0000FE0E0000}"/>
    <cellStyle name="20% - 강조색6 43 13" xfId="6891" xr:uid="{00000000-0005-0000-0000-0000FF0E0000}"/>
    <cellStyle name="20% - 강조색6 43 14" xfId="6892" xr:uid="{00000000-0005-0000-0000-0000000F0000}"/>
    <cellStyle name="20% - 강조색6 43 2" xfId="521" xr:uid="{00000000-0005-0000-0000-0000010F0000}"/>
    <cellStyle name="20% - 강조색6 43 3" xfId="6893" xr:uid="{00000000-0005-0000-0000-0000020F0000}"/>
    <cellStyle name="20% - 강조색6 43 4" xfId="6894" xr:uid="{00000000-0005-0000-0000-0000030F0000}"/>
    <cellStyle name="20% - 강조색6 43 5" xfId="6895" xr:uid="{00000000-0005-0000-0000-0000040F0000}"/>
    <cellStyle name="20% - 강조색6 43 6" xfId="6896" xr:uid="{00000000-0005-0000-0000-0000050F0000}"/>
    <cellStyle name="20% - 강조색6 43 7" xfId="6897" xr:uid="{00000000-0005-0000-0000-0000060F0000}"/>
    <cellStyle name="20% - 강조색6 43 8" xfId="6898" xr:uid="{00000000-0005-0000-0000-0000070F0000}"/>
    <cellStyle name="20% - 강조색6 43 9" xfId="6899" xr:uid="{00000000-0005-0000-0000-0000080F0000}"/>
    <cellStyle name="20% - 강조색6 44" xfId="522" xr:uid="{00000000-0005-0000-0000-0000090F0000}"/>
    <cellStyle name="20% - 강조색6 45" xfId="523" xr:uid="{00000000-0005-0000-0000-00000A0F0000}"/>
    <cellStyle name="20% - 강조색6 46" xfId="447" xr:uid="{00000000-0005-0000-0000-00000B0F0000}"/>
    <cellStyle name="20% - 강조색6 5" xfId="524" xr:uid="{00000000-0005-0000-0000-00000C0F0000}"/>
    <cellStyle name="20% - 강조색6 5 10" xfId="6900" xr:uid="{00000000-0005-0000-0000-00000D0F0000}"/>
    <cellStyle name="20% - 강조색6 5 11" xfId="6901" xr:uid="{00000000-0005-0000-0000-00000E0F0000}"/>
    <cellStyle name="20% - 강조색6 5 12" xfId="6902" xr:uid="{00000000-0005-0000-0000-00000F0F0000}"/>
    <cellStyle name="20% - 강조색6 5 13" xfId="6903" xr:uid="{00000000-0005-0000-0000-0000100F0000}"/>
    <cellStyle name="20% - 강조색6 5 14" xfId="6904" xr:uid="{00000000-0005-0000-0000-0000110F0000}"/>
    <cellStyle name="20% - 강조색6 5 2" xfId="525" xr:uid="{00000000-0005-0000-0000-0000120F0000}"/>
    <cellStyle name="20% - 강조색6 5 3" xfId="6905" xr:uid="{00000000-0005-0000-0000-0000130F0000}"/>
    <cellStyle name="20% - 강조색6 5 4" xfId="6906" xr:uid="{00000000-0005-0000-0000-0000140F0000}"/>
    <cellStyle name="20% - 강조색6 5 5" xfId="6907" xr:uid="{00000000-0005-0000-0000-0000150F0000}"/>
    <cellStyle name="20% - 강조색6 5 6" xfId="6908" xr:uid="{00000000-0005-0000-0000-0000160F0000}"/>
    <cellStyle name="20% - 강조색6 5 7" xfId="6909" xr:uid="{00000000-0005-0000-0000-0000170F0000}"/>
    <cellStyle name="20% - 강조색6 5 8" xfId="6910" xr:uid="{00000000-0005-0000-0000-0000180F0000}"/>
    <cellStyle name="20% - 강조색6 5 9" xfId="6911" xr:uid="{00000000-0005-0000-0000-0000190F0000}"/>
    <cellStyle name="20% - 강조색6 6" xfId="526" xr:uid="{00000000-0005-0000-0000-00001A0F0000}"/>
    <cellStyle name="20% - 강조색6 6 10" xfId="6912" xr:uid="{00000000-0005-0000-0000-00001B0F0000}"/>
    <cellStyle name="20% - 강조색6 6 11" xfId="6913" xr:uid="{00000000-0005-0000-0000-00001C0F0000}"/>
    <cellStyle name="20% - 강조색6 6 12" xfId="6914" xr:uid="{00000000-0005-0000-0000-00001D0F0000}"/>
    <cellStyle name="20% - 강조색6 6 13" xfId="6915" xr:uid="{00000000-0005-0000-0000-00001E0F0000}"/>
    <cellStyle name="20% - 강조색6 6 14" xfId="6916" xr:uid="{00000000-0005-0000-0000-00001F0F0000}"/>
    <cellStyle name="20% - 강조색6 6 2" xfId="527" xr:uid="{00000000-0005-0000-0000-0000200F0000}"/>
    <cellStyle name="20% - 강조색6 6 3" xfId="6917" xr:uid="{00000000-0005-0000-0000-0000210F0000}"/>
    <cellStyle name="20% - 강조색6 6 4" xfId="6918" xr:uid="{00000000-0005-0000-0000-0000220F0000}"/>
    <cellStyle name="20% - 강조색6 6 5" xfId="6919" xr:uid="{00000000-0005-0000-0000-0000230F0000}"/>
    <cellStyle name="20% - 강조색6 6 6" xfId="6920" xr:uid="{00000000-0005-0000-0000-0000240F0000}"/>
    <cellStyle name="20% - 강조색6 6 7" xfId="6921" xr:uid="{00000000-0005-0000-0000-0000250F0000}"/>
    <cellStyle name="20% - 강조색6 6 8" xfId="6922" xr:uid="{00000000-0005-0000-0000-0000260F0000}"/>
    <cellStyle name="20% - 강조색6 6 9" xfId="6923" xr:uid="{00000000-0005-0000-0000-0000270F0000}"/>
    <cellStyle name="20% - 강조색6 7" xfId="528" xr:uid="{00000000-0005-0000-0000-0000280F0000}"/>
    <cellStyle name="20% - 강조색6 7 10" xfId="6924" xr:uid="{00000000-0005-0000-0000-0000290F0000}"/>
    <cellStyle name="20% - 강조색6 7 11" xfId="6925" xr:uid="{00000000-0005-0000-0000-00002A0F0000}"/>
    <cellStyle name="20% - 강조색6 7 12" xfId="6926" xr:uid="{00000000-0005-0000-0000-00002B0F0000}"/>
    <cellStyle name="20% - 강조색6 7 13" xfId="6927" xr:uid="{00000000-0005-0000-0000-00002C0F0000}"/>
    <cellStyle name="20% - 강조색6 7 14" xfId="6928" xr:uid="{00000000-0005-0000-0000-00002D0F0000}"/>
    <cellStyle name="20% - 강조색6 7 2" xfId="529" xr:uid="{00000000-0005-0000-0000-00002E0F0000}"/>
    <cellStyle name="20% - 강조색6 7 3" xfId="6929" xr:uid="{00000000-0005-0000-0000-00002F0F0000}"/>
    <cellStyle name="20% - 강조색6 7 4" xfId="6930" xr:uid="{00000000-0005-0000-0000-0000300F0000}"/>
    <cellStyle name="20% - 강조색6 7 5" xfId="6931" xr:uid="{00000000-0005-0000-0000-0000310F0000}"/>
    <cellStyle name="20% - 강조색6 7 6" xfId="6932" xr:uid="{00000000-0005-0000-0000-0000320F0000}"/>
    <cellStyle name="20% - 강조색6 7 7" xfId="6933" xr:uid="{00000000-0005-0000-0000-0000330F0000}"/>
    <cellStyle name="20% - 강조색6 7 8" xfId="6934" xr:uid="{00000000-0005-0000-0000-0000340F0000}"/>
    <cellStyle name="20% - 강조색6 7 9" xfId="6935" xr:uid="{00000000-0005-0000-0000-0000350F0000}"/>
    <cellStyle name="20% - 강조색6 8" xfId="530" xr:uid="{00000000-0005-0000-0000-0000360F0000}"/>
    <cellStyle name="20% - 강조색6 8 10" xfId="6936" xr:uid="{00000000-0005-0000-0000-0000370F0000}"/>
    <cellStyle name="20% - 강조색6 8 11" xfId="6937" xr:uid="{00000000-0005-0000-0000-0000380F0000}"/>
    <cellStyle name="20% - 강조색6 8 12" xfId="6938" xr:uid="{00000000-0005-0000-0000-0000390F0000}"/>
    <cellStyle name="20% - 강조색6 8 13" xfId="6939" xr:uid="{00000000-0005-0000-0000-00003A0F0000}"/>
    <cellStyle name="20% - 강조색6 8 14" xfId="6940" xr:uid="{00000000-0005-0000-0000-00003B0F0000}"/>
    <cellStyle name="20% - 강조색6 8 2" xfId="531" xr:uid="{00000000-0005-0000-0000-00003C0F0000}"/>
    <cellStyle name="20% - 강조색6 8 3" xfId="6941" xr:uid="{00000000-0005-0000-0000-00003D0F0000}"/>
    <cellStyle name="20% - 강조색6 8 4" xfId="6942" xr:uid="{00000000-0005-0000-0000-00003E0F0000}"/>
    <cellStyle name="20% - 강조색6 8 5" xfId="6943" xr:uid="{00000000-0005-0000-0000-00003F0F0000}"/>
    <cellStyle name="20% - 강조색6 8 6" xfId="6944" xr:uid="{00000000-0005-0000-0000-0000400F0000}"/>
    <cellStyle name="20% - 강조색6 8 7" xfId="6945" xr:uid="{00000000-0005-0000-0000-0000410F0000}"/>
    <cellStyle name="20% - 강조색6 8 8" xfId="6946" xr:uid="{00000000-0005-0000-0000-0000420F0000}"/>
    <cellStyle name="20% - 강조색6 8 9" xfId="6947" xr:uid="{00000000-0005-0000-0000-0000430F0000}"/>
    <cellStyle name="20% - 강조색6 9" xfId="532" xr:uid="{00000000-0005-0000-0000-0000440F0000}"/>
    <cellStyle name="20% - 강조색6 9 10" xfId="6948" xr:uid="{00000000-0005-0000-0000-0000450F0000}"/>
    <cellStyle name="20% - 강조색6 9 11" xfId="6949" xr:uid="{00000000-0005-0000-0000-0000460F0000}"/>
    <cellStyle name="20% - 강조색6 9 12" xfId="6950" xr:uid="{00000000-0005-0000-0000-0000470F0000}"/>
    <cellStyle name="20% - 강조색6 9 13" xfId="6951" xr:uid="{00000000-0005-0000-0000-0000480F0000}"/>
    <cellStyle name="20% - 강조색6 9 14" xfId="6952" xr:uid="{00000000-0005-0000-0000-0000490F0000}"/>
    <cellStyle name="20% - 강조색6 9 2" xfId="533" xr:uid="{00000000-0005-0000-0000-00004A0F0000}"/>
    <cellStyle name="20% - 강조색6 9 3" xfId="6953" xr:uid="{00000000-0005-0000-0000-00004B0F0000}"/>
    <cellStyle name="20% - 강조색6 9 4" xfId="6954" xr:uid="{00000000-0005-0000-0000-00004C0F0000}"/>
    <cellStyle name="20% - 강조색6 9 5" xfId="6955" xr:uid="{00000000-0005-0000-0000-00004D0F0000}"/>
    <cellStyle name="20% - 강조색6 9 6" xfId="6956" xr:uid="{00000000-0005-0000-0000-00004E0F0000}"/>
    <cellStyle name="20% - 강조색6 9 7" xfId="6957" xr:uid="{00000000-0005-0000-0000-00004F0F0000}"/>
    <cellStyle name="20% - 강조색6 9 8" xfId="6958" xr:uid="{00000000-0005-0000-0000-0000500F0000}"/>
    <cellStyle name="20% - 강조색6 9 9" xfId="6959" xr:uid="{00000000-0005-0000-0000-0000510F0000}"/>
    <cellStyle name="³¯â¥" xfId="27938" xr:uid="{00000000-0005-0000-0000-0000520F0000}"/>
    <cellStyle name="40% - Accent1" xfId="27782" xr:uid="{00000000-0005-0000-0000-0000530F0000}"/>
    <cellStyle name="40% - Accent2" xfId="27781" xr:uid="{00000000-0005-0000-0000-0000540F0000}"/>
    <cellStyle name="40% - Accent3" xfId="27780" xr:uid="{00000000-0005-0000-0000-0000550F0000}"/>
    <cellStyle name="40% - Accent4" xfId="27779" xr:uid="{00000000-0005-0000-0000-0000560F0000}"/>
    <cellStyle name="40% - Accent5" xfId="27778" xr:uid="{00000000-0005-0000-0000-0000570F0000}"/>
    <cellStyle name="40% - Accent6" xfId="27777" xr:uid="{00000000-0005-0000-0000-0000580F0000}"/>
    <cellStyle name="40% - 강조색1 10" xfId="535" xr:uid="{00000000-0005-0000-0000-0000590F0000}"/>
    <cellStyle name="40% - 강조색1 10 10" xfId="6960" xr:uid="{00000000-0005-0000-0000-00005A0F0000}"/>
    <cellStyle name="40% - 강조색1 10 11" xfId="6961" xr:uid="{00000000-0005-0000-0000-00005B0F0000}"/>
    <cellStyle name="40% - 강조색1 10 12" xfId="6962" xr:uid="{00000000-0005-0000-0000-00005C0F0000}"/>
    <cellStyle name="40% - 강조색1 10 13" xfId="6963" xr:uid="{00000000-0005-0000-0000-00005D0F0000}"/>
    <cellStyle name="40% - 강조색1 10 14" xfId="6964" xr:uid="{00000000-0005-0000-0000-00005E0F0000}"/>
    <cellStyle name="40% - 강조색1 10 2" xfId="536" xr:uid="{00000000-0005-0000-0000-00005F0F0000}"/>
    <cellStyle name="40% - 강조색1 10 3" xfId="6965" xr:uid="{00000000-0005-0000-0000-0000600F0000}"/>
    <cellStyle name="40% - 강조색1 10 4" xfId="6966" xr:uid="{00000000-0005-0000-0000-0000610F0000}"/>
    <cellStyle name="40% - 강조색1 10 5" xfId="6967" xr:uid="{00000000-0005-0000-0000-0000620F0000}"/>
    <cellStyle name="40% - 강조색1 10 6" xfId="6968" xr:uid="{00000000-0005-0000-0000-0000630F0000}"/>
    <cellStyle name="40% - 강조색1 10 7" xfId="6969" xr:uid="{00000000-0005-0000-0000-0000640F0000}"/>
    <cellStyle name="40% - 강조색1 10 8" xfId="6970" xr:uid="{00000000-0005-0000-0000-0000650F0000}"/>
    <cellStyle name="40% - 강조색1 10 9" xfId="6971" xr:uid="{00000000-0005-0000-0000-0000660F0000}"/>
    <cellStyle name="40% - 강조색1 11" xfId="537" xr:uid="{00000000-0005-0000-0000-0000670F0000}"/>
    <cellStyle name="40% - 강조색1 11 10" xfId="6972" xr:uid="{00000000-0005-0000-0000-0000680F0000}"/>
    <cellStyle name="40% - 강조색1 11 11" xfId="6973" xr:uid="{00000000-0005-0000-0000-0000690F0000}"/>
    <cellStyle name="40% - 강조색1 11 12" xfId="6974" xr:uid="{00000000-0005-0000-0000-00006A0F0000}"/>
    <cellStyle name="40% - 강조색1 11 13" xfId="6975" xr:uid="{00000000-0005-0000-0000-00006B0F0000}"/>
    <cellStyle name="40% - 강조색1 11 14" xfId="6976" xr:uid="{00000000-0005-0000-0000-00006C0F0000}"/>
    <cellStyle name="40% - 강조색1 11 2" xfId="538" xr:uid="{00000000-0005-0000-0000-00006D0F0000}"/>
    <cellStyle name="40% - 강조색1 11 3" xfId="6977" xr:uid="{00000000-0005-0000-0000-00006E0F0000}"/>
    <cellStyle name="40% - 강조색1 11 4" xfId="6978" xr:uid="{00000000-0005-0000-0000-00006F0F0000}"/>
    <cellStyle name="40% - 강조색1 11 5" xfId="6979" xr:uid="{00000000-0005-0000-0000-0000700F0000}"/>
    <cellStyle name="40% - 강조색1 11 6" xfId="3595" xr:uid="{00000000-0005-0000-0000-0000710F0000}"/>
    <cellStyle name="40% - 강조색1 11 7" xfId="3594" xr:uid="{00000000-0005-0000-0000-0000720F0000}"/>
    <cellStyle name="40% - 강조색1 11 8" xfId="3593" xr:uid="{00000000-0005-0000-0000-0000730F0000}"/>
    <cellStyle name="40% - 강조색1 11 9" xfId="3592" xr:uid="{00000000-0005-0000-0000-0000740F0000}"/>
    <cellStyle name="40% - 강조색1 12" xfId="539" xr:uid="{00000000-0005-0000-0000-0000750F0000}"/>
    <cellStyle name="40% - 강조색1 12 10" xfId="3591" xr:uid="{00000000-0005-0000-0000-0000760F0000}"/>
    <cellStyle name="40% - 강조색1 12 11" xfId="3590" xr:uid="{00000000-0005-0000-0000-0000770F0000}"/>
    <cellStyle name="40% - 강조색1 12 12" xfId="6980" xr:uid="{00000000-0005-0000-0000-0000780F0000}"/>
    <cellStyle name="40% - 강조색1 12 13" xfId="6981" xr:uid="{00000000-0005-0000-0000-0000790F0000}"/>
    <cellStyle name="40% - 강조색1 12 14" xfId="6989" xr:uid="{00000000-0005-0000-0000-00007A0F0000}"/>
    <cellStyle name="40% - 강조색1 12 2" xfId="540" xr:uid="{00000000-0005-0000-0000-00007B0F0000}"/>
    <cellStyle name="40% - 강조색1 12 3" xfId="6990" xr:uid="{00000000-0005-0000-0000-00007C0F0000}"/>
    <cellStyle name="40% - 강조색1 12 4" xfId="6991" xr:uid="{00000000-0005-0000-0000-00007D0F0000}"/>
    <cellStyle name="40% - 강조색1 12 5" xfId="6992" xr:uid="{00000000-0005-0000-0000-00007E0F0000}"/>
    <cellStyle name="40% - 강조색1 12 6" xfId="6993" xr:uid="{00000000-0005-0000-0000-00007F0F0000}"/>
    <cellStyle name="40% - 강조색1 12 7" xfId="6994" xr:uid="{00000000-0005-0000-0000-0000800F0000}"/>
    <cellStyle name="40% - 강조색1 12 8" xfId="6995" xr:uid="{00000000-0005-0000-0000-0000810F0000}"/>
    <cellStyle name="40% - 강조색1 12 9" xfId="6996" xr:uid="{00000000-0005-0000-0000-0000820F0000}"/>
    <cellStyle name="40% - 강조색1 13" xfId="541" xr:uid="{00000000-0005-0000-0000-0000830F0000}"/>
    <cellStyle name="40% - 강조색1 13 10" xfId="6997" xr:uid="{00000000-0005-0000-0000-0000840F0000}"/>
    <cellStyle name="40% - 강조색1 13 11" xfId="6998" xr:uid="{00000000-0005-0000-0000-0000850F0000}"/>
    <cellStyle name="40% - 강조색1 13 12" xfId="6999" xr:uid="{00000000-0005-0000-0000-0000860F0000}"/>
    <cellStyle name="40% - 강조색1 13 13" xfId="7000" xr:uid="{00000000-0005-0000-0000-0000870F0000}"/>
    <cellStyle name="40% - 강조색1 13 14" xfId="7001" xr:uid="{00000000-0005-0000-0000-0000880F0000}"/>
    <cellStyle name="40% - 강조색1 13 2" xfId="542" xr:uid="{00000000-0005-0000-0000-0000890F0000}"/>
    <cellStyle name="40% - 강조색1 13 3" xfId="7002" xr:uid="{00000000-0005-0000-0000-00008A0F0000}"/>
    <cellStyle name="40% - 강조색1 13 4" xfId="7003" xr:uid="{00000000-0005-0000-0000-00008B0F0000}"/>
    <cellStyle name="40% - 강조색1 13 5" xfId="7004" xr:uid="{00000000-0005-0000-0000-00008C0F0000}"/>
    <cellStyle name="40% - 강조색1 13 6" xfId="7005" xr:uid="{00000000-0005-0000-0000-00008D0F0000}"/>
    <cellStyle name="40% - 강조색1 13 7" xfId="7006" xr:uid="{00000000-0005-0000-0000-00008E0F0000}"/>
    <cellStyle name="40% - 강조색1 13 8" xfId="7007" xr:uid="{00000000-0005-0000-0000-00008F0F0000}"/>
    <cellStyle name="40% - 강조색1 13 9" xfId="7008" xr:uid="{00000000-0005-0000-0000-0000900F0000}"/>
    <cellStyle name="40% - 강조색1 14" xfId="543" xr:uid="{00000000-0005-0000-0000-0000910F0000}"/>
    <cellStyle name="40% - 강조색1 14 10" xfId="7009" xr:uid="{00000000-0005-0000-0000-0000920F0000}"/>
    <cellStyle name="40% - 강조색1 14 11" xfId="7010" xr:uid="{00000000-0005-0000-0000-0000930F0000}"/>
    <cellStyle name="40% - 강조색1 14 12" xfId="7011" xr:uid="{00000000-0005-0000-0000-0000940F0000}"/>
    <cellStyle name="40% - 강조색1 14 13" xfId="7012" xr:uid="{00000000-0005-0000-0000-0000950F0000}"/>
    <cellStyle name="40% - 강조색1 14 14" xfId="7013" xr:uid="{00000000-0005-0000-0000-0000960F0000}"/>
    <cellStyle name="40% - 강조색1 14 2" xfId="544" xr:uid="{00000000-0005-0000-0000-0000970F0000}"/>
    <cellStyle name="40% - 강조색1 14 3" xfId="7014" xr:uid="{00000000-0005-0000-0000-0000980F0000}"/>
    <cellStyle name="40% - 강조색1 14 4" xfId="7015" xr:uid="{00000000-0005-0000-0000-0000990F0000}"/>
    <cellStyle name="40% - 강조색1 14 5" xfId="7016" xr:uid="{00000000-0005-0000-0000-00009A0F0000}"/>
    <cellStyle name="40% - 강조색1 14 6" xfId="7017" xr:uid="{00000000-0005-0000-0000-00009B0F0000}"/>
    <cellStyle name="40% - 강조색1 14 7" xfId="7018" xr:uid="{00000000-0005-0000-0000-00009C0F0000}"/>
    <cellStyle name="40% - 강조색1 14 8" xfId="7019" xr:uid="{00000000-0005-0000-0000-00009D0F0000}"/>
    <cellStyle name="40% - 강조색1 14 9" xfId="7020" xr:uid="{00000000-0005-0000-0000-00009E0F0000}"/>
    <cellStyle name="40% - 강조색1 15" xfId="545" xr:uid="{00000000-0005-0000-0000-00009F0F0000}"/>
    <cellStyle name="40% - 강조색1 15 10" xfId="7021" xr:uid="{00000000-0005-0000-0000-0000A00F0000}"/>
    <cellStyle name="40% - 강조색1 15 11" xfId="7022" xr:uid="{00000000-0005-0000-0000-0000A10F0000}"/>
    <cellStyle name="40% - 강조색1 15 12" xfId="7023" xr:uid="{00000000-0005-0000-0000-0000A20F0000}"/>
    <cellStyle name="40% - 강조색1 15 13" xfId="7024" xr:uid="{00000000-0005-0000-0000-0000A30F0000}"/>
    <cellStyle name="40% - 강조색1 15 14" xfId="7025" xr:uid="{00000000-0005-0000-0000-0000A40F0000}"/>
    <cellStyle name="40% - 강조색1 15 2" xfId="546" xr:uid="{00000000-0005-0000-0000-0000A50F0000}"/>
    <cellStyle name="40% - 강조색1 15 3" xfId="7026" xr:uid="{00000000-0005-0000-0000-0000A60F0000}"/>
    <cellStyle name="40% - 강조색1 15 4" xfId="7027" xr:uid="{00000000-0005-0000-0000-0000A70F0000}"/>
    <cellStyle name="40% - 강조색1 15 5" xfId="7028" xr:uid="{00000000-0005-0000-0000-0000A80F0000}"/>
    <cellStyle name="40% - 강조색1 15 6" xfId="7029" xr:uid="{00000000-0005-0000-0000-0000A90F0000}"/>
    <cellStyle name="40% - 강조색1 15 7" xfId="7030" xr:uid="{00000000-0005-0000-0000-0000AA0F0000}"/>
    <cellStyle name="40% - 강조색1 15 8" xfId="7031" xr:uid="{00000000-0005-0000-0000-0000AB0F0000}"/>
    <cellStyle name="40% - 강조색1 15 9" xfId="7032" xr:uid="{00000000-0005-0000-0000-0000AC0F0000}"/>
    <cellStyle name="40% - 강조색1 16" xfId="547" xr:uid="{00000000-0005-0000-0000-0000AD0F0000}"/>
    <cellStyle name="40% - 강조색1 16 10" xfId="7033" xr:uid="{00000000-0005-0000-0000-0000AE0F0000}"/>
    <cellStyle name="40% - 강조색1 16 11" xfId="7034" xr:uid="{00000000-0005-0000-0000-0000AF0F0000}"/>
    <cellStyle name="40% - 강조색1 16 12" xfId="7035" xr:uid="{00000000-0005-0000-0000-0000B00F0000}"/>
    <cellStyle name="40% - 강조색1 16 13" xfId="7036" xr:uid="{00000000-0005-0000-0000-0000B10F0000}"/>
    <cellStyle name="40% - 강조색1 16 14" xfId="7037" xr:uid="{00000000-0005-0000-0000-0000B20F0000}"/>
    <cellStyle name="40% - 강조색1 16 2" xfId="548" xr:uid="{00000000-0005-0000-0000-0000B30F0000}"/>
    <cellStyle name="40% - 강조색1 16 3" xfId="7038" xr:uid="{00000000-0005-0000-0000-0000B40F0000}"/>
    <cellStyle name="40% - 강조색1 16 4" xfId="7039" xr:uid="{00000000-0005-0000-0000-0000B50F0000}"/>
    <cellStyle name="40% - 강조색1 16 5" xfId="7040" xr:uid="{00000000-0005-0000-0000-0000B60F0000}"/>
    <cellStyle name="40% - 강조색1 16 6" xfId="7041" xr:uid="{00000000-0005-0000-0000-0000B70F0000}"/>
    <cellStyle name="40% - 강조색1 16 7" xfId="7042" xr:uid="{00000000-0005-0000-0000-0000B80F0000}"/>
    <cellStyle name="40% - 강조색1 16 8" xfId="7043" xr:uid="{00000000-0005-0000-0000-0000B90F0000}"/>
    <cellStyle name="40% - 강조색1 16 9" xfId="7044" xr:uid="{00000000-0005-0000-0000-0000BA0F0000}"/>
    <cellStyle name="40% - 강조색1 17" xfId="549" xr:uid="{00000000-0005-0000-0000-0000BB0F0000}"/>
    <cellStyle name="40% - 강조색1 17 10" xfId="7045" xr:uid="{00000000-0005-0000-0000-0000BC0F0000}"/>
    <cellStyle name="40% - 강조색1 17 11" xfId="7046" xr:uid="{00000000-0005-0000-0000-0000BD0F0000}"/>
    <cellStyle name="40% - 강조색1 17 12" xfId="7047" xr:uid="{00000000-0005-0000-0000-0000BE0F0000}"/>
    <cellStyle name="40% - 강조색1 17 13" xfId="7048" xr:uid="{00000000-0005-0000-0000-0000BF0F0000}"/>
    <cellStyle name="40% - 강조색1 17 14" xfId="7049" xr:uid="{00000000-0005-0000-0000-0000C00F0000}"/>
    <cellStyle name="40% - 강조색1 17 2" xfId="550" xr:uid="{00000000-0005-0000-0000-0000C10F0000}"/>
    <cellStyle name="40% - 강조색1 17 3" xfId="7050" xr:uid="{00000000-0005-0000-0000-0000C20F0000}"/>
    <cellStyle name="40% - 강조색1 17 4" xfId="7051" xr:uid="{00000000-0005-0000-0000-0000C30F0000}"/>
    <cellStyle name="40% - 강조색1 17 5" xfId="7052" xr:uid="{00000000-0005-0000-0000-0000C40F0000}"/>
    <cellStyle name="40% - 강조색1 17 6" xfId="7053" xr:uid="{00000000-0005-0000-0000-0000C50F0000}"/>
    <cellStyle name="40% - 강조색1 17 7" xfId="7054" xr:uid="{00000000-0005-0000-0000-0000C60F0000}"/>
    <cellStyle name="40% - 강조색1 17 8" xfId="7055" xr:uid="{00000000-0005-0000-0000-0000C70F0000}"/>
    <cellStyle name="40% - 강조색1 17 9" xfId="7056" xr:uid="{00000000-0005-0000-0000-0000C80F0000}"/>
    <cellStyle name="40% - 강조색1 18" xfId="551" xr:uid="{00000000-0005-0000-0000-0000C90F0000}"/>
    <cellStyle name="40% - 강조색1 18 10" xfId="7057" xr:uid="{00000000-0005-0000-0000-0000CA0F0000}"/>
    <cellStyle name="40% - 강조색1 18 11" xfId="7058" xr:uid="{00000000-0005-0000-0000-0000CB0F0000}"/>
    <cellStyle name="40% - 강조색1 18 12" xfId="7059" xr:uid="{00000000-0005-0000-0000-0000CC0F0000}"/>
    <cellStyle name="40% - 강조색1 18 13" xfId="7060" xr:uid="{00000000-0005-0000-0000-0000CD0F0000}"/>
    <cellStyle name="40% - 강조색1 18 14" xfId="7061" xr:uid="{00000000-0005-0000-0000-0000CE0F0000}"/>
    <cellStyle name="40% - 강조색1 18 2" xfId="552" xr:uid="{00000000-0005-0000-0000-0000CF0F0000}"/>
    <cellStyle name="40% - 강조색1 18 3" xfId="7062" xr:uid="{00000000-0005-0000-0000-0000D00F0000}"/>
    <cellStyle name="40% - 강조색1 18 4" xfId="7063" xr:uid="{00000000-0005-0000-0000-0000D10F0000}"/>
    <cellStyle name="40% - 강조색1 18 5" xfId="7064" xr:uid="{00000000-0005-0000-0000-0000D20F0000}"/>
    <cellStyle name="40% - 강조색1 18 6" xfId="7065" xr:uid="{00000000-0005-0000-0000-0000D30F0000}"/>
    <cellStyle name="40% - 강조색1 18 7" xfId="7066" xr:uid="{00000000-0005-0000-0000-0000D40F0000}"/>
    <cellStyle name="40% - 강조색1 18 8" xfId="7067" xr:uid="{00000000-0005-0000-0000-0000D50F0000}"/>
    <cellStyle name="40% - 강조색1 18 9" xfId="7068" xr:uid="{00000000-0005-0000-0000-0000D60F0000}"/>
    <cellStyle name="40% - 강조색1 19" xfId="553" xr:uid="{00000000-0005-0000-0000-0000D70F0000}"/>
    <cellStyle name="40% - 강조색1 19 10" xfId="7069" xr:uid="{00000000-0005-0000-0000-0000D80F0000}"/>
    <cellStyle name="40% - 강조색1 19 11" xfId="7070" xr:uid="{00000000-0005-0000-0000-0000D90F0000}"/>
    <cellStyle name="40% - 강조색1 19 12" xfId="7071" xr:uid="{00000000-0005-0000-0000-0000DA0F0000}"/>
    <cellStyle name="40% - 강조색1 19 13" xfId="7072" xr:uid="{00000000-0005-0000-0000-0000DB0F0000}"/>
    <cellStyle name="40% - 강조색1 19 14" xfId="7073" xr:uid="{00000000-0005-0000-0000-0000DC0F0000}"/>
    <cellStyle name="40% - 강조색1 19 2" xfId="554" xr:uid="{00000000-0005-0000-0000-0000DD0F0000}"/>
    <cellStyle name="40% - 강조색1 19 3" xfId="7074" xr:uid="{00000000-0005-0000-0000-0000DE0F0000}"/>
    <cellStyle name="40% - 강조색1 19 4" xfId="7075" xr:uid="{00000000-0005-0000-0000-0000DF0F0000}"/>
    <cellStyle name="40% - 강조색1 19 5" xfId="7076" xr:uid="{00000000-0005-0000-0000-0000E00F0000}"/>
    <cellStyle name="40% - 강조색1 19 6" xfId="7077" xr:uid="{00000000-0005-0000-0000-0000E10F0000}"/>
    <cellStyle name="40% - 강조색1 19 7" xfId="7078" xr:uid="{00000000-0005-0000-0000-0000E20F0000}"/>
    <cellStyle name="40% - 강조색1 19 8" xfId="7079" xr:uid="{00000000-0005-0000-0000-0000E30F0000}"/>
    <cellStyle name="40% - 강조색1 19 9" xfId="7080" xr:uid="{00000000-0005-0000-0000-0000E40F0000}"/>
    <cellStyle name="40% - 강조색1 2" xfId="555" xr:uid="{00000000-0005-0000-0000-0000E50F0000}"/>
    <cellStyle name="40% - 강조색1 2 10" xfId="7081" xr:uid="{00000000-0005-0000-0000-0000E60F0000}"/>
    <cellStyle name="40% - 강조색1 2 11" xfId="7082" xr:uid="{00000000-0005-0000-0000-0000E70F0000}"/>
    <cellStyle name="40% - 강조색1 2 12" xfId="7083" xr:uid="{00000000-0005-0000-0000-0000E80F0000}"/>
    <cellStyle name="40% - 강조색1 2 13" xfId="7084" xr:uid="{00000000-0005-0000-0000-0000E90F0000}"/>
    <cellStyle name="40% - 강조색1 2 14" xfId="7085" xr:uid="{00000000-0005-0000-0000-0000EA0F0000}"/>
    <cellStyle name="40% - 강조색1 2 15" xfId="27939" xr:uid="{00000000-0005-0000-0000-0000EB0F0000}"/>
    <cellStyle name="40% - 강조색1 2 2" xfId="556" xr:uid="{00000000-0005-0000-0000-0000EC0F0000}"/>
    <cellStyle name="40% - 강조색1 2 3" xfId="7086" xr:uid="{00000000-0005-0000-0000-0000ED0F0000}"/>
    <cellStyle name="40% - 강조색1 2 4" xfId="7087" xr:uid="{00000000-0005-0000-0000-0000EE0F0000}"/>
    <cellStyle name="40% - 강조색1 2 5" xfId="7088" xr:uid="{00000000-0005-0000-0000-0000EF0F0000}"/>
    <cellStyle name="40% - 강조색1 2 6" xfId="7089" xr:uid="{00000000-0005-0000-0000-0000F00F0000}"/>
    <cellStyle name="40% - 강조색1 2 7" xfId="7090" xr:uid="{00000000-0005-0000-0000-0000F10F0000}"/>
    <cellStyle name="40% - 강조색1 2 8" xfId="7091" xr:uid="{00000000-0005-0000-0000-0000F20F0000}"/>
    <cellStyle name="40% - 강조색1 2 9" xfId="7092" xr:uid="{00000000-0005-0000-0000-0000F30F0000}"/>
    <cellStyle name="40% - 강조색1 20" xfId="557" xr:uid="{00000000-0005-0000-0000-0000F40F0000}"/>
    <cellStyle name="40% - 강조색1 20 10" xfId="7093" xr:uid="{00000000-0005-0000-0000-0000F50F0000}"/>
    <cellStyle name="40% - 강조색1 20 11" xfId="7094" xr:uid="{00000000-0005-0000-0000-0000F60F0000}"/>
    <cellStyle name="40% - 강조색1 20 12" xfId="7095" xr:uid="{00000000-0005-0000-0000-0000F70F0000}"/>
    <cellStyle name="40% - 강조색1 20 13" xfId="7096" xr:uid="{00000000-0005-0000-0000-0000F80F0000}"/>
    <cellStyle name="40% - 강조색1 20 14" xfId="7097" xr:uid="{00000000-0005-0000-0000-0000F90F0000}"/>
    <cellStyle name="40% - 강조색1 20 2" xfId="558" xr:uid="{00000000-0005-0000-0000-0000FA0F0000}"/>
    <cellStyle name="40% - 강조색1 20 3" xfId="7098" xr:uid="{00000000-0005-0000-0000-0000FB0F0000}"/>
    <cellStyle name="40% - 강조색1 20 4" xfId="7099" xr:uid="{00000000-0005-0000-0000-0000FC0F0000}"/>
    <cellStyle name="40% - 강조색1 20 5" xfId="7100" xr:uid="{00000000-0005-0000-0000-0000FD0F0000}"/>
    <cellStyle name="40% - 강조색1 20 6" xfId="7101" xr:uid="{00000000-0005-0000-0000-0000FE0F0000}"/>
    <cellStyle name="40% - 강조색1 20 7" xfId="7102" xr:uid="{00000000-0005-0000-0000-0000FF0F0000}"/>
    <cellStyle name="40% - 강조색1 20 8" xfId="7103" xr:uid="{00000000-0005-0000-0000-000000100000}"/>
    <cellStyle name="40% - 강조색1 20 9" xfId="7104" xr:uid="{00000000-0005-0000-0000-000001100000}"/>
    <cellStyle name="40% - 강조색1 21" xfId="559" xr:uid="{00000000-0005-0000-0000-000002100000}"/>
    <cellStyle name="40% - 강조색1 21 10" xfId="7105" xr:uid="{00000000-0005-0000-0000-000003100000}"/>
    <cellStyle name="40% - 강조색1 21 11" xfId="7106" xr:uid="{00000000-0005-0000-0000-000004100000}"/>
    <cellStyle name="40% - 강조색1 21 12" xfId="7107" xr:uid="{00000000-0005-0000-0000-000005100000}"/>
    <cellStyle name="40% - 강조색1 21 13" xfId="7108" xr:uid="{00000000-0005-0000-0000-000006100000}"/>
    <cellStyle name="40% - 강조색1 21 14" xfId="7109" xr:uid="{00000000-0005-0000-0000-000007100000}"/>
    <cellStyle name="40% - 강조색1 21 2" xfId="560" xr:uid="{00000000-0005-0000-0000-000008100000}"/>
    <cellStyle name="40% - 강조색1 21 3" xfId="7110" xr:uid="{00000000-0005-0000-0000-000009100000}"/>
    <cellStyle name="40% - 강조색1 21 4" xfId="7111" xr:uid="{00000000-0005-0000-0000-00000A100000}"/>
    <cellStyle name="40% - 강조색1 21 5" xfId="7112" xr:uid="{00000000-0005-0000-0000-00000B100000}"/>
    <cellStyle name="40% - 강조색1 21 6" xfId="7113" xr:uid="{00000000-0005-0000-0000-00000C100000}"/>
    <cellStyle name="40% - 강조색1 21 7" xfId="7114" xr:uid="{00000000-0005-0000-0000-00000D100000}"/>
    <cellStyle name="40% - 강조색1 21 8" xfId="7115" xr:uid="{00000000-0005-0000-0000-00000E100000}"/>
    <cellStyle name="40% - 강조색1 21 9" xfId="7116" xr:uid="{00000000-0005-0000-0000-00000F100000}"/>
    <cellStyle name="40% - 강조색1 22" xfId="561" xr:uid="{00000000-0005-0000-0000-000010100000}"/>
    <cellStyle name="40% - 강조색1 22 10" xfId="7117" xr:uid="{00000000-0005-0000-0000-000011100000}"/>
    <cellStyle name="40% - 강조색1 22 11" xfId="7118" xr:uid="{00000000-0005-0000-0000-000012100000}"/>
    <cellStyle name="40% - 강조색1 22 12" xfId="7119" xr:uid="{00000000-0005-0000-0000-000013100000}"/>
    <cellStyle name="40% - 강조색1 22 13" xfId="7120" xr:uid="{00000000-0005-0000-0000-000014100000}"/>
    <cellStyle name="40% - 강조색1 22 14" xfId="7121" xr:uid="{00000000-0005-0000-0000-000015100000}"/>
    <cellStyle name="40% - 강조색1 22 2" xfId="562" xr:uid="{00000000-0005-0000-0000-000016100000}"/>
    <cellStyle name="40% - 강조색1 22 3" xfId="7122" xr:uid="{00000000-0005-0000-0000-000017100000}"/>
    <cellStyle name="40% - 강조색1 22 4" xfId="7123" xr:uid="{00000000-0005-0000-0000-000018100000}"/>
    <cellStyle name="40% - 강조색1 22 5" xfId="7124" xr:uid="{00000000-0005-0000-0000-000019100000}"/>
    <cellStyle name="40% - 강조색1 22 6" xfId="7125" xr:uid="{00000000-0005-0000-0000-00001A100000}"/>
    <cellStyle name="40% - 강조색1 22 7" xfId="7126" xr:uid="{00000000-0005-0000-0000-00001B100000}"/>
    <cellStyle name="40% - 강조색1 22 8" xfId="7127" xr:uid="{00000000-0005-0000-0000-00001C100000}"/>
    <cellStyle name="40% - 강조색1 22 9" xfId="7128" xr:uid="{00000000-0005-0000-0000-00001D100000}"/>
    <cellStyle name="40% - 강조색1 23" xfId="563" xr:uid="{00000000-0005-0000-0000-00001E100000}"/>
    <cellStyle name="40% - 강조색1 23 10" xfId="7129" xr:uid="{00000000-0005-0000-0000-00001F100000}"/>
    <cellStyle name="40% - 강조색1 23 11" xfId="7130" xr:uid="{00000000-0005-0000-0000-000020100000}"/>
    <cellStyle name="40% - 강조색1 23 12" xfId="7131" xr:uid="{00000000-0005-0000-0000-000021100000}"/>
    <cellStyle name="40% - 강조색1 23 13" xfId="7132" xr:uid="{00000000-0005-0000-0000-000022100000}"/>
    <cellStyle name="40% - 강조색1 23 14" xfId="7133" xr:uid="{00000000-0005-0000-0000-000023100000}"/>
    <cellStyle name="40% - 강조색1 23 2" xfId="564" xr:uid="{00000000-0005-0000-0000-000024100000}"/>
    <cellStyle name="40% - 강조색1 23 3" xfId="7134" xr:uid="{00000000-0005-0000-0000-000025100000}"/>
    <cellStyle name="40% - 강조색1 23 4" xfId="7135" xr:uid="{00000000-0005-0000-0000-000026100000}"/>
    <cellStyle name="40% - 강조색1 23 5" xfId="7136" xr:uid="{00000000-0005-0000-0000-000027100000}"/>
    <cellStyle name="40% - 강조색1 23 6" xfId="7137" xr:uid="{00000000-0005-0000-0000-000028100000}"/>
    <cellStyle name="40% - 강조색1 23 7" xfId="7138" xr:uid="{00000000-0005-0000-0000-000029100000}"/>
    <cellStyle name="40% - 강조색1 23 8" xfId="7139" xr:uid="{00000000-0005-0000-0000-00002A100000}"/>
    <cellStyle name="40% - 강조색1 23 9" xfId="7140" xr:uid="{00000000-0005-0000-0000-00002B100000}"/>
    <cellStyle name="40% - 강조색1 24" xfId="565" xr:uid="{00000000-0005-0000-0000-00002C100000}"/>
    <cellStyle name="40% - 강조색1 24 10" xfId="7141" xr:uid="{00000000-0005-0000-0000-00002D100000}"/>
    <cellStyle name="40% - 강조색1 24 11" xfId="7142" xr:uid="{00000000-0005-0000-0000-00002E100000}"/>
    <cellStyle name="40% - 강조색1 24 12" xfId="7143" xr:uid="{00000000-0005-0000-0000-00002F100000}"/>
    <cellStyle name="40% - 강조색1 24 13" xfId="7144" xr:uid="{00000000-0005-0000-0000-000030100000}"/>
    <cellStyle name="40% - 강조색1 24 14" xfId="7145" xr:uid="{00000000-0005-0000-0000-000031100000}"/>
    <cellStyle name="40% - 강조색1 24 2" xfId="566" xr:uid="{00000000-0005-0000-0000-000032100000}"/>
    <cellStyle name="40% - 강조색1 24 3" xfId="7146" xr:uid="{00000000-0005-0000-0000-000033100000}"/>
    <cellStyle name="40% - 강조색1 24 4" xfId="7147" xr:uid="{00000000-0005-0000-0000-000034100000}"/>
    <cellStyle name="40% - 강조색1 24 5" xfId="7148" xr:uid="{00000000-0005-0000-0000-000035100000}"/>
    <cellStyle name="40% - 강조색1 24 6" xfId="7149" xr:uid="{00000000-0005-0000-0000-000036100000}"/>
    <cellStyle name="40% - 강조색1 24 7" xfId="7150" xr:uid="{00000000-0005-0000-0000-000037100000}"/>
    <cellStyle name="40% - 강조색1 24 8" xfId="7151" xr:uid="{00000000-0005-0000-0000-000038100000}"/>
    <cellStyle name="40% - 강조색1 24 9" xfId="7152" xr:uid="{00000000-0005-0000-0000-000039100000}"/>
    <cellStyle name="40% - 강조색1 25" xfId="567" xr:uid="{00000000-0005-0000-0000-00003A100000}"/>
    <cellStyle name="40% - 강조색1 25 10" xfId="7153" xr:uid="{00000000-0005-0000-0000-00003B100000}"/>
    <cellStyle name="40% - 강조색1 25 11" xfId="7154" xr:uid="{00000000-0005-0000-0000-00003C100000}"/>
    <cellStyle name="40% - 강조색1 25 12" xfId="7155" xr:uid="{00000000-0005-0000-0000-00003D100000}"/>
    <cellStyle name="40% - 강조색1 25 13" xfId="7156" xr:uid="{00000000-0005-0000-0000-00003E100000}"/>
    <cellStyle name="40% - 강조색1 25 14" xfId="7157" xr:uid="{00000000-0005-0000-0000-00003F100000}"/>
    <cellStyle name="40% - 강조색1 25 2" xfId="568" xr:uid="{00000000-0005-0000-0000-000040100000}"/>
    <cellStyle name="40% - 강조색1 25 3" xfId="7158" xr:uid="{00000000-0005-0000-0000-000041100000}"/>
    <cellStyle name="40% - 강조색1 25 4" xfId="7159" xr:uid="{00000000-0005-0000-0000-000042100000}"/>
    <cellStyle name="40% - 강조색1 25 5" xfId="7160" xr:uid="{00000000-0005-0000-0000-000043100000}"/>
    <cellStyle name="40% - 강조색1 25 6" xfId="7161" xr:uid="{00000000-0005-0000-0000-000044100000}"/>
    <cellStyle name="40% - 강조색1 25 7" xfId="7162" xr:uid="{00000000-0005-0000-0000-000045100000}"/>
    <cellStyle name="40% - 강조색1 25 8" xfId="7163" xr:uid="{00000000-0005-0000-0000-000046100000}"/>
    <cellStyle name="40% - 강조색1 25 9" xfId="7164" xr:uid="{00000000-0005-0000-0000-000047100000}"/>
    <cellStyle name="40% - 강조색1 26" xfId="569" xr:uid="{00000000-0005-0000-0000-000048100000}"/>
    <cellStyle name="40% - 강조색1 26 10" xfId="7165" xr:uid="{00000000-0005-0000-0000-000049100000}"/>
    <cellStyle name="40% - 강조색1 26 11" xfId="7166" xr:uid="{00000000-0005-0000-0000-00004A100000}"/>
    <cellStyle name="40% - 강조색1 26 12" xfId="7167" xr:uid="{00000000-0005-0000-0000-00004B100000}"/>
    <cellStyle name="40% - 강조색1 26 13" xfId="7168" xr:uid="{00000000-0005-0000-0000-00004C100000}"/>
    <cellStyle name="40% - 강조색1 26 14" xfId="7169" xr:uid="{00000000-0005-0000-0000-00004D100000}"/>
    <cellStyle name="40% - 강조색1 26 2" xfId="570" xr:uid="{00000000-0005-0000-0000-00004E100000}"/>
    <cellStyle name="40% - 강조색1 26 3" xfId="7170" xr:uid="{00000000-0005-0000-0000-00004F100000}"/>
    <cellStyle name="40% - 강조색1 26 4" xfId="7171" xr:uid="{00000000-0005-0000-0000-000050100000}"/>
    <cellStyle name="40% - 강조색1 26 5" xfId="7172" xr:uid="{00000000-0005-0000-0000-000051100000}"/>
    <cellStyle name="40% - 강조색1 26 6" xfId="7173" xr:uid="{00000000-0005-0000-0000-000052100000}"/>
    <cellStyle name="40% - 강조색1 26 7" xfId="7174" xr:uid="{00000000-0005-0000-0000-000053100000}"/>
    <cellStyle name="40% - 강조색1 26 8" xfId="7175" xr:uid="{00000000-0005-0000-0000-000054100000}"/>
    <cellStyle name="40% - 강조색1 26 9" xfId="7176" xr:uid="{00000000-0005-0000-0000-000055100000}"/>
    <cellStyle name="40% - 강조색1 27" xfId="571" xr:uid="{00000000-0005-0000-0000-000056100000}"/>
    <cellStyle name="40% - 강조색1 27 10" xfId="7177" xr:uid="{00000000-0005-0000-0000-000057100000}"/>
    <cellStyle name="40% - 강조색1 27 11" xfId="7178" xr:uid="{00000000-0005-0000-0000-000058100000}"/>
    <cellStyle name="40% - 강조색1 27 12" xfId="7179" xr:uid="{00000000-0005-0000-0000-000059100000}"/>
    <cellStyle name="40% - 강조색1 27 13" xfId="7180" xr:uid="{00000000-0005-0000-0000-00005A100000}"/>
    <cellStyle name="40% - 강조색1 27 14" xfId="7181" xr:uid="{00000000-0005-0000-0000-00005B100000}"/>
    <cellStyle name="40% - 강조색1 27 2" xfId="572" xr:uid="{00000000-0005-0000-0000-00005C100000}"/>
    <cellStyle name="40% - 강조색1 27 3" xfId="7182" xr:uid="{00000000-0005-0000-0000-00005D100000}"/>
    <cellStyle name="40% - 강조색1 27 4" xfId="7183" xr:uid="{00000000-0005-0000-0000-00005E100000}"/>
    <cellStyle name="40% - 강조색1 27 5" xfId="7184" xr:uid="{00000000-0005-0000-0000-00005F100000}"/>
    <cellStyle name="40% - 강조색1 27 6" xfId="7185" xr:uid="{00000000-0005-0000-0000-000060100000}"/>
    <cellStyle name="40% - 강조색1 27 7" xfId="7186" xr:uid="{00000000-0005-0000-0000-000061100000}"/>
    <cellStyle name="40% - 강조색1 27 8" xfId="7187" xr:uid="{00000000-0005-0000-0000-000062100000}"/>
    <cellStyle name="40% - 강조색1 27 9" xfId="7188" xr:uid="{00000000-0005-0000-0000-000063100000}"/>
    <cellStyle name="40% - 강조색1 28" xfId="573" xr:uid="{00000000-0005-0000-0000-000064100000}"/>
    <cellStyle name="40% - 강조색1 28 10" xfId="7189" xr:uid="{00000000-0005-0000-0000-000065100000}"/>
    <cellStyle name="40% - 강조색1 28 11" xfId="7190" xr:uid="{00000000-0005-0000-0000-000066100000}"/>
    <cellStyle name="40% - 강조색1 28 12" xfId="7191" xr:uid="{00000000-0005-0000-0000-000067100000}"/>
    <cellStyle name="40% - 강조색1 28 13" xfId="7192" xr:uid="{00000000-0005-0000-0000-000068100000}"/>
    <cellStyle name="40% - 강조색1 28 14" xfId="7193" xr:uid="{00000000-0005-0000-0000-000069100000}"/>
    <cellStyle name="40% - 강조색1 28 2" xfId="574" xr:uid="{00000000-0005-0000-0000-00006A100000}"/>
    <cellStyle name="40% - 강조색1 28 3" xfId="7194" xr:uid="{00000000-0005-0000-0000-00006B100000}"/>
    <cellStyle name="40% - 강조색1 28 4" xfId="7195" xr:uid="{00000000-0005-0000-0000-00006C100000}"/>
    <cellStyle name="40% - 강조색1 28 5" xfId="7196" xr:uid="{00000000-0005-0000-0000-00006D100000}"/>
    <cellStyle name="40% - 강조색1 28 6" xfId="7197" xr:uid="{00000000-0005-0000-0000-00006E100000}"/>
    <cellStyle name="40% - 강조색1 28 7" xfId="7198" xr:uid="{00000000-0005-0000-0000-00006F100000}"/>
    <cellStyle name="40% - 강조색1 28 8" xfId="7199" xr:uid="{00000000-0005-0000-0000-000070100000}"/>
    <cellStyle name="40% - 강조색1 28 9" xfId="7200" xr:uid="{00000000-0005-0000-0000-000071100000}"/>
    <cellStyle name="40% - 강조색1 29" xfId="575" xr:uid="{00000000-0005-0000-0000-000072100000}"/>
    <cellStyle name="40% - 강조색1 29 10" xfId="7201" xr:uid="{00000000-0005-0000-0000-000073100000}"/>
    <cellStyle name="40% - 강조색1 29 11" xfId="7202" xr:uid="{00000000-0005-0000-0000-000074100000}"/>
    <cellStyle name="40% - 강조색1 29 12" xfId="7203" xr:uid="{00000000-0005-0000-0000-000075100000}"/>
    <cellStyle name="40% - 강조색1 29 13" xfId="7204" xr:uid="{00000000-0005-0000-0000-000076100000}"/>
    <cellStyle name="40% - 강조색1 29 14" xfId="7205" xr:uid="{00000000-0005-0000-0000-000077100000}"/>
    <cellStyle name="40% - 강조색1 29 2" xfId="576" xr:uid="{00000000-0005-0000-0000-000078100000}"/>
    <cellStyle name="40% - 강조색1 29 3" xfId="7206" xr:uid="{00000000-0005-0000-0000-000079100000}"/>
    <cellStyle name="40% - 강조색1 29 4" xfId="7207" xr:uid="{00000000-0005-0000-0000-00007A100000}"/>
    <cellStyle name="40% - 강조색1 29 5" xfId="7208" xr:uid="{00000000-0005-0000-0000-00007B100000}"/>
    <cellStyle name="40% - 강조색1 29 6" xfId="7209" xr:uid="{00000000-0005-0000-0000-00007C100000}"/>
    <cellStyle name="40% - 강조색1 29 7" xfId="7210" xr:uid="{00000000-0005-0000-0000-00007D100000}"/>
    <cellStyle name="40% - 강조색1 29 8" xfId="7211" xr:uid="{00000000-0005-0000-0000-00007E100000}"/>
    <cellStyle name="40% - 강조색1 29 9" xfId="7212" xr:uid="{00000000-0005-0000-0000-00007F100000}"/>
    <cellStyle name="40% - 강조색1 3" xfId="577" xr:uid="{00000000-0005-0000-0000-000080100000}"/>
    <cellStyle name="40% - 강조색1 3 10" xfId="7213" xr:uid="{00000000-0005-0000-0000-000081100000}"/>
    <cellStyle name="40% - 강조색1 3 11" xfId="7214" xr:uid="{00000000-0005-0000-0000-000082100000}"/>
    <cellStyle name="40% - 강조색1 3 12" xfId="7215" xr:uid="{00000000-0005-0000-0000-000083100000}"/>
    <cellStyle name="40% - 강조색1 3 13" xfId="7216" xr:uid="{00000000-0005-0000-0000-000084100000}"/>
    <cellStyle name="40% - 강조색1 3 14" xfId="7217" xr:uid="{00000000-0005-0000-0000-000085100000}"/>
    <cellStyle name="40% - 강조색1 3 15" xfId="28195" xr:uid="{00000000-0005-0000-0000-000086100000}"/>
    <cellStyle name="40% - 강조색1 3 2" xfId="578" xr:uid="{00000000-0005-0000-0000-000087100000}"/>
    <cellStyle name="40% - 강조색1 3 3" xfId="7218" xr:uid="{00000000-0005-0000-0000-000088100000}"/>
    <cellStyle name="40% - 강조색1 3 4" xfId="7219" xr:uid="{00000000-0005-0000-0000-000089100000}"/>
    <cellStyle name="40% - 강조색1 3 5" xfId="7220" xr:uid="{00000000-0005-0000-0000-00008A100000}"/>
    <cellStyle name="40% - 강조색1 3 6" xfId="7221" xr:uid="{00000000-0005-0000-0000-00008B100000}"/>
    <cellStyle name="40% - 강조색1 3 7" xfId="7222" xr:uid="{00000000-0005-0000-0000-00008C100000}"/>
    <cellStyle name="40% - 강조색1 3 8" xfId="7223" xr:uid="{00000000-0005-0000-0000-00008D100000}"/>
    <cellStyle name="40% - 강조색1 3 9" xfId="7224" xr:uid="{00000000-0005-0000-0000-00008E100000}"/>
    <cellStyle name="40% - 강조색1 30" xfId="579" xr:uid="{00000000-0005-0000-0000-00008F100000}"/>
    <cellStyle name="40% - 강조색1 30 10" xfId="7225" xr:uid="{00000000-0005-0000-0000-000090100000}"/>
    <cellStyle name="40% - 강조색1 30 11" xfId="7226" xr:uid="{00000000-0005-0000-0000-000091100000}"/>
    <cellStyle name="40% - 강조색1 30 12" xfId="7227" xr:uid="{00000000-0005-0000-0000-000092100000}"/>
    <cellStyle name="40% - 강조색1 30 13" xfId="7228" xr:uid="{00000000-0005-0000-0000-000093100000}"/>
    <cellStyle name="40% - 강조색1 30 14" xfId="7229" xr:uid="{00000000-0005-0000-0000-000094100000}"/>
    <cellStyle name="40% - 강조색1 30 2" xfId="580" xr:uid="{00000000-0005-0000-0000-000095100000}"/>
    <cellStyle name="40% - 강조색1 30 3" xfId="7230" xr:uid="{00000000-0005-0000-0000-000096100000}"/>
    <cellStyle name="40% - 강조색1 30 4" xfId="7231" xr:uid="{00000000-0005-0000-0000-000097100000}"/>
    <cellStyle name="40% - 강조색1 30 5" xfId="7232" xr:uid="{00000000-0005-0000-0000-000098100000}"/>
    <cellStyle name="40% - 강조색1 30 6" xfId="7233" xr:uid="{00000000-0005-0000-0000-000099100000}"/>
    <cellStyle name="40% - 강조색1 30 7" xfId="7234" xr:uid="{00000000-0005-0000-0000-00009A100000}"/>
    <cellStyle name="40% - 강조색1 30 8" xfId="7235" xr:uid="{00000000-0005-0000-0000-00009B100000}"/>
    <cellStyle name="40% - 강조색1 30 9" xfId="7236" xr:uid="{00000000-0005-0000-0000-00009C100000}"/>
    <cellStyle name="40% - 강조색1 31" xfId="581" xr:uid="{00000000-0005-0000-0000-00009D100000}"/>
    <cellStyle name="40% - 강조색1 31 10" xfId="7237" xr:uid="{00000000-0005-0000-0000-00009E100000}"/>
    <cellStyle name="40% - 강조색1 31 11" xfId="7238" xr:uid="{00000000-0005-0000-0000-00009F100000}"/>
    <cellStyle name="40% - 강조색1 31 12" xfId="7239" xr:uid="{00000000-0005-0000-0000-0000A0100000}"/>
    <cellStyle name="40% - 강조색1 31 13" xfId="7240" xr:uid="{00000000-0005-0000-0000-0000A1100000}"/>
    <cellStyle name="40% - 강조색1 31 14" xfId="7241" xr:uid="{00000000-0005-0000-0000-0000A2100000}"/>
    <cellStyle name="40% - 강조색1 31 2" xfId="582" xr:uid="{00000000-0005-0000-0000-0000A3100000}"/>
    <cellStyle name="40% - 강조색1 31 3" xfId="7242" xr:uid="{00000000-0005-0000-0000-0000A4100000}"/>
    <cellStyle name="40% - 강조색1 31 4" xfId="7243" xr:uid="{00000000-0005-0000-0000-0000A5100000}"/>
    <cellStyle name="40% - 강조색1 31 5" xfId="7244" xr:uid="{00000000-0005-0000-0000-0000A6100000}"/>
    <cellStyle name="40% - 강조색1 31 6" xfId="7245" xr:uid="{00000000-0005-0000-0000-0000A7100000}"/>
    <cellStyle name="40% - 강조색1 31 7" xfId="7246" xr:uid="{00000000-0005-0000-0000-0000A8100000}"/>
    <cellStyle name="40% - 강조색1 31 8" xfId="7247" xr:uid="{00000000-0005-0000-0000-0000A9100000}"/>
    <cellStyle name="40% - 강조색1 31 9" xfId="7248" xr:uid="{00000000-0005-0000-0000-0000AA100000}"/>
    <cellStyle name="40% - 강조색1 32" xfId="583" xr:uid="{00000000-0005-0000-0000-0000AB100000}"/>
    <cellStyle name="40% - 강조색1 32 10" xfId="7249" xr:uid="{00000000-0005-0000-0000-0000AC100000}"/>
    <cellStyle name="40% - 강조색1 32 11" xfId="7250" xr:uid="{00000000-0005-0000-0000-0000AD100000}"/>
    <cellStyle name="40% - 강조색1 32 12" xfId="7251" xr:uid="{00000000-0005-0000-0000-0000AE100000}"/>
    <cellStyle name="40% - 강조색1 32 13" xfId="7252" xr:uid="{00000000-0005-0000-0000-0000AF100000}"/>
    <cellStyle name="40% - 강조색1 32 14" xfId="7253" xr:uid="{00000000-0005-0000-0000-0000B0100000}"/>
    <cellStyle name="40% - 강조색1 32 2" xfId="584" xr:uid="{00000000-0005-0000-0000-0000B1100000}"/>
    <cellStyle name="40% - 강조색1 32 3" xfId="7254" xr:uid="{00000000-0005-0000-0000-0000B2100000}"/>
    <cellStyle name="40% - 강조색1 32 4" xfId="7255" xr:uid="{00000000-0005-0000-0000-0000B3100000}"/>
    <cellStyle name="40% - 강조색1 32 5" xfId="7256" xr:uid="{00000000-0005-0000-0000-0000B4100000}"/>
    <cellStyle name="40% - 강조색1 32 6" xfId="7257" xr:uid="{00000000-0005-0000-0000-0000B5100000}"/>
    <cellStyle name="40% - 강조색1 32 7" xfId="7258" xr:uid="{00000000-0005-0000-0000-0000B6100000}"/>
    <cellStyle name="40% - 강조색1 32 8" xfId="7259" xr:uid="{00000000-0005-0000-0000-0000B7100000}"/>
    <cellStyle name="40% - 강조색1 32 9" xfId="7260" xr:uid="{00000000-0005-0000-0000-0000B8100000}"/>
    <cellStyle name="40% - 강조색1 33" xfId="585" xr:uid="{00000000-0005-0000-0000-0000B9100000}"/>
    <cellStyle name="40% - 강조색1 33 10" xfId="7261" xr:uid="{00000000-0005-0000-0000-0000BA100000}"/>
    <cellStyle name="40% - 강조색1 33 11" xfId="7262" xr:uid="{00000000-0005-0000-0000-0000BB100000}"/>
    <cellStyle name="40% - 강조색1 33 12" xfId="7263" xr:uid="{00000000-0005-0000-0000-0000BC100000}"/>
    <cellStyle name="40% - 강조색1 33 13" xfId="7264" xr:uid="{00000000-0005-0000-0000-0000BD100000}"/>
    <cellStyle name="40% - 강조색1 33 14" xfId="7265" xr:uid="{00000000-0005-0000-0000-0000BE100000}"/>
    <cellStyle name="40% - 강조색1 33 2" xfId="586" xr:uid="{00000000-0005-0000-0000-0000BF100000}"/>
    <cellStyle name="40% - 강조색1 33 3" xfId="7266" xr:uid="{00000000-0005-0000-0000-0000C0100000}"/>
    <cellStyle name="40% - 강조색1 33 4" xfId="7267" xr:uid="{00000000-0005-0000-0000-0000C1100000}"/>
    <cellStyle name="40% - 강조색1 33 5" xfId="7268" xr:uid="{00000000-0005-0000-0000-0000C2100000}"/>
    <cellStyle name="40% - 강조색1 33 6" xfId="7269" xr:uid="{00000000-0005-0000-0000-0000C3100000}"/>
    <cellStyle name="40% - 강조색1 33 7" xfId="7270" xr:uid="{00000000-0005-0000-0000-0000C4100000}"/>
    <cellStyle name="40% - 강조색1 33 8" xfId="7271" xr:uid="{00000000-0005-0000-0000-0000C5100000}"/>
    <cellStyle name="40% - 강조색1 33 9" xfId="7272" xr:uid="{00000000-0005-0000-0000-0000C6100000}"/>
    <cellStyle name="40% - 강조색1 34" xfId="587" xr:uid="{00000000-0005-0000-0000-0000C7100000}"/>
    <cellStyle name="40% - 강조색1 34 10" xfId="7273" xr:uid="{00000000-0005-0000-0000-0000C8100000}"/>
    <cellStyle name="40% - 강조색1 34 11" xfId="7274" xr:uid="{00000000-0005-0000-0000-0000C9100000}"/>
    <cellStyle name="40% - 강조색1 34 12" xfId="7275" xr:uid="{00000000-0005-0000-0000-0000CA100000}"/>
    <cellStyle name="40% - 강조색1 34 13" xfId="7276" xr:uid="{00000000-0005-0000-0000-0000CB100000}"/>
    <cellStyle name="40% - 강조색1 34 14" xfId="7277" xr:uid="{00000000-0005-0000-0000-0000CC100000}"/>
    <cellStyle name="40% - 강조색1 34 2" xfId="588" xr:uid="{00000000-0005-0000-0000-0000CD100000}"/>
    <cellStyle name="40% - 강조색1 34 3" xfId="7278" xr:uid="{00000000-0005-0000-0000-0000CE100000}"/>
    <cellStyle name="40% - 강조색1 34 4" xfId="7279" xr:uid="{00000000-0005-0000-0000-0000CF100000}"/>
    <cellStyle name="40% - 강조색1 34 5" xfId="7280" xr:uid="{00000000-0005-0000-0000-0000D0100000}"/>
    <cellStyle name="40% - 강조색1 34 6" xfId="7281" xr:uid="{00000000-0005-0000-0000-0000D1100000}"/>
    <cellStyle name="40% - 강조색1 34 7" xfId="7282" xr:uid="{00000000-0005-0000-0000-0000D2100000}"/>
    <cellStyle name="40% - 강조색1 34 8" xfId="7283" xr:uid="{00000000-0005-0000-0000-0000D3100000}"/>
    <cellStyle name="40% - 강조색1 34 9" xfId="7284" xr:uid="{00000000-0005-0000-0000-0000D4100000}"/>
    <cellStyle name="40% - 강조색1 35" xfId="589" xr:uid="{00000000-0005-0000-0000-0000D5100000}"/>
    <cellStyle name="40% - 강조색1 35 10" xfId="7285" xr:uid="{00000000-0005-0000-0000-0000D6100000}"/>
    <cellStyle name="40% - 강조색1 35 11" xfId="7286" xr:uid="{00000000-0005-0000-0000-0000D7100000}"/>
    <cellStyle name="40% - 강조색1 35 12" xfId="7287" xr:uid="{00000000-0005-0000-0000-0000D8100000}"/>
    <cellStyle name="40% - 강조색1 35 13" xfId="7288" xr:uid="{00000000-0005-0000-0000-0000D9100000}"/>
    <cellStyle name="40% - 강조색1 35 14" xfId="7289" xr:uid="{00000000-0005-0000-0000-0000DA100000}"/>
    <cellStyle name="40% - 강조색1 35 2" xfId="590" xr:uid="{00000000-0005-0000-0000-0000DB100000}"/>
    <cellStyle name="40% - 강조색1 35 3" xfId="7290" xr:uid="{00000000-0005-0000-0000-0000DC100000}"/>
    <cellStyle name="40% - 강조색1 35 4" xfId="7291" xr:uid="{00000000-0005-0000-0000-0000DD100000}"/>
    <cellStyle name="40% - 강조색1 35 5" xfId="7292" xr:uid="{00000000-0005-0000-0000-0000DE100000}"/>
    <cellStyle name="40% - 강조색1 35 6" xfId="7293" xr:uid="{00000000-0005-0000-0000-0000DF100000}"/>
    <cellStyle name="40% - 강조색1 35 7" xfId="7294" xr:uid="{00000000-0005-0000-0000-0000E0100000}"/>
    <cellStyle name="40% - 강조색1 35 8" xfId="7295" xr:uid="{00000000-0005-0000-0000-0000E1100000}"/>
    <cellStyle name="40% - 강조색1 35 9" xfId="7296" xr:uid="{00000000-0005-0000-0000-0000E2100000}"/>
    <cellStyle name="40% - 강조색1 36" xfId="591" xr:uid="{00000000-0005-0000-0000-0000E3100000}"/>
    <cellStyle name="40% - 강조색1 36 10" xfId="7297" xr:uid="{00000000-0005-0000-0000-0000E4100000}"/>
    <cellStyle name="40% - 강조색1 36 11" xfId="7298" xr:uid="{00000000-0005-0000-0000-0000E5100000}"/>
    <cellStyle name="40% - 강조색1 36 12" xfId="7299" xr:uid="{00000000-0005-0000-0000-0000E6100000}"/>
    <cellStyle name="40% - 강조색1 36 13" xfId="7300" xr:uid="{00000000-0005-0000-0000-0000E7100000}"/>
    <cellStyle name="40% - 강조색1 36 14" xfId="7301" xr:uid="{00000000-0005-0000-0000-0000E8100000}"/>
    <cellStyle name="40% - 강조색1 36 2" xfId="592" xr:uid="{00000000-0005-0000-0000-0000E9100000}"/>
    <cellStyle name="40% - 강조색1 36 3" xfId="7302" xr:uid="{00000000-0005-0000-0000-0000EA100000}"/>
    <cellStyle name="40% - 강조색1 36 4" xfId="7303" xr:uid="{00000000-0005-0000-0000-0000EB100000}"/>
    <cellStyle name="40% - 강조색1 36 5" xfId="7304" xr:uid="{00000000-0005-0000-0000-0000EC100000}"/>
    <cellStyle name="40% - 강조색1 36 6" xfId="7305" xr:uid="{00000000-0005-0000-0000-0000ED100000}"/>
    <cellStyle name="40% - 강조색1 36 7" xfId="7306" xr:uid="{00000000-0005-0000-0000-0000EE100000}"/>
    <cellStyle name="40% - 강조색1 36 8" xfId="7307" xr:uid="{00000000-0005-0000-0000-0000EF100000}"/>
    <cellStyle name="40% - 강조색1 36 9" xfId="7308" xr:uid="{00000000-0005-0000-0000-0000F0100000}"/>
    <cellStyle name="40% - 강조색1 37" xfId="593" xr:uid="{00000000-0005-0000-0000-0000F1100000}"/>
    <cellStyle name="40% - 강조색1 37 10" xfId="7309" xr:uid="{00000000-0005-0000-0000-0000F2100000}"/>
    <cellStyle name="40% - 강조색1 37 11" xfId="7310" xr:uid="{00000000-0005-0000-0000-0000F3100000}"/>
    <cellStyle name="40% - 강조색1 37 12" xfId="7311" xr:uid="{00000000-0005-0000-0000-0000F4100000}"/>
    <cellStyle name="40% - 강조색1 37 13" xfId="7312" xr:uid="{00000000-0005-0000-0000-0000F5100000}"/>
    <cellStyle name="40% - 강조색1 37 14" xfId="7313" xr:uid="{00000000-0005-0000-0000-0000F6100000}"/>
    <cellStyle name="40% - 강조색1 37 2" xfId="594" xr:uid="{00000000-0005-0000-0000-0000F7100000}"/>
    <cellStyle name="40% - 강조색1 37 3" xfId="7314" xr:uid="{00000000-0005-0000-0000-0000F8100000}"/>
    <cellStyle name="40% - 강조색1 37 4" xfId="7315" xr:uid="{00000000-0005-0000-0000-0000F9100000}"/>
    <cellStyle name="40% - 강조색1 37 5" xfId="7316" xr:uid="{00000000-0005-0000-0000-0000FA100000}"/>
    <cellStyle name="40% - 강조색1 37 6" xfId="7317" xr:uid="{00000000-0005-0000-0000-0000FB100000}"/>
    <cellStyle name="40% - 강조색1 37 7" xfId="7318" xr:uid="{00000000-0005-0000-0000-0000FC100000}"/>
    <cellStyle name="40% - 강조색1 37 8" xfId="7319" xr:uid="{00000000-0005-0000-0000-0000FD100000}"/>
    <cellStyle name="40% - 강조색1 37 9" xfId="7320" xr:uid="{00000000-0005-0000-0000-0000FE100000}"/>
    <cellStyle name="40% - 강조색1 38" xfId="595" xr:uid="{00000000-0005-0000-0000-0000FF100000}"/>
    <cellStyle name="40% - 강조색1 38 10" xfId="7321" xr:uid="{00000000-0005-0000-0000-000000110000}"/>
    <cellStyle name="40% - 강조색1 38 11" xfId="7322" xr:uid="{00000000-0005-0000-0000-000001110000}"/>
    <cellStyle name="40% - 강조색1 38 12" xfId="7323" xr:uid="{00000000-0005-0000-0000-000002110000}"/>
    <cellStyle name="40% - 강조색1 38 13" xfId="7324" xr:uid="{00000000-0005-0000-0000-000003110000}"/>
    <cellStyle name="40% - 강조색1 38 14" xfId="7325" xr:uid="{00000000-0005-0000-0000-000004110000}"/>
    <cellStyle name="40% - 강조색1 38 2" xfId="596" xr:uid="{00000000-0005-0000-0000-000005110000}"/>
    <cellStyle name="40% - 강조색1 38 3" xfId="7326" xr:uid="{00000000-0005-0000-0000-000006110000}"/>
    <cellStyle name="40% - 강조색1 38 4" xfId="7327" xr:uid="{00000000-0005-0000-0000-000007110000}"/>
    <cellStyle name="40% - 강조색1 38 5" xfId="7328" xr:uid="{00000000-0005-0000-0000-000008110000}"/>
    <cellStyle name="40% - 강조색1 38 6" xfId="7329" xr:uid="{00000000-0005-0000-0000-000009110000}"/>
    <cellStyle name="40% - 강조색1 38 7" xfId="7330" xr:uid="{00000000-0005-0000-0000-00000A110000}"/>
    <cellStyle name="40% - 강조색1 38 8" xfId="7331" xr:uid="{00000000-0005-0000-0000-00000B110000}"/>
    <cellStyle name="40% - 강조색1 38 9" xfId="7332" xr:uid="{00000000-0005-0000-0000-00000C110000}"/>
    <cellStyle name="40% - 강조색1 39" xfId="597" xr:uid="{00000000-0005-0000-0000-00000D110000}"/>
    <cellStyle name="40% - 강조색1 39 10" xfId="7333" xr:uid="{00000000-0005-0000-0000-00000E110000}"/>
    <cellStyle name="40% - 강조색1 39 11" xfId="7334" xr:uid="{00000000-0005-0000-0000-00000F110000}"/>
    <cellStyle name="40% - 강조색1 39 12" xfId="7335" xr:uid="{00000000-0005-0000-0000-000010110000}"/>
    <cellStyle name="40% - 강조색1 39 13" xfId="7336" xr:uid="{00000000-0005-0000-0000-000011110000}"/>
    <cellStyle name="40% - 강조색1 39 14" xfId="7337" xr:uid="{00000000-0005-0000-0000-000012110000}"/>
    <cellStyle name="40% - 강조색1 39 2" xfId="598" xr:uid="{00000000-0005-0000-0000-000013110000}"/>
    <cellStyle name="40% - 강조색1 39 3" xfId="7338" xr:uid="{00000000-0005-0000-0000-000014110000}"/>
    <cellStyle name="40% - 강조색1 39 4" xfId="7339" xr:uid="{00000000-0005-0000-0000-000015110000}"/>
    <cellStyle name="40% - 강조색1 39 5" xfId="7340" xr:uid="{00000000-0005-0000-0000-000016110000}"/>
    <cellStyle name="40% - 강조색1 39 6" xfId="7341" xr:uid="{00000000-0005-0000-0000-000017110000}"/>
    <cellStyle name="40% - 강조색1 39 7" xfId="7342" xr:uid="{00000000-0005-0000-0000-000018110000}"/>
    <cellStyle name="40% - 강조색1 39 8" xfId="7343" xr:uid="{00000000-0005-0000-0000-000019110000}"/>
    <cellStyle name="40% - 강조색1 39 9" xfId="7344" xr:uid="{00000000-0005-0000-0000-00001A110000}"/>
    <cellStyle name="40% - 강조색1 4" xfId="599" xr:uid="{00000000-0005-0000-0000-00001B110000}"/>
    <cellStyle name="40% - 강조색1 4 10" xfId="7345" xr:uid="{00000000-0005-0000-0000-00001C110000}"/>
    <cellStyle name="40% - 강조색1 4 11" xfId="7346" xr:uid="{00000000-0005-0000-0000-00001D110000}"/>
    <cellStyle name="40% - 강조색1 4 12" xfId="7347" xr:uid="{00000000-0005-0000-0000-00001E110000}"/>
    <cellStyle name="40% - 강조색1 4 13" xfId="7348" xr:uid="{00000000-0005-0000-0000-00001F110000}"/>
    <cellStyle name="40% - 강조색1 4 14" xfId="7349" xr:uid="{00000000-0005-0000-0000-000020110000}"/>
    <cellStyle name="40% - 강조색1 4 15" xfId="27857" xr:uid="{00000000-0005-0000-0000-000021110000}"/>
    <cellStyle name="40% - 강조색1 4 2" xfId="600" xr:uid="{00000000-0005-0000-0000-000022110000}"/>
    <cellStyle name="40% - 강조색1 4 3" xfId="7350" xr:uid="{00000000-0005-0000-0000-000023110000}"/>
    <cellStyle name="40% - 강조색1 4 4" xfId="7351" xr:uid="{00000000-0005-0000-0000-000024110000}"/>
    <cellStyle name="40% - 강조색1 4 5" xfId="7352" xr:uid="{00000000-0005-0000-0000-000025110000}"/>
    <cellStyle name="40% - 강조색1 4 6" xfId="7353" xr:uid="{00000000-0005-0000-0000-000026110000}"/>
    <cellStyle name="40% - 강조색1 4 7" xfId="7354" xr:uid="{00000000-0005-0000-0000-000027110000}"/>
    <cellStyle name="40% - 강조색1 4 8" xfId="7355" xr:uid="{00000000-0005-0000-0000-000028110000}"/>
    <cellStyle name="40% - 강조색1 4 9" xfId="7356" xr:uid="{00000000-0005-0000-0000-000029110000}"/>
    <cellStyle name="40% - 강조색1 40" xfId="601" xr:uid="{00000000-0005-0000-0000-00002A110000}"/>
    <cellStyle name="40% - 강조색1 40 10" xfId="7357" xr:uid="{00000000-0005-0000-0000-00002B110000}"/>
    <cellStyle name="40% - 강조색1 40 11" xfId="7358" xr:uid="{00000000-0005-0000-0000-00002C110000}"/>
    <cellStyle name="40% - 강조색1 40 12" xfId="7359" xr:uid="{00000000-0005-0000-0000-00002D110000}"/>
    <cellStyle name="40% - 강조색1 40 13" xfId="7360" xr:uid="{00000000-0005-0000-0000-00002E110000}"/>
    <cellStyle name="40% - 강조색1 40 14" xfId="7361" xr:uid="{00000000-0005-0000-0000-00002F110000}"/>
    <cellStyle name="40% - 강조색1 40 2" xfId="602" xr:uid="{00000000-0005-0000-0000-000030110000}"/>
    <cellStyle name="40% - 강조색1 40 3" xfId="7362" xr:uid="{00000000-0005-0000-0000-000031110000}"/>
    <cellStyle name="40% - 강조색1 40 4" xfId="7363" xr:uid="{00000000-0005-0000-0000-000032110000}"/>
    <cellStyle name="40% - 강조색1 40 5" xfId="7364" xr:uid="{00000000-0005-0000-0000-000033110000}"/>
    <cellStyle name="40% - 강조색1 40 6" xfId="7365" xr:uid="{00000000-0005-0000-0000-000034110000}"/>
    <cellStyle name="40% - 강조색1 40 7" xfId="7366" xr:uid="{00000000-0005-0000-0000-000035110000}"/>
    <cellStyle name="40% - 강조색1 40 8" xfId="7367" xr:uid="{00000000-0005-0000-0000-000036110000}"/>
    <cellStyle name="40% - 강조색1 40 9" xfId="7368" xr:uid="{00000000-0005-0000-0000-000037110000}"/>
    <cellStyle name="40% - 강조색1 41" xfId="603" xr:uid="{00000000-0005-0000-0000-000038110000}"/>
    <cellStyle name="40% - 강조색1 41 10" xfId="7369" xr:uid="{00000000-0005-0000-0000-000039110000}"/>
    <cellStyle name="40% - 강조색1 41 11" xfId="7370" xr:uid="{00000000-0005-0000-0000-00003A110000}"/>
    <cellStyle name="40% - 강조색1 41 12" xfId="7371" xr:uid="{00000000-0005-0000-0000-00003B110000}"/>
    <cellStyle name="40% - 강조색1 41 13" xfId="7372" xr:uid="{00000000-0005-0000-0000-00003C110000}"/>
    <cellStyle name="40% - 강조색1 41 14" xfId="7373" xr:uid="{00000000-0005-0000-0000-00003D110000}"/>
    <cellStyle name="40% - 강조색1 41 2" xfId="604" xr:uid="{00000000-0005-0000-0000-00003E110000}"/>
    <cellStyle name="40% - 강조색1 41 3" xfId="7374" xr:uid="{00000000-0005-0000-0000-00003F110000}"/>
    <cellStyle name="40% - 강조색1 41 4" xfId="7375" xr:uid="{00000000-0005-0000-0000-000040110000}"/>
    <cellStyle name="40% - 강조색1 41 5" xfId="7376" xr:uid="{00000000-0005-0000-0000-000041110000}"/>
    <cellStyle name="40% - 강조색1 41 6" xfId="7377" xr:uid="{00000000-0005-0000-0000-000042110000}"/>
    <cellStyle name="40% - 강조색1 41 7" xfId="7378" xr:uid="{00000000-0005-0000-0000-000043110000}"/>
    <cellStyle name="40% - 강조색1 41 8" xfId="7379" xr:uid="{00000000-0005-0000-0000-000044110000}"/>
    <cellStyle name="40% - 강조색1 41 9" xfId="7380" xr:uid="{00000000-0005-0000-0000-000045110000}"/>
    <cellStyle name="40% - 강조색1 42" xfId="605" xr:uid="{00000000-0005-0000-0000-000046110000}"/>
    <cellStyle name="40% - 강조색1 42 10" xfId="7382" xr:uid="{00000000-0005-0000-0000-000047110000}"/>
    <cellStyle name="40% - 강조색1 42 11" xfId="7383" xr:uid="{00000000-0005-0000-0000-000048110000}"/>
    <cellStyle name="40% - 강조색1 42 12" xfId="7384" xr:uid="{00000000-0005-0000-0000-000049110000}"/>
    <cellStyle name="40% - 강조색1 42 13" xfId="7385" xr:uid="{00000000-0005-0000-0000-00004A110000}"/>
    <cellStyle name="40% - 강조색1 42 14" xfId="7386" xr:uid="{00000000-0005-0000-0000-00004B110000}"/>
    <cellStyle name="40% - 강조색1 42 15" xfId="7381" xr:uid="{00000000-0005-0000-0000-00004C110000}"/>
    <cellStyle name="40% - 강조색1 42 2" xfId="606" xr:uid="{00000000-0005-0000-0000-00004D110000}"/>
    <cellStyle name="40% - 강조색1 42 2 2" xfId="7387" xr:uid="{00000000-0005-0000-0000-00004E110000}"/>
    <cellStyle name="40% - 강조색1 42 3" xfId="7388" xr:uid="{00000000-0005-0000-0000-00004F110000}"/>
    <cellStyle name="40% - 강조색1 42 4" xfId="7389" xr:uid="{00000000-0005-0000-0000-000050110000}"/>
    <cellStyle name="40% - 강조색1 42 5" xfId="7390" xr:uid="{00000000-0005-0000-0000-000051110000}"/>
    <cellStyle name="40% - 강조색1 42 6" xfId="7391" xr:uid="{00000000-0005-0000-0000-000052110000}"/>
    <cellStyle name="40% - 강조색1 42 7" xfId="7392" xr:uid="{00000000-0005-0000-0000-000053110000}"/>
    <cellStyle name="40% - 강조색1 42 8" xfId="7393" xr:uid="{00000000-0005-0000-0000-000054110000}"/>
    <cellStyle name="40% - 강조색1 42 9" xfId="7394" xr:uid="{00000000-0005-0000-0000-000055110000}"/>
    <cellStyle name="40% - 강조색1 43" xfId="607" xr:uid="{00000000-0005-0000-0000-000056110000}"/>
    <cellStyle name="40% - 강조색1 43 10" xfId="7396" xr:uid="{00000000-0005-0000-0000-000057110000}"/>
    <cellStyle name="40% - 강조색1 43 11" xfId="7397" xr:uid="{00000000-0005-0000-0000-000058110000}"/>
    <cellStyle name="40% - 강조색1 43 12" xfId="7398" xr:uid="{00000000-0005-0000-0000-000059110000}"/>
    <cellStyle name="40% - 강조색1 43 13" xfId="7399" xr:uid="{00000000-0005-0000-0000-00005A110000}"/>
    <cellStyle name="40% - 강조색1 43 14" xfId="7400" xr:uid="{00000000-0005-0000-0000-00005B110000}"/>
    <cellStyle name="40% - 강조색1 43 15" xfId="7395" xr:uid="{00000000-0005-0000-0000-00005C110000}"/>
    <cellStyle name="40% - 강조색1 43 2" xfId="608" xr:uid="{00000000-0005-0000-0000-00005D110000}"/>
    <cellStyle name="40% - 강조색1 43 2 2" xfId="7401" xr:uid="{00000000-0005-0000-0000-00005E110000}"/>
    <cellStyle name="40% - 강조색1 43 3" xfId="7402" xr:uid="{00000000-0005-0000-0000-00005F110000}"/>
    <cellStyle name="40% - 강조색1 43 4" xfId="7403" xr:uid="{00000000-0005-0000-0000-000060110000}"/>
    <cellStyle name="40% - 강조색1 43 5" xfId="7404" xr:uid="{00000000-0005-0000-0000-000061110000}"/>
    <cellStyle name="40% - 강조색1 43 6" xfId="7405" xr:uid="{00000000-0005-0000-0000-000062110000}"/>
    <cellStyle name="40% - 강조색1 43 7" xfId="7406" xr:uid="{00000000-0005-0000-0000-000063110000}"/>
    <cellStyle name="40% - 강조색1 43 8" xfId="7407" xr:uid="{00000000-0005-0000-0000-000064110000}"/>
    <cellStyle name="40% - 강조색1 43 9" xfId="7408" xr:uid="{00000000-0005-0000-0000-000065110000}"/>
    <cellStyle name="40% - 강조색1 44" xfId="609" xr:uid="{00000000-0005-0000-0000-000066110000}"/>
    <cellStyle name="40% - 강조색1 44 2" xfId="7409" xr:uid="{00000000-0005-0000-0000-000067110000}"/>
    <cellStyle name="40% - 강조색1 45" xfId="610" xr:uid="{00000000-0005-0000-0000-000068110000}"/>
    <cellStyle name="40% - 강조색1 45 2" xfId="7410" xr:uid="{00000000-0005-0000-0000-000069110000}"/>
    <cellStyle name="40% - 강조색1 46" xfId="534" xr:uid="{00000000-0005-0000-0000-00006A110000}"/>
    <cellStyle name="40% - 강조색1 47" xfId="27635" xr:uid="{00000000-0005-0000-0000-00006B110000}"/>
    <cellStyle name="40% - 강조색1 5" xfId="611" xr:uid="{00000000-0005-0000-0000-00006C110000}"/>
    <cellStyle name="40% - 강조색1 5 10" xfId="7412" xr:uid="{00000000-0005-0000-0000-00006D110000}"/>
    <cellStyle name="40% - 강조색1 5 11" xfId="7413" xr:uid="{00000000-0005-0000-0000-00006E110000}"/>
    <cellStyle name="40% - 강조색1 5 12" xfId="7414" xr:uid="{00000000-0005-0000-0000-00006F110000}"/>
    <cellStyle name="40% - 강조색1 5 13" xfId="7415" xr:uid="{00000000-0005-0000-0000-000070110000}"/>
    <cellStyle name="40% - 강조색1 5 14" xfId="7416" xr:uid="{00000000-0005-0000-0000-000071110000}"/>
    <cellStyle name="40% - 강조색1 5 15" xfId="7411" xr:uid="{00000000-0005-0000-0000-000072110000}"/>
    <cellStyle name="40% - 강조색1 5 2" xfId="612" xr:uid="{00000000-0005-0000-0000-000073110000}"/>
    <cellStyle name="40% - 강조색1 5 2 2" xfId="7417" xr:uid="{00000000-0005-0000-0000-000074110000}"/>
    <cellStyle name="40% - 강조색1 5 3" xfId="7418" xr:uid="{00000000-0005-0000-0000-000075110000}"/>
    <cellStyle name="40% - 강조색1 5 4" xfId="7419" xr:uid="{00000000-0005-0000-0000-000076110000}"/>
    <cellStyle name="40% - 강조색1 5 5" xfId="7420" xr:uid="{00000000-0005-0000-0000-000077110000}"/>
    <cellStyle name="40% - 강조색1 5 6" xfId="7421" xr:uid="{00000000-0005-0000-0000-000078110000}"/>
    <cellStyle name="40% - 강조색1 5 7" xfId="7422" xr:uid="{00000000-0005-0000-0000-000079110000}"/>
    <cellStyle name="40% - 강조색1 5 8" xfId="7423" xr:uid="{00000000-0005-0000-0000-00007A110000}"/>
    <cellStyle name="40% - 강조색1 5 9" xfId="7424" xr:uid="{00000000-0005-0000-0000-00007B110000}"/>
    <cellStyle name="40% - 강조색1 6" xfId="613" xr:uid="{00000000-0005-0000-0000-00007C110000}"/>
    <cellStyle name="40% - 강조색1 6 10" xfId="7426" xr:uid="{00000000-0005-0000-0000-00007D110000}"/>
    <cellStyle name="40% - 강조색1 6 11" xfId="7427" xr:uid="{00000000-0005-0000-0000-00007E110000}"/>
    <cellStyle name="40% - 강조색1 6 12" xfId="7428" xr:uid="{00000000-0005-0000-0000-00007F110000}"/>
    <cellStyle name="40% - 강조색1 6 13" xfId="7429" xr:uid="{00000000-0005-0000-0000-000080110000}"/>
    <cellStyle name="40% - 강조색1 6 14" xfId="7430" xr:uid="{00000000-0005-0000-0000-000081110000}"/>
    <cellStyle name="40% - 강조색1 6 15" xfId="7425" xr:uid="{00000000-0005-0000-0000-000082110000}"/>
    <cellStyle name="40% - 강조색1 6 2" xfId="614" xr:uid="{00000000-0005-0000-0000-000083110000}"/>
    <cellStyle name="40% - 강조색1 6 2 2" xfId="7431" xr:uid="{00000000-0005-0000-0000-000084110000}"/>
    <cellStyle name="40% - 강조색1 6 3" xfId="7432" xr:uid="{00000000-0005-0000-0000-000085110000}"/>
    <cellStyle name="40% - 강조색1 6 4" xfId="7433" xr:uid="{00000000-0005-0000-0000-000086110000}"/>
    <cellStyle name="40% - 강조색1 6 5" xfId="7434" xr:uid="{00000000-0005-0000-0000-000087110000}"/>
    <cellStyle name="40% - 강조색1 6 6" xfId="7435" xr:uid="{00000000-0005-0000-0000-000088110000}"/>
    <cellStyle name="40% - 강조색1 6 7" xfId="7436" xr:uid="{00000000-0005-0000-0000-000089110000}"/>
    <cellStyle name="40% - 강조색1 6 8" xfId="7437" xr:uid="{00000000-0005-0000-0000-00008A110000}"/>
    <cellStyle name="40% - 강조색1 6 9" xfId="7438" xr:uid="{00000000-0005-0000-0000-00008B110000}"/>
    <cellStyle name="40% - 강조색1 7" xfId="615" xr:uid="{00000000-0005-0000-0000-00008C110000}"/>
    <cellStyle name="40% - 강조색1 7 10" xfId="7440" xr:uid="{00000000-0005-0000-0000-00008D110000}"/>
    <cellStyle name="40% - 강조색1 7 11" xfId="7441" xr:uid="{00000000-0005-0000-0000-00008E110000}"/>
    <cellStyle name="40% - 강조색1 7 12" xfId="7442" xr:uid="{00000000-0005-0000-0000-00008F110000}"/>
    <cellStyle name="40% - 강조색1 7 13" xfId="7443" xr:uid="{00000000-0005-0000-0000-000090110000}"/>
    <cellStyle name="40% - 강조색1 7 14" xfId="7444" xr:uid="{00000000-0005-0000-0000-000091110000}"/>
    <cellStyle name="40% - 강조색1 7 15" xfId="7439" xr:uid="{00000000-0005-0000-0000-000092110000}"/>
    <cellStyle name="40% - 강조색1 7 2" xfId="616" xr:uid="{00000000-0005-0000-0000-000093110000}"/>
    <cellStyle name="40% - 강조색1 7 2 2" xfId="7445" xr:uid="{00000000-0005-0000-0000-000094110000}"/>
    <cellStyle name="40% - 강조색1 7 3" xfId="7446" xr:uid="{00000000-0005-0000-0000-000095110000}"/>
    <cellStyle name="40% - 강조색1 7 4" xfId="7447" xr:uid="{00000000-0005-0000-0000-000096110000}"/>
    <cellStyle name="40% - 강조색1 7 5" xfId="7448" xr:uid="{00000000-0005-0000-0000-000097110000}"/>
    <cellStyle name="40% - 강조색1 7 6" xfId="7449" xr:uid="{00000000-0005-0000-0000-000098110000}"/>
    <cellStyle name="40% - 강조색1 7 7" xfId="7450" xr:uid="{00000000-0005-0000-0000-000099110000}"/>
    <cellStyle name="40% - 강조색1 7 8" xfId="7451" xr:uid="{00000000-0005-0000-0000-00009A110000}"/>
    <cellStyle name="40% - 강조색1 7 9" xfId="7452" xr:uid="{00000000-0005-0000-0000-00009B110000}"/>
    <cellStyle name="40% - 강조색1 8" xfId="617" xr:uid="{00000000-0005-0000-0000-00009C110000}"/>
    <cellStyle name="40% - 강조색1 8 10" xfId="7454" xr:uid="{00000000-0005-0000-0000-00009D110000}"/>
    <cellStyle name="40% - 강조색1 8 11" xfId="7455" xr:uid="{00000000-0005-0000-0000-00009E110000}"/>
    <cellStyle name="40% - 강조색1 8 12" xfId="7456" xr:uid="{00000000-0005-0000-0000-00009F110000}"/>
    <cellStyle name="40% - 강조색1 8 13" xfId="7457" xr:uid="{00000000-0005-0000-0000-0000A0110000}"/>
    <cellStyle name="40% - 강조색1 8 14" xfId="7458" xr:uid="{00000000-0005-0000-0000-0000A1110000}"/>
    <cellStyle name="40% - 강조색1 8 15" xfId="7453" xr:uid="{00000000-0005-0000-0000-0000A2110000}"/>
    <cellStyle name="40% - 강조색1 8 2" xfId="618" xr:uid="{00000000-0005-0000-0000-0000A3110000}"/>
    <cellStyle name="40% - 강조색1 8 2 2" xfId="7459" xr:uid="{00000000-0005-0000-0000-0000A4110000}"/>
    <cellStyle name="40% - 강조색1 8 3" xfId="7460" xr:uid="{00000000-0005-0000-0000-0000A5110000}"/>
    <cellStyle name="40% - 강조색1 8 4" xfId="7461" xr:uid="{00000000-0005-0000-0000-0000A6110000}"/>
    <cellStyle name="40% - 강조색1 8 5" xfId="7462" xr:uid="{00000000-0005-0000-0000-0000A7110000}"/>
    <cellStyle name="40% - 강조색1 8 6" xfId="7463" xr:uid="{00000000-0005-0000-0000-0000A8110000}"/>
    <cellStyle name="40% - 강조색1 8 7" xfId="7464" xr:uid="{00000000-0005-0000-0000-0000A9110000}"/>
    <cellStyle name="40% - 강조색1 8 8" xfId="7465" xr:uid="{00000000-0005-0000-0000-0000AA110000}"/>
    <cellStyle name="40% - 강조색1 8 9" xfId="7466" xr:uid="{00000000-0005-0000-0000-0000AB110000}"/>
    <cellStyle name="40% - 강조색1 9" xfId="619" xr:uid="{00000000-0005-0000-0000-0000AC110000}"/>
    <cellStyle name="40% - 강조색1 9 10" xfId="7468" xr:uid="{00000000-0005-0000-0000-0000AD110000}"/>
    <cellStyle name="40% - 강조색1 9 11" xfId="7469" xr:uid="{00000000-0005-0000-0000-0000AE110000}"/>
    <cellStyle name="40% - 강조색1 9 12" xfId="7470" xr:uid="{00000000-0005-0000-0000-0000AF110000}"/>
    <cellStyle name="40% - 강조색1 9 13" xfId="7471" xr:uid="{00000000-0005-0000-0000-0000B0110000}"/>
    <cellStyle name="40% - 강조색1 9 14" xfId="7472" xr:uid="{00000000-0005-0000-0000-0000B1110000}"/>
    <cellStyle name="40% - 강조색1 9 15" xfId="7467" xr:uid="{00000000-0005-0000-0000-0000B2110000}"/>
    <cellStyle name="40% - 강조색1 9 2" xfId="620" xr:uid="{00000000-0005-0000-0000-0000B3110000}"/>
    <cellStyle name="40% - 강조색1 9 2 2" xfId="7473" xr:uid="{00000000-0005-0000-0000-0000B4110000}"/>
    <cellStyle name="40% - 강조색1 9 3" xfId="7474" xr:uid="{00000000-0005-0000-0000-0000B5110000}"/>
    <cellStyle name="40% - 강조색1 9 4" xfId="7475" xr:uid="{00000000-0005-0000-0000-0000B6110000}"/>
    <cellStyle name="40% - 강조색1 9 5" xfId="7476" xr:uid="{00000000-0005-0000-0000-0000B7110000}"/>
    <cellStyle name="40% - 강조색1 9 6" xfId="7477" xr:uid="{00000000-0005-0000-0000-0000B8110000}"/>
    <cellStyle name="40% - 강조색1 9 7" xfId="7478" xr:uid="{00000000-0005-0000-0000-0000B9110000}"/>
    <cellStyle name="40% - 강조색1 9 8" xfId="7479" xr:uid="{00000000-0005-0000-0000-0000BA110000}"/>
    <cellStyle name="40% - 강조색1 9 9" xfId="7480" xr:uid="{00000000-0005-0000-0000-0000BB110000}"/>
    <cellStyle name="40% - 강조색2 10" xfId="622" xr:uid="{00000000-0005-0000-0000-0000BC110000}"/>
    <cellStyle name="40% - 강조색2 10 10" xfId="7483" xr:uid="{00000000-0005-0000-0000-0000BD110000}"/>
    <cellStyle name="40% - 강조색2 10 11" xfId="7484" xr:uid="{00000000-0005-0000-0000-0000BE110000}"/>
    <cellStyle name="40% - 강조색2 10 12" xfId="7485" xr:uid="{00000000-0005-0000-0000-0000BF110000}"/>
    <cellStyle name="40% - 강조색2 10 13" xfId="7486" xr:uid="{00000000-0005-0000-0000-0000C0110000}"/>
    <cellStyle name="40% - 강조색2 10 14" xfId="7487" xr:uid="{00000000-0005-0000-0000-0000C1110000}"/>
    <cellStyle name="40% - 강조색2 10 15" xfId="7482" xr:uid="{00000000-0005-0000-0000-0000C2110000}"/>
    <cellStyle name="40% - 강조색2 10 2" xfId="623" xr:uid="{00000000-0005-0000-0000-0000C3110000}"/>
    <cellStyle name="40% - 강조색2 10 2 2" xfId="7488" xr:uid="{00000000-0005-0000-0000-0000C4110000}"/>
    <cellStyle name="40% - 강조색2 10 3" xfId="7489" xr:uid="{00000000-0005-0000-0000-0000C5110000}"/>
    <cellStyle name="40% - 강조색2 10 4" xfId="7490" xr:uid="{00000000-0005-0000-0000-0000C6110000}"/>
    <cellStyle name="40% - 강조색2 10 5" xfId="7491" xr:uid="{00000000-0005-0000-0000-0000C7110000}"/>
    <cellStyle name="40% - 강조색2 10 6" xfId="7492" xr:uid="{00000000-0005-0000-0000-0000C8110000}"/>
    <cellStyle name="40% - 강조색2 10 7" xfId="7493" xr:uid="{00000000-0005-0000-0000-0000C9110000}"/>
    <cellStyle name="40% - 강조색2 10 8" xfId="7494" xr:uid="{00000000-0005-0000-0000-0000CA110000}"/>
    <cellStyle name="40% - 강조색2 10 9" xfId="7495" xr:uid="{00000000-0005-0000-0000-0000CB110000}"/>
    <cellStyle name="40% - 강조색2 11" xfId="624" xr:uid="{00000000-0005-0000-0000-0000CC110000}"/>
    <cellStyle name="40% - 강조색2 11 10" xfId="7497" xr:uid="{00000000-0005-0000-0000-0000CD110000}"/>
    <cellStyle name="40% - 강조색2 11 11" xfId="7498" xr:uid="{00000000-0005-0000-0000-0000CE110000}"/>
    <cellStyle name="40% - 강조색2 11 12" xfId="7499" xr:uid="{00000000-0005-0000-0000-0000CF110000}"/>
    <cellStyle name="40% - 강조색2 11 13" xfId="7500" xr:uid="{00000000-0005-0000-0000-0000D0110000}"/>
    <cellStyle name="40% - 강조색2 11 14" xfId="7501" xr:uid="{00000000-0005-0000-0000-0000D1110000}"/>
    <cellStyle name="40% - 강조색2 11 15" xfId="7496" xr:uid="{00000000-0005-0000-0000-0000D2110000}"/>
    <cellStyle name="40% - 강조색2 11 2" xfId="625" xr:uid="{00000000-0005-0000-0000-0000D3110000}"/>
    <cellStyle name="40% - 강조색2 11 2 2" xfId="7502" xr:uid="{00000000-0005-0000-0000-0000D4110000}"/>
    <cellStyle name="40% - 강조색2 11 3" xfId="7503" xr:uid="{00000000-0005-0000-0000-0000D5110000}"/>
    <cellStyle name="40% - 강조색2 11 4" xfId="7504" xr:uid="{00000000-0005-0000-0000-0000D6110000}"/>
    <cellStyle name="40% - 강조색2 11 5" xfId="7505" xr:uid="{00000000-0005-0000-0000-0000D7110000}"/>
    <cellStyle name="40% - 강조색2 11 6" xfId="7506" xr:uid="{00000000-0005-0000-0000-0000D8110000}"/>
    <cellStyle name="40% - 강조색2 11 7" xfId="7507" xr:uid="{00000000-0005-0000-0000-0000D9110000}"/>
    <cellStyle name="40% - 강조색2 11 8" xfId="7508" xr:uid="{00000000-0005-0000-0000-0000DA110000}"/>
    <cellStyle name="40% - 강조색2 11 9" xfId="7509" xr:uid="{00000000-0005-0000-0000-0000DB110000}"/>
    <cellStyle name="40% - 강조색2 12" xfId="626" xr:uid="{00000000-0005-0000-0000-0000DC110000}"/>
    <cellStyle name="40% - 강조색2 12 10" xfId="7511" xr:uid="{00000000-0005-0000-0000-0000DD110000}"/>
    <cellStyle name="40% - 강조색2 12 11" xfId="7512" xr:uid="{00000000-0005-0000-0000-0000DE110000}"/>
    <cellStyle name="40% - 강조색2 12 12" xfId="7513" xr:uid="{00000000-0005-0000-0000-0000DF110000}"/>
    <cellStyle name="40% - 강조색2 12 13" xfId="7514" xr:uid="{00000000-0005-0000-0000-0000E0110000}"/>
    <cellStyle name="40% - 강조색2 12 14" xfId="7515" xr:uid="{00000000-0005-0000-0000-0000E1110000}"/>
    <cellStyle name="40% - 강조색2 12 15" xfId="7510" xr:uid="{00000000-0005-0000-0000-0000E2110000}"/>
    <cellStyle name="40% - 강조색2 12 2" xfId="627" xr:uid="{00000000-0005-0000-0000-0000E3110000}"/>
    <cellStyle name="40% - 강조색2 12 2 2" xfId="7516" xr:uid="{00000000-0005-0000-0000-0000E4110000}"/>
    <cellStyle name="40% - 강조색2 12 3" xfId="7517" xr:uid="{00000000-0005-0000-0000-0000E5110000}"/>
    <cellStyle name="40% - 강조색2 12 4" xfId="7518" xr:uid="{00000000-0005-0000-0000-0000E6110000}"/>
    <cellStyle name="40% - 강조색2 12 5" xfId="7519" xr:uid="{00000000-0005-0000-0000-0000E7110000}"/>
    <cellStyle name="40% - 강조색2 12 6" xfId="7520" xr:uid="{00000000-0005-0000-0000-0000E8110000}"/>
    <cellStyle name="40% - 강조색2 12 7" xfId="7521" xr:uid="{00000000-0005-0000-0000-0000E9110000}"/>
    <cellStyle name="40% - 강조색2 12 8" xfId="7522" xr:uid="{00000000-0005-0000-0000-0000EA110000}"/>
    <cellStyle name="40% - 강조색2 12 9" xfId="7523" xr:uid="{00000000-0005-0000-0000-0000EB110000}"/>
    <cellStyle name="40% - 강조색2 13" xfId="628" xr:uid="{00000000-0005-0000-0000-0000EC110000}"/>
    <cellStyle name="40% - 강조색2 13 10" xfId="7525" xr:uid="{00000000-0005-0000-0000-0000ED110000}"/>
    <cellStyle name="40% - 강조색2 13 11" xfId="7526" xr:uid="{00000000-0005-0000-0000-0000EE110000}"/>
    <cellStyle name="40% - 강조색2 13 12" xfId="7527" xr:uid="{00000000-0005-0000-0000-0000EF110000}"/>
    <cellStyle name="40% - 강조색2 13 13" xfId="7528" xr:uid="{00000000-0005-0000-0000-0000F0110000}"/>
    <cellStyle name="40% - 강조색2 13 14" xfId="7529" xr:uid="{00000000-0005-0000-0000-0000F1110000}"/>
    <cellStyle name="40% - 강조색2 13 15" xfId="7524" xr:uid="{00000000-0005-0000-0000-0000F2110000}"/>
    <cellStyle name="40% - 강조색2 13 2" xfId="629" xr:uid="{00000000-0005-0000-0000-0000F3110000}"/>
    <cellStyle name="40% - 강조색2 13 2 2" xfId="7530" xr:uid="{00000000-0005-0000-0000-0000F4110000}"/>
    <cellStyle name="40% - 강조색2 13 3" xfId="7531" xr:uid="{00000000-0005-0000-0000-0000F5110000}"/>
    <cellStyle name="40% - 강조색2 13 4" xfId="7532" xr:uid="{00000000-0005-0000-0000-0000F6110000}"/>
    <cellStyle name="40% - 강조색2 13 5" xfId="7533" xr:uid="{00000000-0005-0000-0000-0000F7110000}"/>
    <cellStyle name="40% - 강조색2 13 6" xfId="7534" xr:uid="{00000000-0005-0000-0000-0000F8110000}"/>
    <cellStyle name="40% - 강조색2 13 7" xfId="7535" xr:uid="{00000000-0005-0000-0000-0000F9110000}"/>
    <cellStyle name="40% - 강조색2 13 8" xfId="7536" xr:uid="{00000000-0005-0000-0000-0000FA110000}"/>
    <cellStyle name="40% - 강조색2 13 9" xfId="7537" xr:uid="{00000000-0005-0000-0000-0000FB110000}"/>
    <cellStyle name="40% - 강조색2 14" xfId="630" xr:uid="{00000000-0005-0000-0000-0000FC110000}"/>
    <cellStyle name="40% - 강조색2 14 10" xfId="7539" xr:uid="{00000000-0005-0000-0000-0000FD110000}"/>
    <cellStyle name="40% - 강조색2 14 11" xfId="7540" xr:uid="{00000000-0005-0000-0000-0000FE110000}"/>
    <cellStyle name="40% - 강조색2 14 12" xfId="7541" xr:uid="{00000000-0005-0000-0000-0000FF110000}"/>
    <cellStyle name="40% - 강조색2 14 13" xfId="7542" xr:uid="{00000000-0005-0000-0000-000000120000}"/>
    <cellStyle name="40% - 강조색2 14 14" xfId="7543" xr:uid="{00000000-0005-0000-0000-000001120000}"/>
    <cellStyle name="40% - 강조색2 14 15" xfId="7538" xr:uid="{00000000-0005-0000-0000-000002120000}"/>
    <cellStyle name="40% - 강조색2 14 2" xfId="631" xr:uid="{00000000-0005-0000-0000-000003120000}"/>
    <cellStyle name="40% - 강조색2 14 2 2" xfId="7544" xr:uid="{00000000-0005-0000-0000-000004120000}"/>
    <cellStyle name="40% - 강조색2 14 3" xfId="7545" xr:uid="{00000000-0005-0000-0000-000005120000}"/>
    <cellStyle name="40% - 강조색2 14 4" xfId="7546" xr:uid="{00000000-0005-0000-0000-000006120000}"/>
    <cellStyle name="40% - 강조색2 14 5" xfId="7547" xr:uid="{00000000-0005-0000-0000-000007120000}"/>
    <cellStyle name="40% - 강조색2 14 6" xfId="7548" xr:uid="{00000000-0005-0000-0000-000008120000}"/>
    <cellStyle name="40% - 강조색2 14 7" xfId="7549" xr:uid="{00000000-0005-0000-0000-000009120000}"/>
    <cellStyle name="40% - 강조색2 14 8" xfId="7550" xr:uid="{00000000-0005-0000-0000-00000A120000}"/>
    <cellStyle name="40% - 강조색2 14 9" xfId="7551" xr:uid="{00000000-0005-0000-0000-00000B120000}"/>
    <cellStyle name="40% - 강조색2 15" xfId="632" xr:uid="{00000000-0005-0000-0000-00000C120000}"/>
    <cellStyle name="40% - 강조색2 15 10" xfId="7553" xr:uid="{00000000-0005-0000-0000-00000D120000}"/>
    <cellStyle name="40% - 강조색2 15 11" xfId="7554" xr:uid="{00000000-0005-0000-0000-00000E120000}"/>
    <cellStyle name="40% - 강조색2 15 12" xfId="7555" xr:uid="{00000000-0005-0000-0000-00000F120000}"/>
    <cellStyle name="40% - 강조색2 15 13" xfId="7556" xr:uid="{00000000-0005-0000-0000-000010120000}"/>
    <cellStyle name="40% - 강조색2 15 14" xfId="7557" xr:uid="{00000000-0005-0000-0000-000011120000}"/>
    <cellStyle name="40% - 강조색2 15 15" xfId="7552" xr:uid="{00000000-0005-0000-0000-000012120000}"/>
    <cellStyle name="40% - 강조색2 15 2" xfId="633" xr:uid="{00000000-0005-0000-0000-000013120000}"/>
    <cellStyle name="40% - 강조색2 15 2 2" xfId="7558" xr:uid="{00000000-0005-0000-0000-000014120000}"/>
    <cellStyle name="40% - 강조색2 15 3" xfId="7559" xr:uid="{00000000-0005-0000-0000-000015120000}"/>
    <cellStyle name="40% - 강조색2 15 4" xfId="7560" xr:uid="{00000000-0005-0000-0000-000016120000}"/>
    <cellStyle name="40% - 강조색2 15 5" xfId="7561" xr:uid="{00000000-0005-0000-0000-000017120000}"/>
    <cellStyle name="40% - 강조색2 15 6" xfId="7562" xr:uid="{00000000-0005-0000-0000-000018120000}"/>
    <cellStyle name="40% - 강조색2 15 7" xfId="7563" xr:uid="{00000000-0005-0000-0000-000019120000}"/>
    <cellStyle name="40% - 강조색2 15 8" xfId="7564" xr:uid="{00000000-0005-0000-0000-00001A120000}"/>
    <cellStyle name="40% - 강조색2 15 9" xfId="7565" xr:uid="{00000000-0005-0000-0000-00001B120000}"/>
    <cellStyle name="40% - 강조색2 16" xfId="634" xr:uid="{00000000-0005-0000-0000-00001C120000}"/>
    <cellStyle name="40% - 강조색2 16 10" xfId="7567" xr:uid="{00000000-0005-0000-0000-00001D120000}"/>
    <cellStyle name="40% - 강조색2 16 11" xfId="7568" xr:uid="{00000000-0005-0000-0000-00001E120000}"/>
    <cellStyle name="40% - 강조색2 16 12" xfId="7569" xr:uid="{00000000-0005-0000-0000-00001F120000}"/>
    <cellStyle name="40% - 강조색2 16 13" xfId="7570" xr:uid="{00000000-0005-0000-0000-000020120000}"/>
    <cellStyle name="40% - 강조색2 16 14" xfId="7571" xr:uid="{00000000-0005-0000-0000-000021120000}"/>
    <cellStyle name="40% - 강조색2 16 15" xfId="7566" xr:uid="{00000000-0005-0000-0000-000022120000}"/>
    <cellStyle name="40% - 강조색2 16 2" xfId="635" xr:uid="{00000000-0005-0000-0000-000023120000}"/>
    <cellStyle name="40% - 강조색2 16 2 2" xfId="7572" xr:uid="{00000000-0005-0000-0000-000024120000}"/>
    <cellStyle name="40% - 강조색2 16 3" xfId="7573" xr:uid="{00000000-0005-0000-0000-000025120000}"/>
    <cellStyle name="40% - 강조색2 16 4" xfId="7574" xr:uid="{00000000-0005-0000-0000-000026120000}"/>
    <cellStyle name="40% - 강조색2 16 5" xfId="7575" xr:uid="{00000000-0005-0000-0000-000027120000}"/>
    <cellStyle name="40% - 강조색2 16 6" xfId="7576" xr:uid="{00000000-0005-0000-0000-000028120000}"/>
    <cellStyle name="40% - 강조색2 16 7" xfId="7577" xr:uid="{00000000-0005-0000-0000-000029120000}"/>
    <cellStyle name="40% - 강조색2 16 8" xfId="7578" xr:uid="{00000000-0005-0000-0000-00002A120000}"/>
    <cellStyle name="40% - 강조색2 16 9" xfId="7579" xr:uid="{00000000-0005-0000-0000-00002B120000}"/>
    <cellStyle name="40% - 강조색2 17" xfId="636" xr:uid="{00000000-0005-0000-0000-00002C120000}"/>
    <cellStyle name="40% - 강조색2 17 10" xfId="7581" xr:uid="{00000000-0005-0000-0000-00002D120000}"/>
    <cellStyle name="40% - 강조색2 17 11" xfId="7582" xr:uid="{00000000-0005-0000-0000-00002E120000}"/>
    <cellStyle name="40% - 강조색2 17 12" xfId="7583" xr:uid="{00000000-0005-0000-0000-00002F120000}"/>
    <cellStyle name="40% - 강조색2 17 13" xfId="7584" xr:uid="{00000000-0005-0000-0000-000030120000}"/>
    <cellStyle name="40% - 강조색2 17 14" xfId="7585" xr:uid="{00000000-0005-0000-0000-000031120000}"/>
    <cellStyle name="40% - 강조색2 17 15" xfId="7580" xr:uid="{00000000-0005-0000-0000-000032120000}"/>
    <cellStyle name="40% - 강조색2 17 2" xfId="637" xr:uid="{00000000-0005-0000-0000-000033120000}"/>
    <cellStyle name="40% - 강조색2 17 2 2" xfId="7586" xr:uid="{00000000-0005-0000-0000-000034120000}"/>
    <cellStyle name="40% - 강조색2 17 3" xfId="7587" xr:uid="{00000000-0005-0000-0000-000035120000}"/>
    <cellStyle name="40% - 강조색2 17 4" xfId="7588" xr:uid="{00000000-0005-0000-0000-000036120000}"/>
    <cellStyle name="40% - 강조색2 17 5" xfId="7589" xr:uid="{00000000-0005-0000-0000-000037120000}"/>
    <cellStyle name="40% - 강조색2 17 6" xfId="7590" xr:uid="{00000000-0005-0000-0000-000038120000}"/>
    <cellStyle name="40% - 강조색2 17 7" xfId="7591" xr:uid="{00000000-0005-0000-0000-000039120000}"/>
    <cellStyle name="40% - 강조색2 17 8" xfId="7592" xr:uid="{00000000-0005-0000-0000-00003A120000}"/>
    <cellStyle name="40% - 강조색2 17 9" xfId="7593" xr:uid="{00000000-0005-0000-0000-00003B120000}"/>
    <cellStyle name="40% - 강조색2 18" xfId="638" xr:uid="{00000000-0005-0000-0000-00003C120000}"/>
    <cellStyle name="40% - 강조색2 18 10" xfId="7595" xr:uid="{00000000-0005-0000-0000-00003D120000}"/>
    <cellStyle name="40% - 강조색2 18 11" xfId="7596" xr:uid="{00000000-0005-0000-0000-00003E120000}"/>
    <cellStyle name="40% - 강조색2 18 12" xfId="7597" xr:uid="{00000000-0005-0000-0000-00003F120000}"/>
    <cellStyle name="40% - 강조색2 18 13" xfId="7598" xr:uid="{00000000-0005-0000-0000-000040120000}"/>
    <cellStyle name="40% - 강조색2 18 14" xfId="7599" xr:uid="{00000000-0005-0000-0000-000041120000}"/>
    <cellStyle name="40% - 강조색2 18 15" xfId="7594" xr:uid="{00000000-0005-0000-0000-000042120000}"/>
    <cellStyle name="40% - 강조색2 18 2" xfId="639" xr:uid="{00000000-0005-0000-0000-000043120000}"/>
    <cellStyle name="40% - 강조색2 18 2 2" xfId="7600" xr:uid="{00000000-0005-0000-0000-000044120000}"/>
    <cellStyle name="40% - 강조색2 18 3" xfId="7601" xr:uid="{00000000-0005-0000-0000-000045120000}"/>
    <cellStyle name="40% - 강조색2 18 4" xfId="7602" xr:uid="{00000000-0005-0000-0000-000046120000}"/>
    <cellStyle name="40% - 강조색2 18 5" xfId="7603" xr:uid="{00000000-0005-0000-0000-000047120000}"/>
    <cellStyle name="40% - 강조색2 18 6" xfId="7604" xr:uid="{00000000-0005-0000-0000-000048120000}"/>
    <cellStyle name="40% - 강조색2 18 7" xfId="7605" xr:uid="{00000000-0005-0000-0000-000049120000}"/>
    <cellStyle name="40% - 강조색2 18 8" xfId="7606" xr:uid="{00000000-0005-0000-0000-00004A120000}"/>
    <cellStyle name="40% - 강조색2 18 9" xfId="7607" xr:uid="{00000000-0005-0000-0000-00004B120000}"/>
    <cellStyle name="40% - 강조색2 19" xfId="640" xr:uid="{00000000-0005-0000-0000-00004C120000}"/>
    <cellStyle name="40% - 강조색2 19 10" xfId="7609" xr:uid="{00000000-0005-0000-0000-00004D120000}"/>
    <cellStyle name="40% - 강조색2 19 11" xfId="7610" xr:uid="{00000000-0005-0000-0000-00004E120000}"/>
    <cellStyle name="40% - 강조색2 19 12" xfId="7611" xr:uid="{00000000-0005-0000-0000-00004F120000}"/>
    <cellStyle name="40% - 강조색2 19 13" xfId="7612" xr:uid="{00000000-0005-0000-0000-000050120000}"/>
    <cellStyle name="40% - 강조색2 19 14" xfId="7613" xr:uid="{00000000-0005-0000-0000-000051120000}"/>
    <cellStyle name="40% - 강조색2 19 15" xfId="7608" xr:uid="{00000000-0005-0000-0000-000052120000}"/>
    <cellStyle name="40% - 강조색2 19 2" xfId="641" xr:uid="{00000000-0005-0000-0000-000053120000}"/>
    <cellStyle name="40% - 강조색2 19 2 2" xfId="7614" xr:uid="{00000000-0005-0000-0000-000054120000}"/>
    <cellStyle name="40% - 강조색2 19 3" xfId="7615" xr:uid="{00000000-0005-0000-0000-000055120000}"/>
    <cellStyle name="40% - 강조색2 19 4" xfId="7616" xr:uid="{00000000-0005-0000-0000-000056120000}"/>
    <cellStyle name="40% - 강조색2 19 5" xfId="7617" xr:uid="{00000000-0005-0000-0000-000057120000}"/>
    <cellStyle name="40% - 강조색2 19 6" xfId="7618" xr:uid="{00000000-0005-0000-0000-000058120000}"/>
    <cellStyle name="40% - 강조색2 19 7" xfId="7619" xr:uid="{00000000-0005-0000-0000-000059120000}"/>
    <cellStyle name="40% - 강조색2 19 8" xfId="7620" xr:uid="{00000000-0005-0000-0000-00005A120000}"/>
    <cellStyle name="40% - 강조색2 19 9" xfId="7621" xr:uid="{00000000-0005-0000-0000-00005B120000}"/>
    <cellStyle name="40% - 강조색2 2" xfId="642" xr:uid="{00000000-0005-0000-0000-00005C120000}"/>
    <cellStyle name="40% - 강조색2 2 10" xfId="7623" xr:uid="{00000000-0005-0000-0000-00005D120000}"/>
    <cellStyle name="40% - 강조색2 2 11" xfId="7624" xr:uid="{00000000-0005-0000-0000-00005E120000}"/>
    <cellStyle name="40% - 강조색2 2 12" xfId="7625" xr:uid="{00000000-0005-0000-0000-00005F120000}"/>
    <cellStyle name="40% - 강조색2 2 13" xfId="7626" xr:uid="{00000000-0005-0000-0000-000060120000}"/>
    <cellStyle name="40% - 강조색2 2 14" xfId="7627" xr:uid="{00000000-0005-0000-0000-000061120000}"/>
    <cellStyle name="40% - 강조색2 2 15" xfId="7622" xr:uid="{00000000-0005-0000-0000-000062120000}"/>
    <cellStyle name="40% - 강조색2 2 16" xfId="27940" xr:uid="{00000000-0005-0000-0000-000063120000}"/>
    <cellStyle name="40% - 강조색2 2 2" xfId="643" xr:uid="{00000000-0005-0000-0000-000064120000}"/>
    <cellStyle name="40% - 강조색2 2 2 2" xfId="7628" xr:uid="{00000000-0005-0000-0000-000065120000}"/>
    <cellStyle name="40% - 강조색2 2 3" xfId="7629" xr:uid="{00000000-0005-0000-0000-000066120000}"/>
    <cellStyle name="40% - 강조색2 2 4" xfId="7630" xr:uid="{00000000-0005-0000-0000-000067120000}"/>
    <cellStyle name="40% - 강조색2 2 5" xfId="7631" xr:uid="{00000000-0005-0000-0000-000068120000}"/>
    <cellStyle name="40% - 강조색2 2 6" xfId="7632" xr:uid="{00000000-0005-0000-0000-000069120000}"/>
    <cellStyle name="40% - 강조색2 2 7" xfId="7633" xr:uid="{00000000-0005-0000-0000-00006A120000}"/>
    <cellStyle name="40% - 강조색2 2 8" xfId="7634" xr:uid="{00000000-0005-0000-0000-00006B120000}"/>
    <cellStyle name="40% - 강조색2 2 9" xfId="7635" xr:uid="{00000000-0005-0000-0000-00006C120000}"/>
    <cellStyle name="40% - 강조색2 20" xfId="644" xr:uid="{00000000-0005-0000-0000-00006D120000}"/>
    <cellStyle name="40% - 강조색2 20 10" xfId="7637" xr:uid="{00000000-0005-0000-0000-00006E120000}"/>
    <cellStyle name="40% - 강조색2 20 11" xfId="7638" xr:uid="{00000000-0005-0000-0000-00006F120000}"/>
    <cellStyle name="40% - 강조색2 20 12" xfId="7639" xr:uid="{00000000-0005-0000-0000-000070120000}"/>
    <cellStyle name="40% - 강조색2 20 13" xfId="7640" xr:uid="{00000000-0005-0000-0000-000071120000}"/>
    <cellStyle name="40% - 강조색2 20 14" xfId="7641" xr:uid="{00000000-0005-0000-0000-000072120000}"/>
    <cellStyle name="40% - 강조색2 20 15" xfId="7636" xr:uid="{00000000-0005-0000-0000-000073120000}"/>
    <cellStyle name="40% - 강조색2 20 2" xfId="645" xr:uid="{00000000-0005-0000-0000-000074120000}"/>
    <cellStyle name="40% - 강조색2 20 2 2" xfId="7642" xr:uid="{00000000-0005-0000-0000-000075120000}"/>
    <cellStyle name="40% - 강조색2 20 3" xfId="7643" xr:uid="{00000000-0005-0000-0000-000076120000}"/>
    <cellStyle name="40% - 강조색2 20 4" xfId="7644" xr:uid="{00000000-0005-0000-0000-000077120000}"/>
    <cellStyle name="40% - 강조색2 20 5" xfId="7645" xr:uid="{00000000-0005-0000-0000-000078120000}"/>
    <cellStyle name="40% - 강조색2 20 6" xfId="7646" xr:uid="{00000000-0005-0000-0000-000079120000}"/>
    <cellStyle name="40% - 강조색2 20 7" xfId="7647" xr:uid="{00000000-0005-0000-0000-00007A120000}"/>
    <cellStyle name="40% - 강조색2 20 8" xfId="7648" xr:uid="{00000000-0005-0000-0000-00007B120000}"/>
    <cellStyle name="40% - 강조색2 20 9" xfId="7649" xr:uid="{00000000-0005-0000-0000-00007C120000}"/>
    <cellStyle name="40% - 강조색2 21" xfId="646" xr:uid="{00000000-0005-0000-0000-00007D120000}"/>
    <cellStyle name="40% - 강조색2 21 10" xfId="7651" xr:uid="{00000000-0005-0000-0000-00007E120000}"/>
    <cellStyle name="40% - 강조색2 21 11" xfId="7652" xr:uid="{00000000-0005-0000-0000-00007F120000}"/>
    <cellStyle name="40% - 강조색2 21 12" xfId="7653" xr:uid="{00000000-0005-0000-0000-000080120000}"/>
    <cellStyle name="40% - 강조색2 21 13" xfId="7654" xr:uid="{00000000-0005-0000-0000-000081120000}"/>
    <cellStyle name="40% - 강조색2 21 14" xfId="7655" xr:uid="{00000000-0005-0000-0000-000082120000}"/>
    <cellStyle name="40% - 강조색2 21 15" xfId="7650" xr:uid="{00000000-0005-0000-0000-000083120000}"/>
    <cellStyle name="40% - 강조색2 21 2" xfId="647" xr:uid="{00000000-0005-0000-0000-000084120000}"/>
    <cellStyle name="40% - 강조색2 21 2 2" xfId="7656" xr:uid="{00000000-0005-0000-0000-000085120000}"/>
    <cellStyle name="40% - 강조색2 21 3" xfId="7657" xr:uid="{00000000-0005-0000-0000-000086120000}"/>
    <cellStyle name="40% - 강조색2 21 4" xfId="7658" xr:uid="{00000000-0005-0000-0000-000087120000}"/>
    <cellStyle name="40% - 강조색2 21 5" xfId="7659" xr:uid="{00000000-0005-0000-0000-000088120000}"/>
    <cellStyle name="40% - 강조색2 21 6" xfId="7660" xr:uid="{00000000-0005-0000-0000-000089120000}"/>
    <cellStyle name="40% - 강조색2 21 7" xfId="7661" xr:uid="{00000000-0005-0000-0000-00008A120000}"/>
    <cellStyle name="40% - 강조색2 21 8" xfId="7662" xr:uid="{00000000-0005-0000-0000-00008B120000}"/>
    <cellStyle name="40% - 강조색2 21 9" xfId="7663" xr:uid="{00000000-0005-0000-0000-00008C120000}"/>
    <cellStyle name="40% - 강조색2 22" xfId="648" xr:uid="{00000000-0005-0000-0000-00008D120000}"/>
    <cellStyle name="40% - 강조색2 22 10" xfId="7665" xr:uid="{00000000-0005-0000-0000-00008E120000}"/>
    <cellStyle name="40% - 강조색2 22 11" xfId="7666" xr:uid="{00000000-0005-0000-0000-00008F120000}"/>
    <cellStyle name="40% - 강조색2 22 12" xfId="7667" xr:uid="{00000000-0005-0000-0000-000090120000}"/>
    <cellStyle name="40% - 강조색2 22 13" xfId="7668" xr:uid="{00000000-0005-0000-0000-000091120000}"/>
    <cellStyle name="40% - 강조색2 22 14" xfId="7669" xr:uid="{00000000-0005-0000-0000-000092120000}"/>
    <cellStyle name="40% - 강조색2 22 15" xfId="7664" xr:uid="{00000000-0005-0000-0000-000093120000}"/>
    <cellStyle name="40% - 강조색2 22 2" xfId="649" xr:uid="{00000000-0005-0000-0000-000094120000}"/>
    <cellStyle name="40% - 강조색2 22 2 2" xfId="7670" xr:uid="{00000000-0005-0000-0000-000095120000}"/>
    <cellStyle name="40% - 강조색2 22 3" xfId="7671" xr:uid="{00000000-0005-0000-0000-000096120000}"/>
    <cellStyle name="40% - 강조색2 22 4" xfId="7672" xr:uid="{00000000-0005-0000-0000-000097120000}"/>
    <cellStyle name="40% - 강조색2 22 5" xfId="7673" xr:uid="{00000000-0005-0000-0000-000098120000}"/>
    <cellStyle name="40% - 강조색2 22 6" xfId="7674" xr:uid="{00000000-0005-0000-0000-000099120000}"/>
    <cellStyle name="40% - 강조색2 22 7" xfId="7675" xr:uid="{00000000-0005-0000-0000-00009A120000}"/>
    <cellStyle name="40% - 강조색2 22 8" xfId="7676" xr:uid="{00000000-0005-0000-0000-00009B120000}"/>
    <cellStyle name="40% - 강조색2 22 9" xfId="7677" xr:uid="{00000000-0005-0000-0000-00009C120000}"/>
    <cellStyle name="40% - 강조색2 23" xfId="650" xr:uid="{00000000-0005-0000-0000-00009D120000}"/>
    <cellStyle name="40% - 강조색2 23 10" xfId="7679" xr:uid="{00000000-0005-0000-0000-00009E120000}"/>
    <cellStyle name="40% - 강조색2 23 11" xfId="7680" xr:uid="{00000000-0005-0000-0000-00009F120000}"/>
    <cellStyle name="40% - 강조색2 23 12" xfId="7681" xr:uid="{00000000-0005-0000-0000-0000A0120000}"/>
    <cellStyle name="40% - 강조색2 23 13" xfId="7682" xr:uid="{00000000-0005-0000-0000-0000A1120000}"/>
    <cellStyle name="40% - 강조색2 23 14" xfId="7683" xr:uid="{00000000-0005-0000-0000-0000A2120000}"/>
    <cellStyle name="40% - 강조색2 23 15" xfId="7678" xr:uid="{00000000-0005-0000-0000-0000A3120000}"/>
    <cellStyle name="40% - 강조색2 23 2" xfId="651" xr:uid="{00000000-0005-0000-0000-0000A4120000}"/>
    <cellStyle name="40% - 강조색2 23 2 2" xfId="7684" xr:uid="{00000000-0005-0000-0000-0000A5120000}"/>
    <cellStyle name="40% - 강조색2 23 3" xfId="7685" xr:uid="{00000000-0005-0000-0000-0000A6120000}"/>
    <cellStyle name="40% - 강조색2 23 4" xfId="7686" xr:uid="{00000000-0005-0000-0000-0000A7120000}"/>
    <cellStyle name="40% - 강조색2 23 5" xfId="7687" xr:uid="{00000000-0005-0000-0000-0000A8120000}"/>
    <cellStyle name="40% - 강조색2 23 6" xfId="7688" xr:uid="{00000000-0005-0000-0000-0000A9120000}"/>
    <cellStyle name="40% - 강조색2 23 7" xfId="7689" xr:uid="{00000000-0005-0000-0000-0000AA120000}"/>
    <cellStyle name="40% - 강조색2 23 8" xfId="7690" xr:uid="{00000000-0005-0000-0000-0000AB120000}"/>
    <cellStyle name="40% - 강조색2 23 9" xfId="7691" xr:uid="{00000000-0005-0000-0000-0000AC120000}"/>
    <cellStyle name="40% - 강조색2 24" xfId="652" xr:uid="{00000000-0005-0000-0000-0000AD120000}"/>
    <cellStyle name="40% - 강조색2 24 10" xfId="7693" xr:uid="{00000000-0005-0000-0000-0000AE120000}"/>
    <cellStyle name="40% - 강조색2 24 11" xfId="7694" xr:uid="{00000000-0005-0000-0000-0000AF120000}"/>
    <cellStyle name="40% - 강조색2 24 12" xfId="7695" xr:uid="{00000000-0005-0000-0000-0000B0120000}"/>
    <cellStyle name="40% - 강조색2 24 13" xfId="7696" xr:uid="{00000000-0005-0000-0000-0000B1120000}"/>
    <cellStyle name="40% - 강조색2 24 14" xfId="7697" xr:uid="{00000000-0005-0000-0000-0000B2120000}"/>
    <cellStyle name="40% - 강조색2 24 15" xfId="7692" xr:uid="{00000000-0005-0000-0000-0000B3120000}"/>
    <cellStyle name="40% - 강조색2 24 2" xfId="653" xr:uid="{00000000-0005-0000-0000-0000B4120000}"/>
    <cellStyle name="40% - 강조색2 24 2 2" xfId="7698" xr:uid="{00000000-0005-0000-0000-0000B5120000}"/>
    <cellStyle name="40% - 강조색2 24 3" xfId="7699" xr:uid="{00000000-0005-0000-0000-0000B6120000}"/>
    <cellStyle name="40% - 강조색2 24 4" xfId="7700" xr:uid="{00000000-0005-0000-0000-0000B7120000}"/>
    <cellStyle name="40% - 강조색2 24 5" xfId="7701" xr:uid="{00000000-0005-0000-0000-0000B8120000}"/>
    <cellStyle name="40% - 강조색2 24 6" xfId="7702" xr:uid="{00000000-0005-0000-0000-0000B9120000}"/>
    <cellStyle name="40% - 강조색2 24 7" xfId="7703" xr:uid="{00000000-0005-0000-0000-0000BA120000}"/>
    <cellStyle name="40% - 강조색2 24 8" xfId="7704" xr:uid="{00000000-0005-0000-0000-0000BB120000}"/>
    <cellStyle name="40% - 강조색2 24 9" xfId="7705" xr:uid="{00000000-0005-0000-0000-0000BC120000}"/>
    <cellStyle name="40% - 강조색2 25" xfId="654" xr:uid="{00000000-0005-0000-0000-0000BD120000}"/>
    <cellStyle name="40% - 강조색2 25 10" xfId="7707" xr:uid="{00000000-0005-0000-0000-0000BE120000}"/>
    <cellStyle name="40% - 강조색2 25 11" xfId="7708" xr:uid="{00000000-0005-0000-0000-0000BF120000}"/>
    <cellStyle name="40% - 강조색2 25 12" xfId="7709" xr:uid="{00000000-0005-0000-0000-0000C0120000}"/>
    <cellStyle name="40% - 강조색2 25 13" xfId="7710" xr:uid="{00000000-0005-0000-0000-0000C1120000}"/>
    <cellStyle name="40% - 강조색2 25 14" xfId="7711" xr:uid="{00000000-0005-0000-0000-0000C2120000}"/>
    <cellStyle name="40% - 강조색2 25 15" xfId="7706" xr:uid="{00000000-0005-0000-0000-0000C3120000}"/>
    <cellStyle name="40% - 강조색2 25 2" xfId="655" xr:uid="{00000000-0005-0000-0000-0000C4120000}"/>
    <cellStyle name="40% - 강조색2 25 2 2" xfId="7712" xr:uid="{00000000-0005-0000-0000-0000C5120000}"/>
    <cellStyle name="40% - 강조색2 25 3" xfId="7713" xr:uid="{00000000-0005-0000-0000-0000C6120000}"/>
    <cellStyle name="40% - 강조색2 25 4" xfId="7714" xr:uid="{00000000-0005-0000-0000-0000C7120000}"/>
    <cellStyle name="40% - 강조색2 25 5" xfId="7715" xr:uid="{00000000-0005-0000-0000-0000C8120000}"/>
    <cellStyle name="40% - 강조색2 25 6" xfId="7716" xr:uid="{00000000-0005-0000-0000-0000C9120000}"/>
    <cellStyle name="40% - 강조색2 25 7" xfId="7717" xr:uid="{00000000-0005-0000-0000-0000CA120000}"/>
    <cellStyle name="40% - 강조색2 25 8" xfId="7718" xr:uid="{00000000-0005-0000-0000-0000CB120000}"/>
    <cellStyle name="40% - 강조색2 25 9" xfId="7719" xr:uid="{00000000-0005-0000-0000-0000CC120000}"/>
    <cellStyle name="40% - 강조색2 26" xfId="656" xr:uid="{00000000-0005-0000-0000-0000CD120000}"/>
    <cellStyle name="40% - 강조색2 26 10" xfId="7721" xr:uid="{00000000-0005-0000-0000-0000CE120000}"/>
    <cellStyle name="40% - 강조색2 26 11" xfId="7722" xr:uid="{00000000-0005-0000-0000-0000CF120000}"/>
    <cellStyle name="40% - 강조색2 26 12" xfId="7723" xr:uid="{00000000-0005-0000-0000-0000D0120000}"/>
    <cellStyle name="40% - 강조색2 26 13" xfId="7724" xr:uid="{00000000-0005-0000-0000-0000D1120000}"/>
    <cellStyle name="40% - 강조색2 26 14" xfId="7725" xr:uid="{00000000-0005-0000-0000-0000D2120000}"/>
    <cellStyle name="40% - 강조색2 26 15" xfId="7720" xr:uid="{00000000-0005-0000-0000-0000D3120000}"/>
    <cellStyle name="40% - 강조색2 26 2" xfId="657" xr:uid="{00000000-0005-0000-0000-0000D4120000}"/>
    <cellStyle name="40% - 강조색2 26 2 2" xfId="7726" xr:uid="{00000000-0005-0000-0000-0000D5120000}"/>
    <cellStyle name="40% - 강조색2 26 3" xfId="7727" xr:uid="{00000000-0005-0000-0000-0000D6120000}"/>
    <cellStyle name="40% - 강조색2 26 4" xfId="7728" xr:uid="{00000000-0005-0000-0000-0000D7120000}"/>
    <cellStyle name="40% - 강조색2 26 5" xfId="7729" xr:uid="{00000000-0005-0000-0000-0000D8120000}"/>
    <cellStyle name="40% - 강조색2 26 6" xfId="7730" xr:uid="{00000000-0005-0000-0000-0000D9120000}"/>
    <cellStyle name="40% - 강조색2 26 7" xfId="7731" xr:uid="{00000000-0005-0000-0000-0000DA120000}"/>
    <cellStyle name="40% - 강조색2 26 8" xfId="7732" xr:uid="{00000000-0005-0000-0000-0000DB120000}"/>
    <cellStyle name="40% - 강조색2 26 9" xfId="7733" xr:uid="{00000000-0005-0000-0000-0000DC120000}"/>
    <cellStyle name="40% - 강조색2 27" xfId="658" xr:uid="{00000000-0005-0000-0000-0000DD120000}"/>
    <cellStyle name="40% - 강조색2 27 10" xfId="7735" xr:uid="{00000000-0005-0000-0000-0000DE120000}"/>
    <cellStyle name="40% - 강조색2 27 11" xfId="7736" xr:uid="{00000000-0005-0000-0000-0000DF120000}"/>
    <cellStyle name="40% - 강조색2 27 12" xfId="7737" xr:uid="{00000000-0005-0000-0000-0000E0120000}"/>
    <cellStyle name="40% - 강조색2 27 13" xfId="7738" xr:uid="{00000000-0005-0000-0000-0000E1120000}"/>
    <cellStyle name="40% - 강조색2 27 14" xfId="7739" xr:uid="{00000000-0005-0000-0000-0000E2120000}"/>
    <cellStyle name="40% - 강조색2 27 15" xfId="7734" xr:uid="{00000000-0005-0000-0000-0000E3120000}"/>
    <cellStyle name="40% - 강조색2 27 2" xfId="659" xr:uid="{00000000-0005-0000-0000-0000E4120000}"/>
    <cellStyle name="40% - 강조색2 27 2 2" xfId="7740" xr:uid="{00000000-0005-0000-0000-0000E5120000}"/>
    <cellStyle name="40% - 강조색2 27 3" xfId="7741" xr:uid="{00000000-0005-0000-0000-0000E6120000}"/>
    <cellStyle name="40% - 강조색2 27 4" xfId="7742" xr:uid="{00000000-0005-0000-0000-0000E7120000}"/>
    <cellStyle name="40% - 강조색2 27 5" xfId="7743" xr:uid="{00000000-0005-0000-0000-0000E8120000}"/>
    <cellStyle name="40% - 강조색2 27 6" xfId="7744" xr:uid="{00000000-0005-0000-0000-0000E9120000}"/>
    <cellStyle name="40% - 강조색2 27 7" xfId="7745" xr:uid="{00000000-0005-0000-0000-0000EA120000}"/>
    <cellStyle name="40% - 강조색2 27 8" xfId="7746" xr:uid="{00000000-0005-0000-0000-0000EB120000}"/>
    <cellStyle name="40% - 강조색2 27 9" xfId="7747" xr:uid="{00000000-0005-0000-0000-0000EC120000}"/>
    <cellStyle name="40% - 강조색2 28" xfId="660" xr:uid="{00000000-0005-0000-0000-0000ED120000}"/>
    <cellStyle name="40% - 강조색2 28 10" xfId="7749" xr:uid="{00000000-0005-0000-0000-0000EE120000}"/>
    <cellStyle name="40% - 강조색2 28 11" xfId="7750" xr:uid="{00000000-0005-0000-0000-0000EF120000}"/>
    <cellStyle name="40% - 강조색2 28 12" xfId="7751" xr:uid="{00000000-0005-0000-0000-0000F0120000}"/>
    <cellStyle name="40% - 강조색2 28 13" xfId="7752" xr:uid="{00000000-0005-0000-0000-0000F1120000}"/>
    <cellStyle name="40% - 강조색2 28 14" xfId="7753" xr:uid="{00000000-0005-0000-0000-0000F2120000}"/>
    <cellStyle name="40% - 강조색2 28 15" xfId="7748" xr:uid="{00000000-0005-0000-0000-0000F3120000}"/>
    <cellStyle name="40% - 강조색2 28 2" xfId="661" xr:uid="{00000000-0005-0000-0000-0000F4120000}"/>
    <cellStyle name="40% - 강조색2 28 2 2" xfId="7754" xr:uid="{00000000-0005-0000-0000-0000F5120000}"/>
    <cellStyle name="40% - 강조색2 28 3" xfId="7755" xr:uid="{00000000-0005-0000-0000-0000F6120000}"/>
    <cellStyle name="40% - 강조색2 28 4" xfId="7756" xr:uid="{00000000-0005-0000-0000-0000F7120000}"/>
    <cellStyle name="40% - 강조색2 28 5" xfId="7757" xr:uid="{00000000-0005-0000-0000-0000F8120000}"/>
    <cellStyle name="40% - 강조색2 28 6" xfId="7758" xr:uid="{00000000-0005-0000-0000-0000F9120000}"/>
    <cellStyle name="40% - 강조색2 28 7" xfId="7759" xr:uid="{00000000-0005-0000-0000-0000FA120000}"/>
    <cellStyle name="40% - 강조색2 28 8" xfId="7760" xr:uid="{00000000-0005-0000-0000-0000FB120000}"/>
    <cellStyle name="40% - 강조색2 28 9" xfId="7761" xr:uid="{00000000-0005-0000-0000-0000FC120000}"/>
    <cellStyle name="40% - 강조색2 29" xfId="662" xr:uid="{00000000-0005-0000-0000-0000FD120000}"/>
    <cellStyle name="40% - 강조색2 29 10" xfId="7763" xr:uid="{00000000-0005-0000-0000-0000FE120000}"/>
    <cellStyle name="40% - 강조색2 29 11" xfId="7764" xr:uid="{00000000-0005-0000-0000-0000FF120000}"/>
    <cellStyle name="40% - 강조색2 29 12" xfId="7765" xr:uid="{00000000-0005-0000-0000-000000130000}"/>
    <cellStyle name="40% - 강조색2 29 13" xfId="7766" xr:uid="{00000000-0005-0000-0000-000001130000}"/>
    <cellStyle name="40% - 강조색2 29 14" xfId="7767" xr:uid="{00000000-0005-0000-0000-000002130000}"/>
    <cellStyle name="40% - 강조색2 29 15" xfId="7762" xr:uid="{00000000-0005-0000-0000-000003130000}"/>
    <cellStyle name="40% - 강조색2 29 2" xfId="663" xr:uid="{00000000-0005-0000-0000-000004130000}"/>
    <cellStyle name="40% - 강조색2 29 2 2" xfId="7768" xr:uid="{00000000-0005-0000-0000-000005130000}"/>
    <cellStyle name="40% - 강조색2 29 3" xfId="7769" xr:uid="{00000000-0005-0000-0000-000006130000}"/>
    <cellStyle name="40% - 강조색2 29 4" xfId="7770" xr:uid="{00000000-0005-0000-0000-000007130000}"/>
    <cellStyle name="40% - 강조색2 29 5" xfId="7771" xr:uid="{00000000-0005-0000-0000-000008130000}"/>
    <cellStyle name="40% - 강조색2 29 6" xfId="7772" xr:uid="{00000000-0005-0000-0000-000009130000}"/>
    <cellStyle name="40% - 강조색2 29 7" xfId="7773" xr:uid="{00000000-0005-0000-0000-00000A130000}"/>
    <cellStyle name="40% - 강조색2 29 8" xfId="7774" xr:uid="{00000000-0005-0000-0000-00000B130000}"/>
    <cellStyle name="40% - 강조색2 29 9" xfId="7775" xr:uid="{00000000-0005-0000-0000-00000C130000}"/>
    <cellStyle name="40% - 강조색2 3" xfId="664" xr:uid="{00000000-0005-0000-0000-00000D130000}"/>
    <cellStyle name="40% - 강조색2 3 10" xfId="7777" xr:uid="{00000000-0005-0000-0000-00000E130000}"/>
    <cellStyle name="40% - 강조색2 3 11" xfId="7778" xr:uid="{00000000-0005-0000-0000-00000F130000}"/>
    <cellStyle name="40% - 강조색2 3 12" xfId="7779" xr:uid="{00000000-0005-0000-0000-000010130000}"/>
    <cellStyle name="40% - 강조색2 3 13" xfId="7780" xr:uid="{00000000-0005-0000-0000-000011130000}"/>
    <cellStyle name="40% - 강조색2 3 14" xfId="7781" xr:uid="{00000000-0005-0000-0000-000012130000}"/>
    <cellStyle name="40% - 강조색2 3 15" xfId="7776" xr:uid="{00000000-0005-0000-0000-000013130000}"/>
    <cellStyle name="40% - 강조색2 3 16" xfId="28196" xr:uid="{00000000-0005-0000-0000-000014130000}"/>
    <cellStyle name="40% - 강조색2 3 2" xfId="665" xr:uid="{00000000-0005-0000-0000-000015130000}"/>
    <cellStyle name="40% - 강조색2 3 2 2" xfId="7782" xr:uid="{00000000-0005-0000-0000-000016130000}"/>
    <cellStyle name="40% - 강조색2 3 3" xfId="7783" xr:uid="{00000000-0005-0000-0000-000017130000}"/>
    <cellStyle name="40% - 강조색2 3 4" xfId="7784" xr:uid="{00000000-0005-0000-0000-000018130000}"/>
    <cellStyle name="40% - 강조색2 3 5" xfId="7785" xr:uid="{00000000-0005-0000-0000-000019130000}"/>
    <cellStyle name="40% - 강조색2 3 6" xfId="7786" xr:uid="{00000000-0005-0000-0000-00001A130000}"/>
    <cellStyle name="40% - 강조색2 3 7" xfId="7787" xr:uid="{00000000-0005-0000-0000-00001B130000}"/>
    <cellStyle name="40% - 강조색2 3 8" xfId="7788" xr:uid="{00000000-0005-0000-0000-00001C130000}"/>
    <cellStyle name="40% - 강조색2 3 9" xfId="7789" xr:uid="{00000000-0005-0000-0000-00001D130000}"/>
    <cellStyle name="40% - 강조색2 30" xfId="666" xr:uid="{00000000-0005-0000-0000-00001E130000}"/>
    <cellStyle name="40% - 강조색2 30 10" xfId="7791" xr:uid="{00000000-0005-0000-0000-00001F130000}"/>
    <cellStyle name="40% - 강조색2 30 11" xfId="7792" xr:uid="{00000000-0005-0000-0000-000020130000}"/>
    <cellStyle name="40% - 강조색2 30 12" xfId="7793" xr:uid="{00000000-0005-0000-0000-000021130000}"/>
    <cellStyle name="40% - 강조색2 30 13" xfId="7794" xr:uid="{00000000-0005-0000-0000-000022130000}"/>
    <cellStyle name="40% - 강조색2 30 14" xfId="7795" xr:uid="{00000000-0005-0000-0000-000023130000}"/>
    <cellStyle name="40% - 강조색2 30 15" xfId="7790" xr:uid="{00000000-0005-0000-0000-000024130000}"/>
    <cellStyle name="40% - 강조색2 30 2" xfId="667" xr:uid="{00000000-0005-0000-0000-000025130000}"/>
    <cellStyle name="40% - 강조색2 30 2 2" xfId="7796" xr:uid="{00000000-0005-0000-0000-000026130000}"/>
    <cellStyle name="40% - 강조색2 30 3" xfId="7797" xr:uid="{00000000-0005-0000-0000-000027130000}"/>
    <cellStyle name="40% - 강조색2 30 4" xfId="7798" xr:uid="{00000000-0005-0000-0000-000028130000}"/>
    <cellStyle name="40% - 강조색2 30 5" xfId="7799" xr:uid="{00000000-0005-0000-0000-000029130000}"/>
    <cellStyle name="40% - 강조색2 30 6" xfId="7800" xr:uid="{00000000-0005-0000-0000-00002A130000}"/>
    <cellStyle name="40% - 강조색2 30 7" xfId="7801" xr:uid="{00000000-0005-0000-0000-00002B130000}"/>
    <cellStyle name="40% - 강조색2 30 8" xfId="7802" xr:uid="{00000000-0005-0000-0000-00002C130000}"/>
    <cellStyle name="40% - 강조색2 30 9" xfId="7803" xr:uid="{00000000-0005-0000-0000-00002D130000}"/>
    <cellStyle name="40% - 강조색2 31" xfId="668" xr:uid="{00000000-0005-0000-0000-00002E130000}"/>
    <cellStyle name="40% - 강조색2 31 10" xfId="7805" xr:uid="{00000000-0005-0000-0000-00002F130000}"/>
    <cellStyle name="40% - 강조색2 31 11" xfId="7806" xr:uid="{00000000-0005-0000-0000-000030130000}"/>
    <cellStyle name="40% - 강조색2 31 12" xfId="7807" xr:uid="{00000000-0005-0000-0000-000031130000}"/>
    <cellStyle name="40% - 강조색2 31 13" xfId="7808" xr:uid="{00000000-0005-0000-0000-000032130000}"/>
    <cellStyle name="40% - 강조색2 31 14" xfId="7809" xr:uid="{00000000-0005-0000-0000-000033130000}"/>
    <cellStyle name="40% - 강조색2 31 15" xfId="7804" xr:uid="{00000000-0005-0000-0000-000034130000}"/>
    <cellStyle name="40% - 강조색2 31 2" xfId="669" xr:uid="{00000000-0005-0000-0000-000035130000}"/>
    <cellStyle name="40% - 강조색2 31 2 2" xfId="7810" xr:uid="{00000000-0005-0000-0000-000036130000}"/>
    <cellStyle name="40% - 강조색2 31 3" xfId="7811" xr:uid="{00000000-0005-0000-0000-000037130000}"/>
    <cellStyle name="40% - 강조색2 31 4" xfId="7812" xr:uid="{00000000-0005-0000-0000-000038130000}"/>
    <cellStyle name="40% - 강조색2 31 5" xfId="7813" xr:uid="{00000000-0005-0000-0000-000039130000}"/>
    <cellStyle name="40% - 강조색2 31 6" xfId="7814" xr:uid="{00000000-0005-0000-0000-00003A130000}"/>
    <cellStyle name="40% - 강조색2 31 7" xfId="7815" xr:uid="{00000000-0005-0000-0000-00003B130000}"/>
    <cellStyle name="40% - 강조색2 31 8" xfId="7816" xr:uid="{00000000-0005-0000-0000-00003C130000}"/>
    <cellStyle name="40% - 강조색2 31 9" xfId="7817" xr:uid="{00000000-0005-0000-0000-00003D130000}"/>
    <cellStyle name="40% - 강조색2 32" xfId="670" xr:uid="{00000000-0005-0000-0000-00003E130000}"/>
    <cellStyle name="40% - 강조색2 32 10" xfId="7819" xr:uid="{00000000-0005-0000-0000-00003F130000}"/>
    <cellStyle name="40% - 강조색2 32 11" xfId="7820" xr:uid="{00000000-0005-0000-0000-000040130000}"/>
    <cellStyle name="40% - 강조색2 32 12" xfId="7821" xr:uid="{00000000-0005-0000-0000-000041130000}"/>
    <cellStyle name="40% - 강조색2 32 13" xfId="7822" xr:uid="{00000000-0005-0000-0000-000042130000}"/>
    <cellStyle name="40% - 강조색2 32 14" xfId="7823" xr:uid="{00000000-0005-0000-0000-000043130000}"/>
    <cellStyle name="40% - 강조색2 32 15" xfId="7818" xr:uid="{00000000-0005-0000-0000-000044130000}"/>
    <cellStyle name="40% - 강조색2 32 2" xfId="671" xr:uid="{00000000-0005-0000-0000-000045130000}"/>
    <cellStyle name="40% - 강조색2 32 2 2" xfId="7824" xr:uid="{00000000-0005-0000-0000-000046130000}"/>
    <cellStyle name="40% - 강조색2 32 3" xfId="7825" xr:uid="{00000000-0005-0000-0000-000047130000}"/>
    <cellStyle name="40% - 강조색2 32 4" xfId="7826" xr:uid="{00000000-0005-0000-0000-000048130000}"/>
    <cellStyle name="40% - 강조색2 32 5" xfId="7827" xr:uid="{00000000-0005-0000-0000-000049130000}"/>
    <cellStyle name="40% - 강조색2 32 6" xfId="7828" xr:uid="{00000000-0005-0000-0000-00004A130000}"/>
    <cellStyle name="40% - 강조색2 32 7" xfId="7829" xr:uid="{00000000-0005-0000-0000-00004B130000}"/>
    <cellStyle name="40% - 강조색2 32 8" xfId="7830" xr:uid="{00000000-0005-0000-0000-00004C130000}"/>
    <cellStyle name="40% - 강조색2 32 9" xfId="7831" xr:uid="{00000000-0005-0000-0000-00004D130000}"/>
    <cellStyle name="40% - 강조색2 33" xfId="672" xr:uid="{00000000-0005-0000-0000-00004E130000}"/>
    <cellStyle name="40% - 강조색2 33 10" xfId="7833" xr:uid="{00000000-0005-0000-0000-00004F130000}"/>
    <cellStyle name="40% - 강조색2 33 11" xfId="7834" xr:uid="{00000000-0005-0000-0000-000050130000}"/>
    <cellStyle name="40% - 강조색2 33 12" xfId="7835" xr:uid="{00000000-0005-0000-0000-000051130000}"/>
    <cellStyle name="40% - 강조색2 33 13" xfId="7836" xr:uid="{00000000-0005-0000-0000-000052130000}"/>
    <cellStyle name="40% - 강조색2 33 14" xfId="7837" xr:uid="{00000000-0005-0000-0000-000053130000}"/>
    <cellStyle name="40% - 강조색2 33 15" xfId="7832" xr:uid="{00000000-0005-0000-0000-000054130000}"/>
    <cellStyle name="40% - 강조색2 33 2" xfId="673" xr:uid="{00000000-0005-0000-0000-000055130000}"/>
    <cellStyle name="40% - 강조색2 33 2 2" xfId="7838" xr:uid="{00000000-0005-0000-0000-000056130000}"/>
    <cellStyle name="40% - 강조색2 33 3" xfId="7839" xr:uid="{00000000-0005-0000-0000-000057130000}"/>
    <cellStyle name="40% - 강조색2 33 4" xfId="7840" xr:uid="{00000000-0005-0000-0000-000058130000}"/>
    <cellStyle name="40% - 강조색2 33 5" xfId="7841" xr:uid="{00000000-0005-0000-0000-000059130000}"/>
    <cellStyle name="40% - 강조색2 33 6" xfId="7842" xr:uid="{00000000-0005-0000-0000-00005A130000}"/>
    <cellStyle name="40% - 강조색2 33 7" xfId="7843" xr:uid="{00000000-0005-0000-0000-00005B130000}"/>
    <cellStyle name="40% - 강조색2 33 8" xfId="7844" xr:uid="{00000000-0005-0000-0000-00005C130000}"/>
    <cellStyle name="40% - 강조색2 33 9" xfId="7845" xr:uid="{00000000-0005-0000-0000-00005D130000}"/>
    <cellStyle name="40% - 강조색2 34" xfId="674" xr:uid="{00000000-0005-0000-0000-00005E130000}"/>
    <cellStyle name="40% - 강조색2 34 10" xfId="7847" xr:uid="{00000000-0005-0000-0000-00005F130000}"/>
    <cellStyle name="40% - 강조색2 34 11" xfId="7848" xr:uid="{00000000-0005-0000-0000-000060130000}"/>
    <cellStyle name="40% - 강조색2 34 12" xfId="7849" xr:uid="{00000000-0005-0000-0000-000061130000}"/>
    <cellStyle name="40% - 강조색2 34 13" xfId="7850" xr:uid="{00000000-0005-0000-0000-000062130000}"/>
    <cellStyle name="40% - 강조색2 34 14" xfId="7851" xr:uid="{00000000-0005-0000-0000-000063130000}"/>
    <cellStyle name="40% - 강조색2 34 15" xfId="7846" xr:uid="{00000000-0005-0000-0000-000064130000}"/>
    <cellStyle name="40% - 강조색2 34 2" xfId="675" xr:uid="{00000000-0005-0000-0000-000065130000}"/>
    <cellStyle name="40% - 강조색2 34 2 2" xfId="7852" xr:uid="{00000000-0005-0000-0000-000066130000}"/>
    <cellStyle name="40% - 강조색2 34 3" xfId="7853" xr:uid="{00000000-0005-0000-0000-000067130000}"/>
    <cellStyle name="40% - 강조색2 34 4" xfId="7854" xr:uid="{00000000-0005-0000-0000-000068130000}"/>
    <cellStyle name="40% - 강조색2 34 5" xfId="7855" xr:uid="{00000000-0005-0000-0000-000069130000}"/>
    <cellStyle name="40% - 강조색2 34 6" xfId="7856" xr:uid="{00000000-0005-0000-0000-00006A130000}"/>
    <cellStyle name="40% - 강조색2 34 7" xfId="7857" xr:uid="{00000000-0005-0000-0000-00006B130000}"/>
    <cellStyle name="40% - 강조색2 34 8" xfId="7858" xr:uid="{00000000-0005-0000-0000-00006C130000}"/>
    <cellStyle name="40% - 강조색2 34 9" xfId="7859" xr:uid="{00000000-0005-0000-0000-00006D130000}"/>
    <cellStyle name="40% - 강조색2 35" xfId="676" xr:uid="{00000000-0005-0000-0000-00006E130000}"/>
    <cellStyle name="40% - 강조색2 35 10" xfId="7861" xr:uid="{00000000-0005-0000-0000-00006F130000}"/>
    <cellStyle name="40% - 강조색2 35 11" xfId="7862" xr:uid="{00000000-0005-0000-0000-000070130000}"/>
    <cellStyle name="40% - 강조색2 35 12" xfId="7863" xr:uid="{00000000-0005-0000-0000-000071130000}"/>
    <cellStyle name="40% - 강조색2 35 13" xfId="7864" xr:uid="{00000000-0005-0000-0000-000072130000}"/>
    <cellStyle name="40% - 강조색2 35 14" xfId="7865" xr:uid="{00000000-0005-0000-0000-000073130000}"/>
    <cellStyle name="40% - 강조색2 35 15" xfId="7860" xr:uid="{00000000-0005-0000-0000-000074130000}"/>
    <cellStyle name="40% - 강조색2 35 2" xfId="677" xr:uid="{00000000-0005-0000-0000-000075130000}"/>
    <cellStyle name="40% - 강조색2 35 2 2" xfId="7866" xr:uid="{00000000-0005-0000-0000-000076130000}"/>
    <cellStyle name="40% - 강조색2 35 3" xfId="7867" xr:uid="{00000000-0005-0000-0000-000077130000}"/>
    <cellStyle name="40% - 강조색2 35 4" xfId="7868" xr:uid="{00000000-0005-0000-0000-000078130000}"/>
    <cellStyle name="40% - 강조색2 35 5" xfId="7869" xr:uid="{00000000-0005-0000-0000-000079130000}"/>
    <cellStyle name="40% - 강조색2 35 6" xfId="7870" xr:uid="{00000000-0005-0000-0000-00007A130000}"/>
    <cellStyle name="40% - 강조색2 35 7" xfId="7871" xr:uid="{00000000-0005-0000-0000-00007B130000}"/>
    <cellStyle name="40% - 강조색2 35 8" xfId="7872" xr:uid="{00000000-0005-0000-0000-00007C130000}"/>
    <cellStyle name="40% - 강조색2 35 9" xfId="7873" xr:uid="{00000000-0005-0000-0000-00007D130000}"/>
    <cellStyle name="40% - 강조색2 36" xfId="678" xr:uid="{00000000-0005-0000-0000-00007E130000}"/>
    <cellStyle name="40% - 강조색2 36 10" xfId="7875" xr:uid="{00000000-0005-0000-0000-00007F130000}"/>
    <cellStyle name="40% - 강조색2 36 11" xfId="7876" xr:uid="{00000000-0005-0000-0000-000080130000}"/>
    <cellStyle name="40% - 강조색2 36 12" xfId="7877" xr:uid="{00000000-0005-0000-0000-000081130000}"/>
    <cellStyle name="40% - 강조색2 36 13" xfId="7878" xr:uid="{00000000-0005-0000-0000-000082130000}"/>
    <cellStyle name="40% - 강조색2 36 14" xfId="7879" xr:uid="{00000000-0005-0000-0000-000083130000}"/>
    <cellStyle name="40% - 강조색2 36 15" xfId="7874" xr:uid="{00000000-0005-0000-0000-000084130000}"/>
    <cellStyle name="40% - 강조색2 36 2" xfId="679" xr:uid="{00000000-0005-0000-0000-000085130000}"/>
    <cellStyle name="40% - 강조색2 36 2 2" xfId="7880" xr:uid="{00000000-0005-0000-0000-000086130000}"/>
    <cellStyle name="40% - 강조색2 36 3" xfId="7881" xr:uid="{00000000-0005-0000-0000-000087130000}"/>
    <cellStyle name="40% - 강조색2 36 4" xfId="7882" xr:uid="{00000000-0005-0000-0000-000088130000}"/>
    <cellStyle name="40% - 강조색2 36 5" xfId="7883" xr:uid="{00000000-0005-0000-0000-000089130000}"/>
    <cellStyle name="40% - 강조색2 36 6" xfId="7884" xr:uid="{00000000-0005-0000-0000-00008A130000}"/>
    <cellStyle name="40% - 강조색2 36 7" xfId="7885" xr:uid="{00000000-0005-0000-0000-00008B130000}"/>
    <cellStyle name="40% - 강조색2 36 8" xfId="7886" xr:uid="{00000000-0005-0000-0000-00008C130000}"/>
    <cellStyle name="40% - 강조색2 36 9" xfId="7887" xr:uid="{00000000-0005-0000-0000-00008D130000}"/>
    <cellStyle name="40% - 강조색2 37" xfId="680" xr:uid="{00000000-0005-0000-0000-00008E130000}"/>
    <cellStyle name="40% - 강조색2 37 10" xfId="7889" xr:uid="{00000000-0005-0000-0000-00008F130000}"/>
    <cellStyle name="40% - 강조색2 37 11" xfId="7890" xr:uid="{00000000-0005-0000-0000-000090130000}"/>
    <cellStyle name="40% - 강조색2 37 12" xfId="7891" xr:uid="{00000000-0005-0000-0000-000091130000}"/>
    <cellStyle name="40% - 강조색2 37 13" xfId="7892" xr:uid="{00000000-0005-0000-0000-000092130000}"/>
    <cellStyle name="40% - 강조색2 37 14" xfId="7893" xr:uid="{00000000-0005-0000-0000-000093130000}"/>
    <cellStyle name="40% - 강조색2 37 15" xfId="7888" xr:uid="{00000000-0005-0000-0000-000094130000}"/>
    <cellStyle name="40% - 강조색2 37 2" xfId="681" xr:uid="{00000000-0005-0000-0000-000095130000}"/>
    <cellStyle name="40% - 강조색2 37 2 2" xfId="7894" xr:uid="{00000000-0005-0000-0000-000096130000}"/>
    <cellStyle name="40% - 강조색2 37 3" xfId="7895" xr:uid="{00000000-0005-0000-0000-000097130000}"/>
    <cellStyle name="40% - 강조색2 37 4" xfId="7896" xr:uid="{00000000-0005-0000-0000-000098130000}"/>
    <cellStyle name="40% - 강조색2 37 5" xfId="7897" xr:uid="{00000000-0005-0000-0000-000099130000}"/>
    <cellStyle name="40% - 강조색2 37 6" xfId="7898" xr:uid="{00000000-0005-0000-0000-00009A130000}"/>
    <cellStyle name="40% - 강조색2 37 7" xfId="7899" xr:uid="{00000000-0005-0000-0000-00009B130000}"/>
    <cellStyle name="40% - 강조색2 37 8" xfId="7900" xr:uid="{00000000-0005-0000-0000-00009C130000}"/>
    <cellStyle name="40% - 강조색2 37 9" xfId="7901" xr:uid="{00000000-0005-0000-0000-00009D130000}"/>
    <cellStyle name="40% - 강조색2 38" xfId="682" xr:uid="{00000000-0005-0000-0000-00009E130000}"/>
    <cellStyle name="40% - 강조색2 38 10" xfId="7903" xr:uid="{00000000-0005-0000-0000-00009F130000}"/>
    <cellStyle name="40% - 강조색2 38 11" xfId="7904" xr:uid="{00000000-0005-0000-0000-0000A0130000}"/>
    <cellStyle name="40% - 강조색2 38 12" xfId="7905" xr:uid="{00000000-0005-0000-0000-0000A1130000}"/>
    <cellStyle name="40% - 강조색2 38 13" xfId="7906" xr:uid="{00000000-0005-0000-0000-0000A2130000}"/>
    <cellStyle name="40% - 강조색2 38 14" xfId="7907" xr:uid="{00000000-0005-0000-0000-0000A3130000}"/>
    <cellStyle name="40% - 강조색2 38 15" xfId="7902" xr:uid="{00000000-0005-0000-0000-0000A4130000}"/>
    <cellStyle name="40% - 강조색2 38 2" xfId="683" xr:uid="{00000000-0005-0000-0000-0000A5130000}"/>
    <cellStyle name="40% - 강조색2 38 2 2" xfId="7908" xr:uid="{00000000-0005-0000-0000-0000A6130000}"/>
    <cellStyle name="40% - 강조색2 38 3" xfId="7909" xr:uid="{00000000-0005-0000-0000-0000A7130000}"/>
    <cellStyle name="40% - 강조색2 38 4" xfId="7910" xr:uid="{00000000-0005-0000-0000-0000A8130000}"/>
    <cellStyle name="40% - 강조색2 38 5" xfId="7911" xr:uid="{00000000-0005-0000-0000-0000A9130000}"/>
    <cellStyle name="40% - 강조색2 38 6" xfId="7912" xr:uid="{00000000-0005-0000-0000-0000AA130000}"/>
    <cellStyle name="40% - 강조색2 38 7" xfId="7913" xr:uid="{00000000-0005-0000-0000-0000AB130000}"/>
    <cellStyle name="40% - 강조색2 38 8" xfId="7914" xr:uid="{00000000-0005-0000-0000-0000AC130000}"/>
    <cellStyle name="40% - 강조색2 38 9" xfId="7915" xr:uid="{00000000-0005-0000-0000-0000AD130000}"/>
    <cellStyle name="40% - 강조색2 39" xfId="684" xr:uid="{00000000-0005-0000-0000-0000AE130000}"/>
    <cellStyle name="40% - 강조색2 39 10" xfId="7917" xr:uid="{00000000-0005-0000-0000-0000AF130000}"/>
    <cellStyle name="40% - 강조색2 39 11" xfId="7918" xr:uid="{00000000-0005-0000-0000-0000B0130000}"/>
    <cellStyle name="40% - 강조색2 39 12" xfId="7919" xr:uid="{00000000-0005-0000-0000-0000B1130000}"/>
    <cellStyle name="40% - 강조색2 39 13" xfId="7920" xr:uid="{00000000-0005-0000-0000-0000B2130000}"/>
    <cellStyle name="40% - 강조색2 39 14" xfId="7921" xr:uid="{00000000-0005-0000-0000-0000B3130000}"/>
    <cellStyle name="40% - 강조색2 39 15" xfId="7916" xr:uid="{00000000-0005-0000-0000-0000B4130000}"/>
    <cellStyle name="40% - 강조색2 39 2" xfId="685" xr:uid="{00000000-0005-0000-0000-0000B5130000}"/>
    <cellStyle name="40% - 강조색2 39 2 2" xfId="7922" xr:uid="{00000000-0005-0000-0000-0000B6130000}"/>
    <cellStyle name="40% - 강조색2 39 3" xfId="7923" xr:uid="{00000000-0005-0000-0000-0000B7130000}"/>
    <cellStyle name="40% - 강조색2 39 4" xfId="7924" xr:uid="{00000000-0005-0000-0000-0000B8130000}"/>
    <cellStyle name="40% - 강조색2 39 5" xfId="7925" xr:uid="{00000000-0005-0000-0000-0000B9130000}"/>
    <cellStyle name="40% - 강조색2 39 6" xfId="7926" xr:uid="{00000000-0005-0000-0000-0000BA130000}"/>
    <cellStyle name="40% - 강조색2 39 7" xfId="7927" xr:uid="{00000000-0005-0000-0000-0000BB130000}"/>
    <cellStyle name="40% - 강조색2 39 8" xfId="7928" xr:uid="{00000000-0005-0000-0000-0000BC130000}"/>
    <cellStyle name="40% - 강조색2 39 9" xfId="7929" xr:uid="{00000000-0005-0000-0000-0000BD130000}"/>
    <cellStyle name="40% - 강조색2 4" xfId="686" xr:uid="{00000000-0005-0000-0000-0000BE130000}"/>
    <cellStyle name="40% - 강조색2 4 10" xfId="7931" xr:uid="{00000000-0005-0000-0000-0000BF130000}"/>
    <cellStyle name="40% - 강조색2 4 11" xfId="7932" xr:uid="{00000000-0005-0000-0000-0000C0130000}"/>
    <cellStyle name="40% - 강조색2 4 12" xfId="7933" xr:uid="{00000000-0005-0000-0000-0000C1130000}"/>
    <cellStyle name="40% - 강조색2 4 13" xfId="7934" xr:uid="{00000000-0005-0000-0000-0000C2130000}"/>
    <cellStyle name="40% - 강조색2 4 14" xfId="7935" xr:uid="{00000000-0005-0000-0000-0000C3130000}"/>
    <cellStyle name="40% - 강조색2 4 15" xfId="7930" xr:uid="{00000000-0005-0000-0000-0000C4130000}"/>
    <cellStyle name="40% - 강조색2 4 16" xfId="27858" xr:uid="{00000000-0005-0000-0000-0000C5130000}"/>
    <cellStyle name="40% - 강조색2 4 2" xfId="687" xr:uid="{00000000-0005-0000-0000-0000C6130000}"/>
    <cellStyle name="40% - 강조색2 4 2 2" xfId="7936" xr:uid="{00000000-0005-0000-0000-0000C7130000}"/>
    <cellStyle name="40% - 강조색2 4 3" xfId="7937" xr:uid="{00000000-0005-0000-0000-0000C8130000}"/>
    <cellStyle name="40% - 강조색2 4 4" xfId="7938" xr:uid="{00000000-0005-0000-0000-0000C9130000}"/>
    <cellStyle name="40% - 강조색2 4 5" xfId="7939" xr:uid="{00000000-0005-0000-0000-0000CA130000}"/>
    <cellStyle name="40% - 강조색2 4 6" xfId="7940" xr:uid="{00000000-0005-0000-0000-0000CB130000}"/>
    <cellStyle name="40% - 강조색2 4 7" xfId="7941" xr:uid="{00000000-0005-0000-0000-0000CC130000}"/>
    <cellStyle name="40% - 강조색2 4 8" xfId="7942" xr:uid="{00000000-0005-0000-0000-0000CD130000}"/>
    <cellStyle name="40% - 강조색2 4 9" xfId="7943" xr:uid="{00000000-0005-0000-0000-0000CE130000}"/>
    <cellStyle name="40% - 강조색2 40" xfId="688" xr:uid="{00000000-0005-0000-0000-0000CF130000}"/>
    <cellStyle name="40% - 강조색2 40 10" xfId="7945" xr:uid="{00000000-0005-0000-0000-0000D0130000}"/>
    <cellStyle name="40% - 강조색2 40 11" xfId="7946" xr:uid="{00000000-0005-0000-0000-0000D1130000}"/>
    <cellStyle name="40% - 강조색2 40 12" xfId="7947" xr:uid="{00000000-0005-0000-0000-0000D2130000}"/>
    <cellStyle name="40% - 강조색2 40 13" xfId="7948" xr:uid="{00000000-0005-0000-0000-0000D3130000}"/>
    <cellStyle name="40% - 강조색2 40 14" xfId="7949" xr:uid="{00000000-0005-0000-0000-0000D4130000}"/>
    <cellStyle name="40% - 강조색2 40 15" xfId="7944" xr:uid="{00000000-0005-0000-0000-0000D5130000}"/>
    <cellStyle name="40% - 강조색2 40 2" xfId="689" xr:uid="{00000000-0005-0000-0000-0000D6130000}"/>
    <cellStyle name="40% - 강조색2 40 2 2" xfId="7950" xr:uid="{00000000-0005-0000-0000-0000D7130000}"/>
    <cellStyle name="40% - 강조색2 40 3" xfId="7951" xr:uid="{00000000-0005-0000-0000-0000D8130000}"/>
    <cellStyle name="40% - 강조색2 40 4" xfId="7952" xr:uid="{00000000-0005-0000-0000-0000D9130000}"/>
    <cellStyle name="40% - 강조색2 40 5" xfId="7953" xr:uid="{00000000-0005-0000-0000-0000DA130000}"/>
    <cellStyle name="40% - 강조색2 40 6" xfId="7954" xr:uid="{00000000-0005-0000-0000-0000DB130000}"/>
    <cellStyle name="40% - 강조색2 40 7" xfId="7955" xr:uid="{00000000-0005-0000-0000-0000DC130000}"/>
    <cellStyle name="40% - 강조색2 40 8" xfId="7956" xr:uid="{00000000-0005-0000-0000-0000DD130000}"/>
    <cellStyle name="40% - 강조색2 40 9" xfId="7957" xr:uid="{00000000-0005-0000-0000-0000DE130000}"/>
    <cellStyle name="40% - 강조색2 41" xfId="690" xr:uid="{00000000-0005-0000-0000-0000DF130000}"/>
    <cellStyle name="40% - 강조색2 41 10" xfId="7959" xr:uid="{00000000-0005-0000-0000-0000E0130000}"/>
    <cellStyle name="40% - 강조색2 41 11" xfId="7960" xr:uid="{00000000-0005-0000-0000-0000E1130000}"/>
    <cellStyle name="40% - 강조색2 41 12" xfId="7961" xr:uid="{00000000-0005-0000-0000-0000E2130000}"/>
    <cellStyle name="40% - 강조색2 41 13" xfId="7962" xr:uid="{00000000-0005-0000-0000-0000E3130000}"/>
    <cellStyle name="40% - 강조색2 41 14" xfId="7963" xr:uid="{00000000-0005-0000-0000-0000E4130000}"/>
    <cellStyle name="40% - 강조색2 41 15" xfId="7958" xr:uid="{00000000-0005-0000-0000-0000E5130000}"/>
    <cellStyle name="40% - 강조색2 41 2" xfId="691" xr:uid="{00000000-0005-0000-0000-0000E6130000}"/>
    <cellStyle name="40% - 강조색2 41 2 2" xfId="7964" xr:uid="{00000000-0005-0000-0000-0000E7130000}"/>
    <cellStyle name="40% - 강조색2 41 3" xfId="7965" xr:uid="{00000000-0005-0000-0000-0000E8130000}"/>
    <cellStyle name="40% - 강조색2 41 4" xfId="7966" xr:uid="{00000000-0005-0000-0000-0000E9130000}"/>
    <cellStyle name="40% - 강조색2 41 5" xfId="7967" xr:uid="{00000000-0005-0000-0000-0000EA130000}"/>
    <cellStyle name="40% - 강조색2 41 6" xfId="7968" xr:uid="{00000000-0005-0000-0000-0000EB130000}"/>
    <cellStyle name="40% - 강조색2 41 7" xfId="7969" xr:uid="{00000000-0005-0000-0000-0000EC130000}"/>
    <cellStyle name="40% - 강조색2 41 8" xfId="7970" xr:uid="{00000000-0005-0000-0000-0000ED130000}"/>
    <cellStyle name="40% - 강조색2 41 9" xfId="7971" xr:uid="{00000000-0005-0000-0000-0000EE130000}"/>
    <cellStyle name="40% - 강조색2 42" xfId="692" xr:uid="{00000000-0005-0000-0000-0000EF130000}"/>
    <cellStyle name="40% - 강조색2 42 10" xfId="7973" xr:uid="{00000000-0005-0000-0000-0000F0130000}"/>
    <cellStyle name="40% - 강조색2 42 11" xfId="7974" xr:uid="{00000000-0005-0000-0000-0000F1130000}"/>
    <cellStyle name="40% - 강조색2 42 12" xfId="7975" xr:uid="{00000000-0005-0000-0000-0000F2130000}"/>
    <cellStyle name="40% - 강조색2 42 13" xfId="7976" xr:uid="{00000000-0005-0000-0000-0000F3130000}"/>
    <cellStyle name="40% - 강조색2 42 14" xfId="7977" xr:uid="{00000000-0005-0000-0000-0000F4130000}"/>
    <cellStyle name="40% - 강조색2 42 15" xfId="7972" xr:uid="{00000000-0005-0000-0000-0000F5130000}"/>
    <cellStyle name="40% - 강조색2 42 2" xfId="693" xr:uid="{00000000-0005-0000-0000-0000F6130000}"/>
    <cellStyle name="40% - 강조색2 42 2 2" xfId="7978" xr:uid="{00000000-0005-0000-0000-0000F7130000}"/>
    <cellStyle name="40% - 강조색2 42 3" xfId="7979" xr:uid="{00000000-0005-0000-0000-0000F8130000}"/>
    <cellStyle name="40% - 강조색2 42 4" xfId="7980" xr:uid="{00000000-0005-0000-0000-0000F9130000}"/>
    <cellStyle name="40% - 강조색2 42 5" xfId="7981" xr:uid="{00000000-0005-0000-0000-0000FA130000}"/>
    <cellStyle name="40% - 강조색2 42 6" xfId="7982" xr:uid="{00000000-0005-0000-0000-0000FB130000}"/>
    <cellStyle name="40% - 강조색2 42 7" xfId="7983" xr:uid="{00000000-0005-0000-0000-0000FC130000}"/>
    <cellStyle name="40% - 강조색2 42 8" xfId="7984" xr:uid="{00000000-0005-0000-0000-0000FD130000}"/>
    <cellStyle name="40% - 강조색2 42 9" xfId="7985" xr:uid="{00000000-0005-0000-0000-0000FE130000}"/>
    <cellStyle name="40% - 강조색2 43" xfId="694" xr:uid="{00000000-0005-0000-0000-0000FF130000}"/>
    <cellStyle name="40% - 강조색2 43 10" xfId="7987" xr:uid="{00000000-0005-0000-0000-000000140000}"/>
    <cellStyle name="40% - 강조색2 43 11" xfId="7988" xr:uid="{00000000-0005-0000-0000-000001140000}"/>
    <cellStyle name="40% - 강조색2 43 12" xfId="7989" xr:uid="{00000000-0005-0000-0000-000002140000}"/>
    <cellStyle name="40% - 강조색2 43 13" xfId="7990" xr:uid="{00000000-0005-0000-0000-000003140000}"/>
    <cellStyle name="40% - 강조색2 43 14" xfId="7991" xr:uid="{00000000-0005-0000-0000-000004140000}"/>
    <cellStyle name="40% - 강조색2 43 15" xfId="7986" xr:uid="{00000000-0005-0000-0000-000005140000}"/>
    <cellStyle name="40% - 강조색2 43 2" xfId="695" xr:uid="{00000000-0005-0000-0000-000006140000}"/>
    <cellStyle name="40% - 강조색2 43 2 2" xfId="7992" xr:uid="{00000000-0005-0000-0000-000007140000}"/>
    <cellStyle name="40% - 강조색2 43 3" xfId="7993" xr:uid="{00000000-0005-0000-0000-000008140000}"/>
    <cellStyle name="40% - 강조색2 43 4" xfId="7994" xr:uid="{00000000-0005-0000-0000-000009140000}"/>
    <cellStyle name="40% - 강조색2 43 5" xfId="7995" xr:uid="{00000000-0005-0000-0000-00000A140000}"/>
    <cellStyle name="40% - 강조색2 43 6" xfId="7996" xr:uid="{00000000-0005-0000-0000-00000B140000}"/>
    <cellStyle name="40% - 강조색2 43 7" xfId="7997" xr:uid="{00000000-0005-0000-0000-00000C140000}"/>
    <cellStyle name="40% - 강조색2 43 8" xfId="7998" xr:uid="{00000000-0005-0000-0000-00000D140000}"/>
    <cellStyle name="40% - 강조색2 43 9" xfId="7999" xr:uid="{00000000-0005-0000-0000-00000E140000}"/>
    <cellStyle name="40% - 강조색2 44" xfId="696" xr:uid="{00000000-0005-0000-0000-00000F140000}"/>
    <cellStyle name="40% - 강조색2 44 2" xfId="8000" xr:uid="{00000000-0005-0000-0000-000010140000}"/>
    <cellStyle name="40% - 강조색2 45" xfId="697" xr:uid="{00000000-0005-0000-0000-000011140000}"/>
    <cellStyle name="40% - 강조색2 45 2" xfId="8001" xr:uid="{00000000-0005-0000-0000-000012140000}"/>
    <cellStyle name="40% - 강조색2 46" xfId="621" xr:uid="{00000000-0005-0000-0000-000013140000}"/>
    <cellStyle name="40% - 강조색2 47" xfId="7481" xr:uid="{00000000-0005-0000-0000-000014140000}"/>
    <cellStyle name="40% - 강조색2 5" xfId="698" xr:uid="{00000000-0005-0000-0000-000015140000}"/>
    <cellStyle name="40% - 강조색2 5 10" xfId="8003" xr:uid="{00000000-0005-0000-0000-000016140000}"/>
    <cellStyle name="40% - 강조색2 5 11" xfId="8004" xr:uid="{00000000-0005-0000-0000-000017140000}"/>
    <cellStyle name="40% - 강조색2 5 12" xfId="8005" xr:uid="{00000000-0005-0000-0000-000018140000}"/>
    <cellStyle name="40% - 강조색2 5 13" xfId="8006" xr:uid="{00000000-0005-0000-0000-000019140000}"/>
    <cellStyle name="40% - 강조색2 5 14" xfId="8007" xr:uid="{00000000-0005-0000-0000-00001A140000}"/>
    <cellStyle name="40% - 강조색2 5 15" xfId="8002" xr:uid="{00000000-0005-0000-0000-00001B140000}"/>
    <cellStyle name="40% - 강조색2 5 2" xfId="699" xr:uid="{00000000-0005-0000-0000-00001C140000}"/>
    <cellStyle name="40% - 강조색2 5 2 2" xfId="8008" xr:uid="{00000000-0005-0000-0000-00001D140000}"/>
    <cellStyle name="40% - 강조색2 5 3" xfId="8009" xr:uid="{00000000-0005-0000-0000-00001E140000}"/>
    <cellStyle name="40% - 강조색2 5 4" xfId="8010" xr:uid="{00000000-0005-0000-0000-00001F140000}"/>
    <cellStyle name="40% - 강조색2 5 5" xfId="8011" xr:uid="{00000000-0005-0000-0000-000020140000}"/>
    <cellStyle name="40% - 강조색2 5 6" xfId="8012" xr:uid="{00000000-0005-0000-0000-000021140000}"/>
    <cellStyle name="40% - 강조색2 5 7" xfId="8013" xr:uid="{00000000-0005-0000-0000-000022140000}"/>
    <cellStyle name="40% - 강조색2 5 8" xfId="8014" xr:uid="{00000000-0005-0000-0000-000023140000}"/>
    <cellStyle name="40% - 강조색2 5 9" xfId="8015" xr:uid="{00000000-0005-0000-0000-000024140000}"/>
    <cellStyle name="40% - 강조색2 6" xfId="700" xr:uid="{00000000-0005-0000-0000-000025140000}"/>
    <cellStyle name="40% - 강조색2 6 10" xfId="8017" xr:uid="{00000000-0005-0000-0000-000026140000}"/>
    <cellStyle name="40% - 강조색2 6 11" xfId="8018" xr:uid="{00000000-0005-0000-0000-000027140000}"/>
    <cellStyle name="40% - 강조색2 6 12" xfId="8019" xr:uid="{00000000-0005-0000-0000-000028140000}"/>
    <cellStyle name="40% - 강조색2 6 13" xfId="8020" xr:uid="{00000000-0005-0000-0000-000029140000}"/>
    <cellStyle name="40% - 강조색2 6 14" xfId="8021" xr:uid="{00000000-0005-0000-0000-00002A140000}"/>
    <cellStyle name="40% - 강조색2 6 15" xfId="8016" xr:uid="{00000000-0005-0000-0000-00002B140000}"/>
    <cellStyle name="40% - 강조색2 6 2" xfId="701" xr:uid="{00000000-0005-0000-0000-00002C140000}"/>
    <cellStyle name="40% - 강조색2 6 2 2" xfId="8022" xr:uid="{00000000-0005-0000-0000-00002D140000}"/>
    <cellStyle name="40% - 강조색2 6 3" xfId="8023" xr:uid="{00000000-0005-0000-0000-00002E140000}"/>
    <cellStyle name="40% - 강조색2 6 4" xfId="8024" xr:uid="{00000000-0005-0000-0000-00002F140000}"/>
    <cellStyle name="40% - 강조색2 6 5" xfId="8025" xr:uid="{00000000-0005-0000-0000-000030140000}"/>
    <cellStyle name="40% - 강조색2 6 6" xfId="8026" xr:uid="{00000000-0005-0000-0000-000031140000}"/>
    <cellStyle name="40% - 강조색2 6 7" xfId="8027" xr:uid="{00000000-0005-0000-0000-000032140000}"/>
    <cellStyle name="40% - 강조색2 6 8" xfId="8028" xr:uid="{00000000-0005-0000-0000-000033140000}"/>
    <cellStyle name="40% - 강조색2 6 9" xfId="8029" xr:uid="{00000000-0005-0000-0000-000034140000}"/>
    <cellStyle name="40% - 강조색2 7" xfId="702" xr:uid="{00000000-0005-0000-0000-000035140000}"/>
    <cellStyle name="40% - 강조색2 7 10" xfId="8031" xr:uid="{00000000-0005-0000-0000-000036140000}"/>
    <cellStyle name="40% - 강조색2 7 11" xfId="8032" xr:uid="{00000000-0005-0000-0000-000037140000}"/>
    <cellStyle name="40% - 강조색2 7 12" xfId="8033" xr:uid="{00000000-0005-0000-0000-000038140000}"/>
    <cellStyle name="40% - 강조색2 7 13" xfId="8034" xr:uid="{00000000-0005-0000-0000-000039140000}"/>
    <cellStyle name="40% - 강조색2 7 14" xfId="8035" xr:uid="{00000000-0005-0000-0000-00003A140000}"/>
    <cellStyle name="40% - 강조색2 7 15" xfId="8030" xr:uid="{00000000-0005-0000-0000-00003B140000}"/>
    <cellStyle name="40% - 강조색2 7 2" xfId="703" xr:uid="{00000000-0005-0000-0000-00003C140000}"/>
    <cellStyle name="40% - 강조색2 7 2 2" xfId="8036" xr:uid="{00000000-0005-0000-0000-00003D140000}"/>
    <cellStyle name="40% - 강조색2 7 3" xfId="8037" xr:uid="{00000000-0005-0000-0000-00003E140000}"/>
    <cellStyle name="40% - 강조색2 7 4" xfId="8038" xr:uid="{00000000-0005-0000-0000-00003F140000}"/>
    <cellStyle name="40% - 강조색2 7 5" xfId="8039" xr:uid="{00000000-0005-0000-0000-000040140000}"/>
    <cellStyle name="40% - 강조색2 7 6" xfId="8040" xr:uid="{00000000-0005-0000-0000-000041140000}"/>
    <cellStyle name="40% - 강조색2 7 7" xfId="8041" xr:uid="{00000000-0005-0000-0000-000042140000}"/>
    <cellStyle name="40% - 강조색2 7 8" xfId="8042" xr:uid="{00000000-0005-0000-0000-000043140000}"/>
    <cellStyle name="40% - 강조색2 7 9" xfId="8043" xr:uid="{00000000-0005-0000-0000-000044140000}"/>
    <cellStyle name="40% - 강조색2 8" xfId="704" xr:uid="{00000000-0005-0000-0000-000045140000}"/>
    <cellStyle name="40% - 강조색2 8 10" xfId="8045" xr:uid="{00000000-0005-0000-0000-000046140000}"/>
    <cellStyle name="40% - 강조색2 8 11" xfId="8046" xr:uid="{00000000-0005-0000-0000-000047140000}"/>
    <cellStyle name="40% - 강조색2 8 12" xfId="8047" xr:uid="{00000000-0005-0000-0000-000048140000}"/>
    <cellStyle name="40% - 강조색2 8 13" xfId="8048" xr:uid="{00000000-0005-0000-0000-000049140000}"/>
    <cellStyle name="40% - 강조색2 8 14" xfId="8049" xr:uid="{00000000-0005-0000-0000-00004A140000}"/>
    <cellStyle name="40% - 강조색2 8 15" xfId="8044" xr:uid="{00000000-0005-0000-0000-00004B140000}"/>
    <cellStyle name="40% - 강조색2 8 2" xfId="705" xr:uid="{00000000-0005-0000-0000-00004C140000}"/>
    <cellStyle name="40% - 강조색2 8 2 2" xfId="8050" xr:uid="{00000000-0005-0000-0000-00004D140000}"/>
    <cellStyle name="40% - 강조색2 8 3" xfId="8051" xr:uid="{00000000-0005-0000-0000-00004E140000}"/>
    <cellStyle name="40% - 강조색2 8 4" xfId="8052" xr:uid="{00000000-0005-0000-0000-00004F140000}"/>
    <cellStyle name="40% - 강조색2 8 5" xfId="8053" xr:uid="{00000000-0005-0000-0000-000050140000}"/>
    <cellStyle name="40% - 강조색2 8 6" xfId="8054" xr:uid="{00000000-0005-0000-0000-000051140000}"/>
    <cellStyle name="40% - 강조색2 8 7" xfId="8055" xr:uid="{00000000-0005-0000-0000-000052140000}"/>
    <cellStyle name="40% - 강조색2 8 8" xfId="8056" xr:uid="{00000000-0005-0000-0000-000053140000}"/>
    <cellStyle name="40% - 강조색2 8 9" xfId="8057" xr:uid="{00000000-0005-0000-0000-000054140000}"/>
    <cellStyle name="40% - 강조색2 9" xfId="706" xr:uid="{00000000-0005-0000-0000-000055140000}"/>
    <cellStyle name="40% - 강조색2 9 10" xfId="8059" xr:uid="{00000000-0005-0000-0000-000056140000}"/>
    <cellStyle name="40% - 강조색2 9 11" xfId="8060" xr:uid="{00000000-0005-0000-0000-000057140000}"/>
    <cellStyle name="40% - 강조색2 9 12" xfId="8061" xr:uid="{00000000-0005-0000-0000-000058140000}"/>
    <cellStyle name="40% - 강조색2 9 13" xfId="8062" xr:uid="{00000000-0005-0000-0000-000059140000}"/>
    <cellStyle name="40% - 강조색2 9 14" xfId="8063" xr:uid="{00000000-0005-0000-0000-00005A140000}"/>
    <cellStyle name="40% - 강조색2 9 15" xfId="8058" xr:uid="{00000000-0005-0000-0000-00005B140000}"/>
    <cellStyle name="40% - 강조색2 9 2" xfId="707" xr:uid="{00000000-0005-0000-0000-00005C140000}"/>
    <cellStyle name="40% - 강조색2 9 2 2" xfId="8064" xr:uid="{00000000-0005-0000-0000-00005D140000}"/>
    <cellStyle name="40% - 강조색2 9 3" xfId="8065" xr:uid="{00000000-0005-0000-0000-00005E140000}"/>
    <cellStyle name="40% - 강조색2 9 4" xfId="8066" xr:uid="{00000000-0005-0000-0000-00005F140000}"/>
    <cellStyle name="40% - 강조색2 9 5" xfId="8067" xr:uid="{00000000-0005-0000-0000-000060140000}"/>
    <cellStyle name="40% - 강조색2 9 6" xfId="8068" xr:uid="{00000000-0005-0000-0000-000061140000}"/>
    <cellStyle name="40% - 강조색2 9 7" xfId="8069" xr:uid="{00000000-0005-0000-0000-000062140000}"/>
    <cellStyle name="40% - 강조색2 9 8" xfId="8070" xr:uid="{00000000-0005-0000-0000-000063140000}"/>
    <cellStyle name="40% - 강조색2 9 9" xfId="8071" xr:uid="{00000000-0005-0000-0000-000064140000}"/>
    <cellStyle name="40% - 강조색3 10" xfId="709" xr:uid="{00000000-0005-0000-0000-000065140000}"/>
    <cellStyle name="40% - 강조색3 10 10" xfId="8074" xr:uid="{00000000-0005-0000-0000-000066140000}"/>
    <cellStyle name="40% - 강조색3 10 11" xfId="8075" xr:uid="{00000000-0005-0000-0000-000067140000}"/>
    <cellStyle name="40% - 강조색3 10 12" xfId="8076" xr:uid="{00000000-0005-0000-0000-000068140000}"/>
    <cellStyle name="40% - 강조색3 10 13" xfId="8077" xr:uid="{00000000-0005-0000-0000-000069140000}"/>
    <cellStyle name="40% - 강조색3 10 14" xfId="8078" xr:uid="{00000000-0005-0000-0000-00006A140000}"/>
    <cellStyle name="40% - 강조색3 10 15" xfId="8073" xr:uid="{00000000-0005-0000-0000-00006B140000}"/>
    <cellStyle name="40% - 강조색3 10 16" xfId="27826" xr:uid="{00000000-0005-0000-0000-00006C140000}"/>
    <cellStyle name="40% - 강조색3 10 2" xfId="710" xr:uid="{00000000-0005-0000-0000-00006D140000}"/>
    <cellStyle name="40% - 강조색3 10 2 2" xfId="8079" xr:uid="{00000000-0005-0000-0000-00006E140000}"/>
    <cellStyle name="40% - 강조색3 10 3" xfId="8080" xr:uid="{00000000-0005-0000-0000-00006F140000}"/>
    <cellStyle name="40% - 강조색3 10 4" xfId="8081" xr:uid="{00000000-0005-0000-0000-000070140000}"/>
    <cellStyle name="40% - 강조색3 10 5" xfId="8082" xr:uid="{00000000-0005-0000-0000-000071140000}"/>
    <cellStyle name="40% - 강조색3 10 6" xfId="8083" xr:uid="{00000000-0005-0000-0000-000072140000}"/>
    <cellStyle name="40% - 강조색3 10 7" xfId="8084" xr:uid="{00000000-0005-0000-0000-000073140000}"/>
    <cellStyle name="40% - 강조색3 10 8" xfId="8085" xr:uid="{00000000-0005-0000-0000-000074140000}"/>
    <cellStyle name="40% - 강조색3 10 9" xfId="8086" xr:uid="{00000000-0005-0000-0000-000075140000}"/>
    <cellStyle name="40% - 강조색3 11" xfId="711" xr:uid="{00000000-0005-0000-0000-000076140000}"/>
    <cellStyle name="40% - 강조색3 11 10" xfId="8088" xr:uid="{00000000-0005-0000-0000-000077140000}"/>
    <cellStyle name="40% - 강조색3 11 11" xfId="8089" xr:uid="{00000000-0005-0000-0000-000078140000}"/>
    <cellStyle name="40% - 강조색3 11 12" xfId="8090" xr:uid="{00000000-0005-0000-0000-000079140000}"/>
    <cellStyle name="40% - 강조색3 11 13" xfId="8091" xr:uid="{00000000-0005-0000-0000-00007A140000}"/>
    <cellStyle name="40% - 강조색3 11 14" xfId="8092" xr:uid="{00000000-0005-0000-0000-00007B140000}"/>
    <cellStyle name="40% - 강조색3 11 15" xfId="8087" xr:uid="{00000000-0005-0000-0000-00007C140000}"/>
    <cellStyle name="40% - 강조색3 11 16" xfId="27825" xr:uid="{00000000-0005-0000-0000-00007D140000}"/>
    <cellStyle name="40% - 강조색3 11 2" xfId="712" xr:uid="{00000000-0005-0000-0000-00007E140000}"/>
    <cellStyle name="40% - 강조색3 11 2 2" xfId="8093" xr:uid="{00000000-0005-0000-0000-00007F140000}"/>
    <cellStyle name="40% - 강조색3 11 3" xfId="8094" xr:uid="{00000000-0005-0000-0000-000080140000}"/>
    <cellStyle name="40% - 강조색3 11 4" xfId="8095" xr:uid="{00000000-0005-0000-0000-000081140000}"/>
    <cellStyle name="40% - 강조색3 11 5" xfId="8096" xr:uid="{00000000-0005-0000-0000-000082140000}"/>
    <cellStyle name="40% - 강조색3 11 6" xfId="8097" xr:uid="{00000000-0005-0000-0000-000083140000}"/>
    <cellStyle name="40% - 강조색3 11 7" xfId="8098" xr:uid="{00000000-0005-0000-0000-000084140000}"/>
    <cellStyle name="40% - 강조색3 11 8" xfId="8099" xr:uid="{00000000-0005-0000-0000-000085140000}"/>
    <cellStyle name="40% - 강조색3 11 9" xfId="8100" xr:uid="{00000000-0005-0000-0000-000086140000}"/>
    <cellStyle name="40% - 강조색3 12" xfId="713" xr:uid="{00000000-0005-0000-0000-000087140000}"/>
    <cellStyle name="40% - 강조색3 12 10" xfId="8102" xr:uid="{00000000-0005-0000-0000-000088140000}"/>
    <cellStyle name="40% - 강조색3 12 11" xfId="8103" xr:uid="{00000000-0005-0000-0000-000089140000}"/>
    <cellStyle name="40% - 강조색3 12 12" xfId="8104" xr:uid="{00000000-0005-0000-0000-00008A140000}"/>
    <cellStyle name="40% - 강조색3 12 13" xfId="8105" xr:uid="{00000000-0005-0000-0000-00008B140000}"/>
    <cellStyle name="40% - 강조색3 12 14" xfId="8106" xr:uid="{00000000-0005-0000-0000-00008C140000}"/>
    <cellStyle name="40% - 강조색3 12 15" xfId="8101" xr:uid="{00000000-0005-0000-0000-00008D140000}"/>
    <cellStyle name="40% - 강조색3 12 16" xfId="27824" xr:uid="{00000000-0005-0000-0000-00008E140000}"/>
    <cellStyle name="40% - 강조색3 12 2" xfId="714" xr:uid="{00000000-0005-0000-0000-00008F140000}"/>
    <cellStyle name="40% - 강조색3 12 2 2" xfId="8107" xr:uid="{00000000-0005-0000-0000-000090140000}"/>
    <cellStyle name="40% - 강조색3 12 3" xfId="8108" xr:uid="{00000000-0005-0000-0000-000091140000}"/>
    <cellStyle name="40% - 강조색3 12 4" xfId="8109" xr:uid="{00000000-0005-0000-0000-000092140000}"/>
    <cellStyle name="40% - 강조색3 12 5" xfId="8110" xr:uid="{00000000-0005-0000-0000-000093140000}"/>
    <cellStyle name="40% - 강조색3 12 6" xfId="8111" xr:uid="{00000000-0005-0000-0000-000094140000}"/>
    <cellStyle name="40% - 강조색3 12 7" xfId="8112" xr:uid="{00000000-0005-0000-0000-000095140000}"/>
    <cellStyle name="40% - 강조색3 12 8" xfId="8113" xr:uid="{00000000-0005-0000-0000-000096140000}"/>
    <cellStyle name="40% - 강조색3 12 9" xfId="8114" xr:uid="{00000000-0005-0000-0000-000097140000}"/>
    <cellStyle name="40% - 강조색3 13" xfId="715" xr:uid="{00000000-0005-0000-0000-000098140000}"/>
    <cellStyle name="40% - 강조색3 13 10" xfId="8116" xr:uid="{00000000-0005-0000-0000-000099140000}"/>
    <cellStyle name="40% - 강조색3 13 11" xfId="8117" xr:uid="{00000000-0005-0000-0000-00009A140000}"/>
    <cellStyle name="40% - 강조색3 13 12" xfId="8118" xr:uid="{00000000-0005-0000-0000-00009B140000}"/>
    <cellStyle name="40% - 강조색3 13 13" xfId="8119" xr:uid="{00000000-0005-0000-0000-00009C140000}"/>
    <cellStyle name="40% - 강조색3 13 14" xfId="8120" xr:uid="{00000000-0005-0000-0000-00009D140000}"/>
    <cellStyle name="40% - 강조색3 13 15" xfId="8115" xr:uid="{00000000-0005-0000-0000-00009E140000}"/>
    <cellStyle name="40% - 강조색3 13 16" xfId="27823" xr:uid="{00000000-0005-0000-0000-00009F140000}"/>
    <cellStyle name="40% - 강조색3 13 2" xfId="716" xr:uid="{00000000-0005-0000-0000-0000A0140000}"/>
    <cellStyle name="40% - 강조색3 13 2 2" xfId="8121" xr:uid="{00000000-0005-0000-0000-0000A1140000}"/>
    <cellStyle name="40% - 강조색3 13 3" xfId="8122" xr:uid="{00000000-0005-0000-0000-0000A2140000}"/>
    <cellStyle name="40% - 강조색3 13 4" xfId="8123" xr:uid="{00000000-0005-0000-0000-0000A3140000}"/>
    <cellStyle name="40% - 강조색3 13 5" xfId="8124" xr:uid="{00000000-0005-0000-0000-0000A4140000}"/>
    <cellStyle name="40% - 강조색3 13 6" xfId="8125" xr:uid="{00000000-0005-0000-0000-0000A5140000}"/>
    <cellStyle name="40% - 강조색3 13 7" xfId="8126" xr:uid="{00000000-0005-0000-0000-0000A6140000}"/>
    <cellStyle name="40% - 강조색3 13 8" xfId="8127" xr:uid="{00000000-0005-0000-0000-0000A7140000}"/>
    <cellStyle name="40% - 강조색3 13 9" xfId="8128" xr:uid="{00000000-0005-0000-0000-0000A8140000}"/>
    <cellStyle name="40% - 강조색3 14" xfId="717" xr:uid="{00000000-0005-0000-0000-0000A9140000}"/>
    <cellStyle name="40% - 강조색3 14 10" xfId="8130" xr:uid="{00000000-0005-0000-0000-0000AA140000}"/>
    <cellStyle name="40% - 강조색3 14 11" xfId="8131" xr:uid="{00000000-0005-0000-0000-0000AB140000}"/>
    <cellStyle name="40% - 강조색3 14 12" xfId="8132" xr:uid="{00000000-0005-0000-0000-0000AC140000}"/>
    <cellStyle name="40% - 강조색3 14 13" xfId="8133" xr:uid="{00000000-0005-0000-0000-0000AD140000}"/>
    <cellStyle name="40% - 강조색3 14 14" xfId="8134" xr:uid="{00000000-0005-0000-0000-0000AE140000}"/>
    <cellStyle name="40% - 강조색3 14 15" xfId="8129" xr:uid="{00000000-0005-0000-0000-0000AF140000}"/>
    <cellStyle name="40% - 강조색3 14 16" xfId="27822" xr:uid="{00000000-0005-0000-0000-0000B0140000}"/>
    <cellStyle name="40% - 강조색3 14 2" xfId="718" xr:uid="{00000000-0005-0000-0000-0000B1140000}"/>
    <cellStyle name="40% - 강조색3 14 2 2" xfId="8135" xr:uid="{00000000-0005-0000-0000-0000B2140000}"/>
    <cellStyle name="40% - 강조색3 14 3" xfId="8136" xr:uid="{00000000-0005-0000-0000-0000B3140000}"/>
    <cellStyle name="40% - 강조색3 14 4" xfId="8137" xr:uid="{00000000-0005-0000-0000-0000B4140000}"/>
    <cellStyle name="40% - 강조색3 14 5" xfId="8138" xr:uid="{00000000-0005-0000-0000-0000B5140000}"/>
    <cellStyle name="40% - 강조색3 14 6" xfId="8139" xr:uid="{00000000-0005-0000-0000-0000B6140000}"/>
    <cellStyle name="40% - 강조색3 14 7" xfId="8140" xr:uid="{00000000-0005-0000-0000-0000B7140000}"/>
    <cellStyle name="40% - 강조색3 14 8" xfId="8141" xr:uid="{00000000-0005-0000-0000-0000B8140000}"/>
    <cellStyle name="40% - 강조색3 14 9" xfId="8142" xr:uid="{00000000-0005-0000-0000-0000B9140000}"/>
    <cellStyle name="40% - 강조색3 15" xfId="719" xr:uid="{00000000-0005-0000-0000-0000BA140000}"/>
    <cellStyle name="40% - 강조색3 15 10" xfId="8144" xr:uid="{00000000-0005-0000-0000-0000BB140000}"/>
    <cellStyle name="40% - 강조색3 15 11" xfId="8145" xr:uid="{00000000-0005-0000-0000-0000BC140000}"/>
    <cellStyle name="40% - 강조색3 15 12" xfId="8146" xr:uid="{00000000-0005-0000-0000-0000BD140000}"/>
    <cellStyle name="40% - 강조색3 15 13" xfId="8147" xr:uid="{00000000-0005-0000-0000-0000BE140000}"/>
    <cellStyle name="40% - 강조색3 15 14" xfId="8148" xr:uid="{00000000-0005-0000-0000-0000BF140000}"/>
    <cellStyle name="40% - 강조색3 15 15" xfId="8143" xr:uid="{00000000-0005-0000-0000-0000C0140000}"/>
    <cellStyle name="40% - 강조색3 15 16" xfId="27821" xr:uid="{00000000-0005-0000-0000-0000C1140000}"/>
    <cellStyle name="40% - 강조색3 15 2" xfId="720" xr:uid="{00000000-0005-0000-0000-0000C2140000}"/>
    <cellStyle name="40% - 강조색3 15 2 2" xfId="8149" xr:uid="{00000000-0005-0000-0000-0000C3140000}"/>
    <cellStyle name="40% - 강조색3 15 3" xfId="8150" xr:uid="{00000000-0005-0000-0000-0000C4140000}"/>
    <cellStyle name="40% - 강조색3 15 4" xfId="8151" xr:uid="{00000000-0005-0000-0000-0000C5140000}"/>
    <cellStyle name="40% - 강조색3 15 5" xfId="8152" xr:uid="{00000000-0005-0000-0000-0000C6140000}"/>
    <cellStyle name="40% - 강조색3 15 6" xfId="8153" xr:uid="{00000000-0005-0000-0000-0000C7140000}"/>
    <cellStyle name="40% - 강조색3 15 7" xfId="8154" xr:uid="{00000000-0005-0000-0000-0000C8140000}"/>
    <cellStyle name="40% - 강조색3 15 8" xfId="8155" xr:uid="{00000000-0005-0000-0000-0000C9140000}"/>
    <cellStyle name="40% - 강조색3 15 9" xfId="8156" xr:uid="{00000000-0005-0000-0000-0000CA140000}"/>
    <cellStyle name="40% - 강조색3 16" xfId="721" xr:uid="{00000000-0005-0000-0000-0000CB140000}"/>
    <cellStyle name="40% - 강조색3 16 10" xfId="8158" xr:uid="{00000000-0005-0000-0000-0000CC140000}"/>
    <cellStyle name="40% - 강조색3 16 11" xfId="8159" xr:uid="{00000000-0005-0000-0000-0000CD140000}"/>
    <cellStyle name="40% - 강조색3 16 12" xfId="8160" xr:uid="{00000000-0005-0000-0000-0000CE140000}"/>
    <cellStyle name="40% - 강조색3 16 13" xfId="8161" xr:uid="{00000000-0005-0000-0000-0000CF140000}"/>
    <cellStyle name="40% - 강조색3 16 14" xfId="8162" xr:uid="{00000000-0005-0000-0000-0000D0140000}"/>
    <cellStyle name="40% - 강조색3 16 15" xfId="8157" xr:uid="{00000000-0005-0000-0000-0000D1140000}"/>
    <cellStyle name="40% - 강조색3 16 16" xfId="27820" xr:uid="{00000000-0005-0000-0000-0000D2140000}"/>
    <cellStyle name="40% - 강조색3 16 2" xfId="722" xr:uid="{00000000-0005-0000-0000-0000D3140000}"/>
    <cellStyle name="40% - 강조색3 16 2 2" xfId="8163" xr:uid="{00000000-0005-0000-0000-0000D4140000}"/>
    <cellStyle name="40% - 강조색3 16 3" xfId="8164" xr:uid="{00000000-0005-0000-0000-0000D5140000}"/>
    <cellStyle name="40% - 강조색3 16 4" xfId="8165" xr:uid="{00000000-0005-0000-0000-0000D6140000}"/>
    <cellStyle name="40% - 강조색3 16 5" xfId="8166" xr:uid="{00000000-0005-0000-0000-0000D7140000}"/>
    <cellStyle name="40% - 강조색3 16 6" xfId="8167" xr:uid="{00000000-0005-0000-0000-0000D8140000}"/>
    <cellStyle name="40% - 강조색3 16 7" xfId="8168" xr:uid="{00000000-0005-0000-0000-0000D9140000}"/>
    <cellStyle name="40% - 강조색3 16 8" xfId="8169" xr:uid="{00000000-0005-0000-0000-0000DA140000}"/>
    <cellStyle name="40% - 강조색3 16 9" xfId="8170" xr:uid="{00000000-0005-0000-0000-0000DB140000}"/>
    <cellStyle name="40% - 강조색3 17" xfId="723" xr:uid="{00000000-0005-0000-0000-0000DC140000}"/>
    <cellStyle name="40% - 강조색3 17 10" xfId="8172" xr:uid="{00000000-0005-0000-0000-0000DD140000}"/>
    <cellStyle name="40% - 강조색3 17 11" xfId="8173" xr:uid="{00000000-0005-0000-0000-0000DE140000}"/>
    <cellStyle name="40% - 강조색3 17 12" xfId="8174" xr:uid="{00000000-0005-0000-0000-0000DF140000}"/>
    <cellStyle name="40% - 강조색3 17 13" xfId="8175" xr:uid="{00000000-0005-0000-0000-0000E0140000}"/>
    <cellStyle name="40% - 강조색3 17 14" xfId="8176" xr:uid="{00000000-0005-0000-0000-0000E1140000}"/>
    <cellStyle name="40% - 강조색3 17 15" xfId="8171" xr:uid="{00000000-0005-0000-0000-0000E2140000}"/>
    <cellStyle name="40% - 강조색3 17 16" xfId="27819" xr:uid="{00000000-0005-0000-0000-0000E3140000}"/>
    <cellStyle name="40% - 강조색3 17 2" xfId="724" xr:uid="{00000000-0005-0000-0000-0000E4140000}"/>
    <cellStyle name="40% - 강조색3 17 2 2" xfId="8177" xr:uid="{00000000-0005-0000-0000-0000E5140000}"/>
    <cellStyle name="40% - 강조색3 17 3" xfId="8178" xr:uid="{00000000-0005-0000-0000-0000E6140000}"/>
    <cellStyle name="40% - 강조색3 17 4" xfId="8179" xr:uid="{00000000-0005-0000-0000-0000E7140000}"/>
    <cellStyle name="40% - 강조색3 17 5" xfId="8180" xr:uid="{00000000-0005-0000-0000-0000E8140000}"/>
    <cellStyle name="40% - 강조색3 17 6" xfId="8181" xr:uid="{00000000-0005-0000-0000-0000E9140000}"/>
    <cellStyle name="40% - 강조색3 17 7" xfId="8182" xr:uid="{00000000-0005-0000-0000-0000EA140000}"/>
    <cellStyle name="40% - 강조색3 17 8" xfId="8183" xr:uid="{00000000-0005-0000-0000-0000EB140000}"/>
    <cellStyle name="40% - 강조색3 17 9" xfId="8184" xr:uid="{00000000-0005-0000-0000-0000EC140000}"/>
    <cellStyle name="40% - 강조색3 18" xfId="725" xr:uid="{00000000-0005-0000-0000-0000ED140000}"/>
    <cellStyle name="40% - 강조색3 18 10" xfId="8186" xr:uid="{00000000-0005-0000-0000-0000EE140000}"/>
    <cellStyle name="40% - 강조색3 18 11" xfId="8187" xr:uid="{00000000-0005-0000-0000-0000EF140000}"/>
    <cellStyle name="40% - 강조색3 18 12" xfId="8188" xr:uid="{00000000-0005-0000-0000-0000F0140000}"/>
    <cellStyle name="40% - 강조색3 18 13" xfId="8189" xr:uid="{00000000-0005-0000-0000-0000F1140000}"/>
    <cellStyle name="40% - 강조색3 18 14" xfId="8190" xr:uid="{00000000-0005-0000-0000-0000F2140000}"/>
    <cellStyle name="40% - 강조색3 18 15" xfId="8185" xr:uid="{00000000-0005-0000-0000-0000F3140000}"/>
    <cellStyle name="40% - 강조색3 18 16" xfId="27818" xr:uid="{00000000-0005-0000-0000-0000F4140000}"/>
    <cellStyle name="40% - 강조색3 18 2" xfId="726" xr:uid="{00000000-0005-0000-0000-0000F5140000}"/>
    <cellStyle name="40% - 강조색3 18 2 2" xfId="8191" xr:uid="{00000000-0005-0000-0000-0000F6140000}"/>
    <cellStyle name="40% - 강조색3 18 3" xfId="8192" xr:uid="{00000000-0005-0000-0000-0000F7140000}"/>
    <cellStyle name="40% - 강조색3 18 4" xfId="8193" xr:uid="{00000000-0005-0000-0000-0000F8140000}"/>
    <cellStyle name="40% - 강조색3 18 5" xfId="8194" xr:uid="{00000000-0005-0000-0000-0000F9140000}"/>
    <cellStyle name="40% - 강조색3 18 6" xfId="8195" xr:uid="{00000000-0005-0000-0000-0000FA140000}"/>
    <cellStyle name="40% - 강조색3 18 7" xfId="8196" xr:uid="{00000000-0005-0000-0000-0000FB140000}"/>
    <cellStyle name="40% - 강조색3 18 8" xfId="8197" xr:uid="{00000000-0005-0000-0000-0000FC140000}"/>
    <cellStyle name="40% - 강조색3 18 9" xfId="8198" xr:uid="{00000000-0005-0000-0000-0000FD140000}"/>
    <cellStyle name="40% - 강조색3 19" xfId="727" xr:uid="{00000000-0005-0000-0000-0000FE140000}"/>
    <cellStyle name="40% - 강조색3 19 10" xfId="8200" xr:uid="{00000000-0005-0000-0000-0000FF140000}"/>
    <cellStyle name="40% - 강조색3 19 11" xfId="8201" xr:uid="{00000000-0005-0000-0000-000000150000}"/>
    <cellStyle name="40% - 강조색3 19 12" xfId="8202" xr:uid="{00000000-0005-0000-0000-000001150000}"/>
    <cellStyle name="40% - 강조색3 19 13" xfId="8203" xr:uid="{00000000-0005-0000-0000-000002150000}"/>
    <cellStyle name="40% - 강조색3 19 14" xfId="8204" xr:uid="{00000000-0005-0000-0000-000003150000}"/>
    <cellStyle name="40% - 강조색3 19 15" xfId="8199" xr:uid="{00000000-0005-0000-0000-000004150000}"/>
    <cellStyle name="40% - 강조색3 19 16" xfId="27817" xr:uid="{00000000-0005-0000-0000-000005150000}"/>
    <cellStyle name="40% - 강조색3 19 2" xfId="728" xr:uid="{00000000-0005-0000-0000-000006150000}"/>
    <cellStyle name="40% - 강조색3 19 2 2" xfId="8205" xr:uid="{00000000-0005-0000-0000-000007150000}"/>
    <cellStyle name="40% - 강조색3 19 3" xfId="8206" xr:uid="{00000000-0005-0000-0000-000008150000}"/>
    <cellStyle name="40% - 강조색3 19 4" xfId="8207" xr:uid="{00000000-0005-0000-0000-000009150000}"/>
    <cellStyle name="40% - 강조색3 19 5" xfId="8208" xr:uid="{00000000-0005-0000-0000-00000A150000}"/>
    <cellStyle name="40% - 강조색3 19 6" xfId="8209" xr:uid="{00000000-0005-0000-0000-00000B150000}"/>
    <cellStyle name="40% - 강조색3 19 7" xfId="8210" xr:uid="{00000000-0005-0000-0000-00000C150000}"/>
    <cellStyle name="40% - 강조색3 19 8" xfId="8211" xr:uid="{00000000-0005-0000-0000-00000D150000}"/>
    <cellStyle name="40% - 강조색3 19 9" xfId="8212" xr:uid="{00000000-0005-0000-0000-00000E150000}"/>
    <cellStyle name="40% - 강조색3 2" xfId="729" xr:uid="{00000000-0005-0000-0000-00000F150000}"/>
    <cellStyle name="40% - 강조색3 2 10" xfId="8214" xr:uid="{00000000-0005-0000-0000-000010150000}"/>
    <cellStyle name="40% - 강조색3 2 11" xfId="8215" xr:uid="{00000000-0005-0000-0000-000011150000}"/>
    <cellStyle name="40% - 강조색3 2 12" xfId="8216" xr:uid="{00000000-0005-0000-0000-000012150000}"/>
    <cellStyle name="40% - 강조색3 2 13" xfId="8217" xr:uid="{00000000-0005-0000-0000-000013150000}"/>
    <cellStyle name="40% - 강조색3 2 14" xfId="8218" xr:uid="{00000000-0005-0000-0000-000014150000}"/>
    <cellStyle name="40% - 강조색3 2 15" xfId="8213" xr:uid="{00000000-0005-0000-0000-000015150000}"/>
    <cellStyle name="40% - 강조색3 2 16" xfId="27816" xr:uid="{00000000-0005-0000-0000-000016150000}"/>
    <cellStyle name="40% - 강조색3 2 17" xfId="27941" xr:uid="{00000000-0005-0000-0000-000017150000}"/>
    <cellStyle name="40% - 강조색3 2 2" xfId="730" xr:uid="{00000000-0005-0000-0000-000018150000}"/>
    <cellStyle name="40% - 강조색3 2 2 2" xfId="8219" xr:uid="{00000000-0005-0000-0000-000019150000}"/>
    <cellStyle name="40% - 강조색3 2 3" xfId="8220" xr:uid="{00000000-0005-0000-0000-00001A150000}"/>
    <cellStyle name="40% - 강조색3 2 4" xfId="8221" xr:uid="{00000000-0005-0000-0000-00001B150000}"/>
    <cellStyle name="40% - 강조색3 2 5" xfId="8222" xr:uid="{00000000-0005-0000-0000-00001C150000}"/>
    <cellStyle name="40% - 강조색3 2 6" xfId="8223" xr:uid="{00000000-0005-0000-0000-00001D150000}"/>
    <cellStyle name="40% - 강조색3 2 7" xfId="8224" xr:uid="{00000000-0005-0000-0000-00001E150000}"/>
    <cellStyle name="40% - 강조색3 2 8" xfId="8225" xr:uid="{00000000-0005-0000-0000-00001F150000}"/>
    <cellStyle name="40% - 강조색3 2 9" xfId="8226" xr:uid="{00000000-0005-0000-0000-000020150000}"/>
    <cellStyle name="40% - 강조색3 20" xfId="731" xr:uid="{00000000-0005-0000-0000-000021150000}"/>
    <cellStyle name="40% - 강조색3 20 10" xfId="8228" xr:uid="{00000000-0005-0000-0000-000022150000}"/>
    <cellStyle name="40% - 강조색3 20 11" xfId="8229" xr:uid="{00000000-0005-0000-0000-000023150000}"/>
    <cellStyle name="40% - 강조색3 20 12" xfId="8230" xr:uid="{00000000-0005-0000-0000-000024150000}"/>
    <cellStyle name="40% - 강조색3 20 13" xfId="8231" xr:uid="{00000000-0005-0000-0000-000025150000}"/>
    <cellStyle name="40% - 강조색3 20 14" xfId="8232" xr:uid="{00000000-0005-0000-0000-000026150000}"/>
    <cellStyle name="40% - 강조색3 20 15" xfId="8227" xr:uid="{00000000-0005-0000-0000-000027150000}"/>
    <cellStyle name="40% - 강조색3 20 16" xfId="27815" xr:uid="{00000000-0005-0000-0000-000028150000}"/>
    <cellStyle name="40% - 강조색3 20 2" xfId="732" xr:uid="{00000000-0005-0000-0000-000029150000}"/>
    <cellStyle name="40% - 강조색3 20 2 2" xfId="8233" xr:uid="{00000000-0005-0000-0000-00002A150000}"/>
    <cellStyle name="40% - 강조색3 20 3" xfId="8234" xr:uid="{00000000-0005-0000-0000-00002B150000}"/>
    <cellStyle name="40% - 강조색3 20 4" xfId="8235" xr:uid="{00000000-0005-0000-0000-00002C150000}"/>
    <cellStyle name="40% - 강조색3 20 5" xfId="8236" xr:uid="{00000000-0005-0000-0000-00002D150000}"/>
    <cellStyle name="40% - 강조색3 20 6" xfId="8237" xr:uid="{00000000-0005-0000-0000-00002E150000}"/>
    <cellStyle name="40% - 강조색3 20 7" xfId="8238" xr:uid="{00000000-0005-0000-0000-00002F150000}"/>
    <cellStyle name="40% - 강조색3 20 8" xfId="8239" xr:uid="{00000000-0005-0000-0000-000030150000}"/>
    <cellStyle name="40% - 강조색3 20 9" xfId="8240" xr:uid="{00000000-0005-0000-0000-000031150000}"/>
    <cellStyle name="40% - 강조색3 21" xfId="733" xr:uid="{00000000-0005-0000-0000-000032150000}"/>
    <cellStyle name="40% - 강조색3 21 10" xfId="8242" xr:uid="{00000000-0005-0000-0000-000033150000}"/>
    <cellStyle name="40% - 강조색3 21 11" xfId="8243" xr:uid="{00000000-0005-0000-0000-000034150000}"/>
    <cellStyle name="40% - 강조색3 21 12" xfId="8244" xr:uid="{00000000-0005-0000-0000-000035150000}"/>
    <cellStyle name="40% - 강조색3 21 13" xfId="8245" xr:uid="{00000000-0005-0000-0000-000036150000}"/>
    <cellStyle name="40% - 강조색3 21 14" xfId="8246" xr:uid="{00000000-0005-0000-0000-000037150000}"/>
    <cellStyle name="40% - 강조색3 21 15" xfId="8241" xr:uid="{00000000-0005-0000-0000-000038150000}"/>
    <cellStyle name="40% - 강조색3 21 16" xfId="27814" xr:uid="{00000000-0005-0000-0000-000039150000}"/>
    <cellStyle name="40% - 강조색3 21 2" xfId="734" xr:uid="{00000000-0005-0000-0000-00003A150000}"/>
    <cellStyle name="40% - 강조색3 21 2 2" xfId="8247" xr:uid="{00000000-0005-0000-0000-00003B150000}"/>
    <cellStyle name="40% - 강조색3 21 3" xfId="8248" xr:uid="{00000000-0005-0000-0000-00003C150000}"/>
    <cellStyle name="40% - 강조색3 21 4" xfId="8249" xr:uid="{00000000-0005-0000-0000-00003D150000}"/>
    <cellStyle name="40% - 강조색3 21 5" xfId="8250" xr:uid="{00000000-0005-0000-0000-00003E150000}"/>
    <cellStyle name="40% - 강조색3 21 6" xfId="8251" xr:uid="{00000000-0005-0000-0000-00003F150000}"/>
    <cellStyle name="40% - 강조색3 21 7" xfId="8252" xr:uid="{00000000-0005-0000-0000-000040150000}"/>
    <cellStyle name="40% - 강조색3 21 8" xfId="8253" xr:uid="{00000000-0005-0000-0000-000041150000}"/>
    <cellStyle name="40% - 강조색3 21 9" xfId="8254" xr:uid="{00000000-0005-0000-0000-000042150000}"/>
    <cellStyle name="40% - 강조색3 22" xfId="735" xr:uid="{00000000-0005-0000-0000-000043150000}"/>
    <cellStyle name="40% - 강조색3 22 10" xfId="8256" xr:uid="{00000000-0005-0000-0000-000044150000}"/>
    <cellStyle name="40% - 강조색3 22 11" xfId="8257" xr:uid="{00000000-0005-0000-0000-000045150000}"/>
    <cellStyle name="40% - 강조색3 22 12" xfId="8258" xr:uid="{00000000-0005-0000-0000-000046150000}"/>
    <cellStyle name="40% - 강조색3 22 13" xfId="8259" xr:uid="{00000000-0005-0000-0000-000047150000}"/>
    <cellStyle name="40% - 강조색3 22 14" xfId="8260" xr:uid="{00000000-0005-0000-0000-000048150000}"/>
    <cellStyle name="40% - 강조색3 22 15" xfId="8255" xr:uid="{00000000-0005-0000-0000-000049150000}"/>
    <cellStyle name="40% - 강조색3 22 16" xfId="27813" xr:uid="{00000000-0005-0000-0000-00004A150000}"/>
    <cellStyle name="40% - 강조색3 22 2" xfId="736" xr:uid="{00000000-0005-0000-0000-00004B150000}"/>
    <cellStyle name="40% - 강조색3 22 2 2" xfId="8261" xr:uid="{00000000-0005-0000-0000-00004C150000}"/>
    <cellStyle name="40% - 강조색3 22 3" xfId="8262" xr:uid="{00000000-0005-0000-0000-00004D150000}"/>
    <cellStyle name="40% - 강조색3 22 4" xfId="8263" xr:uid="{00000000-0005-0000-0000-00004E150000}"/>
    <cellStyle name="40% - 강조색3 22 5" xfId="8264" xr:uid="{00000000-0005-0000-0000-00004F150000}"/>
    <cellStyle name="40% - 강조색3 22 6" xfId="8265" xr:uid="{00000000-0005-0000-0000-000050150000}"/>
    <cellStyle name="40% - 강조색3 22 7" xfId="8266" xr:uid="{00000000-0005-0000-0000-000051150000}"/>
    <cellStyle name="40% - 강조색3 22 8" xfId="8267" xr:uid="{00000000-0005-0000-0000-000052150000}"/>
    <cellStyle name="40% - 강조색3 22 9" xfId="8268" xr:uid="{00000000-0005-0000-0000-000053150000}"/>
    <cellStyle name="40% - 강조색3 23" xfId="737" xr:uid="{00000000-0005-0000-0000-000054150000}"/>
    <cellStyle name="40% - 강조색3 23 10" xfId="8270" xr:uid="{00000000-0005-0000-0000-000055150000}"/>
    <cellStyle name="40% - 강조색3 23 11" xfId="8271" xr:uid="{00000000-0005-0000-0000-000056150000}"/>
    <cellStyle name="40% - 강조색3 23 12" xfId="8272" xr:uid="{00000000-0005-0000-0000-000057150000}"/>
    <cellStyle name="40% - 강조색3 23 13" xfId="8273" xr:uid="{00000000-0005-0000-0000-000058150000}"/>
    <cellStyle name="40% - 강조색3 23 14" xfId="8274" xr:uid="{00000000-0005-0000-0000-000059150000}"/>
    <cellStyle name="40% - 강조색3 23 15" xfId="8269" xr:uid="{00000000-0005-0000-0000-00005A150000}"/>
    <cellStyle name="40% - 강조색3 23 16" xfId="27812" xr:uid="{00000000-0005-0000-0000-00005B150000}"/>
    <cellStyle name="40% - 강조색3 23 2" xfId="738" xr:uid="{00000000-0005-0000-0000-00005C150000}"/>
    <cellStyle name="40% - 강조색3 23 2 2" xfId="8275" xr:uid="{00000000-0005-0000-0000-00005D150000}"/>
    <cellStyle name="40% - 강조색3 23 3" xfId="8276" xr:uid="{00000000-0005-0000-0000-00005E150000}"/>
    <cellStyle name="40% - 강조색3 23 4" xfId="8277" xr:uid="{00000000-0005-0000-0000-00005F150000}"/>
    <cellStyle name="40% - 강조색3 23 5" xfId="8278" xr:uid="{00000000-0005-0000-0000-000060150000}"/>
    <cellStyle name="40% - 강조색3 23 6" xfId="8279" xr:uid="{00000000-0005-0000-0000-000061150000}"/>
    <cellStyle name="40% - 강조색3 23 7" xfId="8280" xr:uid="{00000000-0005-0000-0000-000062150000}"/>
    <cellStyle name="40% - 강조색3 23 8" xfId="8281" xr:uid="{00000000-0005-0000-0000-000063150000}"/>
    <cellStyle name="40% - 강조색3 23 9" xfId="8282" xr:uid="{00000000-0005-0000-0000-000064150000}"/>
    <cellStyle name="40% - 강조색3 24" xfId="739" xr:uid="{00000000-0005-0000-0000-000065150000}"/>
    <cellStyle name="40% - 강조색3 24 10" xfId="8284" xr:uid="{00000000-0005-0000-0000-000066150000}"/>
    <cellStyle name="40% - 강조색3 24 11" xfId="8285" xr:uid="{00000000-0005-0000-0000-000067150000}"/>
    <cellStyle name="40% - 강조색3 24 12" xfId="8286" xr:uid="{00000000-0005-0000-0000-000068150000}"/>
    <cellStyle name="40% - 강조색3 24 13" xfId="8287" xr:uid="{00000000-0005-0000-0000-000069150000}"/>
    <cellStyle name="40% - 강조색3 24 14" xfId="8288" xr:uid="{00000000-0005-0000-0000-00006A150000}"/>
    <cellStyle name="40% - 강조색3 24 15" xfId="8283" xr:uid="{00000000-0005-0000-0000-00006B150000}"/>
    <cellStyle name="40% - 강조색3 24 16" xfId="27811" xr:uid="{00000000-0005-0000-0000-00006C150000}"/>
    <cellStyle name="40% - 강조색3 24 2" xfId="740" xr:uid="{00000000-0005-0000-0000-00006D150000}"/>
    <cellStyle name="40% - 강조색3 24 2 2" xfId="8289" xr:uid="{00000000-0005-0000-0000-00006E150000}"/>
    <cellStyle name="40% - 강조색3 24 3" xfId="8290" xr:uid="{00000000-0005-0000-0000-00006F150000}"/>
    <cellStyle name="40% - 강조색3 24 4" xfId="8291" xr:uid="{00000000-0005-0000-0000-000070150000}"/>
    <cellStyle name="40% - 강조색3 24 5" xfId="8292" xr:uid="{00000000-0005-0000-0000-000071150000}"/>
    <cellStyle name="40% - 강조색3 24 6" xfId="8293" xr:uid="{00000000-0005-0000-0000-000072150000}"/>
    <cellStyle name="40% - 강조색3 24 7" xfId="8294" xr:uid="{00000000-0005-0000-0000-000073150000}"/>
    <cellStyle name="40% - 강조색3 24 8" xfId="8295" xr:uid="{00000000-0005-0000-0000-000074150000}"/>
    <cellStyle name="40% - 강조색3 24 9" xfId="8296" xr:uid="{00000000-0005-0000-0000-000075150000}"/>
    <cellStyle name="40% - 강조색3 25" xfId="741" xr:uid="{00000000-0005-0000-0000-000076150000}"/>
    <cellStyle name="40% - 강조색3 25 10" xfId="8298" xr:uid="{00000000-0005-0000-0000-000077150000}"/>
    <cellStyle name="40% - 강조색3 25 11" xfId="8299" xr:uid="{00000000-0005-0000-0000-000078150000}"/>
    <cellStyle name="40% - 강조색3 25 12" xfId="8300" xr:uid="{00000000-0005-0000-0000-000079150000}"/>
    <cellStyle name="40% - 강조색3 25 13" xfId="8301" xr:uid="{00000000-0005-0000-0000-00007A150000}"/>
    <cellStyle name="40% - 강조색3 25 14" xfId="8302" xr:uid="{00000000-0005-0000-0000-00007B150000}"/>
    <cellStyle name="40% - 강조색3 25 15" xfId="8297" xr:uid="{00000000-0005-0000-0000-00007C150000}"/>
    <cellStyle name="40% - 강조색3 25 16" xfId="27810" xr:uid="{00000000-0005-0000-0000-00007D150000}"/>
    <cellStyle name="40% - 강조색3 25 2" xfId="742" xr:uid="{00000000-0005-0000-0000-00007E150000}"/>
    <cellStyle name="40% - 강조색3 25 2 2" xfId="8303" xr:uid="{00000000-0005-0000-0000-00007F150000}"/>
    <cellStyle name="40% - 강조색3 25 3" xfId="8304" xr:uid="{00000000-0005-0000-0000-000080150000}"/>
    <cellStyle name="40% - 강조색3 25 4" xfId="8305" xr:uid="{00000000-0005-0000-0000-000081150000}"/>
    <cellStyle name="40% - 강조색3 25 5" xfId="8306" xr:uid="{00000000-0005-0000-0000-000082150000}"/>
    <cellStyle name="40% - 강조색3 25 6" xfId="8307" xr:uid="{00000000-0005-0000-0000-000083150000}"/>
    <cellStyle name="40% - 강조색3 25 7" xfId="8308" xr:uid="{00000000-0005-0000-0000-000084150000}"/>
    <cellStyle name="40% - 강조색3 25 8" xfId="8309" xr:uid="{00000000-0005-0000-0000-000085150000}"/>
    <cellStyle name="40% - 강조색3 25 9" xfId="8310" xr:uid="{00000000-0005-0000-0000-000086150000}"/>
    <cellStyle name="40% - 강조색3 26" xfId="743" xr:uid="{00000000-0005-0000-0000-000087150000}"/>
    <cellStyle name="40% - 강조색3 26 10" xfId="8312" xr:uid="{00000000-0005-0000-0000-000088150000}"/>
    <cellStyle name="40% - 강조색3 26 11" xfId="8313" xr:uid="{00000000-0005-0000-0000-000089150000}"/>
    <cellStyle name="40% - 강조색3 26 12" xfId="8314" xr:uid="{00000000-0005-0000-0000-00008A150000}"/>
    <cellStyle name="40% - 강조색3 26 13" xfId="8315" xr:uid="{00000000-0005-0000-0000-00008B150000}"/>
    <cellStyle name="40% - 강조색3 26 14" xfId="8316" xr:uid="{00000000-0005-0000-0000-00008C150000}"/>
    <cellStyle name="40% - 강조색3 26 15" xfId="8311" xr:uid="{00000000-0005-0000-0000-00008D150000}"/>
    <cellStyle name="40% - 강조색3 26 16" xfId="27809" xr:uid="{00000000-0005-0000-0000-00008E150000}"/>
    <cellStyle name="40% - 강조색3 26 2" xfId="744" xr:uid="{00000000-0005-0000-0000-00008F150000}"/>
    <cellStyle name="40% - 강조색3 26 2 2" xfId="8317" xr:uid="{00000000-0005-0000-0000-000090150000}"/>
    <cellStyle name="40% - 강조색3 26 3" xfId="8318" xr:uid="{00000000-0005-0000-0000-000091150000}"/>
    <cellStyle name="40% - 강조색3 26 4" xfId="8319" xr:uid="{00000000-0005-0000-0000-000092150000}"/>
    <cellStyle name="40% - 강조색3 26 5" xfId="8320" xr:uid="{00000000-0005-0000-0000-000093150000}"/>
    <cellStyle name="40% - 강조색3 26 6" xfId="8321" xr:uid="{00000000-0005-0000-0000-000094150000}"/>
    <cellStyle name="40% - 강조색3 26 7" xfId="8322" xr:uid="{00000000-0005-0000-0000-000095150000}"/>
    <cellStyle name="40% - 강조색3 26 8" xfId="8323" xr:uid="{00000000-0005-0000-0000-000096150000}"/>
    <cellStyle name="40% - 강조색3 26 9" xfId="8324" xr:uid="{00000000-0005-0000-0000-000097150000}"/>
    <cellStyle name="40% - 강조색3 27" xfId="745" xr:uid="{00000000-0005-0000-0000-000098150000}"/>
    <cellStyle name="40% - 강조색3 27 10" xfId="8326" xr:uid="{00000000-0005-0000-0000-000099150000}"/>
    <cellStyle name="40% - 강조색3 27 11" xfId="8327" xr:uid="{00000000-0005-0000-0000-00009A150000}"/>
    <cellStyle name="40% - 강조색3 27 12" xfId="8328" xr:uid="{00000000-0005-0000-0000-00009B150000}"/>
    <cellStyle name="40% - 강조색3 27 13" xfId="8329" xr:uid="{00000000-0005-0000-0000-00009C150000}"/>
    <cellStyle name="40% - 강조색3 27 14" xfId="8330" xr:uid="{00000000-0005-0000-0000-00009D150000}"/>
    <cellStyle name="40% - 강조색3 27 15" xfId="8325" xr:uid="{00000000-0005-0000-0000-00009E150000}"/>
    <cellStyle name="40% - 강조색3 27 16" xfId="27808" xr:uid="{00000000-0005-0000-0000-00009F150000}"/>
    <cellStyle name="40% - 강조색3 27 2" xfId="746" xr:uid="{00000000-0005-0000-0000-0000A0150000}"/>
    <cellStyle name="40% - 강조색3 27 2 2" xfId="8331" xr:uid="{00000000-0005-0000-0000-0000A1150000}"/>
    <cellStyle name="40% - 강조색3 27 3" xfId="8332" xr:uid="{00000000-0005-0000-0000-0000A2150000}"/>
    <cellStyle name="40% - 강조색3 27 4" xfId="8333" xr:uid="{00000000-0005-0000-0000-0000A3150000}"/>
    <cellStyle name="40% - 강조색3 27 5" xfId="8334" xr:uid="{00000000-0005-0000-0000-0000A4150000}"/>
    <cellStyle name="40% - 강조색3 27 6" xfId="8335" xr:uid="{00000000-0005-0000-0000-0000A5150000}"/>
    <cellStyle name="40% - 강조색3 27 7" xfId="8336" xr:uid="{00000000-0005-0000-0000-0000A6150000}"/>
    <cellStyle name="40% - 강조색3 27 8" xfId="8337" xr:uid="{00000000-0005-0000-0000-0000A7150000}"/>
    <cellStyle name="40% - 강조색3 27 9" xfId="8338" xr:uid="{00000000-0005-0000-0000-0000A8150000}"/>
    <cellStyle name="40% - 강조색3 28" xfId="747" xr:uid="{00000000-0005-0000-0000-0000A9150000}"/>
    <cellStyle name="40% - 강조색3 28 10" xfId="8340" xr:uid="{00000000-0005-0000-0000-0000AA150000}"/>
    <cellStyle name="40% - 강조색3 28 11" xfId="8341" xr:uid="{00000000-0005-0000-0000-0000AB150000}"/>
    <cellStyle name="40% - 강조색3 28 12" xfId="8342" xr:uid="{00000000-0005-0000-0000-0000AC150000}"/>
    <cellStyle name="40% - 강조색3 28 13" xfId="8343" xr:uid="{00000000-0005-0000-0000-0000AD150000}"/>
    <cellStyle name="40% - 강조색3 28 14" xfId="8344" xr:uid="{00000000-0005-0000-0000-0000AE150000}"/>
    <cellStyle name="40% - 강조색3 28 15" xfId="8339" xr:uid="{00000000-0005-0000-0000-0000AF150000}"/>
    <cellStyle name="40% - 강조색3 28 16" xfId="27807" xr:uid="{00000000-0005-0000-0000-0000B0150000}"/>
    <cellStyle name="40% - 강조색3 28 2" xfId="748" xr:uid="{00000000-0005-0000-0000-0000B1150000}"/>
    <cellStyle name="40% - 강조색3 28 2 2" xfId="8345" xr:uid="{00000000-0005-0000-0000-0000B2150000}"/>
    <cellStyle name="40% - 강조색3 28 3" xfId="8346" xr:uid="{00000000-0005-0000-0000-0000B3150000}"/>
    <cellStyle name="40% - 강조색3 28 4" xfId="8347" xr:uid="{00000000-0005-0000-0000-0000B4150000}"/>
    <cellStyle name="40% - 강조색3 28 5" xfId="8348" xr:uid="{00000000-0005-0000-0000-0000B5150000}"/>
    <cellStyle name="40% - 강조색3 28 6" xfId="8349" xr:uid="{00000000-0005-0000-0000-0000B6150000}"/>
    <cellStyle name="40% - 강조색3 28 7" xfId="8350" xr:uid="{00000000-0005-0000-0000-0000B7150000}"/>
    <cellStyle name="40% - 강조색3 28 8" xfId="8351" xr:uid="{00000000-0005-0000-0000-0000B8150000}"/>
    <cellStyle name="40% - 강조색3 28 9" xfId="8352" xr:uid="{00000000-0005-0000-0000-0000B9150000}"/>
    <cellStyle name="40% - 강조색3 29" xfId="749" xr:uid="{00000000-0005-0000-0000-0000BA150000}"/>
    <cellStyle name="40% - 강조색3 29 10" xfId="8354" xr:uid="{00000000-0005-0000-0000-0000BB150000}"/>
    <cellStyle name="40% - 강조색3 29 11" xfId="8355" xr:uid="{00000000-0005-0000-0000-0000BC150000}"/>
    <cellStyle name="40% - 강조색3 29 12" xfId="8356" xr:uid="{00000000-0005-0000-0000-0000BD150000}"/>
    <cellStyle name="40% - 강조색3 29 13" xfId="8357" xr:uid="{00000000-0005-0000-0000-0000BE150000}"/>
    <cellStyle name="40% - 강조색3 29 14" xfId="8358" xr:uid="{00000000-0005-0000-0000-0000BF150000}"/>
    <cellStyle name="40% - 강조색3 29 15" xfId="8353" xr:uid="{00000000-0005-0000-0000-0000C0150000}"/>
    <cellStyle name="40% - 강조색3 29 16" xfId="27806" xr:uid="{00000000-0005-0000-0000-0000C1150000}"/>
    <cellStyle name="40% - 강조색3 29 2" xfId="750" xr:uid="{00000000-0005-0000-0000-0000C2150000}"/>
    <cellStyle name="40% - 강조색3 29 2 2" xfId="8359" xr:uid="{00000000-0005-0000-0000-0000C3150000}"/>
    <cellStyle name="40% - 강조색3 29 3" xfId="8360" xr:uid="{00000000-0005-0000-0000-0000C4150000}"/>
    <cellStyle name="40% - 강조색3 29 4" xfId="8361" xr:uid="{00000000-0005-0000-0000-0000C5150000}"/>
    <cellStyle name="40% - 강조색3 29 5" xfId="8362" xr:uid="{00000000-0005-0000-0000-0000C6150000}"/>
    <cellStyle name="40% - 강조색3 29 6" xfId="8363" xr:uid="{00000000-0005-0000-0000-0000C7150000}"/>
    <cellStyle name="40% - 강조색3 29 7" xfId="8364" xr:uid="{00000000-0005-0000-0000-0000C8150000}"/>
    <cellStyle name="40% - 강조색3 29 8" xfId="8365" xr:uid="{00000000-0005-0000-0000-0000C9150000}"/>
    <cellStyle name="40% - 강조색3 29 9" xfId="8366" xr:uid="{00000000-0005-0000-0000-0000CA150000}"/>
    <cellStyle name="40% - 강조색3 3" xfId="751" xr:uid="{00000000-0005-0000-0000-0000CB150000}"/>
    <cellStyle name="40% - 강조색3 3 10" xfId="8368" xr:uid="{00000000-0005-0000-0000-0000CC150000}"/>
    <cellStyle name="40% - 강조색3 3 11" xfId="8369" xr:uid="{00000000-0005-0000-0000-0000CD150000}"/>
    <cellStyle name="40% - 강조색3 3 12" xfId="8370" xr:uid="{00000000-0005-0000-0000-0000CE150000}"/>
    <cellStyle name="40% - 강조색3 3 13" xfId="8371" xr:uid="{00000000-0005-0000-0000-0000CF150000}"/>
    <cellStyle name="40% - 강조색3 3 14" xfId="8372" xr:uid="{00000000-0005-0000-0000-0000D0150000}"/>
    <cellStyle name="40% - 강조색3 3 15" xfId="8367" xr:uid="{00000000-0005-0000-0000-0000D1150000}"/>
    <cellStyle name="40% - 강조색3 3 16" xfId="27805" xr:uid="{00000000-0005-0000-0000-0000D2150000}"/>
    <cellStyle name="40% - 강조색3 3 17" xfId="28197" xr:uid="{00000000-0005-0000-0000-0000D3150000}"/>
    <cellStyle name="40% - 강조색3 3 2" xfId="752" xr:uid="{00000000-0005-0000-0000-0000D4150000}"/>
    <cellStyle name="40% - 강조색3 3 2 2" xfId="8373" xr:uid="{00000000-0005-0000-0000-0000D5150000}"/>
    <cellStyle name="40% - 강조색3 3 3" xfId="8374" xr:uid="{00000000-0005-0000-0000-0000D6150000}"/>
    <cellStyle name="40% - 강조색3 3 4" xfId="8375" xr:uid="{00000000-0005-0000-0000-0000D7150000}"/>
    <cellStyle name="40% - 강조색3 3 5" xfId="8376" xr:uid="{00000000-0005-0000-0000-0000D8150000}"/>
    <cellStyle name="40% - 강조색3 3 6" xfId="8377" xr:uid="{00000000-0005-0000-0000-0000D9150000}"/>
    <cellStyle name="40% - 강조색3 3 7" xfId="8378" xr:uid="{00000000-0005-0000-0000-0000DA150000}"/>
    <cellStyle name="40% - 강조색3 3 8" xfId="8379" xr:uid="{00000000-0005-0000-0000-0000DB150000}"/>
    <cellStyle name="40% - 강조색3 3 9" xfId="8380" xr:uid="{00000000-0005-0000-0000-0000DC150000}"/>
    <cellStyle name="40% - 강조색3 30" xfId="753" xr:uid="{00000000-0005-0000-0000-0000DD150000}"/>
    <cellStyle name="40% - 강조색3 30 10" xfId="8382" xr:uid="{00000000-0005-0000-0000-0000DE150000}"/>
    <cellStyle name="40% - 강조색3 30 11" xfId="8383" xr:uid="{00000000-0005-0000-0000-0000DF150000}"/>
    <cellStyle name="40% - 강조색3 30 12" xfId="8384" xr:uid="{00000000-0005-0000-0000-0000E0150000}"/>
    <cellStyle name="40% - 강조색3 30 13" xfId="8385" xr:uid="{00000000-0005-0000-0000-0000E1150000}"/>
    <cellStyle name="40% - 강조색3 30 14" xfId="8386" xr:uid="{00000000-0005-0000-0000-0000E2150000}"/>
    <cellStyle name="40% - 강조색3 30 15" xfId="8381" xr:uid="{00000000-0005-0000-0000-0000E3150000}"/>
    <cellStyle name="40% - 강조색3 30 16" xfId="27804" xr:uid="{00000000-0005-0000-0000-0000E4150000}"/>
    <cellStyle name="40% - 강조색3 30 2" xfId="754" xr:uid="{00000000-0005-0000-0000-0000E5150000}"/>
    <cellStyle name="40% - 강조색3 30 2 2" xfId="8387" xr:uid="{00000000-0005-0000-0000-0000E6150000}"/>
    <cellStyle name="40% - 강조색3 30 3" xfId="8388" xr:uid="{00000000-0005-0000-0000-0000E7150000}"/>
    <cellStyle name="40% - 강조색3 30 4" xfId="8389" xr:uid="{00000000-0005-0000-0000-0000E8150000}"/>
    <cellStyle name="40% - 강조색3 30 5" xfId="8390" xr:uid="{00000000-0005-0000-0000-0000E9150000}"/>
    <cellStyle name="40% - 강조색3 30 6" xfId="8391" xr:uid="{00000000-0005-0000-0000-0000EA150000}"/>
    <cellStyle name="40% - 강조색3 30 7" xfId="8392" xr:uid="{00000000-0005-0000-0000-0000EB150000}"/>
    <cellStyle name="40% - 강조색3 30 8" xfId="8393" xr:uid="{00000000-0005-0000-0000-0000EC150000}"/>
    <cellStyle name="40% - 강조색3 30 9" xfId="8394" xr:uid="{00000000-0005-0000-0000-0000ED150000}"/>
    <cellStyle name="40% - 강조색3 31" xfId="755" xr:uid="{00000000-0005-0000-0000-0000EE150000}"/>
    <cellStyle name="40% - 강조색3 31 10" xfId="8396" xr:uid="{00000000-0005-0000-0000-0000EF150000}"/>
    <cellStyle name="40% - 강조색3 31 11" xfId="8397" xr:uid="{00000000-0005-0000-0000-0000F0150000}"/>
    <cellStyle name="40% - 강조색3 31 12" xfId="8398" xr:uid="{00000000-0005-0000-0000-0000F1150000}"/>
    <cellStyle name="40% - 강조색3 31 13" xfId="8399" xr:uid="{00000000-0005-0000-0000-0000F2150000}"/>
    <cellStyle name="40% - 강조색3 31 14" xfId="8400" xr:uid="{00000000-0005-0000-0000-0000F3150000}"/>
    <cellStyle name="40% - 강조색3 31 15" xfId="8395" xr:uid="{00000000-0005-0000-0000-0000F4150000}"/>
    <cellStyle name="40% - 강조색3 31 16" xfId="27803" xr:uid="{00000000-0005-0000-0000-0000F5150000}"/>
    <cellStyle name="40% - 강조색3 31 2" xfId="756" xr:uid="{00000000-0005-0000-0000-0000F6150000}"/>
    <cellStyle name="40% - 강조색3 31 2 2" xfId="8401" xr:uid="{00000000-0005-0000-0000-0000F7150000}"/>
    <cellStyle name="40% - 강조색3 31 3" xfId="8402" xr:uid="{00000000-0005-0000-0000-0000F8150000}"/>
    <cellStyle name="40% - 강조색3 31 4" xfId="8403" xr:uid="{00000000-0005-0000-0000-0000F9150000}"/>
    <cellStyle name="40% - 강조색3 31 5" xfId="8404" xr:uid="{00000000-0005-0000-0000-0000FA150000}"/>
    <cellStyle name="40% - 강조색3 31 6" xfId="8405" xr:uid="{00000000-0005-0000-0000-0000FB150000}"/>
    <cellStyle name="40% - 강조색3 31 7" xfId="8406" xr:uid="{00000000-0005-0000-0000-0000FC150000}"/>
    <cellStyle name="40% - 강조색3 31 8" xfId="8407" xr:uid="{00000000-0005-0000-0000-0000FD150000}"/>
    <cellStyle name="40% - 강조색3 31 9" xfId="8408" xr:uid="{00000000-0005-0000-0000-0000FE150000}"/>
    <cellStyle name="40% - 강조색3 32" xfId="757" xr:uid="{00000000-0005-0000-0000-0000FF150000}"/>
    <cellStyle name="40% - 강조색3 32 10" xfId="8410" xr:uid="{00000000-0005-0000-0000-000000160000}"/>
    <cellStyle name="40% - 강조색3 32 11" xfId="8411" xr:uid="{00000000-0005-0000-0000-000001160000}"/>
    <cellStyle name="40% - 강조색3 32 12" xfId="8412" xr:uid="{00000000-0005-0000-0000-000002160000}"/>
    <cellStyle name="40% - 강조색3 32 13" xfId="8413" xr:uid="{00000000-0005-0000-0000-000003160000}"/>
    <cellStyle name="40% - 강조색3 32 14" xfId="8414" xr:uid="{00000000-0005-0000-0000-000004160000}"/>
    <cellStyle name="40% - 강조색3 32 15" xfId="8409" xr:uid="{00000000-0005-0000-0000-000005160000}"/>
    <cellStyle name="40% - 강조색3 32 16" xfId="27802" xr:uid="{00000000-0005-0000-0000-000006160000}"/>
    <cellStyle name="40% - 강조색3 32 2" xfId="758" xr:uid="{00000000-0005-0000-0000-000007160000}"/>
    <cellStyle name="40% - 강조색3 32 2 2" xfId="8415" xr:uid="{00000000-0005-0000-0000-000008160000}"/>
    <cellStyle name="40% - 강조색3 32 3" xfId="8416" xr:uid="{00000000-0005-0000-0000-000009160000}"/>
    <cellStyle name="40% - 강조색3 32 4" xfId="8417" xr:uid="{00000000-0005-0000-0000-00000A160000}"/>
    <cellStyle name="40% - 강조색3 32 5" xfId="8418" xr:uid="{00000000-0005-0000-0000-00000B160000}"/>
    <cellStyle name="40% - 강조색3 32 6" xfId="8419" xr:uid="{00000000-0005-0000-0000-00000C160000}"/>
    <cellStyle name="40% - 강조색3 32 7" xfId="8420" xr:uid="{00000000-0005-0000-0000-00000D160000}"/>
    <cellStyle name="40% - 강조색3 32 8" xfId="8421" xr:uid="{00000000-0005-0000-0000-00000E160000}"/>
    <cellStyle name="40% - 강조색3 32 9" xfId="8422" xr:uid="{00000000-0005-0000-0000-00000F160000}"/>
    <cellStyle name="40% - 강조색3 33" xfId="759" xr:uid="{00000000-0005-0000-0000-000010160000}"/>
    <cellStyle name="40% - 강조색3 33 10" xfId="8424" xr:uid="{00000000-0005-0000-0000-000011160000}"/>
    <cellStyle name="40% - 강조색3 33 11" xfId="8425" xr:uid="{00000000-0005-0000-0000-000012160000}"/>
    <cellStyle name="40% - 강조색3 33 12" xfId="8426" xr:uid="{00000000-0005-0000-0000-000013160000}"/>
    <cellStyle name="40% - 강조색3 33 13" xfId="8427" xr:uid="{00000000-0005-0000-0000-000014160000}"/>
    <cellStyle name="40% - 강조색3 33 14" xfId="8428" xr:uid="{00000000-0005-0000-0000-000015160000}"/>
    <cellStyle name="40% - 강조색3 33 15" xfId="8423" xr:uid="{00000000-0005-0000-0000-000016160000}"/>
    <cellStyle name="40% - 강조색3 33 16" xfId="27801" xr:uid="{00000000-0005-0000-0000-000017160000}"/>
    <cellStyle name="40% - 강조색3 33 2" xfId="760" xr:uid="{00000000-0005-0000-0000-000018160000}"/>
    <cellStyle name="40% - 강조색3 33 2 2" xfId="8429" xr:uid="{00000000-0005-0000-0000-000019160000}"/>
    <cellStyle name="40% - 강조색3 33 3" xfId="8430" xr:uid="{00000000-0005-0000-0000-00001A160000}"/>
    <cellStyle name="40% - 강조색3 33 4" xfId="8431" xr:uid="{00000000-0005-0000-0000-00001B160000}"/>
    <cellStyle name="40% - 강조색3 33 5" xfId="8432" xr:uid="{00000000-0005-0000-0000-00001C160000}"/>
    <cellStyle name="40% - 강조색3 33 6" xfId="8433" xr:uid="{00000000-0005-0000-0000-00001D160000}"/>
    <cellStyle name="40% - 강조색3 33 7" xfId="8434" xr:uid="{00000000-0005-0000-0000-00001E160000}"/>
    <cellStyle name="40% - 강조색3 33 8" xfId="8435" xr:uid="{00000000-0005-0000-0000-00001F160000}"/>
    <cellStyle name="40% - 강조색3 33 9" xfId="8436" xr:uid="{00000000-0005-0000-0000-000020160000}"/>
    <cellStyle name="40% - 강조색3 34" xfId="761" xr:uid="{00000000-0005-0000-0000-000021160000}"/>
    <cellStyle name="40% - 강조색3 34 10" xfId="8438" xr:uid="{00000000-0005-0000-0000-000022160000}"/>
    <cellStyle name="40% - 강조색3 34 11" xfId="8439" xr:uid="{00000000-0005-0000-0000-000023160000}"/>
    <cellStyle name="40% - 강조색3 34 12" xfId="8440" xr:uid="{00000000-0005-0000-0000-000024160000}"/>
    <cellStyle name="40% - 강조색3 34 13" xfId="8441" xr:uid="{00000000-0005-0000-0000-000025160000}"/>
    <cellStyle name="40% - 강조색3 34 14" xfId="8442" xr:uid="{00000000-0005-0000-0000-000026160000}"/>
    <cellStyle name="40% - 강조색3 34 15" xfId="8437" xr:uid="{00000000-0005-0000-0000-000027160000}"/>
    <cellStyle name="40% - 강조색3 34 16" xfId="27800" xr:uid="{00000000-0005-0000-0000-000028160000}"/>
    <cellStyle name="40% - 강조색3 34 2" xfId="762" xr:uid="{00000000-0005-0000-0000-000029160000}"/>
    <cellStyle name="40% - 강조색3 34 2 2" xfId="8443" xr:uid="{00000000-0005-0000-0000-00002A160000}"/>
    <cellStyle name="40% - 강조색3 34 3" xfId="8444" xr:uid="{00000000-0005-0000-0000-00002B160000}"/>
    <cellStyle name="40% - 강조색3 34 4" xfId="8445" xr:uid="{00000000-0005-0000-0000-00002C160000}"/>
    <cellStyle name="40% - 강조색3 34 5" xfId="8446" xr:uid="{00000000-0005-0000-0000-00002D160000}"/>
    <cellStyle name="40% - 강조색3 34 6" xfId="8447" xr:uid="{00000000-0005-0000-0000-00002E160000}"/>
    <cellStyle name="40% - 강조색3 34 7" xfId="8448" xr:uid="{00000000-0005-0000-0000-00002F160000}"/>
    <cellStyle name="40% - 강조색3 34 8" xfId="8449" xr:uid="{00000000-0005-0000-0000-000030160000}"/>
    <cellStyle name="40% - 강조색3 34 9" xfId="8450" xr:uid="{00000000-0005-0000-0000-000031160000}"/>
    <cellStyle name="40% - 강조색3 35" xfId="763" xr:uid="{00000000-0005-0000-0000-000032160000}"/>
    <cellStyle name="40% - 강조색3 35 10" xfId="8452" xr:uid="{00000000-0005-0000-0000-000033160000}"/>
    <cellStyle name="40% - 강조색3 35 11" xfId="8453" xr:uid="{00000000-0005-0000-0000-000034160000}"/>
    <cellStyle name="40% - 강조색3 35 12" xfId="8454" xr:uid="{00000000-0005-0000-0000-000035160000}"/>
    <cellStyle name="40% - 강조색3 35 13" xfId="8455" xr:uid="{00000000-0005-0000-0000-000036160000}"/>
    <cellStyle name="40% - 강조색3 35 14" xfId="8456" xr:uid="{00000000-0005-0000-0000-000037160000}"/>
    <cellStyle name="40% - 강조색3 35 15" xfId="8451" xr:uid="{00000000-0005-0000-0000-000038160000}"/>
    <cellStyle name="40% - 강조색3 35 16" xfId="27799" xr:uid="{00000000-0005-0000-0000-000039160000}"/>
    <cellStyle name="40% - 강조색3 35 2" xfId="764" xr:uid="{00000000-0005-0000-0000-00003A160000}"/>
    <cellStyle name="40% - 강조색3 35 2 2" xfId="8457" xr:uid="{00000000-0005-0000-0000-00003B160000}"/>
    <cellStyle name="40% - 강조색3 35 3" xfId="8458" xr:uid="{00000000-0005-0000-0000-00003C160000}"/>
    <cellStyle name="40% - 강조색3 35 4" xfId="8459" xr:uid="{00000000-0005-0000-0000-00003D160000}"/>
    <cellStyle name="40% - 강조색3 35 5" xfId="8460" xr:uid="{00000000-0005-0000-0000-00003E160000}"/>
    <cellStyle name="40% - 강조색3 35 6" xfId="8461" xr:uid="{00000000-0005-0000-0000-00003F160000}"/>
    <cellStyle name="40% - 강조색3 35 7" xfId="8462" xr:uid="{00000000-0005-0000-0000-000040160000}"/>
    <cellStyle name="40% - 강조색3 35 8" xfId="8463" xr:uid="{00000000-0005-0000-0000-000041160000}"/>
    <cellStyle name="40% - 강조색3 35 9" xfId="8464" xr:uid="{00000000-0005-0000-0000-000042160000}"/>
    <cellStyle name="40% - 강조색3 36" xfId="765" xr:uid="{00000000-0005-0000-0000-000043160000}"/>
    <cellStyle name="40% - 강조색3 36 10" xfId="8466" xr:uid="{00000000-0005-0000-0000-000044160000}"/>
    <cellStyle name="40% - 강조색3 36 11" xfId="8467" xr:uid="{00000000-0005-0000-0000-000045160000}"/>
    <cellStyle name="40% - 강조색3 36 12" xfId="8468" xr:uid="{00000000-0005-0000-0000-000046160000}"/>
    <cellStyle name="40% - 강조색3 36 13" xfId="8469" xr:uid="{00000000-0005-0000-0000-000047160000}"/>
    <cellStyle name="40% - 강조색3 36 14" xfId="8470" xr:uid="{00000000-0005-0000-0000-000048160000}"/>
    <cellStyle name="40% - 강조색3 36 15" xfId="8465" xr:uid="{00000000-0005-0000-0000-000049160000}"/>
    <cellStyle name="40% - 강조색3 36 16" xfId="27798" xr:uid="{00000000-0005-0000-0000-00004A160000}"/>
    <cellStyle name="40% - 강조색3 36 2" xfId="766" xr:uid="{00000000-0005-0000-0000-00004B160000}"/>
    <cellStyle name="40% - 강조색3 36 2 2" xfId="8471" xr:uid="{00000000-0005-0000-0000-00004C160000}"/>
    <cellStyle name="40% - 강조색3 36 3" xfId="8472" xr:uid="{00000000-0005-0000-0000-00004D160000}"/>
    <cellStyle name="40% - 강조색3 36 4" xfId="8473" xr:uid="{00000000-0005-0000-0000-00004E160000}"/>
    <cellStyle name="40% - 강조색3 36 5" xfId="8474" xr:uid="{00000000-0005-0000-0000-00004F160000}"/>
    <cellStyle name="40% - 강조색3 36 6" xfId="8475" xr:uid="{00000000-0005-0000-0000-000050160000}"/>
    <cellStyle name="40% - 강조색3 36 7" xfId="8476" xr:uid="{00000000-0005-0000-0000-000051160000}"/>
    <cellStyle name="40% - 강조색3 36 8" xfId="8477" xr:uid="{00000000-0005-0000-0000-000052160000}"/>
    <cellStyle name="40% - 강조색3 36 9" xfId="8478" xr:uid="{00000000-0005-0000-0000-000053160000}"/>
    <cellStyle name="40% - 강조색3 37" xfId="767" xr:uid="{00000000-0005-0000-0000-000054160000}"/>
    <cellStyle name="40% - 강조색3 37 10" xfId="8480" xr:uid="{00000000-0005-0000-0000-000055160000}"/>
    <cellStyle name="40% - 강조색3 37 11" xfId="8481" xr:uid="{00000000-0005-0000-0000-000056160000}"/>
    <cellStyle name="40% - 강조색3 37 12" xfId="8482" xr:uid="{00000000-0005-0000-0000-000057160000}"/>
    <cellStyle name="40% - 강조색3 37 13" xfId="8483" xr:uid="{00000000-0005-0000-0000-000058160000}"/>
    <cellStyle name="40% - 강조색3 37 14" xfId="8484" xr:uid="{00000000-0005-0000-0000-000059160000}"/>
    <cellStyle name="40% - 강조색3 37 15" xfId="8479" xr:uid="{00000000-0005-0000-0000-00005A160000}"/>
    <cellStyle name="40% - 강조색3 37 16" xfId="27797" xr:uid="{00000000-0005-0000-0000-00005B160000}"/>
    <cellStyle name="40% - 강조색3 37 2" xfId="768" xr:uid="{00000000-0005-0000-0000-00005C160000}"/>
    <cellStyle name="40% - 강조색3 37 2 2" xfId="8485" xr:uid="{00000000-0005-0000-0000-00005D160000}"/>
    <cellStyle name="40% - 강조색3 37 3" xfId="8486" xr:uid="{00000000-0005-0000-0000-00005E160000}"/>
    <cellStyle name="40% - 강조색3 37 4" xfId="8487" xr:uid="{00000000-0005-0000-0000-00005F160000}"/>
    <cellStyle name="40% - 강조색3 37 5" xfId="8488" xr:uid="{00000000-0005-0000-0000-000060160000}"/>
    <cellStyle name="40% - 강조색3 37 6" xfId="8489" xr:uid="{00000000-0005-0000-0000-000061160000}"/>
    <cellStyle name="40% - 강조색3 37 7" xfId="8490" xr:uid="{00000000-0005-0000-0000-000062160000}"/>
    <cellStyle name="40% - 강조색3 37 8" xfId="8491" xr:uid="{00000000-0005-0000-0000-000063160000}"/>
    <cellStyle name="40% - 강조색3 37 9" xfId="8492" xr:uid="{00000000-0005-0000-0000-000064160000}"/>
    <cellStyle name="40% - 강조색3 38" xfId="769" xr:uid="{00000000-0005-0000-0000-000065160000}"/>
    <cellStyle name="40% - 강조색3 38 10" xfId="8494" xr:uid="{00000000-0005-0000-0000-000066160000}"/>
    <cellStyle name="40% - 강조색3 38 11" xfId="8495" xr:uid="{00000000-0005-0000-0000-000067160000}"/>
    <cellStyle name="40% - 강조색3 38 12" xfId="8496" xr:uid="{00000000-0005-0000-0000-000068160000}"/>
    <cellStyle name="40% - 강조색3 38 13" xfId="8497" xr:uid="{00000000-0005-0000-0000-000069160000}"/>
    <cellStyle name="40% - 강조색3 38 14" xfId="8498" xr:uid="{00000000-0005-0000-0000-00006A160000}"/>
    <cellStyle name="40% - 강조색3 38 15" xfId="8493" xr:uid="{00000000-0005-0000-0000-00006B160000}"/>
    <cellStyle name="40% - 강조색3 38 16" xfId="27796" xr:uid="{00000000-0005-0000-0000-00006C160000}"/>
    <cellStyle name="40% - 강조색3 38 2" xfId="770" xr:uid="{00000000-0005-0000-0000-00006D160000}"/>
    <cellStyle name="40% - 강조색3 38 2 2" xfId="8499" xr:uid="{00000000-0005-0000-0000-00006E160000}"/>
    <cellStyle name="40% - 강조색3 38 3" xfId="8500" xr:uid="{00000000-0005-0000-0000-00006F160000}"/>
    <cellStyle name="40% - 강조색3 38 4" xfId="8501" xr:uid="{00000000-0005-0000-0000-000070160000}"/>
    <cellStyle name="40% - 강조색3 38 5" xfId="8502" xr:uid="{00000000-0005-0000-0000-000071160000}"/>
    <cellStyle name="40% - 강조색3 38 6" xfId="8503" xr:uid="{00000000-0005-0000-0000-000072160000}"/>
    <cellStyle name="40% - 강조색3 38 7" xfId="8504" xr:uid="{00000000-0005-0000-0000-000073160000}"/>
    <cellStyle name="40% - 강조색3 38 8" xfId="8505" xr:uid="{00000000-0005-0000-0000-000074160000}"/>
    <cellStyle name="40% - 강조색3 38 9" xfId="8506" xr:uid="{00000000-0005-0000-0000-000075160000}"/>
    <cellStyle name="40% - 강조색3 39" xfId="771" xr:uid="{00000000-0005-0000-0000-000076160000}"/>
    <cellStyle name="40% - 강조색3 39 10" xfId="8508" xr:uid="{00000000-0005-0000-0000-000077160000}"/>
    <cellStyle name="40% - 강조색3 39 11" xfId="8509" xr:uid="{00000000-0005-0000-0000-000078160000}"/>
    <cellStyle name="40% - 강조색3 39 12" xfId="8510" xr:uid="{00000000-0005-0000-0000-000079160000}"/>
    <cellStyle name="40% - 강조색3 39 13" xfId="8511" xr:uid="{00000000-0005-0000-0000-00007A160000}"/>
    <cellStyle name="40% - 강조색3 39 14" xfId="8512" xr:uid="{00000000-0005-0000-0000-00007B160000}"/>
    <cellStyle name="40% - 강조색3 39 15" xfId="8507" xr:uid="{00000000-0005-0000-0000-00007C160000}"/>
    <cellStyle name="40% - 강조색3 39 16" xfId="27795" xr:uid="{00000000-0005-0000-0000-00007D160000}"/>
    <cellStyle name="40% - 강조색3 39 2" xfId="772" xr:uid="{00000000-0005-0000-0000-00007E160000}"/>
    <cellStyle name="40% - 강조색3 39 2 2" xfId="8513" xr:uid="{00000000-0005-0000-0000-00007F160000}"/>
    <cellStyle name="40% - 강조색3 39 3" xfId="8514" xr:uid="{00000000-0005-0000-0000-000080160000}"/>
    <cellStyle name="40% - 강조색3 39 4" xfId="8515" xr:uid="{00000000-0005-0000-0000-000081160000}"/>
    <cellStyle name="40% - 강조색3 39 5" xfId="8516" xr:uid="{00000000-0005-0000-0000-000082160000}"/>
    <cellStyle name="40% - 강조색3 39 6" xfId="8517" xr:uid="{00000000-0005-0000-0000-000083160000}"/>
    <cellStyle name="40% - 강조색3 39 7" xfId="8518" xr:uid="{00000000-0005-0000-0000-000084160000}"/>
    <cellStyle name="40% - 강조색3 39 8" xfId="8519" xr:uid="{00000000-0005-0000-0000-000085160000}"/>
    <cellStyle name="40% - 강조색3 39 9" xfId="8520" xr:uid="{00000000-0005-0000-0000-000086160000}"/>
    <cellStyle name="40% - 강조색3 4" xfId="773" xr:uid="{00000000-0005-0000-0000-000087160000}"/>
    <cellStyle name="40% - 강조색3 4 10" xfId="8522" xr:uid="{00000000-0005-0000-0000-000088160000}"/>
    <cellStyle name="40% - 강조색3 4 11" xfId="8523" xr:uid="{00000000-0005-0000-0000-000089160000}"/>
    <cellStyle name="40% - 강조색3 4 12" xfId="8524" xr:uid="{00000000-0005-0000-0000-00008A160000}"/>
    <cellStyle name="40% - 강조색3 4 13" xfId="8525" xr:uid="{00000000-0005-0000-0000-00008B160000}"/>
    <cellStyle name="40% - 강조색3 4 14" xfId="8526" xr:uid="{00000000-0005-0000-0000-00008C160000}"/>
    <cellStyle name="40% - 강조색3 4 15" xfId="8521" xr:uid="{00000000-0005-0000-0000-00008D160000}"/>
    <cellStyle name="40% - 강조색3 4 16" xfId="27794" xr:uid="{00000000-0005-0000-0000-00008E160000}"/>
    <cellStyle name="40% - 강조색3 4 17" xfId="27859" xr:uid="{00000000-0005-0000-0000-00008F160000}"/>
    <cellStyle name="40% - 강조색3 4 2" xfId="774" xr:uid="{00000000-0005-0000-0000-000090160000}"/>
    <cellStyle name="40% - 강조색3 4 2 2" xfId="8527" xr:uid="{00000000-0005-0000-0000-000091160000}"/>
    <cellStyle name="40% - 강조색3 4 3" xfId="8528" xr:uid="{00000000-0005-0000-0000-000092160000}"/>
    <cellStyle name="40% - 강조색3 4 4" xfId="8529" xr:uid="{00000000-0005-0000-0000-000093160000}"/>
    <cellStyle name="40% - 강조색3 4 5" xfId="8530" xr:uid="{00000000-0005-0000-0000-000094160000}"/>
    <cellStyle name="40% - 강조색3 4 6" xfId="8531" xr:uid="{00000000-0005-0000-0000-000095160000}"/>
    <cellStyle name="40% - 강조색3 4 7" xfId="8532" xr:uid="{00000000-0005-0000-0000-000096160000}"/>
    <cellStyle name="40% - 강조색3 4 8" xfId="8533" xr:uid="{00000000-0005-0000-0000-000097160000}"/>
    <cellStyle name="40% - 강조색3 4 9" xfId="8534" xr:uid="{00000000-0005-0000-0000-000098160000}"/>
    <cellStyle name="40% - 강조색3 40" xfId="775" xr:uid="{00000000-0005-0000-0000-000099160000}"/>
    <cellStyle name="40% - 강조색3 40 10" xfId="8536" xr:uid="{00000000-0005-0000-0000-00009A160000}"/>
    <cellStyle name="40% - 강조색3 40 11" xfId="8537" xr:uid="{00000000-0005-0000-0000-00009B160000}"/>
    <cellStyle name="40% - 강조색3 40 12" xfId="8538" xr:uid="{00000000-0005-0000-0000-00009C160000}"/>
    <cellStyle name="40% - 강조색3 40 13" xfId="8539" xr:uid="{00000000-0005-0000-0000-00009D160000}"/>
    <cellStyle name="40% - 강조색3 40 14" xfId="8540" xr:uid="{00000000-0005-0000-0000-00009E160000}"/>
    <cellStyle name="40% - 강조색3 40 15" xfId="8535" xr:uid="{00000000-0005-0000-0000-00009F160000}"/>
    <cellStyle name="40% - 강조색3 40 16" xfId="27793" xr:uid="{00000000-0005-0000-0000-0000A0160000}"/>
    <cellStyle name="40% - 강조색3 40 2" xfId="776" xr:uid="{00000000-0005-0000-0000-0000A1160000}"/>
    <cellStyle name="40% - 강조색3 40 2 2" xfId="8541" xr:uid="{00000000-0005-0000-0000-0000A2160000}"/>
    <cellStyle name="40% - 강조색3 40 3" xfId="8542" xr:uid="{00000000-0005-0000-0000-0000A3160000}"/>
    <cellStyle name="40% - 강조색3 40 4" xfId="8543" xr:uid="{00000000-0005-0000-0000-0000A4160000}"/>
    <cellStyle name="40% - 강조색3 40 5" xfId="8544" xr:uid="{00000000-0005-0000-0000-0000A5160000}"/>
    <cellStyle name="40% - 강조색3 40 6" xfId="8545" xr:uid="{00000000-0005-0000-0000-0000A6160000}"/>
    <cellStyle name="40% - 강조색3 40 7" xfId="8546" xr:uid="{00000000-0005-0000-0000-0000A7160000}"/>
    <cellStyle name="40% - 강조색3 40 8" xfId="8547" xr:uid="{00000000-0005-0000-0000-0000A8160000}"/>
    <cellStyle name="40% - 강조색3 40 9" xfId="8548" xr:uid="{00000000-0005-0000-0000-0000A9160000}"/>
    <cellStyle name="40% - 강조색3 41" xfId="777" xr:uid="{00000000-0005-0000-0000-0000AA160000}"/>
    <cellStyle name="40% - 강조색3 41 10" xfId="8550" xr:uid="{00000000-0005-0000-0000-0000AB160000}"/>
    <cellStyle name="40% - 강조색3 41 11" xfId="8551" xr:uid="{00000000-0005-0000-0000-0000AC160000}"/>
    <cellStyle name="40% - 강조색3 41 12" xfId="8552" xr:uid="{00000000-0005-0000-0000-0000AD160000}"/>
    <cellStyle name="40% - 강조색3 41 13" xfId="8553" xr:uid="{00000000-0005-0000-0000-0000AE160000}"/>
    <cellStyle name="40% - 강조색3 41 14" xfId="8554" xr:uid="{00000000-0005-0000-0000-0000AF160000}"/>
    <cellStyle name="40% - 강조색3 41 15" xfId="8549" xr:uid="{00000000-0005-0000-0000-0000B0160000}"/>
    <cellStyle name="40% - 강조색3 41 16" xfId="27792" xr:uid="{00000000-0005-0000-0000-0000B1160000}"/>
    <cellStyle name="40% - 강조색3 41 2" xfId="778" xr:uid="{00000000-0005-0000-0000-0000B2160000}"/>
    <cellStyle name="40% - 강조색3 41 2 2" xfId="8555" xr:uid="{00000000-0005-0000-0000-0000B3160000}"/>
    <cellStyle name="40% - 강조색3 41 3" xfId="8556" xr:uid="{00000000-0005-0000-0000-0000B4160000}"/>
    <cellStyle name="40% - 강조색3 41 4" xfId="8557" xr:uid="{00000000-0005-0000-0000-0000B5160000}"/>
    <cellStyle name="40% - 강조색3 41 5" xfId="8558" xr:uid="{00000000-0005-0000-0000-0000B6160000}"/>
    <cellStyle name="40% - 강조색3 41 6" xfId="8559" xr:uid="{00000000-0005-0000-0000-0000B7160000}"/>
    <cellStyle name="40% - 강조색3 41 7" xfId="8560" xr:uid="{00000000-0005-0000-0000-0000B8160000}"/>
    <cellStyle name="40% - 강조색3 41 8" xfId="8561" xr:uid="{00000000-0005-0000-0000-0000B9160000}"/>
    <cellStyle name="40% - 강조색3 41 9" xfId="8562" xr:uid="{00000000-0005-0000-0000-0000BA160000}"/>
    <cellStyle name="40% - 강조색3 42" xfId="779" xr:uid="{00000000-0005-0000-0000-0000BB160000}"/>
    <cellStyle name="40% - 강조색3 42 10" xfId="8564" xr:uid="{00000000-0005-0000-0000-0000BC160000}"/>
    <cellStyle name="40% - 강조색3 42 11" xfId="8565" xr:uid="{00000000-0005-0000-0000-0000BD160000}"/>
    <cellStyle name="40% - 강조색3 42 12" xfId="8566" xr:uid="{00000000-0005-0000-0000-0000BE160000}"/>
    <cellStyle name="40% - 강조색3 42 13" xfId="8567" xr:uid="{00000000-0005-0000-0000-0000BF160000}"/>
    <cellStyle name="40% - 강조색3 42 14" xfId="8568" xr:uid="{00000000-0005-0000-0000-0000C0160000}"/>
    <cellStyle name="40% - 강조색3 42 15" xfId="8563" xr:uid="{00000000-0005-0000-0000-0000C1160000}"/>
    <cellStyle name="40% - 강조색3 42 16" xfId="27791" xr:uid="{00000000-0005-0000-0000-0000C2160000}"/>
    <cellStyle name="40% - 강조색3 42 2" xfId="780" xr:uid="{00000000-0005-0000-0000-0000C3160000}"/>
    <cellStyle name="40% - 강조색3 42 2 2" xfId="8569" xr:uid="{00000000-0005-0000-0000-0000C4160000}"/>
    <cellStyle name="40% - 강조색3 42 3" xfId="8570" xr:uid="{00000000-0005-0000-0000-0000C5160000}"/>
    <cellStyle name="40% - 강조색3 42 4" xfId="8571" xr:uid="{00000000-0005-0000-0000-0000C6160000}"/>
    <cellStyle name="40% - 강조색3 42 5" xfId="8572" xr:uid="{00000000-0005-0000-0000-0000C7160000}"/>
    <cellStyle name="40% - 강조색3 42 6" xfId="8573" xr:uid="{00000000-0005-0000-0000-0000C8160000}"/>
    <cellStyle name="40% - 강조색3 42 7" xfId="8574" xr:uid="{00000000-0005-0000-0000-0000C9160000}"/>
    <cellStyle name="40% - 강조색3 42 8" xfId="8575" xr:uid="{00000000-0005-0000-0000-0000CA160000}"/>
    <cellStyle name="40% - 강조색3 42 9" xfId="8576" xr:uid="{00000000-0005-0000-0000-0000CB160000}"/>
    <cellStyle name="40% - 강조색3 43" xfId="781" xr:uid="{00000000-0005-0000-0000-0000CC160000}"/>
    <cellStyle name="40% - 강조색3 43 10" xfId="8578" xr:uid="{00000000-0005-0000-0000-0000CD160000}"/>
    <cellStyle name="40% - 강조색3 43 11" xfId="8579" xr:uid="{00000000-0005-0000-0000-0000CE160000}"/>
    <cellStyle name="40% - 강조색3 43 12" xfId="8580" xr:uid="{00000000-0005-0000-0000-0000CF160000}"/>
    <cellStyle name="40% - 강조색3 43 13" xfId="8581" xr:uid="{00000000-0005-0000-0000-0000D0160000}"/>
    <cellStyle name="40% - 강조색3 43 14" xfId="8582" xr:uid="{00000000-0005-0000-0000-0000D1160000}"/>
    <cellStyle name="40% - 강조색3 43 15" xfId="8577" xr:uid="{00000000-0005-0000-0000-0000D2160000}"/>
    <cellStyle name="40% - 강조색3 43 16" xfId="27790" xr:uid="{00000000-0005-0000-0000-0000D3160000}"/>
    <cellStyle name="40% - 강조색3 43 2" xfId="782" xr:uid="{00000000-0005-0000-0000-0000D4160000}"/>
    <cellStyle name="40% - 강조색3 43 2 2" xfId="8583" xr:uid="{00000000-0005-0000-0000-0000D5160000}"/>
    <cellStyle name="40% - 강조색3 43 3" xfId="8584" xr:uid="{00000000-0005-0000-0000-0000D6160000}"/>
    <cellStyle name="40% - 강조색3 43 4" xfId="8585" xr:uid="{00000000-0005-0000-0000-0000D7160000}"/>
    <cellStyle name="40% - 강조색3 43 5" xfId="8586" xr:uid="{00000000-0005-0000-0000-0000D8160000}"/>
    <cellStyle name="40% - 강조색3 43 6" xfId="8587" xr:uid="{00000000-0005-0000-0000-0000D9160000}"/>
    <cellStyle name="40% - 강조색3 43 7" xfId="8588" xr:uid="{00000000-0005-0000-0000-0000DA160000}"/>
    <cellStyle name="40% - 강조색3 43 8" xfId="8589" xr:uid="{00000000-0005-0000-0000-0000DB160000}"/>
    <cellStyle name="40% - 강조색3 43 9" xfId="8590" xr:uid="{00000000-0005-0000-0000-0000DC160000}"/>
    <cellStyle name="40% - 강조색3 44" xfId="783" xr:uid="{00000000-0005-0000-0000-0000DD160000}"/>
    <cellStyle name="40% - 강조색3 44 2" xfId="8591" xr:uid="{00000000-0005-0000-0000-0000DE160000}"/>
    <cellStyle name="40% - 강조색3 44 3" xfId="27789" xr:uid="{00000000-0005-0000-0000-0000DF160000}"/>
    <cellStyle name="40% - 강조색3 45" xfId="784" xr:uid="{00000000-0005-0000-0000-0000E0160000}"/>
    <cellStyle name="40% - 강조색3 45 2" xfId="8592" xr:uid="{00000000-0005-0000-0000-0000E1160000}"/>
    <cellStyle name="40% - 강조색3 45 3" xfId="27788" xr:uid="{00000000-0005-0000-0000-0000E2160000}"/>
    <cellStyle name="40% - 강조색3 46" xfId="708" xr:uid="{00000000-0005-0000-0000-0000E3160000}"/>
    <cellStyle name="40% - 강조색3 47" xfId="8072" xr:uid="{00000000-0005-0000-0000-0000E4160000}"/>
    <cellStyle name="40% - 강조색3 48" xfId="27827" xr:uid="{00000000-0005-0000-0000-0000E5160000}"/>
    <cellStyle name="40% - 강조색3 5" xfId="785" xr:uid="{00000000-0005-0000-0000-0000E6160000}"/>
    <cellStyle name="40% - 강조색3 5 10" xfId="8594" xr:uid="{00000000-0005-0000-0000-0000E7160000}"/>
    <cellStyle name="40% - 강조색3 5 11" xfId="8595" xr:uid="{00000000-0005-0000-0000-0000E8160000}"/>
    <cellStyle name="40% - 강조색3 5 12" xfId="8596" xr:uid="{00000000-0005-0000-0000-0000E9160000}"/>
    <cellStyle name="40% - 강조색3 5 13" xfId="8597" xr:uid="{00000000-0005-0000-0000-0000EA160000}"/>
    <cellStyle name="40% - 강조색3 5 14" xfId="8598" xr:uid="{00000000-0005-0000-0000-0000EB160000}"/>
    <cellStyle name="40% - 강조색3 5 15" xfId="8593" xr:uid="{00000000-0005-0000-0000-0000EC160000}"/>
    <cellStyle name="40% - 강조색3 5 16" xfId="27787" xr:uid="{00000000-0005-0000-0000-0000ED160000}"/>
    <cellStyle name="40% - 강조색3 5 2" xfId="786" xr:uid="{00000000-0005-0000-0000-0000EE160000}"/>
    <cellStyle name="40% - 강조색3 5 2 2" xfId="8599" xr:uid="{00000000-0005-0000-0000-0000EF160000}"/>
    <cellStyle name="40% - 강조색3 5 3" xfId="8600" xr:uid="{00000000-0005-0000-0000-0000F0160000}"/>
    <cellStyle name="40% - 강조색3 5 4" xfId="8601" xr:uid="{00000000-0005-0000-0000-0000F1160000}"/>
    <cellStyle name="40% - 강조색3 5 5" xfId="8602" xr:uid="{00000000-0005-0000-0000-0000F2160000}"/>
    <cellStyle name="40% - 강조색3 5 6" xfId="8603" xr:uid="{00000000-0005-0000-0000-0000F3160000}"/>
    <cellStyle name="40% - 강조색3 5 7" xfId="8604" xr:uid="{00000000-0005-0000-0000-0000F4160000}"/>
    <cellStyle name="40% - 강조색3 5 8" xfId="8605" xr:uid="{00000000-0005-0000-0000-0000F5160000}"/>
    <cellStyle name="40% - 강조색3 5 9" xfId="8606" xr:uid="{00000000-0005-0000-0000-0000F6160000}"/>
    <cellStyle name="40% - 강조색3 6" xfId="787" xr:uid="{00000000-0005-0000-0000-0000F7160000}"/>
    <cellStyle name="40% - 강조색3 6 10" xfId="8608" xr:uid="{00000000-0005-0000-0000-0000F8160000}"/>
    <cellStyle name="40% - 강조색3 6 11" xfId="8609" xr:uid="{00000000-0005-0000-0000-0000F9160000}"/>
    <cellStyle name="40% - 강조색3 6 12" xfId="8610" xr:uid="{00000000-0005-0000-0000-0000FA160000}"/>
    <cellStyle name="40% - 강조색3 6 13" xfId="8611" xr:uid="{00000000-0005-0000-0000-0000FB160000}"/>
    <cellStyle name="40% - 강조색3 6 14" xfId="8612" xr:uid="{00000000-0005-0000-0000-0000FC160000}"/>
    <cellStyle name="40% - 강조색3 6 15" xfId="8607" xr:uid="{00000000-0005-0000-0000-0000FD160000}"/>
    <cellStyle name="40% - 강조색3 6 16" xfId="27786" xr:uid="{00000000-0005-0000-0000-0000FE160000}"/>
    <cellStyle name="40% - 강조색3 6 2" xfId="788" xr:uid="{00000000-0005-0000-0000-0000FF160000}"/>
    <cellStyle name="40% - 강조색3 6 2 2" xfId="8613" xr:uid="{00000000-0005-0000-0000-000000170000}"/>
    <cellStyle name="40% - 강조색3 6 3" xfId="8614" xr:uid="{00000000-0005-0000-0000-000001170000}"/>
    <cellStyle name="40% - 강조색3 6 4" xfId="8615" xr:uid="{00000000-0005-0000-0000-000002170000}"/>
    <cellStyle name="40% - 강조색3 6 5" xfId="8616" xr:uid="{00000000-0005-0000-0000-000003170000}"/>
    <cellStyle name="40% - 강조색3 6 6" xfId="8617" xr:uid="{00000000-0005-0000-0000-000004170000}"/>
    <cellStyle name="40% - 강조색3 6 7" xfId="8618" xr:uid="{00000000-0005-0000-0000-000005170000}"/>
    <cellStyle name="40% - 강조색3 6 8" xfId="8619" xr:uid="{00000000-0005-0000-0000-000006170000}"/>
    <cellStyle name="40% - 강조색3 6 9" xfId="8620" xr:uid="{00000000-0005-0000-0000-000007170000}"/>
    <cellStyle name="40% - 강조색3 7" xfId="789" xr:uid="{00000000-0005-0000-0000-000008170000}"/>
    <cellStyle name="40% - 강조색3 7 10" xfId="8622" xr:uid="{00000000-0005-0000-0000-000009170000}"/>
    <cellStyle name="40% - 강조색3 7 11" xfId="8623" xr:uid="{00000000-0005-0000-0000-00000A170000}"/>
    <cellStyle name="40% - 강조색3 7 12" xfId="8624" xr:uid="{00000000-0005-0000-0000-00000B170000}"/>
    <cellStyle name="40% - 강조색3 7 13" xfId="8625" xr:uid="{00000000-0005-0000-0000-00000C170000}"/>
    <cellStyle name="40% - 강조색3 7 14" xfId="8626" xr:uid="{00000000-0005-0000-0000-00000D170000}"/>
    <cellStyle name="40% - 강조색3 7 15" xfId="8621" xr:uid="{00000000-0005-0000-0000-00000E170000}"/>
    <cellStyle name="40% - 강조색3 7 16" xfId="27785" xr:uid="{00000000-0005-0000-0000-00000F170000}"/>
    <cellStyle name="40% - 강조색3 7 2" xfId="790" xr:uid="{00000000-0005-0000-0000-000010170000}"/>
    <cellStyle name="40% - 강조색3 7 2 2" xfId="8627" xr:uid="{00000000-0005-0000-0000-000011170000}"/>
    <cellStyle name="40% - 강조색3 7 3" xfId="8628" xr:uid="{00000000-0005-0000-0000-000012170000}"/>
    <cellStyle name="40% - 강조색3 7 4" xfId="8629" xr:uid="{00000000-0005-0000-0000-000013170000}"/>
    <cellStyle name="40% - 강조색3 7 5" xfId="8630" xr:uid="{00000000-0005-0000-0000-000014170000}"/>
    <cellStyle name="40% - 강조색3 7 6" xfId="8631" xr:uid="{00000000-0005-0000-0000-000015170000}"/>
    <cellStyle name="40% - 강조색3 7 7" xfId="8632" xr:uid="{00000000-0005-0000-0000-000016170000}"/>
    <cellStyle name="40% - 강조색3 7 8" xfId="8633" xr:uid="{00000000-0005-0000-0000-000017170000}"/>
    <cellStyle name="40% - 강조색3 7 9" xfId="8634" xr:uid="{00000000-0005-0000-0000-000018170000}"/>
    <cellStyle name="40% - 강조색3 8" xfId="791" xr:uid="{00000000-0005-0000-0000-000019170000}"/>
    <cellStyle name="40% - 강조색3 8 10" xfId="8636" xr:uid="{00000000-0005-0000-0000-00001A170000}"/>
    <cellStyle name="40% - 강조색3 8 11" xfId="8637" xr:uid="{00000000-0005-0000-0000-00001B170000}"/>
    <cellStyle name="40% - 강조색3 8 12" xfId="8638" xr:uid="{00000000-0005-0000-0000-00001C170000}"/>
    <cellStyle name="40% - 강조색3 8 13" xfId="8639" xr:uid="{00000000-0005-0000-0000-00001D170000}"/>
    <cellStyle name="40% - 강조색3 8 14" xfId="8640" xr:uid="{00000000-0005-0000-0000-00001E170000}"/>
    <cellStyle name="40% - 강조색3 8 15" xfId="8635" xr:uid="{00000000-0005-0000-0000-00001F170000}"/>
    <cellStyle name="40% - 강조색3 8 16" xfId="27784" xr:uid="{00000000-0005-0000-0000-000020170000}"/>
    <cellStyle name="40% - 강조색3 8 2" xfId="792" xr:uid="{00000000-0005-0000-0000-000021170000}"/>
    <cellStyle name="40% - 강조색3 8 2 2" xfId="8641" xr:uid="{00000000-0005-0000-0000-000022170000}"/>
    <cellStyle name="40% - 강조색3 8 3" xfId="8642" xr:uid="{00000000-0005-0000-0000-000023170000}"/>
    <cellStyle name="40% - 강조색3 8 4" xfId="8643" xr:uid="{00000000-0005-0000-0000-000024170000}"/>
    <cellStyle name="40% - 강조색3 8 5" xfId="8644" xr:uid="{00000000-0005-0000-0000-000025170000}"/>
    <cellStyle name="40% - 강조색3 8 6" xfId="8645" xr:uid="{00000000-0005-0000-0000-000026170000}"/>
    <cellStyle name="40% - 강조색3 8 7" xfId="8646" xr:uid="{00000000-0005-0000-0000-000027170000}"/>
    <cellStyle name="40% - 강조색3 8 8" xfId="8647" xr:uid="{00000000-0005-0000-0000-000028170000}"/>
    <cellStyle name="40% - 강조색3 8 9" xfId="8648" xr:uid="{00000000-0005-0000-0000-000029170000}"/>
    <cellStyle name="40% - 강조색3 9" xfId="793" xr:uid="{00000000-0005-0000-0000-00002A170000}"/>
    <cellStyle name="40% - 강조색3 9 10" xfId="8650" xr:uid="{00000000-0005-0000-0000-00002B170000}"/>
    <cellStyle name="40% - 강조색3 9 11" xfId="8651" xr:uid="{00000000-0005-0000-0000-00002C170000}"/>
    <cellStyle name="40% - 강조색3 9 12" xfId="8652" xr:uid="{00000000-0005-0000-0000-00002D170000}"/>
    <cellStyle name="40% - 강조색3 9 13" xfId="8653" xr:uid="{00000000-0005-0000-0000-00002E170000}"/>
    <cellStyle name="40% - 강조색3 9 14" xfId="8654" xr:uid="{00000000-0005-0000-0000-00002F170000}"/>
    <cellStyle name="40% - 강조색3 9 15" xfId="8649" xr:uid="{00000000-0005-0000-0000-000030170000}"/>
    <cellStyle name="40% - 강조색3 9 16" xfId="27783" xr:uid="{00000000-0005-0000-0000-000031170000}"/>
    <cellStyle name="40% - 강조색3 9 2" xfId="794" xr:uid="{00000000-0005-0000-0000-000032170000}"/>
    <cellStyle name="40% - 강조색3 9 2 2" xfId="8655" xr:uid="{00000000-0005-0000-0000-000033170000}"/>
    <cellStyle name="40% - 강조색3 9 3" xfId="8656" xr:uid="{00000000-0005-0000-0000-000034170000}"/>
    <cellStyle name="40% - 강조색3 9 4" xfId="8657" xr:uid="{00000000-0005-0000-0000-000035170000}"/>
    <cellStyle name="40% - 강조색3 9 5" xfId="8658" xr:uid="{00000000-0005-0000-0000-000036170000}"/>
    <cellStyle name="40% - 강조색3 9 6" xfId="8659" xr:uid="{00000000-0005-0000-0000-000037170000}"/>
    <cellStyle name="40% - 강조색3 9 7" xfId="8660" xr:uid="{00000000-0005-0000-0000-000038170000}"/>
    <cellStyle name="40% - 강조색3 9 8" xfId="8661" xr:uid="{00000000-0005-0000-0000-000039170000}"/>
    <cellStyle name="40% - 강조색3 9 9" xfId="8662" xr:uid="{00000000-0005-0000-0000-00003A170000}"/>
    <cellStyle name="40% - 강조색4 10" xfId="796" xr:uid="{00000000-0005-0000-0000-00003B170000}"/>
    <cellStyle name="40% - 강조색4 10 10" xfId="8665" xr:uid="{00000000-0005-0000-0000-00003C170000}"/>
    <cellStyle name="40% - 강조색4 10 11" xfId="8666" xr:uid="{00000000-0005-0000-0000-00003D170000}"/>
    <cellStyle name="40% - 강조색4 10 12" xfId="8667" xr:uid="{00000000-0005-0000-0000-00003E170000}"/>
    <cellStyle name="40% - 강조색4 10 13" xfId="8668" xr:uid="{00000000-0005-0000-0000-00003F170000}"/>
    <cellStyle name="40% - 강조색4 10 14" xfId="8669" xr:uid="{00000000-0005-0000-0000-000040170000}"/>
    <cellStyle name="40% - 강조색4 10 15" xfId="8664" xr:uid="{00000000-0005-0000-0000-000041170000}"/>
    <cellStyle name="40% - 강조색4 10 2" xfId="797" xr:uid="{00000000-0005-0000-0000-000042170000}"/>
    <cellStyle name="40% - 강조색4 10 2 2" xfId="8670" xr:uid="{00000000-0005-0000-0000-000043170000}"/>
    <cellStyle name="40% - 강조색4 10 3" xfId="8671" xr:uid="{00000000-0005-0000-0000-000044170000}"/>
    <cellStyle name="40% - 강조색4 10 4" xfId="8672" xr:uid="{00000000-0005-0000-0000-000045170000}"/>
    <cellStyle name="40% - 강조색4 10 5" xfId="8673" xr:uid="{00000000-0005-0000-0000-000046170000}"/>
    <cellStyle name="40% - 강조색4 10 6" xfId="8674" xr:uid="{00000000-0005-0000-0000-000047170000}"/>
    <cellStyle name="40% - 강조색4 10 7" xfId="8675" xr:uid="{00000000-0005-0000-0000-000048170000}"/>
    <cellStyle name="40% - 강조색4 10 8" xfId="8676" xr:uid="{00000000-0005-0000-0000-000049170000}"/>
    <cellStyle name="40% - 강조색4 10 9" xfId="8677" xr:uid="{00000000-0005-0000-0000-00004A170000}"/>
    <cellStyle name="40% - 강조색4 11" xfId="798" xr:uid="{00000000-0005-0000-0000-00004B170000}"/>
    <cellStyle name="40% - 강조색4 11 10" xfId="8679" xr:uid="{00000000-0005-0000-0000-00004C170000}"/>
    <cellStyle name="40% - 강조색4 11 11" xfId="8680" xr:uid="{00000000-0005-0000-0000-00004D170000}"/>
    <cellStyle name="40% - 강조색4 11 12" xfId="8681" xr:uid="{00000000-0005-0000-0000-00004E170000}"/>
    <cellStyle name="40% - 강조색4 11 13" xfId="8682" xr:uid="{00000000-0005-0000-0000-00004F170000}"/>
    <cellStyle name="40% - 강조색4 11 14" xfId="8683" xr:uid="{00000000-0005-0000-0000-000050170000}"/>
    <cellStyle name="40% - 강조색4 11 15" xfId="8678" xr:uid="{00000000-0005-0000-0000-000051170000}"/>
    <cellStyle name="40% - 강조색4 11 2" xfId="799" xr:uid="{00000000-0005-0000-0000-000052170000}"/>
    <cellStyle name="40% - 강조색4 11 2 2" xfId="8684" xr:uid="{00000000-0005-0000-0000-000053170000}"/>
    <cellStyle name="40% - 강조색4 11 3" xfId="8685" xr:uid="{00000000-0005-0000-0000-000054170000}"/>
    <cellStyle name="40% - 강조색4 11 4" xfId="8686" xr:uid="{00000000-0005-0000-0000-000055170000}"/>
    <cellStyle name="40% - 강조색4 11 5" xfId="8687" xr:uid="{00000000-0005-0000-0000-000056170000}"/>
    <cellStyle name="40% - 강조색4 11 6" xfId="8688" xr:uid="{00000000-0005-0000-0000-000057170000}"/>
    <cellStyle name="40% - 강조색4 11 7" xfId="8689" xr:uid="{00000000-0005-0000-0000-000058170000}"/>
    <cellStyle name="40% - 강조색4 11 8" xfId="8690" xr:uid="{00000000-0005-0000-0000-000059170000}"/>
    <cellStyle name="40% - 강조색4 11 9" xfId="8691" xr:uid="{00000000-0005-0000-0000-00005A170000}"/>
    <cellStyle name="40% - 강조색4 12" xfId="800" xr:uid="{00000000-0005-0000-0000-00005B170000}"/>
    <cellStyle name="40% - 강조색4 12 10" xfId="8693" xr:uid="{00000000-0005-0000-0000-00005C170000}"/>
    <cellStyle name="40% - 강조색4 12 11" xfId="8694" xr:uid="{00000000-0005-0000-0000-00005D170000}"/>
    <cellStyle name="40% - 강조색4 12 12" xfId="8695" xr:uid="{00000000-0005-0000-0000-00005E170000}"/>
    <cellStyle name="40% - 강조색4 12 13" xfId="8696" xr:uid="{00000000-0005-0000-0000-00005F170000}"/>
    <cellStyle name="40% - 강조색4 12 14" xfId="8697" xr:uid="{00000000-0005-0000-0000-000060170000}"/>
    <cellStyle name="40% - 강조색4 12 15" xfId="8692" xr:uid="{00000000-0005-0000-0000-000061170000}"/>
    <cellStyle name="40% - 강조색4 12 2" xfId="801" xr:uid="{00000000-0005-0000-0000-000062170000}"/>
    <cellStyle name="40% - 강조색4 12 2 2" xfId="8698" xr:uid="{00000000-0005-0000-0000-000063170000}"/>
    <cellStyle name="40% - 강조색4 12 3" xfId="8699" xr:uid="{00000000-0005-0000-0000-000064170000}"/>
    <cellStyle name="40% - 강조색4 12 4" xfId="8700" xr:uid="{00000000-0005-0000-0000-000065170000}"/>
    <cellStyle name="40% - 강조색4 12 5" xfId="8701" xr:uid="{00000000-0005-0000-0000-000066170000}"/>
    <cellStyle name="40% - 강조색4 12 6" xfId="8702" xr:uid="{00000000-0005-0000-0000-000067170000}"/>
    <cellStyle name="40% - 강조색4 12 7" xfId="8703" xr:uid="{00000000-0005-0000-0000-000068170000}"/>
    <cellStyle name="40% - 강조색4 12 8" xfId="8704" xr:uid="{00000000-0005-0000-0000-000069170000}"/>
    <cellStyle name="40% - 강조색4 12 9" xfId="8705" xr:uid="{00000000-0005-0000-0000-00006A170000}"/>
    <cellStyle name="40% - 강조색4 13" xfId="802" xr:uid="{00000000-0005-0000-0000-00006B170000}"/>
    <cellStyle name="40% - 강조색4 13 10" xfId="8707" xr:uid="{00000000-0005-0000-0000-00006C170000}"/>
    <cellStyle name="40% - 강조색4 13 11" xfId="8708" xr:uid="{00000000-0005-0000-0000-00006D170000}"/>
    <cellStyle name="40% - 강조색4 13 12" xfId="8709" xr:uid="{00000000-0005-0000-0000-00006E170000}"/>
    <cellStyle name="40% - 강조색4 13 13" xfId="8710" xr:uid="{00000000-0005-0000-0000-00006F170000}"/>
    <cellStyle name="40% - 강조색4 13 14" xfId="8711" xr:uid="{00000000-0005-0000-0000-000070170000}"/>
    <cellStyle name="40% - 강조색4 13 15" xfId="8706" xr:uid="{00000000-0005-0000-0000-000071170000}"/>
    <cellStyle name="40% - 강조색4 13 2" xfId="803" xr:uid="{00000000-0005-0000-0000-000072170000}"/>
    <cellStyle name="40% - 강조색4 13 2 2" xfId="8712" xr:uid="{00000000-0005-0000-0000-000073170000}"/>
    <cellStyle name="40% - 강조색4 13 3" xfId="8713" xr:uid="{00000000-0005-0000-0000-000074170000}"/>
    <cellStyle name="40% - 강조색4 13 4" xfId="8714" xr:uid="{00000000-0005-0000-0000-000075170000}"/>
    <cellStyle name="40% - 강조색4 13 5" xfId="8715" xr:uid="{00000000-0005-0000-0000-000076170000}"/>
    <cellStyle name="40% - 강조색4 13 6" xfId="8716" xr:uid="{00000000-0005-0000-0000-000077170000}"/>
    <cellStyle name="40% - 강조색4 13 7" xfId="8717" xr:uid="{00000000-0005-0000-0000-000078170000}"/>
    <cellStyle name="40% - 강조색4 13 8" xfId="8718" xr:uid="{00000000-0005-0000-0000-000079170000}"/>
    <cellStyle name="40% - 강조색4 13 9" xfId="8719" xr:uid="{00000000-0005-0000-0000-00007A170000}"/>
    <cellStyle name="40% - 강조색4 14" xfId="804" xr:uid="{00000000-0005-0000-0000-00007B170000}"/>
    <cellStyle name="40% - 강조색4 14 10" xfId="8721" xr:uid="{00000000-0005-0000-0000-00007C170000}"/>
    <cellStyle name="40% - 강조색4 14 11" xfId="8722" xr:uid="{00000000-0005-0000-0000-00007D170000}"/>
    <cellStyle name="40% - 강조색4 14 12" xfId="8723" xr:uid="{00000000-0005-0000-0000-00007E170000}"/>
    <cellStyle name="40% - 강조색4 14 13" xfId="8724" xr:uid="{00000000-0005-0000-0000-00007F170000}"/>
    <cellStyle name="40% - 강조색4 14 14" xfId="8725" xr:uid="{00000000-0005-0000-0000-000080170000}"/>
    <cellStyle name="40% - 강조색4 14 15" xfId="8720" xr:uid="{00000000-0005-0000-0000-000081170000}"/>
    <cellStyle name="40% - 강조색4 14 2" xfId="805" xr:uid="{00000000-0005-0000-0000-000082170000}"/>
    <cellStyle name="40% - 강조색4 14 2 2" xfId="8726" xr:uid="{00000000-0005-0000-0000-000083170000}"/>
    <cellStyle name="40% - 강조색4 14 3" xfId="8727" xr:uid="{00000000-0005-0000-0000-000084170000}"/>
    <cellStyle name="40% - 강조색4 14 4" xfId="8728" xr:uid="{00000000-0005-0000-0000-000085170000}"/>
    <cellStyle name="40% - 강조색4 14 5" xfId="8729" xr:uid="{00000000-0005-0000-0000-000086170000}"/>
    <cellStyle name="40% - 강조색4 14 6" xfId="8730" xr:uid="{00000000-0005-0000-0000-000087170000}"/>
    <cellStyle name="40% - 강조색4 14 7" xfId="8731" xr:uid="{00000000-0005-0000-0000-000088170000}"/>
    <cellStyle name="40% - 강조색4 14 8" xfId="8732" xr:uid="{00000000-0005-0000-0000-000089170000}"/>
    <cellStyle name="40% - 강조색4 14 9" xfId="8733" xr:uid="{00000000-0005-0000-0000-00008A170000}"/>
    <cellStyle name="40% - 강조색4 15" xfId="806" xr:uid="{00000000-0005-0000-0000-00008B170000}"/>
    <cellStyle name="40% - 강조색4 15 10" xfId="8735" xr:uid="{00000000-0005-0000-0000-00008C170000}"/>
    <cellStyle name="40% - 강조색4 15 11" xfId="8736" xr:uid="{00000000-0005-0000-0000-00008D170000}"/>
    <cellStyle name="40% - 강조색4 15 12" xfId="8737" xr:uid="{00000000-0005-0000-0000-00008E170000}"/>
    <cellStyle name="40% - 강조색4 15 13" xfId="8738" xr:uid="{00000000-0005-0000-0000-00008F170000}"/>
    <cellStyle name="40% - 강조색4 15 14" xfId="8739" xr:uid="{00000000-0005-0000-0000-000090170000}"/>
    <cellStyle name="40% - 강조색4 15 15" xfId="8734" xr:uid="{00000000-0005-0000-0000-000091170000}"/>
    <cellStyle name="40% - 강조색4 15 2" xfId="807" xr:uid="{00000000-0005-0000-0000-000092170000}"/>
    <cellStyle name="40% - 강조색4 15 2 2" xfId="8740" xr:uid="{00000000-0005-0000-0000-000093170000}"/>
    <cellStyle name="40% - 강조색4 15 3" xfId="8741" xr:uid="{00000000-0005-0000-0000-000094170000}"/>
    <cellStyle name="40% - 강조색4 15 4" xfId="8742" xr:uid="{00000000-0005-0000-0000-000095170000}"/>
    <cellStyle name="40% - 강조색4 15 5" xfId="8743" xr:uid="{00000000-0005-0000-0000-000096170000}"/>
    <cellStyle name="40% - 강조색4 15 6" xfId="8744" xr:uid="{00000000-0005-0000-0000-000097170000}"/>
    <cellStyle name="40% - 강조색4 15 7" xfId="8745" xr:uid="{00000000-0005-0000-0000-000098170000}"/>
    <cellStyle name="40% - 강조색4 15 8" xfId="8746" xr:uid="{00000000-0005-0000-0000-000099170000}"/>
    <cellStyle name="40% - 강조색4 15 9" xfId="8747" xr:uid="{00000000-0005-0000-0000-00009A170000}"/>
    <cellStyle name="40% - 강조색4 16" xfId="808" xr:uid="{00000000-0005-0000-0000-00009B170000}"/>
    <cellStyle name="40% - 강조색4 16 10" xfId="8749" xr:uid="{00000000-0005-0000-0000-00009C170000}"/>
    <cellStyle name="40% - 강조색4 16 11" xfId="8750" xr:uid="{00000000-0005-0000-0000-00009D170000}"/>
    <cellStyle name="40% - 강조색4 16 12" xfId="8751" xr:uid="{00000000-0005-0000-0000-00009E170000}"/>
    <cellStyle name="40% - 강조색4 16 13" xfId="8752" xr:uid="{00000000-0005-0000-0000-00009F170000}"/>
    <cellStyle name="40% - 강조색4 16 14" xfId="8753" xr:uid="{00000000-0005-0000-0000-0000A0170000}"/>
    <cellStyle name="40% - 강조색4 16 15" xfId="8748" xr:uid="{00000000-0005-0000-0000-0000A1170000}"/>
    <cellStyle name="40% - 강조색4 16 2" xfId="809" xr:uid="{00000000-0005-0000-0000-0000A2170000}"/>
    <cellStyle name="40% - 강조색4 16 2 2" xfId="8754" xr:uid="{00000000-0005-0000-0000-0000A3170000}"/>
    <cellStyle name="40% - 강조색4 16 3" xfId="8755" xr:uid="{00000000-0005-0000-0000-0000A4170000}"/>
    <cellStyle name="40% - 강조색4 16 4" xfId="8756" xr:uid="{00000000-0005-0000-0000-0000A5170000}"/>
    <cellStyle name="40% - 강조색4 16 5" xfId="8757" xr:uid="{00000000-0005-0000-0000-0000A6170000}"/>
    <cellStyle name="40% - 강조색4 16 6" xfId="8758" xr:uid="{00000000-0005-0000-0000-0000A7170000}"/>
    <cellStyle name="40% - 강조색4 16 7" xfId="8759" xr:uid="{00000000-0005-0000-0000-0000A8170000}"/>
    <cellStyle name="40% - 강조색4 16 8" xfId="8760" xr:uid="{00000000-0005-0000-0000-0000A9170000}"/>
    <cellStyle name="40% - 강조색4 16 9" xfId="8761" xr:uid="{00000000-0005-0000-0000-0000AA170000}"/>
    <cellStyle name="40% - 강조색4 17" xfId="810" xr:uid="{00000000-0005-0000-0000-0000AB170000}"/>
    <cellStyle name="40% - 강조색4 17 10" xfId="8763" xr:uid="{00000000-0005-0000-0000-0000AC170000}"/>
    <cellStyle name="40% - 강조색4 17 11" xfId="8764" xr:uid="{00000000-0005-0000-0000-0000AD170000}"/>
    <cellStyle name="40% - 강조색4 17 12" xfId="8765" xr:uid="{00000000-0005-0000-0000-0000AE170000}"/>
    <cellStyle name="40% - 강조색4 17 13" xfId="8766" xr:uid="{00000000-0005-0000-0000-0000AF170000}"/>
    <cellStyle name="40% - 강조색4 17 14" xfId="8767" xr:uid="{00000000-0005-0000-0000-0000B0170000}"/>
    <cellStyle name="40% - 강조색4 17 15" xfId="8762" xr:uid="{00000000-0005-0000-0000-0000B1170000}"/>
    <cellStyle name="40% - 강조색4 17 2" xfId="811" xr:uid="{00000000-0005-0000-0000-0000B2170000}"/>
    <cellStyle name="40% - 강조색4 17 2 2" xfId="8768" xr:uid="{00000000-0005-0000-0000-0000B3170000}"/>
    <cellStyle name="40% - 강조색4 17 3" xfId="8769" xr:uid="{00000000-0005-0000-0000-0000B4170000}"/>
    <cellStyle name="40% - 강조색4 17 4" xfId="8770" xr:uid="{00000000-0005-0000-0000-0000B5170000}"/>
    <cellStyle name="40% - 강조색4 17 5" xfId="8771" xr:uid="{00000000-0005-0000-0000-0000B6170000}"/>
    <cellStyle name="40% - 강조색4 17 6" xfId="8772" xr:uid="{00000000-0005-0000-0000-0000B7170000}"/>
    <cellStyle name="40% - 강조색4 17 7" xfId="8773" xr:uid="{00000000-0005-0000-0000-0000B8170000}"/>
    <cellStyle name="40% - 강조색4 17 8" xfId="8774" xr:uid="{00000000-0005-0000-0000-0000B9170000}"/>
    <cellStyle name="40% - 강조색4 17 9" xfId="8775" xr:uid="{00000000-0005-0000-0000-0000BA170000}"/>
    <cellStyle name="40% - 강조색4 18" xfId="812" xr:uid="{00000000-0005-0000-0000-0000BB170000}"/>
    <cellStyle name="40% - 강조색4 18 10" xfId="8777" xr:uid="{00000000-0005-0000-0000-0000BC170000}"/>
    <cellStyle name="40% - 강조색4 18 11" xfId="8778" xr:uid="{00000000-0005-0000-0000-0000BD170000}"/>
    <cellStyle name="40% - 강조색4 18 12" xfId="8779" xr:uid="{00000000-0005-0000-0000-0000BE170000}"/>
    <cellStyle name="40% - 강조색4 18 13" xfId="8780" xr:uid="{00000000-0005-0000-0000-0000BF170000}"/>
    <cellStyle name="40% - 강조색4 18 14" xfId="8781" xr:uid="{00000000-0005-0000-0000-0000C0170000}"/>
    <cellStyle name="40% - 강조색4 18 15" xfId="8776" xr:uid="{00000000-0005-0000-0000-0000C1170000}"/>
    <cellStyle name="40% - 강조색4 18 2" xfId="813" xr:uid="{00000000-0005-0000-0000-0000C2170000}"/>
    <cellStyle name="40% - 강조색4 18 2 2" xfId="8782" xr:uid="{00000000-0005-0000-0000-0000C3170000}"/>
    <cellStyle name="40% - 강조색4 18 3" xfId="8783" xr:uid="{00000000-0005-0000-0000-0000C4170000}"/>
    <cellStyle name="40% - 강조색4 18 4" xfId="8784" xr:uid="{00000000-0005-0000-0000-0000C5170000}"/>
    <cellStyle name="40% - 강조색4 18 5" xfId="8785" xr:uid="{00000000-0005-0000-0000-0000C6170000}"/>
    <cellStyle name="40% - 강조색4 18 6" xfId="8786" xr:uid="{00000000-0005-0000-0000-0000C7170000}"/>
    <cellStyle name="40% - 강조색4 18 7" xfId="8787" xr:uid="{00000000-0005-0000-0000-0000C8170000}"/>
    <cellStyle name="40% - 강조색4 18 8" xfId="8788" xr:uid="{00000000-0005-0000-0000-0000C9170000}"/>
    <cellStyle name="40% - 강조색4 18 9" xfId="8789" xr:uid="{00000000-0005-0000-0000-0000CA170000}"/>
    <cellStyle name="40% - 강조색4 19" xfId="814" xr:uid="{00000000-0005-0000-0000-0000CB170000}"/>
    <cellStyle name="40% - 강조색4 19 10" xfId="8791" xr:uid="{00000000-0005-0000-0000-0000CC170000}"/>
    <cellStyle name="40% - 강조색4 19 11" xfId="8792" xr:uid="{00000000-0005-0000-0000-0000CD170000}"/>
    <cellStyle name="40% - 강조색4 19 12" xfId="8793" xr:uid="{00000000-0005-0000-0000-0000CE170000}"/>
    <cellStyle name="40% - 강조색4 19 13" xfId="8794" xr:uid="{00000000-0005-0000-0000-0000CF170000}"/>
    <cellStyle name="40% - 강조색4 19 14" xfId="8795" xr:uid="{00000000-0005-0000-0000-0000D0170000}"/>
    <cellStyle name="40% - 강조색4 19 15" xfId="8790" xr:uid="{00000000-0005-0000-0000-0000D1170000}"/>
    <cellStyle name="40% - 강조색4 19 2" xfId="815" xr:uid="{00000000-0005-0000-0000-0000D2170000}"/>
    <cellStyle name="40% - 강조색4 19 2 2" xfId="8796" xr:uid="{00000000-0005-0000-0000-0000D3170000}"/>
    <cellStyle name="40% - 강조색4 19 3" xfId="8797" xr:uid="{00000000-0005-0000-0000-0000D4170000}"/>
    <cellStyle name="40% - 강조색4 19 4" xfId="8798" xr:uid="{00000000-0005-0000-0000-0000D5170000}"/>
    <cellStyle name="40% - 강조색4 19 5" xfId="8799" xr:uid="{00000000-0005-0000-0000-0000D6170000}"/>
    <cellStyle name="40% - 강조색4 19 6" xfId="8800" xr:uid="{00000000-0005-0000-0000-0000D7170000}"/>
    <cellStyle name="40% - 강조색4 19 7" xfId="8801" xr:uid="{00000000-0005-0000-0000-0000D8170000}"/>
    <cellStyle name="40% - 강조색4 19 8" xfId="8802" xr:uid="{00000000-0005-0000-0000-0000D9170000}"/>
    <cellStyle name="40% - 강조색4 19 9" xfId="8803" xr:uid="{00000000-0005-0000-0000-0000DA170000}"/>
    <cellStyle name="40% - 강조색4 2" xfId="816" xr:uid="{00000000-0005-0000-0000-0000DB170000}"/>
    <cellStyle name="40% - 강조색4 2 10" xfId="8805" xr:uid="{00000000-0005-0000-0000-0000DC170000}"/>
    <cellStyle name="40% - 강조색4 2 11" xfId="8806" xr:uid="{00000000-0005-0000-0000-0000DD170000}"/>
    <cellStyle name="40% - 강조색4 2 12" xfId="8807" xr:uid="{00000000-0005-0000-0000-0000DE170000}"/>
    <cellStyle name="40% - 강조색4 2 13" xfId="8808" xr:uid="{00000000-0005-0000-0000-0000DF170000}"/>
    <cellStyle name="40% - 강조색4 2 14" xfId="8809" xr:uid="{00000000-0005-0000-0000-0000E0170000}"/>
    <cellStyle name="40% - 강조색4 2 15" xfId="8804" xr:uid="{00000000-0005-0000-0000-0000E1170000}"/>
    <cellStyle name="40% - 강조색4 2 16" xfId="27942" xr:uid="{00000000-0005-0000-0000-0000E2170000}"/>
    <cellStyle name="40% - 강조색4 2 2" xfId="817" xr:uid="{00000000-0005-0000-0000-0000E3170000}"/>
    <cellStyle name="40% - 강조색4 2 2 2" xfId="8810" xr:uid="{00000000-0005-0000-0000-0000E4170000}"/>
    <cellStyle name="40% - 강조색4 2 3" xfId="8811" xr:uid="{00000000-0005-0000-0000-0000E5170000}"/>
    <cellStyle name="40% - 강조색4 2 4" xfId="8812" xr:uid="{00000000-0005-0000-0000-0000E6170000}"/>
    <cellStyle name="40% - 강조색4 2 5" xfId="8813" xr:uid="{00000000-0005-0000-0000-0000E7170000}"/>
    <cellStyle name="40% - 강조색4 2 6" xfId="8814" xr:uid="{00000000-0005-0000-0000-0000E8170000}"/>
    <cellStyle name="40% - 강조색4 2 7" xfId="8815" xr:uid="{00000000-0005-0000-0000-0000E9170000}"/>
    <cellStyle name="40% - 강조색4 2 8" xfId="8816" xr:uid="{00000000-0005-0000-0000-0000EA170000}"/>
    <cellStyle name="40% - 강조색4 2 9" xfId="8817" xr:uid="{00000000-0005-0000-0000-0000EB170000}"/>
    <cellStyle name="40% - 강조색4 20" xfId="818" xr:uid="{00000000-0005-0000-0000-0000EC170000}"/>
    <cellStyle name="40% - 강조색4 20 10" xfId="8819" xr:uid="{00000000-0005-0000-0000-0000ED170000}"/>
    <cellStyle name="40% - 강조색4 20 11" xfId="8820" xr:uid="{00000000-0005-0000-0000-0000EE170000}"/>
    <cellStyle name="40% - 강조색4 20 12" xfId="8821" xr:uid="{00000000-0005-0000-0000-0000EF170000}"/>
    <cellStyle name="40% - 강조색4 20 13" xfId="8822" xr:uid="{00000000-0005-0000-0000-0000F0170000}"/>
    <cellStyle name="40% - 강조색4 20 14" xfId="8823" xr:uid="{00000000-0005-0000-0000-0000F1170000}"/>
    <cellStyle name="40% - 강조색4 20 15" xfId="8818" xr:uid="{00000000-0005-0000-0000-0000F2170000}"/>
    <cellStyle name="40% - 강조색4 20 2" xfId="819" xr:uid="{00000000-0005-0000-0000-0000F3170000}"/>
    <cellStyle name="40% - 강조색4 20 2 2" xfId="8824" xr:uid="{00000000-0005-0000-0000-0000F4170000}"/>
    <cellStyle name="40% - 강조색4 20 3" xfId="8825" xr:uid="{00000000-0005-0000-0000-0000F5170000}"/>
    <cellStyle name="40% - 강조색4 20 4" xfId="8826" xr:uid="{00000000-0005-0000-0000-0000F6170000}"/>
    <cellStyle name="40% - 강조색4 20 5" xfId="8827" xr:uid="{00000000-0005-0000-0000-0000F7170000}"/>
    <cellStyle name="40% - 강조색4 20 6" xfId="8828" xr:uid="{00000000-0005-0000-0000-0000F8170000}"/>
    <cellStyle name="40% - 강조색4 20 7" xfId="8829" xr:uid="{00000000-0005-0000-0000-0000F9170000}"/>
    <cellStyle name="40% - 강조색4 20 8" xfId="8830" xr:uid="{00000000-0005-0000-0000-0000FA170000}"/>
    <cellStyle name="40% - 강조색4 20 9" xfId="8831" xr:uid="{00000000-0005-0000-0000-0000FB170000}"/>
    <cellStyle name="40% - 강조색4 21" xfId="820" xr:uid="{00000000-0005-0000-0000-0000FC170000}"/>
    <cellStyle name="40% - 강조색4 21 10" xfId="8833" xr:uid="{00000000-0005-0000-0000-0000FD170000}"/>
    <cellStyle name="40% - 강조색4 21 11" xfId="8834" xr:uid="{00000000-0005-0000-0000-0000FE170000}"/>
    <cellStyle name="40% - 강조색4 21 12" xfId="8835" xr:uid="{00000000-0005-0000-0000-0000FF170000}"/>
    <cellStyle name="40% - 강조색4 21 13" xfId="8836" xr:uid="{00000000-0005-0000-0000-000000180000}"/>
    <cellStyle name="40% - 강조색4 21 14" xfId="8837" xr:uid="{00000000-0005-0000-0000-000001180000}"/>
    <cellStyle name="40% - 강조색4 21 15" xfId="8832" xr:uid="{00000000-0005-0000-0000-000002180000}"/>
    <cellStyle name="40% - 강조색4 21 2" xfId="821" xr:uid="{00000000-0005-0000-0000-000003180000}"/>
    <cellStyle name="40% - 강조색4 21 2 2" xfId="8838" xr:uid="{00000000-0005-0000-0000-000004180000}"/>
    <cellStyle name="40% - 강조색4 21 3" xfId="8839" xr:uid="{00000000-0005-0000-0000-000005180000}"/>
    <cellStyle name="40% - 강조색4 21 4" xfId="8840" xr:uid="{00000000-0005-0000-0000-000006180000}"/>
    <cellStyle name="40% - 강조색4 21 5" xfId="8841" xr:uid="{00000000-0005-0000-0000-000007180000}"/>
    <cellStyle name="40% - 강조색4 21 6" xfId="8842" xr:uid="{00000000-0005-0000-0000-000008180000}"/>
    <cellStyle name="40% - 강조색4 21 7" xfId="8843" xr:uid="{00000000-0005-0000-0000-000009180000}"/>
    <cellStyle name="40% - 강조색4 21 8" xfId="8844" xr:uid="{00000000-0005-0000-0000-00000A180000}"/>
    <cellStyle name="40% - 강조색4 21 9" xfId="8845" xr:uid="{00000000-0005-0000-0000-00000B180000}"/>
    <cellStyle name="40% - 강조색4 22" xfId="822" xr:uid="{00000000-0005-0000-0000-00000C180000}"/>
    <cellStyle name="40% - 강조색4 22 10" xfId="8847" xr:uid="{00000000-0005-0000-0000-00000D180000}"/>
    <cellStyle name="40% - 강조색4 22 11" xfId="8848" xr:uid="{00000000-0005-0000-0000-00000E180000}"/>
    <cellStyle name="40% - 강조색4 22 12" xfId="8849" xr:uid="{00000000-0005-0000-0000-00000F180000}"/>
    <cellStyle name="40% - 강조색4 22 13" xfId="8850" xr:uid="{00000000-0005-0000-0000-000010180000}"/>
    <cellStyle name="40% - 강조색4 22 14" xfId="8851" xr:uid="{00000000-0005-0000-0000-000011180000}"/>
    <cellStyle name="40% - 강조색4 22 15" xfId="8846" xr:uid="{00000000-0005-0000-0000-000012180000}"/>
    <cellStyle name="40% - 강조색4 22 2" xfId="823" xr:uid="{00000000-0005-0000-0000-000013180000}"/>
    <cellStyle name="40% - 강조색4 22 2 2" xfId="8852" xr:uid="{00000000-0005-0000-0000-000014180000}"/>
    <cellStyle name="40% - 강조색4 22 3" xfId="8853" xr:uid="{00000000-0005-0000-0000-000015180000}"/>
    <cellStyle name="40% - 강조색4 22 4" xfId="8854" xr:uid="{00000000-0005-0000-0000-000016180000}"/>
    <cellStyle name="40% - 강조색4 22 5" xfId="8855" xr:uid="{00000000-0005-0000-0000-000017180000}"/>
    <cellStyle name="40% - 강조색4 22 6" xfId="8856" xr:uid="{00000000-0005-0000-0000-000018180000}"/>
    <cellStyle name="40% - 강조색4 22 7" xfId="8857" xr:uid="{00000000-0005-0000-0000-000019180000}"/>
    <cellStyle name="40% - 강조색4 22 8" xfId="8858" xr:uid="{00000000-0005-0000-0000-00001A180000}"/>
    <cellStyle name="40% - 강조색4 22 9" xfId="8859" xr:uid="{00000000-0005-0000-0000-00001B180000}"/>
    <cellStyle name="40% - 강조색4 23" xfId="824" xr:uid="{00000000-0005-0000-0000-00001C180000}"/>
    <cellStyle name="40% - 강조색4 23 10" xfId="8861" xr:uid="{00000000-0005-0000-0000-00001D180000}"/>
    <cellStyle name="40% - 강조색4 23 11" xfId="8862" xr:uid="{00000000-0005-0000-0000-00001E180000}"/>
    <cellStyle name="40% - 강조색4 23 12" xfId="8863" xr:uid="{00000000-0005-0000-0000-00001F180000}"/>
    <cellStyle name="40% - 강조색4 23 13" xfId="8864" xr:uid="{00000000-0005-0000-0000-000020180000}"/>
    <cellStyle name="40% - 강조색4 23 14" xfId="8865" xr:uid="{00000000-0005-0000-0000-000021180000}"/>
    <cellStyle name="40% - 강조색4 23 15" xfId="8860" xr:uid="{00000000-0005-0000-0000-000022180000}"/>
    <cellStyle name="40% - 강조색4 23 2" xfId="825" xr:uid="{00000000-0005-0000-0000-000023180000}"/>
    <cellStyle name="40% - 강조색4 23 2 2" xfId="8866" xr:uid="{00000000-0005-0000-0000-000024180000}"/>
    <cellStyle name="40% - 강조색4 23 3" xfId="8867" xr:uid="{00000000-0005-0000-0000-000025180000}"/>
    <cellStyle name="40% - 강조색4 23 4" xfId="8868" xr:uid="{00000000-0005-0000-0000-000026180000}"/>
    <cellStyle name="40% - 강조색4 23 5" xfId="8869" xr:uid="{00000000-0005-0000-0000-000027180000}"/>
    <cellStyle name="40% - 강조색4 23 6" xfId="8870" xr:uid="{00000000-0005-0000-0000-000028180000}"/>
    <cellStyle name="40% - 강조색4 23 7" xfId="8871" xr:uid="{00000000-0005-0000-0000-000029180000}"/>
    <cellStyle name="40% - 강조색4 23 8" xfId="8872" xr:uid="{00000000-0005-0000-0000-00002A180000}"/>
    <cellStyle name="40% - 강조색4 23 9" xfId="8873" xr:uid="{00000000-0005-0000-0000-00002B180000}"/>
    <cellStyle name="40% - 강조색4 24" xfId="826" xr:uid="{00000000-0005-0000-0000-00002C180000}"/>
    <cellStyle name="40% - 강조색4 24 10" xfId="8875" xr:uid="{00000000-0005-0000-0000-00002D180000}"/>
    <cellStyle name="40% - 강조색4 24 11" xfId="8876" xr:uid="{00000000-0005-0000-0000-00002E180000}"/>
    <cellStyle name="40% - 강조색4 24 12" xfId="8877" xr:uid="{00000000-0005-0000-0000-00002F180000}"/>
    <cellStyle name="40% - 강조색4 24 13" xfId="8878" xr:uid="{00000000-0005-0000-0000-000030180000}"/>
    <cellStyle name="40% - 강조색4 24 14" xfId="8879" xr:uid="{00000000-0005-0000-0000-000031180000}"/>
    <cellStyle name="40% - 강조색4 24 15" xfId="8874" xr:uid="{00000000-0005-0000-0000-000032180000}"/>
    <cellStyle name="40% - 강조색4 24 2" xfId="827" xr:uid="{00000000-0005-0000-0000-000033180000}"/>
    <cellStyle name="40% - 강조색4 24 2 2" xfId="8880" xr:uid="{00000000-0005-0000-0000-000034180000}"/>
    <cellStyle name="40% - 강조색4 24 3" xfId="8881" xr:uid="{00000000-0005-0000-0000-000035180000}"/>
    <cellStyle name="40% - 강조색4 24 4" xfId="8882" xr:uid="{00000000-0005-0000-0000-000036180000}"/>
    <cellStyle name="40% - 강조색4 24 5" xfId="8883" xr:uid="{00000000-0005-0000-0000-000037180000}"/>
    <cellStyle name="40% - 강조색4 24 6" xfId="8884" xr:uid="{00000000-0005-0000-0000-000038180000}"/>
    <cellStyle name="40% - 강조색4 24 7" xfId="8885" xr:uid="{00000000-0005-0000-0000-000039180000}"/>
    <cellStyle name="40% - 강조색4 24 8" xfId="8886" xr:uid="{00000000-0005-0000-0000-00003A180000}"/>
    <cellStyle name="40% - 강조색4 24 9" xfId="8887" xr:uid="{00000000-0005-0000-0000-00003B180000}"/>
    <cellStyle name="40% - 강조색4 25" xfId="828" xr:uid="{00000000-0005-0000-0000-00003C180000}"/>
    <cellStyle name="40% - 강조색4 25 10" xfId="8889" xr:uid="{00000000-0005-0000-0000-00003D180000}"/>
    <cellStyle name="40% - 강조색4 25 11" xfId="8890" xr:uid="{00000000-0005-0000-0000-00003E180000}"/>
    <cellStyle name="40% - 강조색4 25 12" xfId="8891" xr:uid="{00000000-0005-0000-0000-00003F180000}"/>
    <cellStyle name="40% - 강조색4 25 13" xfId="8892" xr:uid="{00000000-0005-0000-0000-000040180000}"/>
    <cellStyle name="40% - 강조색4 25 14" xfId="8893" xr:uid="{00000000-0005-0000-0000-000041180000}"/>
    <cellStyle name="40% - 강조색4 25 15" xfId="8888" xr:uid="{00000000-0005-0000-0000-000042180000}"/>
    <cellStyle name="40% - 강조색4 25 2" xfId="829" xr:uid="{00000000-0005-0000-0000-000043180000}"/>
    <cellStyle name="40% - 강조색4 25 2 2" xfId="8894" xr:uid="{00000000-0005-0000-0000-000044180000}"/>
    <cellStyle name="40% - 강조색4 25 3" xfId="8895" xr:uid="{00000000-0005-0000-0000-000045180000}"/>
    <cellStyle name="40% - 강조색4 25 4" xfId="8896" xr:uid="{00000000-0005-0000-0000-000046180000}"/>
    <cellStyle name="40% - 강조색4 25 5" xfId="8897" xr:uid="{00000000-0005-0000-0000-000047180000}"/>
    <cellStyle name="40% - 강조색4 25 6" xfId="8898" xr:uid="{00000000-0005-0000-0000-000048180000}"/>
    <cellStyle name="40% - 강조색4 25 7" xfId="8899" xr:uid="{00000000-0005-0000-0000-000049180000}"/>
    <cellStyle name="40% - 강조색4 25 8" xfId="8900" xr:uid="{00000000-0005-0000-0000-00004A180000}"/>
    <cellStyle name="40% - 강조색4 25 9" xfId="8901" xr:uid="{00000000-0005-0000-0000-00004B180000}"/>
    <cellStyle name="40% - 강조색4 26" xfId="830" xr:uid="{00000000-0005-0000-0000-00004C180000}"/>
    <cellStyle name="40% - 강조색4 26 10" xfId="8903" xr:uid="{00000000-0005-0000-0000-00004D180000}"/>
    <cellStyle name="40% - 강조색4 26 11" xfId="8904" xr:uid="{00000000-0005-0000-0000-00004E180000}"/>
    <cellStyle name="40% - 강조색4 26 12" xfId="8905" xr:uid="{00000000-0005-0000-0000-00004F180000}"/>
    <cellStyle name="40% - 강조색4 26 13" xfId="8906" xr:uid="{00000000-0005-0000-0000-000050180000}"/>
    <cellStyle name="40% - 강조색4 26 14" xfId="8907" xr:uid="{00000000-0005-0000-0000-000051180000}"/>
    <cellStyle name="40% - 강조색4 26 15" xfId="8902" xr:uid="{00000000-0005-0000-0000-000052180000}"/>
    <cellStyle name="40% - 강조색4 26 2" xfId="831" xr:uid="{00000000-0005-0000-0000-000053180000}"/>
    <cellStyle name="40% - 강조색4 26 2 2" xfId="8908" xr:uid="{00000000-0005-0000-0000-000054180000}"/>
    <cellStyle name="40% - 강조색4 26 3" xfId="8909" xr:uid="{00000000-0005-0000-0000-000055180000}"/>
    <cellStyle name="40% - 강조색4 26 4" xfId="8910" xr:uid="{00000000-0005-0000-0000-000056180000}"/>
    <cellStyle name="40% - 강조색4 26 5" xfId="8911" xr:uid="{00000000-0005-0000-0000-000057180000}"/>
    <cellStyle name="40% - 강조색4 26 6" xfId="8912" xr:uid="{00000000-0005-0000-0000-000058180000}"/>
    <cellStyle name="40% - 강조색4 26 7" xfId="8913" xr:uid="{00000000-0005-0000-0000-000059180000}"/>
    <cellStyle name="40% - 강조색4 26 8" xfId="8914" xr:uid="{00000000-0005-0000-0000-00005A180000}"/>
    <cellStyle name="40% - 강조색4 26 9" xfId="8915" xr:uid="{00000000-0005-0000-0000-00005B180000}"/>
    <cellStyle name="40% - 강조색4 27" xfId="832" xr:uid="{00000000-0005-0000-0000-00005C180000}"/>
    <cellStyle name="40% - 강조색4 27 10" xfId="8917" xr:uid="{00000000-0005-0000-0000-00005D180000}"/>
    <cellStyle name="40% - 강조색4 27 11" xfId="8918" xr:uid="{00000000-0005-0000-0000-00005E180000}"/>
    <cellStyle name="40% - 강조색4 27 12" xfId="8919" xr:uid="{00000000-0005-0000-0000-00005F180000}"/>
    <cellStyle name="40% - 강조색4 27 13" xfId="8920" xr:uid="{00000000-0005-0000-0000-000060180000}"/>
    <cellStyle name="40% - 강조색4 27 14" xfId="8921" xr:uid="{00000000-0005-0000-0000-000061180000}"/>
    <cellStyle name="40% - 강조색4 27 15" xfId="8916" xr:uid="{00000000-0005-0000-0000-000062180000}"/>
    <cellStyle name="40% - 강조색4 27 2" xfId="833" xr:uid="{00000000-0005-0000-0000-000063180000}"/>
    <cellStyle name="40% - 강조색4 27 2 2" xfId="8922" xr:uid="{00000000-0005-0000-0000-000064180000}"/>
    <cellStyle name="40% - 강조색4 27 3" xfId="8923" xr:uid="{00000000-0005-0000-0000-000065180000}"/>
    <cellStyle name="40% - 강조색4 27 4" xfId="8924" xr:uid="{00000000-0005-0000-0000-000066180000}"/>
    <cellStyle name="40% - 강조색4 27 5" xfId="8925" xr:uid="{00000000-0005-0000-0000-000067180000}"/>
    <cellStyle name="40% - 강조색4 27 6" xfId="8926" xr:uid="{00000000-0005-0000-0000-000068180000}"/>
    <cellStyle name="40% - 강조색4 27 7" xfId="8927" xr:uid="{00000000-0005-0000-0000-000069180000}"/>
    <cellStyle name="40% - 강조색4 27 8" xfId="8928" xr:uid="{00000000-0005-0000-0000-00006A180000}"/>
    <cellStyle name="40% - 강조색4 27 9" xfId="8929" xr:uid="{00000000-0005-0000-0000-00006B180000}"/>
    <cellStyle name="40% - 강조색4 28" xfId="834" xr:uid="{00000000-0005-0000-0000-00006C180000}"/>
    <cellStyle name="40% - 강조색4 28 10" xfId="8931" xr:uid="{00000000-0005-0000-0000-00006D180000}"/>
    <cellStyle name="40% - 강조색4 28 11" xfId="8932" xr:uid="{00000000-0005-0000-0000-00006E180000}"/>
    <cellStyle name="40% - 강조색4 28 12" xfId="8933" xr:uid="{00000000-0005-0000-0000-00006F180000}"/>
    <cellStyle name="40% - 강조색4 28 13" xfId="8934" xr:uid="{00000000-0005-0000-0000-000070180000}"/>
    <cellStyle name="40% - 강조색4 28 14" xfId="8935" xr:uid="{00000000-0005-0000-0000-000071180000}"/>
    <cellStyle name="40% - 강조색4 28 15" xfId="8930" xr:uid="{00000000-0005-0000-0000-000072180000}"/>
    <cellStyle name="40% - 강조색4 28 2" xfId="835" xr:uid="{00000000-0005-0000-0000-000073180000}"/>
    <cellStyle name="40% - 강조색4 28 2 2" xfId="8936" xr:uid="{00000000-0005-0000-0000-000074180000}"/>
    <cellStyle name="40% - 강조색4 28 3" xfId="8937" xr:uid="{00000000-0005-0000-0000-000075180000}"/>
    <cellStyle name="40% - 강조색4 28 4" xfId="8938" xr:uid="{00000000-0005-0000-0000-000076180000}"/>
    <cellStyle name="40% - 강조색4 28 5" xfId="8939" xr:uid="{00000000-0005-0000-0000-000077180000}"/>
    <cellStyle name="40% - 강조색4 28 6" xfId="8940" xr:uid="{00000000-0005-0000-0000-000078180000}"/>
    <cellStyle name="40% - 강조색4 28 7" xfId="8941" xr:uid="{00000000-0005-0000-0000-000079180000}"/>
    <cellStyle name="40% - 강조색4 28 8" xfId="8942" xr:uid="{00000000-0005-0000-0000-00007A180000}"/>
    <cellStyle name="40% - 강조색4 28 9" xfId="8943" xr:uid="{00000000-0005-0000-0000-00007B180000}"/>
    <cellStyle name="40% - 강조색4 29" xfId="836" xr:uid="{00000000-0005-0000-0000-00007C180000}"/>
    <cellStyle name="40% - 강조색4 29 10" xfId="8945" xr:uid="{00000000-0005-0000-0000-00007D180000}"/>
    <cellStyle name="40% - 강조색4 29 11" xfId="8946" xr:uid="{00000000-0005-0000-0000-00007E180000}"/>
    <cellStyle name="40% - 강조색4 29 12" xfId="8947" xr:uid="{00000000-0005-0000-0000-00007F180000}"/>
    <cellStyle name="40% - 강조색4 29 13" xfId="8948" xr:uid="{00000000-0005-0000-0000-000080180000}"/>
    <cellStyle name="40% - 강조색4 29 14" xfId="8949" xr:uid="{00000000-0005-0000-0000-000081180000}"/>
    <cellStyle name="40% - 강조색4 29 15" xfId="8944" xr:uid="{00000000-0005-0000-0000-000082180000}"/>
    <cellStyle name="40% - 강조색4 29 2" xfId="837" xr:uid="{00000000-0005-0000-0000-000083180000}"/>
    <cellStyle name="40% - 강조색4 29 2 2" xfId="8950" xr:uid="{00000000-0005-0000-0000-000084180000}"/>
    <cellStyle name="40% - 강조색4 29 3" xfId="8951" xr:uid="{00000000-0005-0000-0000-000085180000}"/>
    <cellStyle name="40% - 강조색4 29 4" xfId="8952" xr:uid="{00000000-0005-0000-0000-000086180000}"/>
    <cellStyle name="40% - 강조색4 29 5" xfId="8953" xr:uid="{00000000-0005-0000-0000-000087180000}"/>
    <cellStyle name="40% - 강조색4 29 6" xfId="8954" xr:uid="{00000000-0005-0000-0000-000088180000}"/>
    <cellStyle name="40% - 강조색4 29 7" xfId="8955" xr:uid="{00000000-0005-0000-0000-000089180000}"/>
    <cellStyle name="40% - 강조색4 29 8" xfId="8956" xr:uid="{00000000-0005-0000-0000-00008A180000}"/>
    <cellStyle name="40% - 강조색4 29 9" xfId="8957" xr:uid="{00000000-0005-0000-0000-00008B180000}"/>
    <cellStyle name="40% - 강조색4 3" xfId="838" xr:uid="{00000000-0005-0000-0000-00008C180000}"/>
    <cellStyle name="40% - 강조색4 3 10" xfId="8959" xr:uid="{00000000-0005-0000-0000-00008D180000}"/>
    <cellStyle name="40% - 강조색4 3 11" xfId="8960" xr:uid="{00000000-0005-0000-0000-00008E180000}"/>
    <cellStyle name="40% - 강조색4 3 12" xfId="8961" xr:uid="{00000000-0005-0000-0000-00008F180000}"/>
    <cellStyle name="40% - 강조색4 3 13" xfId="8962" xr:uid="{00000000-0005-0000-0000-000090180000}"/>
    <cellStyle name="40% - 강조색4 3 14" xfId="8963" xr:uid="{00000000-0005-0000-0000-000091180000}"/>
    <cellStyle name="40% - 강조색4 3 15" xfId="8958" xr:uid="{00000000-0005-0000-0000-000092180000}"/>
    <cellStyle name="40% - 강조색4 3 16" xfId="28198" xr:uid="{00000000-0005-0000-0000-000093180000}"/>
    <cellStyle name="40% - 강조색4 3 2" xfId="839" xr:uid="{00000000-0005-0000-0000-000094180000}"/>
    <cellStyle name="40% - 강조색4 3 2 2" xfId="8964" xr:uid="{00000000-0005-0000-0000-000095180000}"/>
    <cellStyle name="40% - 강조색4 3 3" xfId="8965" xr:uid="{00000000-0005-0000-0000-000096180000}"/>
    <cellStyle name="40% - 강조색4 3 4" xfId="8966" xr:uid="{00000000-0005-0000-0000-000097180000}"/>
    <cellStyle name="40% - 강조색4 3 5" xfId="8967" xr:uid="{00000000-0005-0000-0000-000098180000}"/>
    <cellStyle name="40% - 강조색4 3 6" xfId="8968" xr:uid="{00000000-0005-0000-0000-000099180000}"/>
    <cellStyle name="40% - 강조색4 3 7" xfId="8969" xr:uid="{00000000-0005-0000-0000-00009A180000}"/>
    <cellStyle name="40% - 강조색4 3 8" xfId="8970" xr:uid="{00000000-0005-0000-0000-00009B180000}"/>
    <cellStyle name="40% - 강조색4 3 9" xfId="8971" xr:uid="{00000000-0005-0000-0000-00009C180000}"/>
    <cellStyle name="40% - 강조색4 30" xfId="840" xr:uid="{00000000-0005-0000-0000-00009D180000}"/>
    <cellStyle name="40% - 강조색4 30 10" xfId="8973" xr:uid="{00000000-0005-0000-0000-00009E180000}"/>
    <cellStyle name="40% - 강조색4 30 11" xfId="8974" xr:uid="{00000000-0005-0000-0000-00009F180000}"/>
    <cellStyle name="40% - 강조색4 30 12" xfId="8975" xr:uid="{00000000-0005-0000-0000-0000A0180000}"/>
    <cellStyle name="40% - 강조색4 30 13" xfId="8976" xr:uid="{00000000-0005-0000-0000-0000A1180000}"/>
    <cellStyle name="40% - 강조색4 30 14" xfId="8977" xr:uid="{00000000-0005-0000-0000-0000A2180000}"/>
    <cellStyle name="40% - 강조색4 30 15" xfId="8972" xr:uid="{00000000-0005-0000-0000-0000A3180000}"/>
    <cellStyle name="40% - 강조색4 30 2" xfId="841" xr:uid="{00000000-0005-0000-0000-0000A4180000}"/>
    <cellStyle name="40% - 강조색4 30 2 2" xfId="8978" xr:uid="{00000000-0005-0000-0000-0000A5180000}"/>
    <cellStyle name="40% - 강조색4 30 3" xfId="8979" xr:uid="{00000000-0005-0000-0000-0000A6180000}"/>
    <cellStyle name="40% - 강조색4 30 4" xfId="8980" xr:uid="{00000000-0005-0000-0000-0000A7180000}"/>
    <cellStyle name="40% - 강조색4 30 5" xfId="8981" xr:uid="{00000000-0005-0000-0000-0000A8180000}"/>
    <cellStyle name="40% - 강조색4 30 6" xfId="8982" xr:uid="{00000000-0005-0000-0000-0000A9180000}"/>
    <cellStyle name="40% - 강조색4 30 7" xfId="8983" xr:uid="{00000000-0005-0000-0000-0000AA180000}"/>
    <cellStyle name="40% - 강조색4 30 8" xfId="8984" xr:uid="{00000000-0005-0000-0000-0000AB180000}"/>
    <cellStyle name="40% - 강조색4 30 9" xfId="8985" xr:uid="{00000000-0005-0000-0000-0000AC180000}"/>
    <cellStyle name="40% - 강조색4 31" xfId="842" xr:uid="{00000000-0005-0000-0000-0000AD180000}"/>
    <cellStyle name="40% - 강조색4 31 10" xfId="8987" xr:uid="{00000000-0005-0000-0000-0000AE180000}"/>
    <cellStyle name="40% - 강조색4 31 11" xfId="8988" xr:uid="{00000000-0005-0000-0000-0000AF180000}"/>
    <cellStyle name="40% - 강조색4 31 12" xfId="8989" xr:uid="{00000000-0005-0000-0000-0000B0180000}"/>
    <cellStyle name="40% - 강조색4 31 13" xfId="8990" xr:uid="{00000000-0005-0000-0000-0000B1180000}"/>
    <cellStyle name="40% - 강조색4 31 14" xfId="8991" xr:uid="{00000000-0005-0000-0000-0000B2180000}"/>
    <cellStyle name="40% - 강조색4 31 15" xfId="8986" xr:uid="{00000000-0005-0000-0000-0000B3180000}"/>
    <cellStyle name="40% - 강조색4 31 2" xfId="843" xr:uid="{00000000-0005-0000-0000-0000B4180000}"/>
    <cellStyle name="40% - 강조색4 31 2 2" xfId="8992" xr:uid="{00000000-0005-0000-0000-0000B5180000}"/>
    <cellStyle name="40% - 강조색4 31 3" xfId="8993" xr:uid="{00000000-0005-0000-0000-0000B6180000}"/>
    <cellStyle name="40% - 강조색4 31 4" xfId="8994" xr:uid="{00000000-0005-0000-0000-0000B7180000}"/>
    <cellStyle name="40% - 강조색4 31 5" xfId="8995" xr:uid="{00000000-0005-0000-0000-0000B8180000}"/>
    <cellStyle name="40% - 강조색4 31 6" xfId="8996" xr:uid="{00000000-0005-0000-0000-0000B9180000}"/>
    <cellStyle name="40% - 강조색4 31 7" xfId="8997" xr:uid="{00000000-0005-0000-0000-0000BA180000}"/>
    <cellStyle name="40% - 강조색4 31 8" xfId="8998" xr:uid="{00000000-0005-0000-0000-0000BB180000}"/>
    <cellStyle name="40% - 강조색4 31 9" xfId="8999" xr:uid="{00000000-0005-0000-0000-0000BC180000}"/>
    <cellStyle name="40% - 강조색4 32" xfId="844" xr:uid="{00000000-0005-0000-0000-0000BD180000}"/>
    <cellStyle name="40% - 강조색4 32 10" xfId="9001" xr:uid="{00000000-0005-0000-0000-0000BE180000}"/>
    <cellStyle name="40% - 강조색4 32 11" xfId="9002" xr:uid="{00000000-0005-0000-0000-0000BF180000}"/>
    <cellStyle name="40% - 강조색4 32 12" xfId="9003" xr:uid="{00000000-0005-0000-0000-0000C0180000}"/>
    <cellStyle name="40% - 강조색4 32 13" xfId="9004" xr:uid="{00000000-0005-0000-0000-0000C1180000}"/>
    <cellStyle name="40% - 강조색4 32 14" xfId="9005" xr:uid="{00000000-0005-0000-0000-0000C2180000}"/>
    <cellStyle name="40% - 강조색4 32 15" xfId="9000" xr:uid="{00000000-0005-0000-0000-0000C3180000}"/>
    <cellStyle name="40% - 강조색4 32 2" xfId="845" xr:uid="{00000000-0005-0000-0000-0000C4180000}"/>
    <cellStyle name="40% - 강조색4 32 2 2" xfId="9006" xr:uid="{00000000-0005-0000-0000-0000C5180000}"/>
    <cellStyle name="40% - 강조색4 32 3" xfId="9007" xr:uid="{00000000-0005-0000-0000-0000C6180000}"/>
    <cellStyle name="40% - 강조색4 32 4" xfId="9008" xr:uid="{00000000-0005-0000-0000-0000C7180000}"/>
    <cellStyle name="40% - 강조색4 32 5" xfId="9009" xr:uid="{00000000-0005-0000-0000-0000C8180000}"/>
    <cellStyle name="40% - 강조색4 32 6" xfId="9010" xr:uid="{00000000-0005-0000-0000-0000C9180000}"/>
    <cellStyle name="40% - 강조색4 32 7" xfId="9011" xr:uid="{00000000-0005-0000-0000-0000CA180000}"/>
    <cellStyle name="40% - 강조색4 32 8" xfId="9012" xr:uid="{00000000-0005-0000-0000-0000CB180000}"/>
    <cellStyle name="40% - 강조색4 32 9" xfId="9013" xr:uid="{00000000-0005-0000-0000-0000CC180000}"/>
    <cellStyle name="40% - 강조색4 33" xfId="846" xr:uid="{00000000-0005-0000-0000-0000CD180000}"/>
    <cellStyle name="40% - 강조색4 33 10" xfId="9015" xr:uid="{00000000-0005-0000-0000-0000CE180000}"/>
    <cellStyle name="40% - 강조색4 33 11" xfId="9016" xr:uid="{00000000-0005-0000-0000-0000CF180000}"/>
    <cellStyle name="40% - 강조색4 33 12" xfId="9017" xr:uid="{00000000-0005-0000-0000-0000D0180000}"/>
    <cellStyle name="40% - 강조색4 33 13" xfId="9018" xr:uid="{00000000-0005-0000-0000-0000D1180000}"/>
    <cellStyle name="40% - 강조색4 33 14" xfId="9019" xr:uid="{00000000-0005-0000-0000-0000D2180000}"/>
    <cellStyle name="40% - 강조색4 33 15" xfId="9014" xr:uid="{00000000-0005-0000-0000-0000D3180000}"/>
    <cellStyle name="40% - 강조색4 33 2" xfId="847" xr:uid="{00000000-0005-0000-0000-0000D4180000}"/>
    <cellStyle name="40% - 강조색4 33 2 2" xfId="9020" xr:uid="{00000000-0005-0000-0000-0000D5180000}"/>
    <cellStyle name="40% - 강조색4 33 3" xfId="9021" xr:uid="{00000000-0005-0000-0000-0000D6180000}"/>
    <cellStyle name="40% - 강조색4 33 4" xfId="9022" xr:uid="{00000000-0005-0000-0000-0000D7180000}"/>
    <cellStyle name="40% - 강조색4 33 5" xfId="9023" xr:uid="{00000000-0005-0000-0000-0000D8180000}"/>
    <cellStyle name="40% - 강조색4 33 6" xfId="9024" xr:uid="{00000000-0005-0000-0000-0000D9180000}"/>
    <cellStyle name="40% - 강조색4 33 7" xfId="9025" xr:uid="{00000000-0005-0000-0000-0000DA180000}"/>
    <cellStyle name="40% - 강조색4 33 8" xfId="9026" xr:uid="{00000000-0005-0000-0000-0000DB180000}"/>
    <cellStyle name="40% - 강조색4 33 9" xfId="9027" xr:uid="{00000000-0005-0000-0000-0000DC180000}"/>
    <cellStyle name="40% - 강조색4 34" xfId="848" xr:uid="{00000000-0005-0000-0000-0000DD180000}"/>
    <cellStyle name="40% - 강조색4 34 10" xfId="9029" xr:uid="{00000000-0005-0000-0000-0000DE180000}"/>
    <cellStyle name="40% - 강조색4 34 11" xfId="9030" xr:uid="{00000000-0005-0000-0000-0000DF180000}"/>
    <cellStyle name="40% - 강조색4 34 12" xfId="9031" xr:uid="{00000000-0005-0000-0000-0000E0180000}"/>
    <cellStyle name="40% - 강조색4 34 13" xfId="9032" xr:uid="{00000000-0005-0000-0000-0000E1180000}"/>
    <cellStyle name="40% - 강조색4 34 14" xfId="9033" xr:uid="{00000000-0005-0000-0000-0000E2180000}"/>
    <cellStyle name="40% - 강조색4 34 15" xfId="9028" xr:uid="{00000000-0005-0000-0000-0000E3180000}"/>
    <cellStyle name="40% - 강조색4 34 2" xfId="849" xr:uid="{00000000-0005-0000-0000-0000E4180000}"/>
    <cellStyle name="40% - 강조색4 34 2 2" xfId="9034" xr:uid="{00000000-0005-0000-0000-0000E5180000}"/>
    <cellStyle name="40% - 강조색4 34 3" xfId="9035" xr:uid="{00000000-0005-0000-0000-0000E6180000}"/>
    <cellStyle name="40% - 강조색4 34 4" xfId="9036" xr:uid="{00000000-0005-0000-0000-0000E7180000}"/>
    <cellStyle name="40% - 강조색4 34 5" xfId="9037" xr:uid="{00000000-0005-0000-0000-0000E8180000}"/>
    <cellStyle name="40% - 강조색4 34 6" xfId="9038" xr:uid="{00000000-0005-0000-0000-0000E9180000}"/>
    <cellStyle name="40% - 강조색4 34 7" xfId="9039" xr:uid="{00000000-0005-0000-0000-0000EA180000}"/>
    <cellStyle name="40% - 강조색4 34 8" xfId="9040" xr:uid="{00000000-0005-0000-0000-0000EB180000}"/>
    <cellStyle name="40% - 강조색4 34 9" xfId="9041" xr:uid="{00000000-0005-0000-0000-0000EC180000}"/>
    <cellStyle name="40% - 강조색4 35" xfId="850" xr:uid="{00000000-0005-0000-0000-0000ED180000}"/>
    <cellStyle name="40% - 강조색4 35 10" xfId="9043" xr:uid="{00000000-0005-0000-0000-0000EE180000}"/>
    <cellStyle name="40% - 강조색4 35 11" xfId="9044" xr:uid="{00000000-0005-0000-0000-0000EF180000}"/>
    <cellStyle name="40% - 강조색4 35 12" xfId="9045" xr:uid="{00000000-0005-0000-0000-0000F0180000}"/>
    <cellStyle name="40% - 강조색4 35 13" xfId="9046" xr:uid="{00000000-0005-0000-0000-0000F1180000}"/>
    <cellStyle name="40% - 강조색4 35 14" xfId="9047" xr:uid="{00000000-0005-0000-0000-0000F2180000}"/>
    <cellStyle name="40% - 강조색4 35 15" xfId="9042" xr:uid="{00000000-0005-0000-0000-0000F3180000}"/>
    <cellStyle name="40% - 강조색4 35 2" xfId="851" xr:uid="{00000000-0005-0000-0000-0000F4180000}"/>
    <cellStyle name="40% - 강조색4 35 2 2" xfId="9048" xr:uid="{00000000-0005-0000-0000-0000F5180000}"/>
    <cellStyle name="40% - 강조색4 35 3" xfId="9049" xr:uid="{00000000-0005-0000-0000-0000F6180000}"/>
    <cellStyle name="40% - 강조색4 35 4" xfId="9050" xr:uid="{00000000-0005-0000-0000-0000F7180000}"/>
    <cellStyle name="40% - 강조색4 35 5" xfId="9051" xr:uid="{00000000-0005-0000-0000-0000F8180000}"/>
    <cellStyle name="40% - 강조색4 35 6" xfId="9052" xr:uid="{00000000-0005-0000-0000-0000F9180000}"/>
    <cellStyle name="40% - 강조색4 35 7" xfId="9053" xr:uid="{00000000-0005-0000-0000-0000FA180000}"/>
    <cellStyle name="40% - 강조색4 35 8" xfId="9054" xr:uid="{00000000-0005-0000-0000-0000FB180000}"/>
    <cellStyle name="40% - 강조색4 35 9" xfId="9055" xr:uid="{00000000-0005-0000-0000-0000FC180000}"/>
    <cellStyle name="40% - 강조색4 36" xfId="852" xr:uid="{00000000-0005-0000-0000-0000FD180000}"/>
    <cellStyle name="40% - 강조색4 36 10" xfId="9057" xr:uid="{00000000-0005-0000-0000-0000FE180000}"/>
    <cellStyle name="40% - 강조색4 36 11" xfId="9058" xr:uid="{00000000-0005-0000-0000-0000FF180000}"/>
    <cellStyle name="40% - 강조색4 36 12" xfId="9059" xr:uid="{00000000-0005-0000-0000-000000190000}"/>
    <cellStyle name="40% - 강조색4 36 13" xfId="9060" xr:uid="{00000000-0005-0000-0000-000001190000}"/>
    <cellStyle name="40% - 강조색4 36 14" xfId="9061" xr:uid="{00000000-0005-0000-0000-000002190000}"/>
    <cellStyle name="40% - 강조색4 36 15" xfId="9056" xr:uid="{00000000-0005-0000-0000-000003190000}"/>
    <cellStyle name="40% - 강조색4 36 2" xfId="853" xr:uid="{00000000-0005-0000-0000-000004190000}"/>
    <cellStyle name="40% - 강조색4 36 2 2" xfId="9062" xr:uid="{00000000-0005-0000-0000-000005190000}"/>
    <cellStyle name="40% - 강조색4 36 3" xfId="9063" xr:uid="{00000000-0005-0000-0000-000006190000}"/>
    <cellStyle name="40% - 강조색4 36 4" xfId="9064" xr:uid="{00000000-0005-0000-0000-000007190000}"/>
    <cellStyle name="40% - 강조색4 36 5" xfId="9065" xr:uid="{00000000-0005-0000-0000-000008190000}"/>
    <cellStyle name="40% - 강조색4 36 6" xfId="9066" xr:uid="{00000000-0005-0000-0000-000009190000}"/>
    <cellStyle name="40% - 강조색4 36 7" xfId="9067" xr:uid="{00000000-0005-0000-0000-00000A190000}"/>
    <cellStyle name="40% - 강조색4 36 8" xfId="9068" xr:uid="{00000000-0005-0000-0000-00000B190000}"/>
    <cellStyle name="40% - 강조색4 36 9" xfId="9069" xr:uid="{00000000-0005-0000-0000-00000C190000}"/>
    <cellStyle name="40% - 강조색4 37" xfId="854" xr:uid="{00000000-0005-0000-0000-00000D190000}"/>
    <cellStyle name="40% - 강조색4 37 10" xfId="9071" xr:uid="{00000000-0005-0000-0000-00000E190000}"/>
    <cellStyle name="40% - 강조색4 37 11" xfId="9072" xr:uid="{00000000-0005-0000-0000-00000F190000}"/>
    <cellStyle name="40% - 강조색4 37 12" xfId="9073" xr:uid="{00000000-0005-0000-0000-000010190000}"/>
    <cellStyle name="40% - 강조색4 37 13" xfId="9074" xr:uid="{00000000-0005-0000-0000-000011190000}"/>
    <cellStyle name="40% - 강조색4 37 14" xfId="9075" xr:uid="{00000000-0005-0000-0000-000012190000}"/>
    <cellStyle name="40% - 강조색4 37 15" xfId="9070" xr:uid="{00000000-0005-0000-0000-000013190000}"/>
    <cellStyle name="40% - 강조색4 37 2" xfId="855" xr:uid="{00000000-0005-0000-0000-000014190000}"/>
    <cellStyle name="40% - 강조색4 37 2 2" xfId="9076" xr:uid="{00000000-0005-0000-0000-000015190000}"/>
    <cellStyle name="40% - 강조색4 37 3" xfId="9077" xr:uid="{00000000-0005-0000-0000-000016190000}"/>
    <cellStyle name="40% - 강조색4 37 4" xfId="9078" xr:uid="{00000000-0005-0000-0000-000017190000}"/>
    <cellStyle name="40% - 강조색4 37 5" xfId="9079" xr:uid="{00000000-0005-0000-0000-000018190000}"/>
    <cellStyle name="40% - 강조색4 37 6" xfId="9080" xr:uid="{00000000-0005-0000-0000-000019190000}"/>
    <cellStyle name="40% - 강조색4 37 7" xfId="9081" xr:uid="{00000000-0005-0000-0000-00001A190000}"/>
    <cellStyle name="40% - 강조색4 37 8" xfId="9082" xr:uid="{00000000-0005-0000-0000-00001B190000}"/>
    <cellStyle name="40% - 강조색4 37 9" xfId="9083" xr:uid="{00000000-0005-0000-0000-00001C190000}"/>
    <cellStyle name="40% - 강조색4 38" xfId="856" xr:uid="{00000000-0005-0000-0000-00001D190000}"/>
    <cellStyle name="40% - 강조색4 38 10" xfId="9085" xr:uid="{00000000-0005-0000-0000-00001E190000}"/>
    <cellStyle name="40% - 강조색4 38 11" xfId="9086" xr:uid="{00000000-0005-0000-0000-00001F190000}"/>
    <cellStyle name="40% - 강조색4 38 12" xfId="9087" xr:uid="{00000000-0005-0000-0000-000020190000}"/>
    <cellStyle name="40% - 강조색4 38 13" xfId="9088" xr:uid="{00000000-0005-0000-0000-000021190000}"/>
    <cellStyle name="40% - 강조색4 38 14" xfId="9089" xr:uid="{00000000-0005-0000-0000-000022190000}"/>
    <cellStyle name="40% - 강조색4 38 15" xfId="9084" xr:uid="{00000000-0005-0000-0000-000023190000}"/>
    <cellStyle name="40% - 강조색4 38 2" xfId="857" xr:uid="{00000000-0005-0000-0000-000024190000}"/>
    <cellStyle name="40% - 강조색4 38 2 2" xfId="9090" xr:uid="{00000000-0005-0000-0000-000025190000}"/>
    <cellStyle name="40% - 강조색4 38 3" xfId="9091" xr:uid="{00000000-0005-0000-0000-000026190000}"/>
    <cellStyle name="40% - 강조색4 38 4" xfId="9092" xr:uid="{00000000-0005-0000-0000-000027190000}"/>
    <cellStyle name="40% - 강조색4 38 5" xfId="9093" xr:uid="{00000000-0005-0000-0000-000028190000}"/>
    <cellStyle name="40% - 강조색4 38 6" xfId="9094" xr:uid="{00000000-0005-0000-0000-000029190000}"/>
    <cellStyle name="40% - 강조색4 38 7" xfId="9095" xr:uid="{00000000-0005-0000-0000-00002A190000}"/>
    <cellStyle name="40% - 강조색4 38 8" xfId="9096" xr:uid="{00000000-0005-0000-0000-00002B190000}"/>
    <cellStyle name="40% - 강조색4 38 9" xfId="9097" xr:uid="{00000000-0005-0000-0000-00002C190000}"/>
    <cellStyle name="40% - 강조색4 39" xfId="858" xr:uid="{00000000-0005-0000-0000-00002D190000}"/>
    <cellStyle name="40% - 강조색4 39 10" xfId="9099" xr:uid="{00000000-0005-0000-0000-00002E190000}"/>
    <cellStyle name="40% - 강조색4 39 11" xfId="9100" xr:uid="{00000000-0005-0000-0000-00002F190000}"/>
    <cellStyle name="40% - 강조색4 39 12" xfId="9101" xr:uid="{00000000-0005-0000-0000-000030190000}"/>
    <cellStyle name="40% - 강조색4 39 13" xfId="9102" xr:uid="{00000000-0005-0000-0000-000031190000}"/>
    <cellStyle name="40% - 강조색4 39 14" xfId="9103" xr:uid="{00000000-0005-0000-0000-000032190000}"/>
    <cellStyle name="40% - 강조색4 39 15" xfId="9098" xr:uid="{00000000-0005-0000-0000-000033190000}"/>
    <cellStyle name="40% - 강조색4 39 2" xfId="859" xr:uid="{00000000-0005-0000-0000-000034190000}"/>
    <cellStyle name="40% - 강조색4 39 2 2" xfId="9104" xr:uid="{00000000-0005-0000-0000-000035190000}"/>
    <cellStyle name="40% - 강조색4 39 3" xfId="9105" xr:uid="{00000000-0005-0000-0000-000036190000}"/>
    <cellStyle name="40% - 강조색4 39 4" xfId="9106" xr:uid="{00000000-0005-0000-0000-000037190000}"/>
    <cellStyle name="40% - 강조색4 39 5" xfId="9107" xr:uid="{00000000-0005-0000-0000-000038190000}"/>
    <cellStyle name="40% - 강조색4 39 6" xfId="9108" xr:uid="{00000000-0005-0000-0000-000039190000}"/>
    <cellStyle name="40% - 강조색4 39 7" xfId="9109" xr:uid="{00000000-0005-0000-0000-00003A190000}"/>
    <cellStyle name="40% - 강조색4 39 8" xfId="9110" xr:uid="{00000000-0005-0000-0000-00003B190000}"/>
    <cellStyle name="40% - 강조색4 39 9" xfId="9111" xr:uid="{00000000-0005-0000-0000-00003C190000}"/>
    <cellStyle name="40% - 강조색4 4" xfId="860" xr:uid="{00000000-0005-0000-0000-00003D190000}"/>
    <cellStyle name="40% - 강조색4 4 10" xfId="9113" xr:uid="{00000000-0005-0000-0000-00003E190000}"/>
    <cellStyle name="40% - 강조색4 4 11" xfId="9114" xr:uid="{00000000-0005-0000-0000-00003F190000}"/>
    <cellStyle name="40% - 강조색4 4 12" xfId="9115" xr:uid="{00000000-0005-0000-0000-000040190000}"/>
    <cellStyle name="40% - 강조색4 4 13" xfId="9116" xr:uid="{00000000-0005-0000-0000-000041190000}"/>
    <cellStyle name="40% - 강조색4 4 14" xfId="9117" xr:uid="{00000000-0005-0000-0000-000042190000}"/>
    <cellStyle name="40% - 강조색4 4 15" xfId="9112" xr:uid="{00000000-0005-0000-0000-000043190000}"/>
    <cellStyle name="40% - 강조색4 4 16" xfId="27860" xr:uid="{00000000-0005-0000-0000-000044190000}"/>
    <cellStyle name="40% - 강조색4 4 2" xfId="861" xr:uid="{00000000-0005-0000-0000-000045190000}"/>
    <cellStyle name="40% - 강조색4 4 2 2" xfId="9118" xr:uid="{00000000-0005-0000-0000-000046190000}"/>
    <cellStyle name="40% - 강조색4 4 3" xfId="9119" xr:uid="{00000000-0005-0000-0000-000047190000}"/>
    <cellStyle name="40% - 강조색4 4 4" xfId="9120" xr:uid="{00000000-0005-0000-0000-000048190000}"/>
    <cellStyle name="40% - 강조색4 4 5" xfId="9121" xr:uid="{00000000-0005-0000-0000-000049190000}"/>
    <cellStyle name="40% - 강조색4 4 6" xfId="9122" xr:uid="{00000000-0005-0000-0000-00004A190000}"/>
    <cellStyle name="40% - 강조색4 4 7" xfId="9123" xr:uid="{00000000-0005-0000-0000-00004B190000}"/>
    <cellStyle name="40% - 강조색4 4 8" xfId="9124" xr:uid="{00000000-0005-0000-0000-00004C190000}"/>
    <cellStyle name="40% - 강조색4 4 9" xfId="9125" xr:uid="{00000000-0005-0000-0000-00004D190000}"/>
    <cellStyle name="40% - 강조색4 40" xfId="862" xr:uid="{00000000-0005-0000-0000-00004E190000}"/>
    <cellStyle name="40% - 강조색4 40 10" xfId="9127" xr:uid="{00000000-0005-0000-0000-00004F190000}"/>
    <cellStyle name="40% - 강조색4 40 11" xfId="9128" xr:uid="{00000000-0005-0000-0000-000050190000}"/>
    <cellStyle name="40% - 강조색4 40 12" xfId="9129" xr:uid="{00000000-0005-0000-0000-000051190000}"/>
    <cellStyle name="40% - 강조색4 40 13" xfId="9130" xr:uid="{00000000-0005-0000-0000-000052190000}"/>
    <cellStyle name="40% - 강조색4 40 14" xfId="9131" xr:uid="{00000000-0005-0000-0000-000053190000}"/>
    <cellStyle name="40% - 강조색4 40 15" xfId="9126" xr:uid="{00000000-0005-0000-0000-000054190000}"/>
    <cellStyle name="40% - 강조색4 40 2" xfId="863" xr:uid="{00000000-0005-0000-0000-000055190000}"/>
    <cellStyle name="40% - 강조색4 40 2 2" xfId="9132" xr:uid="{00000000-0005-0000-0000-000056190000}"/>
    <cellStyle name="40% - 강조색4 40 3" xfId="9133" xr:uid="{00000000-0005-0000-0000-000057190000}"/>
    <cellStyle name="40% - 강조색4 40 4" xfId="9134" xr:uid="{00000000-0005-0000-0000-000058190000}"/>
    <cellStyle name="40% - 강조색4 40 5" xfId="9135" xr:uid="{00000000-0005-0000-0000-000059190000}"/>
    <cellStyle name="40% - 강조색4 40 6" xfId="9136" xr:uid="{00000000-0005-0000-0000-00005A190000}"/>
    <cellStyle name="40% - 강조색4 40 7" xfId="9137" xr:uid="{00000000-0005-0000-0000-00005B190000}"/>
    <cellStyle name="40% - 강조색4 40 8" xfId="9138" xr:uid="{00000000-0005-0000-0000-00005C190000}"/>
    <cellStyle name="40% - 강조색4 40 9" xfId="9139" xr:uid="{00000000-0005-0000-0000-00005D190000}"/>
    <cellStyle name="40% - 강조색4 41" xfId="864" xr:uid="{00000000-0005-0000-0000-00005E190000}"/>
    <cellStyle name="40% - 강조색4 41 10" xfId="9141" xr:uid="{00000000-0005-0000-0000-00005F190000}"/>
    <cellStyle name="40% - 강조색4 41 11" xfId="9142" xr:uid="{00000000-0005-0000-0000-000060190000}"/>
    <cellStyle name="40% - 강조색4 41 12" xfId="9143" xr:uid="{00000000-0005-0000-0000-000061190000}"/>
    <cellStyle name="40% - 강조색4 41 13" xfId="9144" xr:uid="{00000000-0005-0000-0000-000062190000}"/>
    <cellStyle name="40% - 강조색4 41 14" xfId="9145" xr:uid="{00000000-0005-0000-0000-000063190000}"/>
    <cellStyle name="40% - 강조색4 41 15" xfId="9140" xr:uid="{00000000-0005-0000-0000-000064190000}"/>
    <cellStyle name="40% - 강조색4 41 2" xfId="865" xr:uid="{00000000-0005-0000-0000-000065190000}"/>
    <cellStyle name="40% - 강조색4 41 2 2" xfId="9146" xr:uid="{00000000-0005-0000-0000-000066190000}"/>
    <cellStyle name="40% - 강조색4 41 3" xfId="9147" xr:uid="{00000000-0005-0000-0000-000067190000}"/>
    <cellStyle name="40% - 강조색4 41 4" xfId="9148" xr:uid="{00000000-0005-0000-0000-000068190000}"/>
    <cellStyle name="40% - 강조색4 41 5" xfId="9149" xr:uid="{00000000-0005-0000-0000-000069190000}"/>
    <cellStyle name="40% - 강조색4 41 6" xfId="9150" xr:uid="{00000000-0005-0000-0000-00006A190000}"/>
    <cellStyle name="40% - 강조색4 41 7" xfId="9151" xr:uid="{00000000-0005-0000-0000-00006B190000}"/>
    <cellStyle name="40% - 강조색4 41 8" xfId="9152" xr:uid="{00000000-0005-0000-0000-00006C190000}"/>
    <cellStyle name="40% - 강조색4 41 9" xfId="9153" xr:uid="{00000000-0005-0000-0000-00006D190000}"/>
    <cellStyle name="40% - 강조색4 42" xfId="866" xr:uid="{00000000-0005-0000-0000-00006E190000}"/>
    <cellStyle name="40% - 강조색4 42 10" xfId="9155" xr:uid="{00000000-0005-0000-0000-00006F190000}"/>
    <cellStyle name="40% - 강조색4 42 11" xfId="9156" xr:uid="{00000000-0005-0000-0000-000070190000}"/>
    <cellStyle name="40% - 강조색4 42 12" xfId="9157" xr:uid="{00000000-0005-0000-0000-000071190000}"/>
    <cellStyle name="40% - 강조색4 42 13" xfId="9158" xr:uid="{00000000-0005-0000-0000-000072190000}"/>
    <cellStyle name="40% - 강조색4 42 14" xfId="9159" xr:uid="{00000000-0005-0000-0000-000073190000}"/>
    <cellStyle name="40% - 강조색4 42 15" xfId="9154" xr:uid="{00000000-0005-0000-0000-000074190000}"/>
    <cellStyle name="40% - 강조색4 42 2" xfId="867" xr:uid="{00000000-0005-0000-0000-000075190000}"/>
    <cellStyle name="40% - 강조색4 42 2 2" xfId="9160" xr:uid="{00000000-0005-0000-0000-000076190000}"/>
    <cellStyle name="40% - 강조색4 42 3" xfId="9161" xr:uid="{00000000-0005-0000-0000-000077190000}"/>
    <cellStyle name="40% - 강조색4 42 4" xfId="9162" xr:uid="{00000000-0005-0000-0000-000078190000}"/>
    <cellStyle name="40% - 강조색4 42 5" xfId="9163" xr:uid="{00000000-0005-0000-0000-000079190000}"/>
    <cellStyle name="40% - 강조색4 42 6" xfId="9164" xr:uid="{00000000-0005-0000-0000-00007A190000}"/>
    <cellStyle name="40% - 강조색4 42 7" xfId="9165" xr:uid="{00000000-0005-0000-0000-00007B190000}"/>
    <cellStyle name="40% - 강조색4 42 8" xfId="9166" xr:uid="{00000000-0005-0000-0000-00007C190000}"/>
    <cellStyle name="40% - 강조색4 42 9" xfId="9167" xr:uid="{00000000-0005-0000-0000-00007D190000}"/>
    <cellStyle name="40% - 강조색4 43" xfId="868" xr:uid="{00000000-0005-0000-0000-00007E190000}"/>
    <cellStyle name="40% - 강조색4 43 10" xfId="9169" xr:uid="{00000000-0005-0000-0000-00007F190000}"/>
    <cellStyle name="40% - 강조색4 43 11" xfId="9170" xr:uid="{00000000-0005-0000-0000-000080190000}"/>
    <cellStyle name="40% - 강조색4 43 12" xfId="9171" xr:uid="{00000000-0005-0000-0000-000081190000}"/>
    <cellStyle name="40% - 강조색4 43 13" xfId="9172" xr:uid="{00000000-0005-0000-0000-000082190000}"/>
    <cellStyle name="40% - 강조색4 43 14" xfId="9173" xr:uid="{00000000-0005-0000-0000-000083190000}"/>
    <cellStyle name="40% - 강조색4 43 15" xfId="9168" xr:uid="{00000000-0005-0000-0000-000084190000}"/>
    <cellStyle name="40% - 강조색4 43 2" xfId="869" xr:uid="{00000000-0005-0000-0000-000085190000}"/>
    <cellStyle name="40% - 강조색4 43 2 2" xfId="9174" xr:uid="{00000000-0005-0000-0000-000086190000}"/>
    <cellStyle name="40% - 강조색4 43 3" xfId="9175" xr:uid="{00000000-0005-0000-0000-000087190000}"/>
    <cellStyle name="40% - 강조색4 43 4" xfId="9176" xr:uid="{00000000-0005-0000-0000-000088190000}"/>
    <cellStyle name="40% - 강조색4 43 5" xfId="9177" xr:uid="{00000000-0005-0000-0000-000089190000}"/>
    <cellStyle name="40% - 강조색4 43 6" xfId="9178" xr:uid="{00000000-0005-0000-0000-00008A190000}"/>
    <cellStyle name="40% - 강조색4 43 7" xfId="9179" xr:uid="{00000000-0005-0000-0000-00008B190000}"/>
    <cellStyle name="40% - 강조색4 43 8" xfId="9180" xr:uid="{00000000-0005-0000-0000-00008C190000}"/>
    <cellStyle name="40% - 강조색4 43 9" xfId="9181" xr:uid="{00000000-0005-0000-0000-00008D190000}"/>
    <cellStyle name="40% - 강조색4 44" xfId="870" xr:uid="{00000000-0005-0000-0000-00008E190000}"/>
    <cellStyle name="40% - 강조색4 44 2" xfId="9182" xr:uid="{00000000-0005-0000-0000-00008F190000}"/>
    <cellStyle name="40% - 강조색4 45" xfId="871" xr:uid="{00000000-0005-0000-0000-000090190000}"/>
    <cellStyle name="40% - 강조색4 45 2" xfId="9183" xr:uid="{00000000-0005-0000-0000-000091190000}"/>
    <cellStyle name="40% - 강조색4 46" xfId="795" xr:uid="{00000000-0005-0000-0000-000092190000}"/>
    <cellStyle name="40% - 강조색4 47" xfId="8663" xr:uid="{00000000-0005-0000-0000-000093190000}"/>
    <cellStyle name="40% - 강조색4 48" xfId="27634" xr:uid="{00000000-0005-0000-0000-000094190000}"/>
    <cellStyle name="40% - 강조색4 5" xfId="872" xr:uid="{00000000-0005-0000-0000-000095190000}"/>
    <cellStyle name="40% - 강조색4 5 10" xfId="9185" xr:uid="{00000000-0005-0000-0000-000096190000}"/>
    <cellStyle name="40% - 강조색4 5 11" xfId="9186" xr:uid="{00000000-0005-0000-0000-000097190000}"/>
    <cellStyle name="40% - 강조색4 5 12" xfId="9187" xr:uid="{00000000-0005-0000-0000-000098190000}"/>
    <cellStyle name="40% - 강조색4 5 13" xfId="9188" xr:uid="{00000000-0005-0000-0000-000099190000}"/>
    <cellStyle name="40% - 강조색4 5 14" xfId="9189" xr:uid="{00000000-0005-0000-0000-00009A190000}"/>
    <cellStyle name="40% - 강조색4 5 15" xfId="9184" xr:uid="{00000000-0005-0000-0000-00009B190000}"/>
    <cellStyle name="40% - 강조색4 5 2" xfId="873" xr:uid="{00000000-0005-0000-0000-00009C190000}"/>
    <cellStyle name="40% - 강조색4 5 2 2" xfId="9190" xr:uid="{00000000-0005-0000-0000-00009D190000}"/>
    <cellStyle name="40% - 강조색4 5 3" xfId="9191" xr:uid="{00000000-0005-0000-0000-00009E190000}"/>
    <cellStyle name="40% - 강조색4 5 4" xfId="9192" xr:uid="{00000000-0005-0000-0000-00009F190000}"/>
    <cellStyle name="40% - 강조색4 5 5" xfId="9193" xr:uid="{00000000-0005-0000-0000-0000A0190000}"/>
    <cellStyle name="40% - 강조색4 5 6" xfId="9194" xr:uid="{00000000-0005-0000-0000-0000A1190000}"/>
    <cellStyle name="40% - 강조색4 5 7" xfId="9195" xr:uid="{00000000-0005-0000-0000-0000A2190000}"/>
    <cellStyle name="40% - 강조색4 5 8" xfId="9196" xr:uid="{00000000-0005-0000-0000-0000A3190000}"/>
    <cellStyle name="40% - 강조색4 5 9" xfId="9197" xr:uid="{00000000-0005-0000-0000-0000A4190000}"/>
    <cellStyle name="40% - 강조색4 6" xfId="874" xr:uid="{00000000-0005-0000-0000-0000A5190000}"/>
    <cellStyle name="40% - 강조색4 6 10" xfId="9199" xr:uid="{00000000-0005-0000-0000-0000A6190000}"/>
    <cellStyle name="40% - 강조색4 6 11" xfId="9200" xr:uid="{00000000-0005-0000-0000-0000A7190000}"/>
    <cellStyle name="40% - 강조색4 6 12" xfId="9201" xr:uid="{00000000-0005-0000-0000-0000A8190000}"/>
    <cellStyle name="40% - 강조색4 6 13" xfId="9202" xr:uid="{00000000-0005-0000-0000-0000A9190000}"/>
    <cellStyle name="40% - 강조색4 6 14" xfId="9203" xr:uid="{00000000-0005-0000-0000-0000AA190000}"/>
    <cellStyle name="40% - 강조색4 6 15" xfId="9198" xr:uid="{00000000-0005-0000-0000-0000AB190000}"/>
    <cellStyle name="40% - 강조색4 6 2" xfId="875" xr:uid="{00000000-0005-0000-0000-0000AC190000}"/>
    <cellStyle name="40% - 강조색4 6 2 2" xfId="9204" xr:uid="{00000000-0005-0000-0000-0000AD190000}"/>
    <cellStyle name="40% - 강조색4 6 3" xfId="9205" xr:uid="{00000000-0005-0000-0000-0000AE190000}"/>
    <cellStyle name="40% - 강조색4 6 4" xfId="9206" xr:uid="{00000000-0005-0000-0000-0000AF190000}"/>
    <cellStyle name="40% - 강조색4 6 5" xfId="9207" xr:uid="{00000000-0005-0000-0000-0000B0190000}"/>
    <cellStyle name="40% - 강조색4 6 6" xfId="9208" xr:uid="{00000000-0005-0000-0000-0000B1190000}"/>
    <cellStyle name="40% - 강조색4 6 7" xfId="9209" xr:uid="{00000000-0005-0000-0000-0000B2190000}"/>
    <cellStyle name="40% - 강조색4 6 8" xfId="9210" xr:uid="{00000000-0005-0000-0000-0000B3190000}"/>
    <cellStyle name="40% - 강조색4 6 9" xfId="9211" xr:uid="{00000000-0005-0000-0000-0000B4190000}"/>
    <cellStyle name="40% - 강조색4 7" xfId="876" xr:uid="{00000000-0005-0000-0000-0000B5190000}"/>
    <cellStyle name="40% - 강조색4 7 10" xfId="9213" xr:uid="{00000000-0005-0000-0000-0000B6190000}"/>
    <cellStyle name="40% - 강조색4 7 11" xfId="9214" xr:uid="{00000000-0005-0000-0000-0000B7190000}"/>
    <cellStyle name="40% - 강조색4 7 12" xfId="9215" xr:uid="{00000000-0005-0000-0000-0000B8190000}"/>
    <cellStyle name="40% - 강조색4 7 13" xfId="9216" xr:uid="{00000000-0005-0000-0000-0000B9190000}"/>
    <cellStyle name="40% - 강조색4 7 14" xfId="9217" xr:uid="{00000000-0005-0000-0000-0000BA190000}"/>
    <cellStyle name="40% - 강조색4 7 15" xfId="9212" xr:uid="{00000000-0005-0000-0000-0000BB190000}"/>
    <cellStyle name="40% - 강조색4 7 2" xfId="877" xr:uid="{00000000-0005-0000-0000-0000BC190000}"/>
    <cellStyle name="40% - 강조색4 7 2 2" xfId="9218" xr:uid="{00000000-0005-0000-0000-0000BD190000}"/>
    <cellStyle name="40% - 강조색4 7 3" xfId="9219" xr:uid="{00000000-0005-0000-0000-0000BE190000}"/>
    <cellStyle name="40% - 강조색4 7 4" xfId="9220" xr:uid="{00000000-0005-0000-0000-0000BF190000}"/>
    <cellStyle name="40% - 강조색4 7 5" xfId="9221" xr:uid="{00000000-0005-0000-0000-0000C0190000}"/>
    <cellStyle name="40% - 강조색4 7 6" xfId="9222" xr:uid="{00000000-0005-0000-0000-0000C1190000}"/>
    <cellStyle name="40% - 강조색4 7 7" xfId="9223" xr:uid="{00000000-0005-0000-0000-0000C2190000}"/>
    <cellStyle name="40% - 강조색4 7 8" xfId="9224" xr:uid="{00000000-0005-0000-0000-0000C3190000}"/>
    <cellStyle name="40% - 강조색4 7 9" xfId="9225" xr:uid="{00000000-0005-0000-0000-0000C4190000}"/>
    <cellStyle name="40% - 강조색4 8" xfId="878" xr:uid="{00000000-0005-0000-0000-0000C5190000}"/>
    <cellStyle name="40% - 강조색4 8 10" xfId="9227" xr:uid="{00000000-0005-0000-0000-0000C6190000}"/>
    <cellStyle name="40% - 강조색4 8 11" xfId="9228" xr:uid="{00000000-0005-0000-0000-0000C7190000}"/>
    <cellStyle name="40% - 강조색4 8 12" xfId="9229" xr:uid="{00000000-0005-0000-0000-0000C8190000}"/>
    <cellStyle name="40% - 강조색4 8 13" xfId="9230" xr:uid="{00000000-0005-0000-0000-0000C9190000}"/>
    <cellStyle name="40% - 강조색4 8 14" xfId="9231" xr:uid="{00000000-0005-0000-0000-0000CA190000}"/>
    <cellStyle name="40% - 강조색4 8 15" xfId="9226" xr:uid="{00000000-0005-0000-0000-0000CB190000}"/>
    <cellStyle name="40% - 강조색4 8 2" xfId="879" xr:uid="{00000000-0005-0000-0000-0000CC190000}"/>
    <cellStyle name="40% - 강조색4 8 2 2" xfId="9232" xr:uid="{00000000-0005-0000-0000-0000CD190000}"/>
    <cellStyle name="40% - 강조색4 8 3" xfId="9233" xr:uid="{00000000-0005-0000-0000-0000CE190000}"/>
    <cellStyle name="40% - 강조색4 8 4" xfId="9234" xr:uid="{00000000-0005-0000-0000-0000CF190000}"/>
    <cellStyle name="40% - 강조색4 8 5" xfId="9235" xr:uid="{00000000-0005-0000-0000-0000D0190000}"/>
    <cellStyle name="40% - 강조색4 8 6" xfId="9236" xr:uid="{00000000-0005-0000-0000-0000D1190000}"/>
    <cellStyle name="40% - 강조색4 8 7" xfId="9237" xr:uid="{00000000-0005-0000-0000-0000D2190000}"/>
    <cellStyle name="40% - 강조색4 8 8" xfId="9238" xr:uid="{00000000-0005-0000-0000-0000D3190000}"/>
    <cellStyle name="40% - 강조색4 8 9" xfId="9239" xr:uid="{00000000-0005-0000-0000-0000D4190000}"/>
    <cellStyle name="40% - 강조색4 9" xfId="880" xr:uid="{00000000-0005-0000-0000-0000D5190000}"/>
    <cellStyle name="40% - 강조색4 9 10" xfId="9241" xr:uid="{00000000-0005-0000-0000-0000D6190000}"/>
    <cellStyle name="40% - 강조색4 9 11" xfId="9242" xr:uid="{00000000-0005-0000-0000-0000D7190000}"/>
    <cellStyle name="40% - 강조색4 9 12" xfId="9243" xr:uid="{00000000-0005-0000-0000-0000D8190000}"/>
    <cellStyle name="40% - 강조색4 9 13" xfId="9244" xr:uid="{00000000-0005-0000-0000-0000D9190000}"/>
    <cellStyle name="40% - 강조색4 9 14" xfId="9245" xr:uid="{00000000-0005-0000-0000-0000DA190000}"/>
    <cellStyle name="40% - 강조색4 9 15" xfId="9240" xr:uid="{00000000-0005-0000-0000-0000DB190000}"/>
    <cellStyle name="40% - 강조색4 9 2" xfId="881" xr:uid="{00000000-0005-0000-0000-0000DC190000}"/>
    <cellStyle name="40% - 강조색4 9 2 2" xfId="9246" xr:uid="{00000000-0005-0000-0000-0000DD190000}"/>
    <cellStyle name="40% - 강조색4 9 3" xfId="9247" xr:uid="{00000000-0005-0000-0000-0000DE190000}"/>
    <cellStyle name="40% - 강조색4 9 4" xfId="9248" xr:uid="{00000000-0005-0000-0000-0000DF190000}"/>
    <cellStyle name="40% - 강조색4 9 5" xfId="9249" xr:uid="{00000000-0005-0000-0000-0000E0190000}"/>
    <cellStyle name="40% - 강조색4 9 6" xfId="9250" xr:uid="{00000000-0005-0000-0000-0000E1190000}"/>
    <cellStyle name="40% - 강조색4 9 7" xfId="9251" xr:uid="{00000000-0005-0000-0000-0000E2190000}"/>
    <cellStyle name="40% - 강조색4 9 8" xfId="9252" xr:uid="{00000000-0005-0000-0000-0000E3190000}"/>
    <cellStyle name="40% - 강조색4 9 9" xfId="9253" xr:uid="{00000000-0005-0000-0000-0000E4190000}"/>
    <cellStyle name="40% - 강조색5 10" xfId="883" xr:uid="{00000000-0005-0000-0000-0000E5190000}"/>
    <cellStyle name="40% - 강조색5 10 10" xfId="9256" xr:uid="{00000000-0005-0000-0000-0000E6190000}"/>
    <cellStyle name="40% - 강조색5 10 11" xfId="9257" xr:uid="{00000000-0005-0000-0000-0000E7190000}"/>
    <cellStyle name="40% - 강조색5 10 12" xfId="9258" xr:uid="{00000000-0005-0000-0000-0000E8190000}"/>
    <cellStyle name="40% - 강조색5 10 13" xfId="9259" xr:uid="{00000000-0005-0000-0000-0000E9190000}"/>
    <cellStyle name="40% - 강조색5 10 14" xfId="9260" xr:uid="{00000000-0005-0000-0000-0000EA190000}"/>
    <cellStyle name="40% - 강조색5 10 15" xfId="9255" xr:uid="{00000000-0005-0000-0000-0000EB190000}"/>
    <cellStyle name="40% - 강조색5 10 2" xfId="884" xr:uid="{00000000-0005-0000-0000-0000EC190000}"/>
    <cellStyle name="40% - 강조색5 10 2 2" xfId="9261" xr:uid="{00000000-0005-0000-0000-0000ED190000}"/>
    <cellStyle name="40% - 강조색5 10 3" xfId="9262" xr:uid="{00000000-0005-0000-0000-0000EE190000}"/>
    <cellStyle name="40% - 강조색5 10 4" xfId="9263" xr:uid="{00000000-0005-0000-0000-0000EF190000}"/>
    <cellStyle name="40% - 강조색5 10 5" xfId="9264" xr:uid="{00000000-0005-0000-0000-0000F0190000}"/>
    <cellStyle name="40% - 강조색5 10 6" xfId="9265" xr:uid="{00000000-0005-0000-0000-0000F1190000}"/>
    <cellStyle name="40% - 강조색5 10 7" xfId="9266" xr:uid="{00000000-0005-0000-0000-0000F2190000}"/>
    <cellStyle name="40% - 강조색5 10 8" xfId="9267" xr:uid="{00000000-0005-0000-0000-0000F3190000}"/>
    <cellStyle name="40% - 강조색5 10 9" xfId="9268" xr:uid="{00000000-0005-0000-0000-0000F4190000}"/>
    <cellStyle name="40% - 강조색5 11" xfId="885" xr:uid="{00000000-0005-0000-0000-0000F5190000}"/>
    <cellStyle name="40% - 강조색5 11 10" xfId="9270" xr:uid="{00000000-0005-0000-0000-0000F6190000}"/>
    <cellStyle name="40% - 강조색5 11 11" xfId="9271" xr:uid="{00000000-0005-0000-0000-0000F7190000}"/>
    <cellStyle name="40% - 강조색5 11 12" xfId="9272" xr:uid="{00000000-0005-0000-0000-0000F8190000}"/>
    <cellStyle name="40% - 강조색5 11 13" xfId="9273" xr:uid="{00000000-0005-0000-0000-0000F9190000}"/>
    <cellStyle name="40% - 강조색5 11 14" xfId="9274" xr:uid="{00000000-0005-0000-0000-0000FA190000}"/>
    <cellStyle name="40% - 강조색5 11 15" xfId="9269" xr:uid="{00000000-0005-0000-0000-0000FB190000}"/>
    <cellStyle name="40% - 강조색5 11 2" xfId="886" xr:uid="{00000000-0005-0000-0000-0000FC190000}"/>
    <cellStyle name="40% - 강조색5 11 2 2" xfId="9275" xr:uid="{00000000-0005-0000-0000-0000FD190000}"/>
    <cellStyle name="40% - 강조색5 11 3" xfId="9276" xr:uid="{00000000-0005-0000-0000-0000FE190000}"/>
    <cellStyle name="40% - 강조색5 11 4" xfId="9277" xr:uid="{00000000-0005-0000-0000-0000FF190000}"/>
    <cellStyle name="40% - 강조색5 11 5" xfId="9278" xr:uid="{00000000-0005-0000-0000-0000001A0000}"/>
    <cellStyle name="40% - 강조색5 11 6" xfId="9279" xr:uid="{00000000-0005-0000-0000-0000011A0000}"/>
    <cellStyle name="40% - 강조색5 11 7" xfId="9280" xr:uid="{00000000-0005-0000-0000-0000021A0000}"/>
    <cellStyle name="40% - 강조색5 11 8" xfId="9281" xr:uid="{00000000-0005-0000-0000-0000031A0000}"/>
    <cellStyle name="40% - 강조색5 11 9" xfId="9282" xr:uid="{00000000-0005-0000-0000-0000041A0000}"/>
    <cellStyle name="40% - 강조색5 12" xfId="887" xr:uid="{00000000-0005-0000-0000-0000051A0000}"/>
    <cellStyle name="40% - 강조색5 12 10" xfId="9284" xr:uid="{00000000-0005-0000-0000-0000061A0000}"/>
    <cellStyle name="40% - 강조색5 12 11" xfId="9285" xr:uid="{00000000-0005-0000-0000-0000071A0000}"/>
    <cellStyle name="40% - 강조색5 12 12" xfId="9286" xr:uid="{00000000-0005-0000-0000-0000081A0000}"/>
    <cellStyle name="40% - 강조색5 12 13" xfId="9287" xr:uid="{00000000-0005-0000-0000-0000091A0000}"/>
    <cellStyle name="40% - 강조색5 12 14" xfId="9288" xr:uid="{00000000-0005-0000-0000-00000A1A0000}"/>
    <cellStyle name="40% - 강조색5 12 15" xfId="9283" xr:uid="{00000000-0005-0000-0000-00000B1A0000}"/>
    <cellStyle name="40% - 강조색5 12 2" xfId="888" xr:uid="{00000000-0005-0000-0000-00000C1A0000}"/>
    <cellStyle name="40% - 강조색5 12 2 2" xfId="9289" xr:uid="{00000000-0005-0000-0000-00000D1A0000}"/>
    <cellStyle name="40% - 강조색5 12 3" xfId="9290" xr:uid="{00000000-0005-0000-0000-00000E1A0000}"/>
    <cellStyle name="40% - 강조색5 12 4" xfId="9291" xr:uid="{00000000-0005-0000-0000-00000F1A0000}"/>
    <cellStyle name="40% - 강조색5 12 5" xfId="9292" xr:uid="{00000000-0005-0000-0000-0000101A0000}"/>
    <cellStyle name="40% - 강조색5 12 6" xfId="9293" xr:uid="{00000000-0005-0000-0000-0000111A0000}"/>
    <cellStyle name="40% - 강조색5 12 7" xfId="9294" xr:uid="{00000000-0005-0000-0000-0000121A0000}"/>
    <cellStyle name="40% - 강조색5 12 8" xfId="9295" xr:uid="{00000000-0005-0000-0000-0000131A0000}"/>
    <cellStyle name="40% - 강조색5 12 9" xfId="9296" xr:uid="{00000000-0005-0000-0000-0000141A0000}"/>
    <cellStyle name="40% - 강조색5 13" xfId="889" xr:uid="{00000000-0005-0000-0000-0000151A0000}"/>
    <cellStyle name="40% - 강조색5 13 10" xfId="9298" xr:uid="{00000000-0005-0000-0000-0000161A0000}"/>
    <cellStyle name="40% - 강조색5 13 11" xfId="9299" xr:uid="{00000000-0005-0000-0000-0000171A0000}"/>
    <cellStyle name="40% - 강조색5 13 12" xfId="9300" xr:uid="{00000000-0005-0000-0000-0000181A0000}"/>
    <cellStyle name="40% - 강조색5 13 13" xfId="9301" xr:uid="{00000000-0005-0000-0000-0000191A0000}"/>
    <cellStyle name="40% - 강조색5 13 14" xfId="9302" xr:uid="{00000000-0005-0000-0000-00001A1A0000}"/>
    <cellStyle name="40% - 강조색5 13 15" xfId="9297" xr:uid="{00000000-0005-0000-0000-00001B1A0000}"/>
    <cellStyle name="40% - 강조색5 13 2" xfId="890" xr:uid="{00000000-0005-0000-0000-00001C1A0000}"/>
    <cellStyle name="40% - 강조색5 13 2 2" xfId="9303" xr:uid="{00000000-0005-0000-0000-00001D1A0000}"/>
    <cellStyle name="40% - 강조색5 13 3" xfId="9304" xr:uid="{00000000-0005-0000-0000-00001E1A0000}"/>
    <cellStyle name="40% - 강조색5 13 4" xfId="9305" xr:uid="{00000000-0005-0000-0000-00001F1A0000}"/>
    <cellStyle name="40% - 강조색5 13 5" xfId="9306" xr:uid="{00000000-0005-0000-0000-0000201A0000}"/>
    <cellStyle name="40% - 강조색5 13 6" xfId="9307" xr:uid="{00000000-0005-0000-0000-0000211A0000}"/>
    <cellStyle name="40% - 강조색5 13 7" xfId="9308" xr:uid="{00000000-0005-0000-0000-0000221A0000}"/>
    <cellStyle name="40% - 강조색5 13 8" xfId="9309" xr:uid="{00000000-0005-0000-0000-0000231A0000}"/>
    <cellStyle name="40% - 강조색5 13 9" xfId="9310" xr:uid="{00000000-0005-0000-0000-0000241A0000}"/>
    <cellStyle name="40% - 강조색5 14" xfId="891" xr:uid="{00000000-0005-0000-0000-0000251A0000}"/>
    <cellStyle name="40% - 강조색5 14 10" xfId="9312" xr:uid="{00000000-0005-0000-0000-0000261A0000}"/>
    <cellStyle name="40% - 강조색5 14 11" xfId="9313" xr:uid="{00000000-0005-0000-0000-0000271A0000}"/>
    <cellStyle name="40% - 강조색5 14 12" xfId="9314" xr:uid="{00000000-0005-0000-0000-0000281A0000}"/>
    <cellStyle name="40% - 강조색5 14 13" xfId="9315" xr:uid="{00000000-0005-0000-0000-0000291A0000}"/>
    <cellStyle name="40% - 강조색5 14 14" xfId="9316" xr:uid="{00000000-0005-0000-0000-00002A1A0000}"/>
    <cellStyle name="40% - 강조색5 14 15" xfId="9311" xr:uid="{00000000-0005-0000-0000-00002B1A0000}"/>
    <cellStyle name="40% - 강조색5 14 2" xfId="892" xr:uid="{00000000-0005-0000-0000-00002C1A0000}"/>
    <cellStyle name="40% - 강조색5 14 2 2" xfId="9317" xr:uid="{00000000-0005-0000-0000-00002D1A0000}"/>
    <cellStyle name="40% - 강조색5 14 3" xfId="9318" xr:uid="{00000000-0005-0000-0000-00002E1A0000}"/>
    <cellStyle name="40% - 강조색5 14 4" xfId="9319" xr:uid="{00000000-0005-0000-0000-00002F1A0000}"/>
    <cellStyle name="40% - 강조색5 14 5" xfId="9320" xr:uid="{00000000-0005-0000-0000-0000301A0000}"/>
    <cellStyle name="40% - 강조색5 14 6" xfId="9321" xr:uid="{00000000-0005-0000-0000-0000311A0000}"/>
    <cellStyle name="40% - 강조색5 14 7" xfId="9322" xr:uid="{00000000-0005-0000-0000-0000321A0000}"/>
    <cellStyle name="40% - 강조색5 14 8" xfId="9323" xr:uid="{00000000-0005-0000-0000-0000331A0000}"/>
    <cellStyle name="40% - 강조색5 14 9" xfId="9324" xr:uid="{00000000-0005-0000-0000-0000341A0000}"/>
    <cellStyle name="40% - 강조색5 15" xfId="893" xr:uid="{00000000-0005-0000-0000-0000351A0000}"/>
    <cellStyle name="40% - 강조색5 15 10" xfId="9326" xr:uid="{00000000-0005-0000-0000-0000361A0000}"/>
    <cellStyle name="40% - 강조색5 15 11" xfId="9327" xr:uid="{00000000-0005-0000-0000-0000371A0000}"/>
    <cellStyle name="40% - 강조색5 15 12" xfId="9328" xr:uid="{00000000-0005-0000-0000-0000381A0000}"/>
    <cellStyle name="40% - 강조색5 15 13" xfId="9329" xr:uid="{00000000-0005-0000-0000-0000391A0000}"/>
    <cellStyle name="40% - 강조색5 15 14" xfId="9330" xr:uid="{00000000-0005-0000-0000-00003A1A0000}"/>
    <cellStyle name="40% - 강조색5 15 15" xfId="9325" xr:uid="{00000000-0005-0000-0000-00003B1A0000}"/>
    <cellStyle name="40% - 강조색5 15 2" xfId="894" xr:uid="{00000000-0005-0000-0000-00003C1A0000}"/>
    <cellStyle name="40% - 강조색5 15 2 2" xfId="9331" xr:uid="{00000000-0005-0000-0000-00003D1A0000}"/>
    <cellStyle name="40% - 강조색5 15 3" xfId="9332" xr:uid="{00000000-0005-0000-0000-00003E1A0000}"/>
    <cellStyle name="40% - 강조색5 15 4" xfId="9333" xr:uid="{00000000-0005-0000-0000-00003F1A0000}"/>
    <cellStyle name="40% - 강조색5 15 5" xfId="9334" xr:uid="{00000000-0005-0000-0000-0000401A0000}"/>
    <cellStyle name="40% - 강조색5 15 6" xfId="9335" xr:uid="{00000000-0005-0000-0000-0000411A0000}"/>
    <cellStyle name="40% - 강조색5 15 7" xfId="9336" xr:uid="{00000000-0005-0000-0000-0000421A0000}"/>
    <cellStyle name="40% - 강조색5 15 8" xfId="9337" xr:uid="{00000000-0005-0000-0000-0000431A0000}"/>
    <cellStyle name="40% - 강조색5 15 9" xfId="9338" xr:uid="{00000000-0005-0000-0000-0000441A0000}"/>
    <cellStyle name="40% - 강조색5 16" xfId="895" xr:uid="{00000000-0005-0000-0000-0000451A0000}"/>
    <cellStyle name="40% - 강조색5 16 10" xfId="9340" xr:uid="{00000000-0005-0000-0000-0000461A0000}"/>
    <cellStyle name="40% - 강조색5 16 11" xfId="9341" xr:uid="{00000000-0005-0000-0000-0000471A0000}"/>
    <cellStyle name="40% - 강조색5 16 12" xfId="9342" xr:uid="{00000000-0005-0000-0000-0000481A0000}"/>
    <cellStyle name="40% - 강조색5 16 13" xfId="9343" xr:uid="{00000000-0005-0000-0000-0000491A0000}"/>
    <cellStyle name="40% - 강조색5 16 14" xfId="9344" xr:uid="{00000000-0005-0000-0000-00004A1A0000}"/>
    <cellStyle name="40% - 강조색5 16 15" xfId="9339" xr:uid="{00000000-0005-0000-0000-00004B1A0000}"/>
    <cellStyle name="40% - 강조색5 16 2" xfId="896" xr:uid="{00000000-0005-0000-0000-00004C1A0000}"/>
    <cellStyle name="40% - 강조색5 16 2 2" xfId="9345" xr:uid="{00000000-0005-0000-0000-00004D1A0000}"/>
    <cellStyle name="40% - 강조색5 16 3" xfId="9346" xr:uid="{00000000-0005-0000-0000-00004E1A0000}"/>
    <cellStyle name="40% - 강조색5 16 4" xfId="9347" xr:uid="{00000000-0005-0000-0000-00004F1A0000}"/>
    <cellStyle name="40% - 강조색5 16 5" xfId="9348" xr:uid="{00000000-0005-0000-0000-0000501A0000}"/>
    <cellStyle name="40% - 강조색5 16 6" xfId="9349" xr:uid="{00000000-0005-0000-0000-0000511A0000}"/>
    <cellStyle name="40% - 강조색5 16 7" xfId="9350" xr:uid="{00000000-0005-0000-0000-0000521A0000}"/>
    <cellStyle name="40% - 강조색5 16 8" xfId="9351" xr:uid="{00000000-0005-0000-0000-0000531A0000}"/>
    <cellStyle name="40% - 강조색5 16 9" xfId="9352" xr:uid="{00000000-0005-0000-0000-0000541A0000}"/>
    <cellStyle name="40% - 강조색5 17" xfId="897" xr:uid="{00000000-0005-0000-0000-0000551A0000}"/>
    <cellStyle name="40% - 강조색5 17 10" xfId="9354" xr:uid="{00000000-0005-0000-0000-0000561A0000}"/>
    <cellStyle name="40% - 강조색5 17 11" xfId="9355" xr:uid="{00000000-0005-0000-0000-0000571A0000}"/>
    <cellStyle name="40% - 강조색5 17 12" xfId="9356" xr:uid="{00000000-0005-0000-0000-0000581A0000}"/>
    <cellStyle name="40% - 강조색5 17 13" xfId="9357" xr:uid="{00000000-0005-0000-0000-0000591A0000}"/>
    <cellStyle name="40% - 강조색5 17 14" xfId="9358" xr:uid="{00000000-0005-0000-0000-00005A1A0000}"/>
    <cellStyle name="40% - 강조색5 17 15" xfId="9353" xr:uid="{00000000-0005-0000-0000-00005B1A0000}"/>
    <cellStyle name="40% - 강조색5 17 2" xfId="898" xr:uid="{00000000-0005-0000-0000-00005C1A0000}"/>
    <cellStyle name="40% - 강조색5 17 2 2" xfId="9359" xr:uid="{00000000-0005-0000-0000-00005D1A0000}"/>
    <cellStyle name="40% - 강조색5 17 3" xfId="9360" xr:uid="{00000000-0005-0000-0000-00005E1A0000}"/>
    <cellStyle name="40% - 강조색5 17 4" xfId="9361" xr:uid="{00000000-0005-0000-0000-00005F1A0000}"/>
    <cellStyle name="40% - 강조색5 17 5" xfId="9362" xr:uid="{00000000-0005-0000-0000-0000601A0000}"/>
    <cellStyle name="40% - 강조색5 17 6" xfId="9363" xr:uid="{00000000-0005-0000-0000-0000611A0000}"/>
    <cellStyle name="40% - 강조색5 17 7" xfId="9364" xr:uid="{00000000-0005-0000-0000-0000621A0000}"/>
    <cellStyle name="40% - 강조색5 17 8" xfId="9365" xr:uid="{00000000-0005-0000-0000-0000631A0000}"/>
    <cellStyle name="40% - 강조색5 17 9" xfId="9366" xr:uid="{00000000-0005-0000-0000-0000641A0000}"/>
    <cellStyle name="40% - 강조색5 18" xfId="899" xr:uid="{00000000-0005-0000-0000-0000651A0000}"/>
    <cellStyle name="40% - 강조색5 18 10" xfId="9368" xr:uid="{00000000-0005-0000-0000-0000661A0000}"/>
    <cellStyle name="40% - 강조색5 18 11" xfId="9369" xr:uid="{00000000-0005-0000-0000-0000671A0000}"/>
    <cellStyle name="40% - 강조색5 18 12" xfId="9370" xr:uid="{00000000-0005-0000-0000-0000681A0000}"/>
    <cellStyle name="40% - 강조색5 18 13" xfId="9371" xr:uid="{00000000-0005-0000-0000-0000691A0000}"/>
    <cellStyle name="40% - 강조색5 18 14" xfId="9372" xr:uid="{00000000-0005-0000-0000-00006A1A0000}"/>
    <cellStyle name="40% - 강조색5 18 15" xfId="9367" xr:uid="{00000000-0005-0000-0000-00006B1A0000}"/>
    <cellStyle name="40% - 강조색5 18 2" xfId="900" xr:uid="{00000000-0005-0000-0000-00006C1A0000}"/>
    <cellStyle name="40% - 강조색5 18 2 2" xfId="9373" xr:uid="{00000000-0005-0000-0000-00006D1A0000}"/>
    <cellStyle name="40% - 강조색5 18 3" xfId="9374" xr:uid="{00000000-0005-0000-0000-00006E1A0000}"/>
    <cellStyle name="40% - 강조색5 18 4" xfId="9375" xr:uid="{00000000-0005-0000-0000-00006F1A0000}"/>
    <cellStyle name="40% - 강조색5 18 5" xfId="9376" xr:uid="{00000000-0005-0000-0000-0000701A0000}"/>
    <cellStyle name="40% - 강조색5 18 6" xfId="9377" xr:uid="{00000000-0005-0000-0000-0000711A0000}"/>
    <cellStyle name="40% - 강조색5 18 7" xfId="9378" xr:uid="{00000000-0005-0000-0000-0000721A0000}"/>
    <cellStyle name="40% - 강조색5 18 8" xfId="9379" xr:uid="{00000000-0005-0000-0000-0000731A0000}"/>
    <cellStyle name="40% - 강조색5 18 9" xfId="9380" xr:uid="{00000000-0005-0000-0000-0000741A0000}"/>
    <cellStyle name="40% - 강조색5 19" xfId="901" xr:uid="{00000000-0005-0000-0000-0000751A0000}"/>
    <cellStyle name="40% - 강조색5 19 10" xfId="9382" xr:uid="{00000000-0005-0000-0000-0000761A0000}"/>
    <cellStyle name="40% - 강조색5 19 11" xfId="9383" xr:uid="{00000000-0005-0000-0000-0000771A0000}"/>
    <cellStyle name="40% - 강조색5 19 12" xfId="9384" xr:uid="{00000000-0005-0000-0000-0000781A0000}"/>
    <cellStyle name="40% - 강조색5 19 13" xfId="9385" xr:uid="{00000000-0005-0000-0000-0000791A0000}"/>
    <cellStyle name="40% - 강조색5 19 14" xfId="9386" xr:uid="{00000000-0005-0000-0000-00007A1A0000}"/>
    <cellStyle name="40% - 강조색5 19 15" xfId="9381" xr:uid="{00000000-0005-0000-0000-00007B1A0000}"/>
    <cellStyle name="40% - 강조색5 19 2" xfId="902" xr:uid="{00000000-0005-0000-0000-00007C1A0000}"/>
    <cellStyle name="40% - 강조색5 19 2 2" xfId="9387" xr:uid="{00000000-0005-0000-0000-00007D1A0000}"/>
    <cellStyle name="40% - 강조색5 19 3" xfId="9388" xr:uid="{00000000-0005-0000-0000-00007E1A0000}"/>
    <cellStyle name="40% - 강조색5 19 4" xfId="9389" xr:uid="{00000000-0005-0000-0000-00007F1A0000}"/>
    <cellStyle name="40% - 강조색5 19 5" xfId="9390" xr:uid="{00000000-0005-0000-0000-0000801A0000}"/>
    <cellStyle name="40% - 강조색5 19 6" xfId="9391" xr:uid="{00000000-0005-0000-0000-0000811A0000}"/>
    <cellStyle name="40% - 강조색5 19 7" xfId="9392" xr:uid="{00000000-0005-0000-0000-0000821A0000}"/>
    <cellStyle name="40% - 강조색5 19 8" xfId="9393" xr:uid="{00000000-0005-0000-0000-0000831A0000}"/>
    <cellStyle name="40% - 강조색5 19 9" xfId="9394" xr:uid="{00000000-0005-0000-0000-0000841A0000}"/>
    <cellStyle name="40% - 강조색5 2" xfId="903" xr:uid="{00000000-0005-0000-0000-0000851A0000}"/>
    <cellStyle name="40% - 강조색5 2 10" xfId="9396" xr:uid="{00000000-0005-0000-0000-0000861A0000}"/>
    <cellStyle name="40% - 강조색5 2 11" xfId="9397" xr:uid="{00000000-0005-0000-0000-0000871A0000}"/>
    <cellStyle name="40% - 강조색5 2 12" xfId="9398" xr:uid="{00000000-0005-0000-0000-0000881A0000}"/>
    <cellStyle name="40% - 강조색5 2 13" xfId="9399" xr:uid="{00000000-0005-0000-0000-0000891A0000}"/>
    <cellStyle name="40% - 강조색5 2 14" xfId="9400" xr:uid="{00000000-0005-0000-0000-00008A1A0000}"/>
    <cellStyle name="40% - 강조색5 2 15" xfId="9395" xr:uid="{00000000-0005-0000-0000-00008B1A0000}"/>
    <cellStyle name="40% - 강조색5 2 16" xfId="27943" xr:uid="{00000000-0005-0000-0000-00008C1A0000}"/>
    <cellStyle name="40% - 강조색5 2 2" xfId="904" xr:uid="{00000000-0005-0000-0000-00008D1A0000}"/>
    <cellStyle name="40% - 강조색5 2 2 2" xfId="9401" xr:uid="{00000000-0005-0000-0000-00008E1A0000}"/>
    <cellStyle name="40% - 강조색5 2 3" xfId="9402" xr:uid="{00000000-0005-0000-0000-00008F1A0000}"/>
    <cellStyle name="40% - 강조색5 2 4" xfId="9403" xr:uid="{00000000-0005-0000-0000-0000901A0000}"/>
    <cellStyle name="40% - 강조색5 2 5" xfId="9404" xr:uid="{00000000-0005-0000-0000-0000911A0000}"/>
    <cellStyle name="40% - 강조색5 2 6" xfId="9405" xr:uid="{00000000-0005-0000-0000-0000921A0000}"/>
    <cellStyle name="40% - 강조색5 2 7" xfId="9406" xr:uid="{00000000-0005-0000-0000-0000931A0000}"/>
    <cellStyle name="40% - 강조색5 2 8" xfId="9407" xr:uid="{00000000-0005-0000-0000-0000941A0000}"/>
    <cellStyle name="40% - 강조색5 2 9" xfId="9408" xr:uid="{00000000-0005-0000-0000-0000951A0000}"/>
    <cellStyle name="40% - 강조색5 20" xfId="905" xr:uid="{00000000-0005-0000-0000-0000961A0000}"/>
    <cellStyle name="40% - 강조색5 20 10" xfId="9410" xr:uid="{00000000-0005-0000-0000-0000971A0000}"/>
    <cellStyle name="40% - 강조색5 20 11" xfId="9411" xr:uid="{00000000-0005-0000-0000-0000981A0000}"/>
    <cellStyle name="40% - 강조색5 20 12" xfId="9412" xr:uid="{00000000-0005-0000-0000-0000991A0000}"/>
    <cellStyle name="40% - 강조색5 20 13" xfId="9413" xr:uid="{00000000-0005-0000-0000-00009A1A0000}"/>
    <cellStyle name="40% - 강조색5 20 14" xfId="9414" xr:uid="{00000000-0005-0000-0000-00009B1A0000}"/>
    <cellStyle name="40% - 강조색5 20 15" xfId="9409" xr:uid="{00000000-0005-0000-0000-00009C1A0000}"/>
    <cellStyle name="40% - 강조색5 20 2" xfId="906" xr:uid="{00000000-0005-0000-0000-00009D1A0000}"/>
    <cellStyle name="40% - 강조색5 20 2 2" xfId="9415" xr:uid="{00000000-0005-0000-0000-00009E1A0000}"/>
    <cellStyle name="40% - 강조색5 20 3" xfId="9416" xr:uid="{00000000-0005-0000-0000-00009F1A0000}"/>
    <cellStyle name="40% - 강조색5 20 4" xfId="9417" xr:uid="{00000000-0005-0000-0000-0000A01A0000}"/>
    <cellStyle name="40% - 강조색5 20 5" xfId="9418" xr:uid="{00000000-0005-0000-0000-0000A11A0000}"/>
    <cellStyle name="40% - 강조색5 20 6" xfId="9419" xr:uid="{00000000-0005-0000-0000-0000A21A0000}"/>
    <cellStyle name="40% - 강조색5 20 7" xfId="9420" xr:uid="{00000000-0005-0000-0000-0000A31A0000}"/>
    <cellStyle name="40% - 강조색5 20 8" xfId="9421" xr:uid="{00000000-0005-0000-0000-0000A41A0000}"/>
    <cellStyle name="40% - 강조색5 20 9" xfId="9422" xr:uid="{00000000-0005-0000-0000-0000A51A0000}"/>
    <cellStyle name="40% - 강조색5 21" xfId="907" xr:uid="{00000000-0005-0000-0000-0000A61A0000}"/>
    <cellStyle name="40% - 강조색5 21 10" xfId="9424" xr:uid="{00000000-0005-0000-0000-0000A71A0000}"/>
    <cellStyle name="40% - 강조색5 21 11" xfId="9425" xr:uid="{00000000-0005-0000-0000-0000A81A0000}"/>
    <cellStyle name="40% - 강조색5 21 12" xfId="9426" xr:uid="{00000000-0005-0000-0000-0000A91A0000}"/>
    <cellStyle name="40% - 강조색5 21 13" xfId="9427" xr:uid="{00000000-0005-0000-0000-0000AA1A0000}"/>
    <cellStyle name="40% - 강조색5 21 14" xfId="9428" xr:uid="{00000000-0005-0000-0000-0000AB1A0000}"/>
    <cellStyle name="40% - 강조색5 21 15" xfId="9423" xr:uid="{00000000-0005-0000-0000-0000AC1A0000}"/>
    <cellStyle name="40% - 강조색5 21 2" xfId="908" xr:uid="{00000000-0005-0000-0000-0000AD1A0000}"/>
    <cellStyle name="40% - 강조색5 21 2 2" xfId="9429" xr:uid="{00000000-0005-0000-0000-0000AE1A0000}"/>
    <cellStyle name="40% - 강조색5 21 3" xfId="9430" xr:uid="{00000000-0005-0000-0000-0000AF1A0000}"/>
    <cellStyle name="40% - 강조색5 21 4" xfId="9431" xr:uid="{00000000-0005-0000-0000-0000B01A0000}"/>
    <cellStyle name="40% - 강조색5 21 5" xfId="9432" xr:uid="{00000000-0005-0000-0000-0000B11A0000}"/>
    <cellStyle name="40% - 강조색5 21 6" xfId="9433" xr:uid="{00000000-0005-0000-0000-0000B21A0000}"/>
    <cellStyle name="40% - 강조색5 21 7" xfId="9434" xr:uid="{00000000-0005-0000-0000-0000B31A0000}"/>
    <cellStyle name="40% - 강조색5 21 8" xfId="9435" xr:uid="{00000000-0005-0000-0000-0000B41A0000}"/>
    <cellStyle name="40% - 강조색5 21 9" xfId="9436" xr:uid="{00000000-0005-0000-0000-0000B51A0000}"/>
    <cellStyle name="40% - 강조색5 22" xfId="909" xr:uid="{00000000-0005-0000-0000-0000B61A0000}"/>
    <cellStyle name="40% - 강조색5 22 10" xfId="9438" xr:uid="{00000000-0005-0000-0000-0000B71A0000}"/>
    <cellStyle name="40% - 강조색5 22 11" xfId="9439" xr:uid="{00000000-0005-0000-0000-0000B81A0000}"/>
    <cellStyle name="40% - 강조색5 22 12" xfId="9440" xr:uid="{00000000-0005-0000-0000-0000B91A0000}"/>
    <cellStyle name="40% - 강조색5 22 13" xfId="9441" xr:uid="{00000000-0005-0000-0000-0000BA1A0000}"/>
    <cellStyle name="40% - 강조색5 22 14" xfId="9442" xr:uid="{00000000-0005-0000-0000-0000BB1A0000}"/>
    <cellStyle name="40% - 강조색5 22 15" xfId="9437" xr:uid="{00000000-0005-0000-0000-0000BC1A0000}"/>
    <cellStyle name="40% - 강조색5 22 2" xfId="910" xr:uid="{00000000-0005-0000-0000-0000BD1A0000}"/>
    <cellStyle name="40% - 강조색5 22 2 2" xfId="9443" xr:uid="{00000000-0005-0000-0000-0000BE1A0000}"/>
    <cellStyle name="40% - 강조색5 22 3" xfId="9444" xr:uid="{00000000-0005-0000-0000-0000BF1A0000}"/>
    <cellStyle name="40% - 강조색5 22 4" xfId="9445" xr:uid="{00000000-0005-0000-0000-0000C01A0000}"/>
    <cellStyle name="40% - 강조색5 22 5" xfId="9446" xr:uid="{00000000-0005-0000-0000-0000C11A0000}"/>
    <cellStyle name="40% - 강조색5 22 6" xfId="9447" xr:uid="{00000000-0005-0000-0000-0000C21A0000}"/>
    <cellStyle name="40% - 강조색5 22 7" xfId="9448" xr:uid="{00000000-0005-0000-0000-0000C31A0000}"/>
    <cellStyle name="40% - 강조색5 22 8" xfId="9449" xr:uid="{00000000-0005-0000-0000-0000C41A0000}"/>
    <cellStyle name="40% - 강조색5 22 9" xfId="9450" xr:uid="{00000000-0005-0000-0000-0000C51A0000}"/>
    <cellStyle name="40% - 강조색5 23" xfId="911" xr:uid="{00000000-0005-0000-0000-0000C61A0000}"/>
    <cellStyle name="40% - 강조색5 23 10" xfId="9452" xr:uid="{00000000-0005-0000-0000-0000C71A0000}"/>
    <cellStyle name="40% - 강조색5 23 11" xfId="9453" xr:uid="{00000000-0005-0000-0000-0000C81A0000}"/>
    <cellStyle name="40% - 강조색5 23 12" xfId="9454" xr:uid="{00000000-0005-0000-0000-0000C91A0000}"/>
    <cellStyle name="40% - 강조색5 23 13" xfId="9455" xr:uid="{00000000-0005-0000-0000-0000CA1A0000}"/>
    <cellStyle name="40% - 강조색5 23 14" xfId="9456" xr:uid="{00000000-0005-0000-0000-0000CB1A0000}"/>
    <cellStyle name="40% - 강조색5 23 15" xfId="9451" xr:uid="{00000000-0005-0000-0000-0000CC1A0000}"/>
    <cellStyle name="40% - 강조색5 23 2" xfId="912" xr:uid="{00000000-0005-0000-0000-0000CD1A0000}"/>
    <cellStyle name="40% - 강조색5 23 2 2" xfId="9457" xr:uid="{00000000-0005-0000-0000-0000CE1A0000}"/>
    <cellStyle name="40% - 강조색5 23 3" xfId="9458" xr:uid="{00000000-0005-0000-0000-0000CF1A0000}"/>
    <cellStyle name="40% - 강조색5 23 4" xfId="9459" xr:uid="{00000000-0005-0000-0000-0000D01A0000}"/>
    <cellStyle name="40% - 강조색5 23 5" xfId="9460" xr:uid="{00000000-0005-0000-0000-0000D11A0000}"/>
    <cellStyle name="40% - 강조색5 23 6" xfId="9461" xr:uid="{00000000-0005-0000-0000-0000D21A0000}"/>
    <cellStyle name="40% - 강조색5 23 7" xfId="9462" xr:uid="{00000000-0005-0000-0000-0000D31A0000}"/>
    <cellStyle name="40% - 강조색5 23 8" xfId="9463" xr:uid="{00000000-0005-0000-0000-0000D41A0000}"/>
    <cellStyle name="40% - 강조색5 23 9" xfId="9464" xr:uid="{00000000-0005-0000-0000-0000D51A0000}"/>
    <cellStyle name="40% - 강조색5 24" xfId="913" xr:uid="{00000000-0005-0000-0000-0000D61A0000}"/>
    <cellStyle name="40% - 강조색5 24 10" xfId="9466" xr:uid="{00000000-0005-0000-0000-0000D71A0000}"/>
    <cellStyle name="40% - 강조색5 24 11" xfId="9467" xr:uid="{00000000-0005-0000-0000-0000D81A0000}"/>
    <cellStyle name="40% - 강조색5 24 12" xfId="9468" xr:uid="{00000000-0005-0000-0000-0000D91A0000}"/>
    <cellStyle name="40% - 강조색5 24 13" xfId="9469" xr:uid="{00000000-0005-0000-0000-0000DA1A0000}"/>
    <cellStyle name="40% - 강조색5 24 14" xfId="9470" xr:uid="{00000000-0005-0000-0000-0000DB1A0000}"/>
    <cellStyle name="40% - 강조색5 24 15" xfId="9465" xr:uid="{00000000-0005-0000-0000-0000DC1A0000}"/>
    <cellStyle name="40% - 강조색5 24 2" xfId="914" xr:uid="{00000000-0005-0000-0000-0000DD1A0000}"/>
    <cellStyle name="40% - 강조색5 24 2 2" xfId="9471" xr:uid="{00000000-0005-0000-0000-0000DE1A0000}"/>
    <cellStyle name="40% - 강조색5 24 3" xfId="9472" xr:uid="{00000000-0005-0000-0000-0000DF1A0000}"/>
    <cellStyle name="40% - 강조색5 24 4" xfId="9473" xr:uid="{00000000-0005-0000-0000-0000E01A0000}"/>
    <cellStyle name="40% - 강조색5 24 5" xfId="9474" xr:uid="{00000000-0005-0000-0000-0000E11A0000}"/>
    <cellStyle name="40% - 강조색5 24 6" xfId="9475" xr:uid="{00000000-0005-0000-0000-0000E21A0000}"/>
    <cellStyle name="40% - 강조색5 24 7" xfId="9476" xr:uid="{00000000-0005-0000-0000-0000E31A0000}"/>
    <cellStyle name="40% - 강조색5 24 8" xfId="9477" xr:uid="{00000000-0005-0000-0000-0000E41A0000}"/>
    <cellStyle name="40% - 강조색5 24 9" xfId="9478" xr:uid="{00000000-0005-0000-0000-0000E51A0000}"/>
    <cellStyle name="40% - 강조색5 25" xfId="915" xr:uid="{00000000-0005-0000-0000-0000E61A0000}"/>
    <cellStyle name="40% - 강조색5 25 10" xfId="9480" xr:uid="{00000000-0005-0000-0000-0000E71A0000}"/>
    <cellStyle name="40% - 강조색5 25 11" xfId="9481" xr:uid="{00000000-0005-0000-0000-0000E81A0000}"/>
    <cellStyle name="40% - 강조색5 25 12" xfId="9482" xr:uid="{00000000-0005-0000-0000-0000E91A0000}"/>
    <cellStyle name="40% - 강조색5 25 13" xfId="9483" xr:uid="{00000000-0005-0000-0000-0000EA1A0000}"/>
    <cellStyle name="40% - 강조색5 25 14" xfId="9484" xr:uid="{00000000-0005-0000-0000-0000EB1A0000}"/>
    <cellStyle name="40% - 강조색5 25 15" xfId="9479" xr:uid="{00000000-0005-0000-0000-0000EC1A0000}"/>
    <cellStyle name="40% - 강조색5 25 2" xfId="916" xr:uid="{00000000-0005-0000-0000-0000ED1A0000}"/>
    <cellStyle name="40% - 강조색5 25 2 2" xfId="9485" xr:uid="{00000000-0005-0000-0000-0000EE1A0000}"/>
    <cellStyle name="40% - 강조색5 25 3" xfId="9486" xr:uid="{00000000-0005-0000-0000-0000EF1A0000}"/>
    <cellStyle name="40% - 강조색5 25 4" xfId="9487" xr:uid="{00000000-0005-0000-0000-0000F01A0000}"/>
    <cellStyle name="40% - 강조색5 25 5" xfId="9488" xr:uid="{00000000-0005-0000-0000-0000F11A0000}"/>
    <cellStyle name="40% - 강조색5 25 6" xfId="9489" xr:uid="{00000000-0005-0000-0000-0000F21A0000}"/>
    <cellStyle name="40% - 강조색5 25 7" xfId="9490" xr:uid="{00000000-0005-0000-0000-0000F31A0000}"/>
    <cellStyle name="40% - 강조색5 25 8" xfId="9491" xr:uid="{00000000-0005-0000-0000-0000F41A0000}"/>
    <cellStyle name="40% - 강조색5 25 9" xfId="9492" xr:uid="{00000000-0005-0000-0000-0000F51A0000}"/>
    <cellStyle name="40% - 강조색5 26" xfId="917" xr:uid="{00000000-0005-0000-0000-0000F61A0000}"/>
    <cellStyle name="40% - 강조색5 26 10" xfId="9494" xr:uid="{00000000-0005-0000-0000-0000F71A0000}"/>
    <cellStyle name="40% - 강조색5 26 11" xfId="9495" xr:uid="{00000000-0005-0000-0000-0000F81A0000}"/>
    <cellStyle name="40% - 강조색5 26 12" xfId="9496" xr:uid="{00000000-0005-0000-0000-0000F91A0000}"/>
    <cellStyle name="40% - 강조색5 26 13" xfId="9497" xr:uid="{00000000-0005-0000-0000-0000FA1A0000}"/>
    <cellStyle name="40% - 강조색5 26 14" xfId="9498" xr:uid="{00000000-0005-0000-0000-0000FB1A0000}"/>
    <cellStyle name="40% - 강조색5 26 15" xfId="9493" xr:uid="{00000000-0005-0000-0000-0000FC1A0000}"/>
    <cellStyle name="40% - 강조색5 26 2" xfId="918" xr:uid="{00000000-0005-0000-0000-0000FD1A0000}"/>
    <cellStyle name="40% - 강조색5 26 2 2" xfId="9499" xr:uid="{00000000-0005-0000-0000-0000FE1A0000}"/>
    <cellStyle name="40% - 강조색5 26 3" xfId="9500" xr:uid="{00000000-0005-0000-0000-0000FF1A0000}"/>
    <cellStyle name="40% - 강조색5 26 4" xfId="9501" xr:uid="{00000000-0005-0000-0000-0000001B0000}"/>
    <cellStyle name="40% - 강조색5 26 5" xfId="9502" xr:uid="{00000000-0005-0000-0000-0000011B0000}"/>
    <cellStyle name="40% - 강조색5 26 6" xfId="9503" xr:uid="{00000000-0005-0000-0000-0000021B0000}"/>
    <cellStyle name="40% - 강조색5 26 7" xfId="9504" xr:uid="{00000000-0005-0000-0000-0000031B0000}"/>
    <cellStyle name="40% - 강조색5 26 8" xfId="9505" xr:uid="{00000000-0005-0000-0000-0000041B0000}"/>
    <cellStyle name="40% - 강조색5 26 9" xfId="9506" xr:uid="{00000000-0005-0000-0000-0000051B0000}"/>
    <cellStyle name="40% - 강조색5 27" xfId="919" xr:uid="{00000000-0005-0000-0000-0000061B0000}"/>
    <cellStyle name="40% - 강조색5 27 10" xfId="9508" xr:uid="{00000000-0005-0000-0000-0000071B0000}"/>
    <cellStyle name="40% - 강조색5 27 11" xfId="9509" xr:uid="{00000000-0005-0000-0000-0000081B0000}"/>
    <cellStyle name="40% - 강조색5 27 12" xfId="9510" xr:uid="{00000000-0005-0000-0000-0000091B0000}"/>
    <cellStyle name="40% - 강조색5 27 13" xfId="9511" xr:uid="{00000000-0005-0000-0000-00000A1B0000}"/>
    <cellStyle name="40% - 강조색5 27 14" xfId="9512" xr:uid="{00000000-0005-0000-0000-00000B1B0000}"/>
    <cellStyle name="40% - 강조색5 27 15" xfId="9507" xr:uid="{00000000-0005-0000-0000-00000C1B0000}"/>
    <cellStyle name="40% - 강조색5 27 2" xfId="920" xr:uid="{00000000-0005-0000-0000-00000D1B0000}"/>
    <cellStyle name="40% - 강조색5 27 2 2" xfId="9513" xr:uid="{00000000-0005-0000-0000-00000E1B0000}"/>
    <cellStyle name="40% - 강조색5 27 3" xfId="9514" xr:uid="{00000000-0005-0000-0000-00000F1B0000}"/>
    <cellStyle name="40% - 강조색5 27 4" xfId="9515" xr:uid="{00000000-0005-0000-0000-0000101B0000}"/>
    <cellStyle name="40% - 강조색5 27 5" xfId="9516" xr:uid="{00000000-0005-0000-0000-0000111B0000}"/>
    <cellStyle name="40% - 강조색5 27 6" xfId="9517" xr:uid="{00000000-0005-0000-0000-0000121B0000}"/>
    <cellStyle name="40% - 강조색5 27 7" xfId="9518" xr:uid="{00000000-0005-0000-0000-0000131B0000}"/>
    <cellStyle name="40% - 강조색5 27 8" xfId="9519" xr:uid="{00000000-0005-0000-0000-0000141B0000}"/>
    <cellStyle name="40% - 강조색5 27 9" xfId="9520" xr:uid="{00000000-0005-0000-0000-0000151B0000}"/>
    <cellStyle name="40% - 강조색5 28" xfId="921" xr:uid="{00000000-0005-0000-0000-0000161B0000}"/>
    <cellStyle name="40% - 강조색5 28 10" xfId="9522" xr:uid="{00000000-0005-0000-0000-0000171B0000}"/>
    <cellStyle name="40% - 강조색5 28 11" xfId="9523" xr:uid="{00000000-0005-0000-0000-0000181B0000}"/>
    <cellStyle name="40% - 강조색5 28 12" xfId="9524" xr:uid="{00000000-0005-0000-0000-0000191B0000}"/>
    <cellStyle name="40% - 강조색5 28 13" xfId="9525" xr:uid="{00000000-0005-0000-0000-00001A1B0000}"/>
    <cellStyle name="40% - 강조색5 28 14" xfId="9526" xr:uid="{00000000-0005-0000-0000-00001B1B0000}"/>
    <cellStyle name="40% - 강조색5 28 15" xfId="9521" xr:uid="{00000000-0005-0000-0000-00001C1B0000}"/>
    <cellStyle name="40% - 강조색5 28 2" xfId="922" xr:uid="{00000000-0005-0000-0000-00001D1B0000}"/>
    <cellStyle name="40% - 강조색5 28 2 2" xfId="9527" xr:uid="{00000000-0005-0000-0000-00001E1B0000}"/>
    <cellStyle name="40% - 강조색5 28 3" xfId="9528" xr:uid="{00000000-0005-0000-0000-00001F1B0000}"/>
    <cellStyle name="40% - 강조색5 28 4" xfId="9529" xr:uid="{00000000-0005-0000-0000-0000201B0000}"/>
    <cellStyle name="40% - 강조색5 28 5" xfId="9530" xr:uid="{00000000-0005-0000-0000-0000211B0000}"/>
    <cellStyle name="40% - 강조색5 28 6" xfId="9531" xr:uid="{00000000-0005-0000-0000-0000221B0000}"/>
    <cellStyle name="40% - 강조색5 28 7" xfId="9532" xr:uid="{00000000-0005-0000-0000-0000231B0000}"/>
    <cellStyle name="40% - 강조색5 28 8" xfId="9533" xr:uid="{00000000-0005-0000-0000-0000241B0000}"/>
    <cellStyle name="40% - 강조색5 28 9" xfId="9534" xr:uid="{00000000-0005-0000-0000-0000251B0000}"/>
    <cellStyle name="40% - 강조색5 29" xfId="923" xr:uid="{00000000-0005-0000-0000-0000261B0000}"/>
    <cellStyle name="40% - 강조색5 29 10" xfId="9536" xr:uid="{00000000-0005-0000-0000-0000271B0000}"/>
    <cellStyle name="40% - 강조색5 29 11" xfId="9537" xr:uid="{00000000-0005-0000-0000-0000281B0000}"/>
    <cellStyle name="40% - 강조색5 29 12" xfId="9538" xr:uid="{00000000-0005-0000-0000-0000291B0000}"/>
    <cellStyle name="40% - 강조색5 29 13" xfId="9539" xr:uid="{00000000-0005-0000-0000-00002A1B0000}"/>
    <cellStyle name="40% - 강조색5 29 14" xfId="9540" xr:uid="{00000000-0005-0000-0000-00002B1B0000}"/>
    <cellStyle name="40% - 강조색5 29 15" xfId="9535" xr:uid="{00000000-0005-0000-0000-00002C1B0000}"/>
    <cellStyle name="40% - 강조색5 29 2" xfId="924" xr:uid="{00000000-0005-0000-0000-00002D1B0000}"/>
    <cellStyle name="40% - 강조색5 29 2 2" xfId="9541" xr:uid="{00000000-0005-0000-0000-00002E1B0000}"/>
    <cellStyle name="40% - 강조색5 29 3" xfId="9542" xr:uid="{00000000-0005-0000-0000-00002F1B0000}"/>
    <cellStyle name="40% - 강조색5 29 4" xfId="9543" xr:uid="{00000000-0005-0000-0000-0000301B0000}"/>
    <cellStyle name="40% - 강조색5 29 5" xfId="9544" xr:uid="{00000000-0005-0000-0000-0000311B0000}"/>
    <cellStyle name="40% - 강조색5 29 6" xfId="9545" xr:uid="{00000000-0005-0000-0000-0000321B0000}"/>
    <cellStyle name="40% - 강조색5 29 7" xfId="9546" xr:uid="{00000000-0005-0000-0000-0000331B0000}"/>
    <cellStyle name="40% - 강조색5 29 8" xfId="9547" xr:uid="{00000000-0005-0000-0000-0000341B0000}"/>
    <cellStyle name="40% - 강조색5 29 9" xfId="9548" xr:uid="{00000000-0005-0000-0000-0000351B0000}"/>
    <cellStyle name="40% - 강조색5 3" xfId="925" xr:uid="{00000000-0005-0000-0000-0000361B0000}"/>
    <cellStyle name="40% - 강조색5 3 10" xfId="9550" xr:uid="{00000000-0005-0000-0000-0000371B0000}"/>
    <cellStyle name="40% - 강조색5 3 11" xfId="9551" xr:uid="{00000000-0005-0000-0000-0000381B0000}"/>
    <cellStyle name="40% - 강조색5 3 12" xfId="9552" xr:uid="{00000000-0005-0000-0000-0000391B0000}"/>
    <cellStyle name="40% - 강조색5 3 13" xfId="9553" xr:uid="{00000000-0005-0000-0000-00003A1B0000}"/>
    <cellStyle name="40% - 강조색5 3 14" xfId="9554" xr:uid="{00000000-0005-0000-0000-00003B1B0000}"/>
    <cellStyle name="40% - 강조색5 3 15" xfId="9549" xr:uid="{00000000-0005-0000-0000-00003C1B0000}"/>
    <cellStyle name="40% - 강조색5 3 16" xfId="28199" xr:uid="{00000000-0005-0000-0000-00003D1B0000}"/>
    <cellStyle name="40% - 강조색5 3 2" xfId="926" xr:uid="{00000000-0005-0000-0000-00003E1B0000}"/>
    <cellStyle name="40% - 강조색5 3 2 2" xfId="9555" xr:uid="{00000000-0005-0000-0000-00003F1B0000}"/>
    <cellStyle name="40% - 강조색5 3 3" xfId="9556" xr:uid="{00000000-0005-0000-0000-0000401B0000}"/>
    <cellStyle name="40% - 강조색5 3 4" xfId="9557" xr:uid="{00000000-0005-0000-0000-0000411B0000}"/>
    <cellStyle name="40% - 강조색5 3 5" xfId="9558" xr:uid="{00000000-0005-0000-0000-0000421B0000}"/>
    <cellStyle name="40% - 강조색5 3 6" xfId="9559" xr:uid="{00000000-0005-0000-0000-0000431B0000}"/>
    <cellStyle name="40% - 강조색5 3 7" xfId="9560" xr:uid="{00000000-0005-0000-0000-0000441B0000}"/>
    <cellStyle name="40% - 강조색5 3 8" xfId="9561" xr:uid="{00000000-0005-0000-0000-0000451B0000}"/>
    <cellStyle name="40% - 강조색5 3 9" xfId="9562" xr:uid="{00000000-0005-0000-0000-0000461B0000}"/>
    <cellStyle name="40% - 강조색5 30" xfId="927" xr:uid="{00000000-0005-0000-0000-0000471B0000}"/>
    <cellStyle name="40% - 강조색5 30 10" xfId="9564" xr:uid="{00000000-0005-0000-0000-0000481B0000}"/>
    <cellStyle name="40% - 강조색5 30 11" xfId="9565" xr:uid="{00000000-0005-0000-0000-0000491B0000}"/>
    <cellStyle name="40% - 강조색5 30 12" xfId="9566" xr:uid="{00000000-0005-0000-0000-00004A1B0000}"/>
    <cellStyle name="40% - 강조색5 30 13" xfId="9567" xr:uid="{00000000-0005-0000-0000-00004B1B0000}"/>
    <cellStyle name="40% - 강조색5 30 14" xfId="9568" xr:uid="{00000000-0005-0000-0000-00004C1B0000}"/>
    <cellStyle name="40% - 강조색5 30 15" xfId="9563" xr:uid="{00000000-0005-0000-0000-00004D1B0000}"/>
    <cellStyle name="40% - 강조색5 30 2" xfId="928" xr:uid="{00000000-0005-0000-0000-00004E1B0000}"/>
    <cellStyle name="40% - 강조색5 30 2 2" xfId="9569" xr:uid="{00000000-0005-0000-0000-00004F1B0000}"/>
    <cellStyle name="40% - 강조색5 30 3" xfId="9570" xr:uid="{00000000-0005-0000-0000-0000501B0000}"/>
    <cellStyle name="40% - 강조색5 30 4" xfId="9571" xr:uid="{00000000-0005-0000-0000-0000511B0000}"/>
    <cellStyle name="40% - 강조색5 30 5" xfId="9572" xr:uid="{00000000-0005-0000-0000-0000521B0000}"/>
    <cellStyle name="40% - 강조색5 30 6" xfId="9573" xr:uid="{00000000-0005-0000-0000-0000531B0000}"/>
    <cellStyle name="40% - 강조색5 30 7" xfId="9574" xr:uid="{00000000-0005-0000-0000-0000541B0000}"/>
    <cellStyle name="40% - 강조색5 30 8" xfId="9575" xr:uid="{00000000-0005-0000-0000-0000551B0000}"/>
    <cellStyle name="40% - 강조색5 30 9" xfId="9576" xr:uid="{00000000-0005-0000-0000-0000561B0000}"/>
    <cellStyle name="40% - 강조색5 31" xfId="929" xr:uid="{00000000-0005-0000-0000-0000571B0000}"/>
    <cellStyle name="40% - 강조색5 31 10" xfId="9578" xr:uid="{00000000-0005-0000-0000-0000581B0000}"/>
    <cellStyle name="40% - 강조색5 31 11" xfId="9579" xr:uid="{00000000-0005-0000-0000-0000591B0000}"/>
    <cellStyle name="40% - 강조색5 31 12" xfId="9580" xr:uid="{00000000-0005-0000-0000-00005A1B0000}"/>
    <cellStyle name="40% - 강조색5 31 13" xfId="9581" xr:uid="{00000000-0005-0000-0000-00005B1B0000}"/>
    <cellStyle name="40% - 강조색5 31 14" xfId="9582" xr:uid="{00000000-0005-0000-0000-00005C1B0000}"/>
    <cellStyle name="40% - 강조색5 31 15" xfId="9577" xr:uid="{00000000-0005-0000-0000-00005D1B0000}"/>
    <cellStyle name="40% - 강조색5 31 2" xfId="930" xr:uid="{00000000-0005-0000-0000-00005E1B0000}"/>
    <cellStyle name="40% - 강조색5 31 2 2" xfId="9583" xr:uid="{00000000-0005-0000-0000-00005F1B0000}"/>
    <cellStyle name="40% - 강조색5 31 3" xfId="9584" xr:uid="{00000000-0005-0000-0000-0000601B0000}"/>
    <cellStyle name="40% - 강조색5 31 4" xfId="9585" xr:uid="{00000000-0005-0000-0000-0000611B0000}"/>
    <cellStyle name="40% - 강조색5 31 5" xfId="9586" xr:uid="{00000000-0005-0000-0000-0000621B0000}"/>
    <cellStyle name="40% - 강조색5 31 6" xfId="9587" xr:uid="{00000000-0005-0000-0000-0000631B0000}"/>
    <cellStyle name="40% - 강조색5 31 7" xfId="9588" xr:uid="{00000000-0005-0000-0000-0000641B0000}"/>
    <cellStyle name="40% - 강조색5 31 8" xfId="9589" xr:uid="{00000000-0005-0000-0000-0000651B0000}"/>
    <cellStyle name="40% - 강조색5 31 9" xfId="9590" xr:uid="{00000000-0005-0000-0000-0000661B0000}"/>
    <cellStyle name="40% - 강조색5 32" xfId="931" xr:uid="{00000000-0005-0000-0000-0000671B0000}"/>
    <cellStyle name="40% - 강조색5 32 10" xfId="9592" xr:uid="{00000000-0005-0000-0000-0000681B0000}"/>
    <cellStyle name="40% - 강조색5 32 11" xfId="9593" xr:uid="{00000000-0005-0000-0000-0000691B0000}"/>
    <cellStyle name="40% - 강조색5 32 12" xfId="9594" xr:uid="{00000000-0005-0000-0000-00006A1B0000}"/>
    <cellStyle name="40% - 강조색5 32 13" xfId="9595" xr:uid="{00000000-0005-0000-0000-00006B1B0000}"/>
    <cellStyle name="40% - 강조색5 32 14" xfId="9596" xr:uid="{00000000-0005-0000-0000-00006C1B0000}"/>
    <cellStyle name="40% - 강조색5 32 15" xfId="9591" xr:uid="{00000000-0005-0000-0000-00006D1B0000}"/>
    <cellStyle name="40% - 강조색5 32 2" xfId="932" xr:uid="{00000000-0005-0000-0000-00006E1B0000}"/>
    <cellStyle name="40% - 강조색5 32 2 2" xfId="9597" xr:uid="{00000000-0005-0000-0000-00006F1B0000}"/>
    <cellStyle name="40% - 강조색5 32 3" xfId="9598" xr:uid="{00000000-0005-0000-0000-0000701B0000}"/>
    <cellStyle name="40% - 강조색5 32 4" xfId="9599" xr:uid="{00000000-0005-0000-0000-0000711B0000}"/>
    <cellStyle name="40% - 강조색5 32 5" xfId="9600" xr:uid="{00000000-0005-0000-0000-0000721B0000}"/>
    <cellStyle name="40% - 강조색5 32 6" xfId="9601" xr:uid="{00000000-0005-0000-0000-0000731B0000}"/>
    <cellStyle name="40% - 강조색5 32 7" xfId="9602" xr:uid="{00000000-0005-0000-0000-0000741B0000}"/>
    <cellStyle name="40% - 강조색5 32 8" xfId="9603" xr:uid="{00000000-0005-0000-0000-0000751B0000}"/>
    <cellStyle name="40% - 강조색5 32 9" xfId="9604" xr:uid="{00000000-0005-0000-0000-0000761B0000}"/>
    <cellStyle name="40% - 강조색5 33" xfId="933" xr:uid="{00000000-0005-0000-0000-0000771B0000}"/>
    <cellStyle name="40% - 강조색5 33 10" xfId="9606" xr:uid="{00000000-0005-0000-0000-0000781B0000}"/>
    <cellStyle name="40% - 강조색5 33 11" xfId="9607" xr:uid="{00000000-0005-0000-0000-0000791B0000}"/>
    <cellStyle name="40% - 강조색5 33 12" xfId="9608" xr:uid="{00000000-0005-0000-0000-00007A1B0000}"/>
    <cellStyle name="40% - 강조색5 33 13" xfId="9609" xr:uid="{00000000-0005-0000-0000-00007B1B0000}"/>
    <cellStyle name="40% - 강조색5 33 14" xfId="9610" xr:uid="{00000000-0005-0000-0000-00007C1B0000}"/>
    <cellStyle name="40% - 강조색5 33 15" xfId="9605" xr:uid="{00000000-0005-0000-0000-00007D1B0000}"/>
    <cellStyle name="40% - 강조색5 33 2" xfId="934" xr:uid="{00000000-0005-0000-0000-00007E1B0000}"/>
    <cellStyle name="40% - 강조색5 33 2 2" xfId="9611" xr:uid="{00000000-0005-0000-0000-00007F1B0000}"/>
    <cellStyle name="40% - 강조색5 33 3" xfId="9612" xr:uid="{00000000-0005-0000-0000-0000801B0000}"/>
    <cellStyle name="40% - 강조색5 33 4" xfId="9613" xr:uid="{00000000-0005-0000-0000-0000811B0000}"/>
    <cellStyle name="40% - 강조색5 33 5" xfId="9614" xr:uid="{00000000-0005-0000-0000-0000821B0000}"/>
    <cellStyle name="40% - 강조색5 33 6" xfId="9615" xr:uid="{00000000-0005-0000-0000-0000831B0000}"/>
    <cellStyle name="40% - 강조색5 33 7" xfId="9616" xr:uid="{00000000-0005-0000-0000-0000841B0000}"/>
    <cellStyle name="40% - 강조색5 33 8" xfId="9617" xr:uid="{00000000-0005-0000-0000-0000851B0000}"/>
    <cellStyle name="40% - 강조색5 33 9" xfId="9618" xr:uid="{00000000-0005-0000-0000-0000861B0000}"/>
    <cellStyle name="40% - 강조색5 34" xfId="935" xr:uid="{00000000-0005-0000-0000-0000871B0000}"/>
    <cellStyle name="40% - 강조색5 34 10" xfId="9620" xr:uid="{00000000-0005-0000-0000-0000881B0000}"/>
    <cellStyle name="40% - 강조색5 34 11" xfId="9621" xr:uid="{00000000-0005-0000-0000-0000891B0000}"/>
    <cellStyle name="40% - 강조색5 34 12" xfId="9622" xr:uid="{00000000-0005-0000-0000-00008A1B0000}"/>
    <cellStyle name="40% - 강조색5 34 13" xfId="9623" xr:uid="{00000000-0005-0000-0000-00008B1B0000}"/>
    <cellStyle name="40% - 강조색5 34 14" xfId="9624" xr:uid="{00000000-0005-0000-0000-00008C1B0000}"/>
    <cellStyle name="40% - 강조색5 34 15" xfId="9619" xr:uid="{00000000-0005-0000-0000-00008D1B0000}"/>
    <cellStyle name="40% - 강조색5 34 2" xfId="936" xr:uid="{00000000-0005-0000-0000-00008E1B0000}"/>
    <cellStyle name="40% - 강조색5 34 2 2" xfId="9625" xr:uid="{00000000-0005-0000-0000-00008F1B0000}"/>
    <cellStyle name="40% - 강조색5 34 3" xfId="9626" xr:uid="{00000000-0005-0000-0000-0000901B0000}"/>
    <cellStyle name="40% - 강조색5 34 4" xfId="9627" xr:uid="{00000000-0005-0000-0000-0000911B0000}"/>
    <cellStyle name="40% - 강조색5 34 5" xfId="9628" xr:uid="{00000000-0005-0000-0000-0000921B0000}"/>
    <cellStyle name="40% - 강조색5 34 6" xfId="9629" xr:uid="{00000000-0005-0000-0000-0000931B0000}"/>
    <cellStyle name="40% - 강조색5 34 7" xfId="9630" xr:uid="{00000000-0005-0000-0000-0000941B0000}"/>
    <cellStyle name="40% - 강조색5 34 8" xfId="9631" xr:uid="{00000000-0005-0000-0000-0000951B0000}"/>
    <cellStyle name="40% - 강조색5 34 9" xfId="9632" xr:uid="{00000000-0005-0000-0000-0000961B0000}"/>
    <cellStyle name="40% - 강조색5 35" xfId="937" xr:uid="{00000000-0005-0000-0000-0000971B0000}"/>
    <cellStyle name="40% - 강조색5 35 10" xfId="9634" xr:uid="{00000000-0005-0000-0000-0000981B0000}"/>
    <cellStyle name="40% - 강조색5 35 11" xfId="9635" xr:uid="{00000000-0005-0000-0000-0000991B0000}"/>
    <cellStyle name="40% - 강조색5 35 12" xfId="9636" xr:uid="{00000000-0005-0000-0000-00009A1B0000}"/>
    <cellStyle name="40% - 강조색5 35 13" xfId="9637" xr:uid="{00000000-0005-0000-0000-00009B1B0000}"/>
    <cellStyle name="40% - 강조색5 35 14" xfId="9638" xr:uid="{00000000-0005-0000-0000-00009C1B0000}"/>
    <cellStyle name="40% - 강조색5 35 15" xfId="9633" xr:uid="{00000000-0005-0000-0000-00009D1B0000}"/>
    <cellStyle name="40% - 강조색5 35 2" xfId="938" xr:uid="{00000000-0005-0000-0000-00009E1B0000}"/>
    <cellStyle name="40% - 강조색5 35 2 2" xfId="9639" xr:uid="{00000000-0005-0000-0000-00009F1B0000}"/>
    <cellStyle name="40% - 강조색5 35 3" xfId="9640" xr:uid="{00000000-0005-0000-0000-0000A01B0000}"/>
    <cellStyle name="40% - 강조색5 35 4" xfId="9641" xr:uid="{00000000-0005-0000-0000-0000A11B0000}"/>
    <cellStyle name="40% - 강조색5 35 5" xfId="9642" xr:uid="{00000000-0005-0000-0000-0000A21B0000}"/>
    <cellStyle name="40% - 강조색5 35 6" xfId="9643" xr:uid="{00000000-0005-0000-0000-0000A31B0000}"/>
    <cellStyle name="40% - 강조색5 35 7" xfId="9644" xr:uid="{00000000-0005-0000-0000-0000A41B0000}"/>
    <cellStyle name="40% - 강조색5 35 8" xfId="9645" xr:uid="{00000000-0005-0000-0000-0000A51B0000}"/>
    <cellStyle name="40% - 강조색5 35 9" xfId="9646" xr:uid="{00000000-0005-0000-0000-0000A61B0000}"/>
    <cellStyle name="40% - 강조색5 36" xfId="939" xr:uid="{00000000-0005-0000-0000-0000A71B0000}"/>
    <cellStyle name="40% - 강조색5 36 10" xfId="9648" xr:uid="{00000000-0005-0000-0000-0000A81B0000}"/>
    <cellStyle name="40% - 강조색5 36 11" xfId="9649" xr:uid="{00000000-0005-0000-0000-0000A91B0000}"/>
    <cellStyle name="40% - 강조색5 36 12" xfId="9650" xr:uid="{00000000-0005-0000-0000-0000AA1B0000}"/>
    <cellStyle name="40% - 강조색5 36 13" xfId="9651" xr:uid="{00000000-0005-0000-0000-0000AB1B0000}"/>
    <cellStyle name="40% - 강조색5 36 14" xfId="9652" xr:uid="{00000000-0005-0000-0000-0000AC1B0000}"/>
    <cellStyle name="40% - 강조색5 36 15" xfId="9647" xr:uid="{00000000-0005-0000-0000-0000AD1B0000}"/>
    <cellStyle name="40% - 강조색5 36 2" xfId="940" xr:uid="{00000000-0005-0000-0000-0000AE1B0000}"/>
    <cellStyle name="40% - 강조색5 36 2 2" xfId="9653" xr:uid="{00000000-0005-0000-0000-0000AF1B0000}"/>
    <cellStyle name="40% - 강조색5 36 3" xfId="9654" xr:uid="{00000000-0005-0000-0000-0000B01B0000}"/>
    <cellStyle name="40% - 강조색5 36 4" xfId="9655" xr:uid="{00000000-0005-0000-0000-0000B11B0000}"/>
    <cellStyle name="40% - 강조색5 36 5" xfId="9656" xr:uid="{00000000-0005-0000-0000-0000B21B0000}"/>
    <cellStyle name="40% - 강조색5 36 6" xfId="9657" xr:uid="{00000000-0005-0000-0000-0000B31B0000}"/>
    <cellStyle name="40% - 강조색5 36 7" xfId="9658" xr:uid="{00000000-0005-0000-0000-0000B41B0000}"/>
    <cellStyle name="40% - 강조색5 36 8" xfId="9659" xr:uid="{00000000-0005-0000-0000-0000B51B0000}"/>
    <cellStyle name="40% - 강조색5 36 9" xfId="9660" xr:uid="{00000000-0005-0000-0000-0000B61B0000}"/>
    <cellStyle name="40% - 강조색5 37" xfId="941" xr:uid="{00000000-0005-0000-0000-0000B71B0000}"/>
    <cellStyle name="40% - 강조색5 37 10" xfId="9662" xr:uid="{00000000-0005-0000-0000-0000B81B0000}"/>
    <cellStyle name="40% - 강조색5 37 11" xfId="9663" xr:uid="{00000000-0005-0000-0000-0000B91B0000}"/>
    <cellStyle name="40% - 강조색5 37 12" xfId="9664" xr:uid="{00000000-0005-0000-0000-0000BA1B0000}"/>
    <cellStyle name="40% - 강조색5 37 13" xfId="9665" xr:uid="{00000000-0005-0000-0000-0000BB1B0000}"/>
    <cellStyle name="40% - 강조색5 37 14" xfId="9666" xr:uid="{00000000-0005-0000-0000-0000BC1B0000}"/>
    <cellStyle name="40% - 강조색5 37 15" xfId="9661" xr:uid="{00000000-0005-0000-0000-0000BD1B0000}"/>
    <cellStyle name="40% - 강조색5 37 2" xfId="942" xr:uid="{00000000-0005-0000-0000-0000BE1B0000}"/>
    <cellStyle name="40% - 강조색5 37 2 2" xfId="9667" xr:uid="{00000000-0005-0000-0000-0000BF1B0000}"/>
    <cellStyle name="40% - 강조색5 37 3" xfId="9668" xr:uid="{00000000-0005-0000-0000-0000C01B0000}"/>
    <cellStyle name="40% - 강조색5 37 4" xfId="9669" xr:uid="{00000000-0005-0000-0000-0000C11B0000}"/>
    <cellStyle name="40% - 강조색5 37 5" xfId="9670" xr:uid="{00000000-0005-0000-0000-0000C21B0000}"/>
    <cellStyle name="40% - 강조색5 37 6" xfId="9671" xr:uid="{00000000-0005-0000-0000-0000C31B0000}"/>
    <cellStyle name="40% - 강조색5 37 7" xfId="9672" xr:uid="{00000000-0005-0000-0000-0000C41B0000}"/>
    <cellStyle name="40% - 강조색5 37 8" xfId="9673" xr:uid="{00000000-0005-0000-0000-0000C51B0000}"/>
    <cellStyle name="40% - 강조색5 37 9" xfId="9674" xr:uid="{00000000-0005-0000-0000-0000C61B0000}"/>
    <cellStyle name="40% - 강조색5 38" xfId="943" xr:uid="{00000000-0005-0000-0000-0000C71B0000}"/>
    <cellStyle name="40% - 강조색5 38 10" xfId="9676" xr:uid="{00000000-0005-0000-0000-0000C81B0000}"/>
    <cellStyle name="40% - 강조색5 38 11" xfId="9677" xr:uid="{00000000-0005-0000-0000-0000C91B0000}"/>
    <cellStyle name="40% - 강조색5 38 12" xfId="9678" xr:uid="{00000000-0005-0000-0000-0000CA1B0000}"/>
    <cellStyle name="40% - 강조색5 38 13" xfId="9679" xr:uid="{00000000-0005-0000-0000-0000CB1B0000}"/>
    <cellStyle name="40% - 강조색5 38 14" xfId="9680" xr:uid="{00000000-0005-0000-0000-0000CC1B0000}"/>
    <cellStyle name="40% - 강조색5 38 15" xfId="9675" xr:uid="{00000000-0005-0000-0000-0000CD1B0000}"/>
    <cellStyle name="40% - 강조색5 38 2" xfId="944" xr:uid="{00000000-0005-0000-0000-0000CE1B0000}"/>
    <cellStyle name="40% - 강조색5 38 2 2" xfId="9681" xr:uid="{00000000-0005-0000-0000-0000CF1B0000}"/>
    <cellStyle name="40% - 강조색5 38 3" xfId="9682" xr:uid="{00000000-0005-0000-0000-0000D01B0000}"/>
    <cellStyle name="40% - 강조색5 38 4" xfId="9683" xr:uid="{00000000-0005-0000-0000-0000D11B0000}"/>
    <cellStyle name="40% - 강조색5 38 5" xfId="9684" xr:uid="{00000000-0005-0000-0000-0000D21B0000}"/>
    <cellStyle name="40% - 강조색5 38 6" xfId="9685" xr:uid="{00000000-0005-0000-0000-0000D31B0000}"/>
    <cellStyle name="40% - 강조색5 38 7" xfId="9686" xr:uid="{00000000-0005-0000-0000-0000D41B0000}"/>
    <cellStyle name="40% - 강조색5 38 8" xfId="9687" xr:uid="{00000000-0005-0000-0000-0000D51B0000}"/>
    <cellStyle name="40% - 강조색5 38 9" xfId="9688" xr:uid="{00000000-0005-0000-0000-0000D61B0000}"/>
    <cellStyle name="40% - 강조색5 39" xfId="945" xr:uid="{00000000-0005-0000-0000-0000D71B0000}"/>
    <cellStyle name="40% - 강조색5 39 10" xfId="9690" xr:uid="{00000000-0005-0000-0000-0000D81B0000}"/>
    <cellStyle name="40% - 강조색5 39 11" xfId="9691" xr:uid="{00000000-0005-0000-0000-0000D91B0000}"/>
    <cellStyle name="40% - 강조색5 39 12" xfId="9692" xr:uid="{00000000-0005-0000-0000-0000DA1B0000}"/>
    <cellStyle name="40% - 강조색5 39 13" xfId="9693" xr:uid="{00000000-0005-0000-0000-0000DB1B0000}"/>
    <cellStyle name="40% - 강조색5 39 14" xfId="9694" xr:uid="{00000000-0005-0000-0000-0000DC1B0000}"/>
    <cellStyle name="40% - 강조색5 39 15" xfId="9689" xr:uid="{00000000-0005-0000-0000-0000DD1B0000}"/>
    <cellStyle name="40% - 강조색5 39 2" xfId="946" xr:uid="{00000000-0005-0000-0000-0000DE1B0000}"/>
    <cellStyle name="40% - 강조색5 39 2 2" xfId="9695" xr:uid="{00000000-0005-0000-0000-0000DF1B0000}"/>
    <cellStyle name="40% - 강조색5 39 3" xfId="9696" xr:uid="{00000000-0005-0000-0000-0000E01B0000}"/>
    <cellStyle name="40% - 강조색5 39 4" xfId="9697" xr:uid="{00000000-0005-0000-0000-0000E11B0000}"/>
    <cellStyle name="40% - 강조색5 39 5" xfId="9698" xr:uid="{00000000-0005-0000-0000-0000E21B0000}"/>
    <cellStyle name="40% - 강조색5 39 6" xfId="9699" xr:uid="{00000000-0005-0000-0000-0000E31B0000}"/>
    <cellStyle name="40% - 강조색5 39 7" xfId="9700" xr:uid="{00000000-0005-0000-0000-0000E41B0000}"/>
    <cellStyle name="40% - 강조색5 39 8" xfId="9701" xr:uid="{00000000-0005-0000-0000-0000E51B0000}"/>
    <cellStyle name="40% - 강조색5 39 9" xfId="9702" xr:uid="{00000000-0005-0000-0000-0000E61B0000}"/>
    <cellStyle name="40% - 강조색5 4" xfId="947" xr:uid="{00000000-0005-0000-0000-0000E71B0000}"/>
    <cellStyle name="40% - 강조색5 4 10" xfId="9704" xr:uid="{00000000-0005-0000-0000-0000E81B0000}"/>
    <cellStyle name="40% - 강조색5 4 11" xfId="9705" xr:uid="{00000000-0005-0000-0000-0000E91B0000}"/>
    <cellStyle name="40% - 강조색5 4 12" xfId="9706" xr:uid="{00000000-0005-0000-0000-0000EA1B0000}"/>
    <cellStyle name="40% - 강조색5 4 13" xfId="9707" xr:uid="{00000000-0005-0000-0000-0000EB1B0000}"/>
    <cellStyle name="40% - 강조색5 4 14" xfId="9708" xr:uid="{00000000-0005-0000-0000-0000EC1B0000}"/>
    <cellStyle name="40% - 강조색5 4 15" xfId="9703" xr:uid="{00000000-0005-0000-0000-0000ED1B0000}"/>
    <cellStyle name="40% - 강조색5 4 16" xfId="27861" xr:uid="{00000000-0005-0000-0000-0000EE1B0000}"/>
    <cellStyle name="40% - 강조색5 4 2" xfId="948" xr:uid="{00000000-0005-0000-0000-0000EF1B0000}"/>
    <cellStyle name="40% - 강조색5 4 2 2" xfId="9709" xr:uid="{00000000-0005-0000-0000-0000F01B0000}"/>
    <cellStyle name="40% - 강조색5 4 3" xfId="9710" xr:uid="{00000000-0005-0000-0000-0000F11B0000}"/>
    <cellStyle name="40% - 강조색5 4 4" xfId="9711" xr:uid="{00000000-0005-0000-0000-0000F21B0000}"/>
    <cellStyle name="40% - 강조색5 4 5" xfId="9712" xr:uid="{00000000-0005-0000-0000-0000F31B0000}"/>
    <cellStyle name="40% - 강조색5 4 6" xfId="9713" xr:uid="{00000000-0005-0000-0000-0000F41B0000}"/>
    <cellStyle name="40% - 강조색5 4 7" xfId="9714" xr:uid="{00000000-0005-0000-0000-0000F51B0000}"/>
    <cellStyle name="40% - 강조색5 4 8" xfId="9715" xr:uid="{00000000-0005-0000-0000-0000F61B0000}"/>
    <cellStyle name="40% - 강조색5 4 9" xfId="9716" xr:uid="{00000000-0005-0000-0000-0000F71B0000}"/>
    <cellStyle name="40% - 강조색5 40" xfId="949" xr:uid="{00000000-0005-0000-0000-0000F81B0000}"/>
    <cellStyle name="40% - 강조색5 40 10" xfId="9718" xr:uid="{00000000-0005-0000-0000-0000F91B0000}"/>
    <cellStyle name="40% - 강조색5 40 11" xfId="9719" xr:uid="{00000000-0005-0000-0000-0000FA1B0000}"/>
    <cellStyle name="40% - 강조색5 40 12" xfId="9720" xr:uid="{00000000-0005-0000-0000-0000FB1B0000}"/>
    <cellStyle name="40% - 강조색5 40 13" xfId="9721" xr:uid="{00000000-0005-0000-0000-0000FC1B0000}"/>
    <cellStyle name="40% - 강조색5 40 14" xfId="9722" xr:uid="{00000000-0005-0000-0000-0000FD1B0000}"/>
    <cellStyle name="40% - 강조색5 40 15" xfId="9717" xr:uid="{00000000-0005-0000-0000-0000FE1B0000}"/>
    <cellStyle name="40% - 강조색5 40 2" xfId="950" xr:uid="{00000000-0005-0000-0000-0000FF1B0000}"/>
    <cellStyle name="40% - 강조색5 40 2 2" xfId="9723" xr:uid="{00000000-0005-0000-0000-0000001C0000}"/>
    <cellStyle name="40% - 강조색5 40 3" xfId="9724" xr:uid="{00000000-0005-0000-0000-0000011C0000}"/>
    <cellStyle name="40% - 강조색5 40 4" xfId="9725" xr:uid="{00000000-0005-0000-0000-0000021C0000}"/>
    <cellStyle name="40% - 강조색5 40 5" xfId="9726" xr:uid="{00000000-0005-0000-0000-0000031C0000}"/>
    <cellStyle name="40% - 강조색5 40 6" xfId="9727" xr:uid="{00000000-0005-0000-0000-0000041C0000}"/>
    <cellStyle name="40% - 강조색5 40 7" xfId="9728" xr:uid="{00000000-0005-0000-0000-0000051C0000}"/>
    <cellStyle name="40% - 강조색5 40 8" xfId="9729" xr:uid="{00000000-0005-0000-0000-0000061C0000}"/>
    <cellStyle name="40% - 강조색5 40 9" xfId="9730" xr:uid="{00000000-0005-0000-0000-0000071C0000}"/>
    <cellStyle name="40% - 강조색5 41" xfId="951" xr:uid="{00000000-0005-0000-0000-0000081C0000}"/>
    <cellStyle name="40% - 강조색5 41 10" xfId="9732" xr:uid="{00000000-0005-0000-0000-0000091C0000}"/>
    <cellStyle name="40% - 강조색5 41 11" xfId="9733" xr:uid="{00000000-0005-0000-0000-00000A1C0000}"/>
    <cellStyle name="40% - 강조색5 41 12" xfId="9734" xr:uid="{00000000-0005-0000-0000-00000B1C0000}"/>
    <cellStyle name="40% - 강조색5 41 13" xfId="9735" xr:uid="{00000000-0005-0000-0000-00000C1C0000}"/>
    <cellStyle name="40% - 강조색5 41 14" xfId="9736" xr:uid="{00000000-0005-0000-0000-00000D1C0000}"/>
    <cellStyle name="40% - 강조색5 41 15" xfId="9731" xr:uid="{00000000-0005-0000-0000-00000E1C0000}"/>
    <cellStyle name="40% - 강조색5 41 2" xfId="952" xr:uid="{00000000-0005-0000-0000-00000F1C0000}"/>
    <cellStyle name="40% - 강조색5 41 2 2" xfId="9737" xr:uid="{00000000-0005-0000-0000-0000101C0000}"/>
    <cellStyle name="40% - 강조색5 41 3" xfId="9738" xr:uid="{00000000-0005-0000-0000-0000111C0000}"/>
    <cellStyle name="40% - 강조색5 41 4" xfId="9739" xr:uid="{00000000-0005-0000-0000-0000121C0000}"/>
    <cellStyle name="40% - 강조색5 41 5" xfId="9740" xr:uid="{00000000-0005-0000-0000-0000131C0000}"/>
    <cellStyle name="40% - 강조색5 41 6" xfId="9741" xr:uid="{00000000-0005-0000-0000-0000141C0000}"/>
    <cellStyle name="40% - 강조색5 41 7" xfId="9742" xr:uid="{00000000-0005-0000-0000-0000151C0000}"/>
    <cellStyle name="40% - 강조색5 41 8" xfId="9743" xr:uid="{00000000-0005-0000-0000-0000161C0000}"/>
    <cellStyle name="40% - 강조색5 41 9" xfId="9744" xr:uid="{00000000-0005-0000-0000-0000171C0000}"/>
    <cellStyle name="40% - 강조색5 42" xfId="953" xr:uid="{00000000-0005-0000-0000-0000181C0000}"/>
    <cellStyle name="40% - 강조색5 42 10" xfId="9746" xr:uid="{00000000-0005-0000-0000-0000191C0000}"/>
    <cellStyle name="40% - 강조색5 42 11" xfId="9747" xr:uid="{00000000-0005-0000-0000-00001A1C0000}"/>
    <cellStyle name="40% - 강조색5 42 12" xfId="9748" xr:uid="{00000000-0005-0000-0000-00001B1C0000}"/>
    <cellStyle name="40% - 강조색5 42 13" xfId="9749" xr:uid="{00000000-0005-0000-0000-00001C1C0000}"/>
    <cellStyle name="40% - 강조색5 42 14" xfId="9750" xr:uid="{00000000-0005-0000-0000-00001D1C0000}"/>
    <cellStyle name="40% - 강조색5 42 15" xfId="9745" xr:uid="{00000000-0005-0000-0000-00001E1C0000}"/>
    <cellStyle name="40% - 강조색5 42 2" xfId="954" xr:uid="{00000000-0005-0000-0000-00001F1C0000}"/>
    <cellStyle name="40% - 강조색5 42 2 2" xfId="9751" xr:uid="{00000000-0005-0000-0000-0000201C0000}"/>
    <cellStyle name="40% - 강조색5 42 3" xfId="9752" xr:uid="{00000000-0005-0000-0000-0000211C0000}"/>
    <cellStyle name="40% - 강조색5 42 4" xfId="9753" xr:uid="{00000000-0005-0000-0000-0000221C0000}"/>
    <cellStyle name="40% - 강조색5 42 5" xfId="9754" xr:uid="{00000000-0005-0000-0000-0000231C0000}"/>
    <cellStyle name="40% - 강조색5 42 6" xfId="9755" xr:uid="{00000000-0005-0000-0000-0000241C0000}"/>
    <cellStyle name="40% - 강조색5 42 7" xfId="9756" xr:uid="{00000000-0005-0000-0000-0000251C0000}"/>
    <cellStyle name="40% - 강조색5 42 8" xfId="9757" xr:uid="{00000000-0005-0000-0000-0000261C0000}"/>
    <cellStyle name="40% - 강조색5 42 9" xfId="9758" xr:uid="{00000000-0005-0000-0000-0000271C0000}"/>
    <cellStyle name="40% - 강조색5 43" xfId="955" xr:uid="{00000000-0005-0000-0000-0000281C0000}"/>
    <cellStyle name="40% - 강조색5 43 10" xfId="9760" xr:uid="{00000000-0005-0000-0000-0000291C0000}"/>
    <cellStyle name="40% - 강조색5 43 11" xfId="9761" xr:uid="{00000000-0005-0000-0000-00002A1C0000}"/>
    <cellStyle name="40% - 강조색5 43 12" xfId="9762" xr:uid="{00000000-0005-0000-0000-00002B1C0000}"/>
    <cellStyle name="40% - 강조색5 43 13" xfId="9763" xr:uid="{00000000-0005-0000-0000-00002C1C0000}"/>
    <cellStyle name="40% - 강조색5 43 14" xfId="9764" xr:uid="{00000000-0005-0000-0000-00002D1C0000}"/>
    <cellStyle name="40% - 강조색5 43 15" xfId="9759" xr:uid="{00000000-0005-0000-0000-00002E1C0000}"/>
    <cellStyle name="40% - 강조색5 43 2" xfId="956" xr:uid="{00000000-0005-0000-0000-00002F1C0000}"/>
    <cellStyle name="40% - 강조색5 43 2 2" xfId="9765" xr:uid="{00000000-0005-0000-0000-0000301C0000}"/>
    <cellStyle name="40% - 강조색5 43 3" xfId="9766" xr:uid="{00000000-0005-0000-0000-0000311C0000}"/>
    <cellStyle name="40% - 강조색5 43 4" xfId="9767" xr:uid="{00000000-0005-0000-0000-0000321C0000}"/>
    <cellStyle name="40% - 강조색5 43 5" xfId="9768" xr:uid="{00000000-0005-0000-0000-0000331C0000}"/>
    <cellStyle name="40% - 강조색5 43 6" xfId="9769" xr:uid="{00000000-0005-0000-0000-0000341C0000}"/>
    <cellStyle name="40% - 강조색5 43 7" xfId="9770" xr:uid="{00000000-0005-0000-0000-0000351C0000}"/>
    <cellStyle name="40% - 강조색5 43 8" xfId="9771" xr:uid="{00000000-0005-0000-0000-0000361C0000}"/>
    <cellStyle name="40% - 강조색5 43 9" xfId="9772" xr:uid="{00000000-0005-0000-0000-0000371C0000}"/>
    <cellStyle name="40% - 강조색5 44" xfId="957" xr:uid="{00000000-0005-0000-0000-0000381C0000}"/>
    <cellStyle name="40% - 강조색5 44 2" xfId="9773" xr:uid="{00000000-0005-0000-0000-0000391C0000}"/>
    <cellStyle name="40% - 강조색5 45" xfId="958" xr:uid="{00000000-0005-0000-0000-00003A1C0000}"/>
    <cellStyle name="40% - 강조색5 45 2" xfId="9774" xr:uid="{00000000-0005-0000-0000-00003B1C0000}"/>
    <cellStyle name="40% - 강조색5 46" xfId="882" xr:uid="{00000000-0005-0000-0000-00003C1C0000}"/>
    <cellStyle name="40% - 강조색5 47" xfId="9254" xr:uid="{00000000-0005-0000-0000-00003D1C0000}"/>
    <cellStyle name="40% - 강조색5 5" xfId="959" xr:uid="{00000000-0005-0000-0000-00003E1C0000}"/>
    <cellStyle name="40% - 강조색5 5 10" xfId="9776" xr:uid="{00000000-0005-0000-0000-00003F1C0000}"/>
    <cellStyle name="40% - 강조색5 5 11" xfId="9777" xr:uid="{00000000-0005-0000-0000-0000401C0000}"/>
    <cellStyle name="40% - 강조색5 5 12" xfId="9778" xr:uid="{00000000-0005-0000-0000-0000411C0000}"/>
    <cellStyle name="40% - 강조색5 5 13" xfId="9779" xr:uid="{00000000-0005-0000-0000-0000421C0000}"/>
    <cellStyle name="40% - 강조색5 5 14" xfId="9780" xr:uid="{00000000-0005-0000-0000-0000431C0000}"/>
    <cellStyle name="40% - 강조색5 5 15" xfId="9775" xr:uid="{00000000-0005-0000-0000-0000441C0000}"/>
    <cellStyle name="40% - 강조색5 5 2" xfId="960" xr:uid="{00000000-0005-0000-0000-0000451C0000}"/>
    <cellStyle name="40% - 강조색5 5 2 2" xfId="9781" xr:uid="{00000000-0005-0000-0000-0000461C0000}"/>
    <cellStyle name="40% - 강조색5 5 3" xfId="9782" xr:uid="{00000000-0005-0000-0000-0000471C0000}"/>
    <cellStyle name="40% - 강조색5 5 4" xfId="9783" xr:uid="{00000000-0005-0000-0000-0000481C0000}"/>
    <cellStyle name="40% - 강조색5 5 5" xfId="9784" xr:uid="{00000000-0005-0000-0000-0000491C0000}"/>
    <cellStyle name="40% - 강조색5 5 6" xfId="9785" xr:uid="{00000000-0005-0000-0000-00004A1C0000}"/>
    <cellStyle name="40% - 강조색5 5 7" xfId="9786" xr:uid="{00000000-0005-0000-0000-00004B1C0000}"/>
    <cellStyle name="40% - 강조색5 5 8" xfId="9787" xr:uid="{00000000-0005-0000-0000-00004C1C0000}"/>
    <cellStyle name="40% - 강조색5 5 9" xfId="9788" xr:uid="{00000000-0005-0000-0000-00004D1C0000}"/>
    <cellStyle name="40% - 강조색5 6" xfId="961" xr:uid="{00000000-0005-0000-0000-00004E1C0000}"/>
    <cellStyle name="40% - 강조색5 6 10" xfId="9790" xr:uid="{00000000-0005-0000-0000-00004F1C0000}"/>
    <cellStyle name="40% - 강조색5 6 11" xfId="9791" xr:uid="{00000000-0005-0000-0000-0000501C0000}"/>
    <cellStyle name="40% - 강조색5 6 12" xfId="9792" xr:uid="{00000000-0005-0000-0000-0000511C0000}"/>
    <cellStyle name="40% - 강조색5 6 13" xfId="9793" xr:uid="{00000000-0005-0000-0000-0000521C0000}"/>
    <cellStyle name="40% - 강조색5 6 14" xfId="9794" xr:uid="{00000000-0005-0000-0000-0000531C0000}"/>
    <cellStyle name="40% - 강조색5 6 15" xfId="9789" xr:uid="{00000000-0005-0000-0000-0000541C0000}"/>
    <cellStyle name="40% - 강조색5 6 2" xfId="962" xr:uid="{00000000-0005-0000-0000-0000551C0000}"/>
    <cellStyle name="40% - 강조색5 6 2 2" xfId="9795" xr:uid="{00000000-0005-0000-0000-0000561C0000}"/>
    <cellStyle name="40% - 강조색5 6 3" xfId="9796" xr:uid="{00000000-0005-0000-0000-0000571C0000}"/>
    <cellStyle name="40% - 강조색5 6 4" xfId="9797" xr:uid="{00000000-0005-0000-0000-0000581C0000}"/>
    <cellStyle name="40% - 강조색5 6 5" xfId="9798" xr:uid="{00000000-0005-0000-0000-0000591C0000}"/>
    <cellStyle name="40% - 강조색5 6 6" xfId="9799" xr:uid="{00000000-0005-0000-0000-00005A1C0000}"/>
    <cellStyle name="40% - 강조색5 6 7" xfId="9800" xr:uid="{00000000-0005-0000-0000-00005B1C0000}"/>
    <cellStyle name="40% - 강조색5 6 8" xfId="9801" xr:uid="{00000000-0005-0000-0000-00005C1C0000}"/>
    <cellStyle name="40% - 강조색5 6 9" xfId="9802" xr:uid="{00000000-0005-0000-0000-00005D1C0000}"/>
    <cellStyle name="40% - 강조색5 7" xfId="963" xr:uid="{00000000-0005-0000-0000-00005E1C0000}"/>
    <cellStyle name="40% - 강조색5 7 10" xfId="9804" xr:uid="{00000000-0005-0000-0000-00005F1C0000}"/>
    <cellStyle name="40% - 강조색5 7 11" xfId="9805" xr:uid="{00000000-0005-0000-0000-0000601C0000}"/>
    <cellStyle name="40% - 강조색5 7 12" xfId="9806" xr:uid="{00000000-0005-0000-0000-0000611C0000}"/>
    <cellStyle name="40% - 강조색5 7 13" xfId="9807" xr:uid="{00000000-0005-0000-0000-0000621C0000}"/>
    <cellStyle name="40% - 강조색5 7 14" xfId="9808" xr:uid="{00000000-0005-0000-0000-0000631C0000}"/>
    <cellStyle name="40% - 강조색5 7 15" xfId="9803" xr:uid="{00000000-0005-0000-0000-0000641C0000}"/>
    <cellStyle name="40% - 강조색5 7 2" xfId="964" xr:uid="{00000000-0005-0000-0000-0000651C0000}"/>
    <cellStyle name="40% - 강조색5 7 2 2" xfId="9809" xr:uid="{00000000-0005-0000-0000-0000661C0000}"/>
    <cellStyle name="40% - 강조색5 7 3" xfId="9810" xr:uid="{00000000-0005-0000-0000-0000671C0000}"/>
    <cellStyle name="40% - 강조색5 7 4" xfId="9811" xr:uid="{00000000-0005-0000-0000-0000681C0000}"/>
    <cellStyle name="40% - 강조색5 7 5" xfId="9812" xr:uid="{00000000-0005-0000-0000-0000691C0000}"/>
    <cellStyle name="40% - 강조색5 7 6" xfId="9813" xr:uid="{00000000-0005-0000-0000-00006A1C0000}"/>
    <cellStyle name="40% - 강조색5 7 7" xfId="9814" xr:uid="{00000000-0005-0000-0000-00006B1C0000}"/>
    <cellStyle name="40% - 강조색5 7 8" xfId="9815" xr:uid="{00000000-0005-0000-0000-00006C1C0000}"/>
    <cellStyle name="40% - 강조색5 7 9" xfId="9816" xr:uid="{00000000-0005-0000-0000-00006D1C0000}"/>
    <cellStyle name="40% - 강조색5 8" xfId="965" xr:uid="{00000000-0005-0000-0000-00006E1C0000}"/>
    <cellStyle name="40% - 강조색5 8 10" xfId="9818" xr:uid="{00000000-0005-0000-0000-00006F1C0000}"/>
    <cellStyle name="40% - 강조색5 8 11" xfId="9819" xr:uid="{00000000-0005-0000-0000-0000701C0000}"/>
    <cellStyle name="40% - 강조색5 8 12" xfId="9820" xr:uid="{00000000-0005-0000-0000-0000711C0000}"/>
    <cellStyle name="40% - 강조색5 8 13" xfId="9821" xr:uid="{00000000-0005-0000-0000-0000721C0000}"/>
    <cellStyle name="40% - 강조색5 8 14" xfId="9822" xr:uid="{00000000-0005-0000-0000-0000731C0000}"/>
    <cellStyle name="40% - 강조색5 8 15" xfId="9817" xr:uid="{00000000-0005-0000-0000-0000741C0000}"/>
    <cellStyle name="40% - 강조색5 8 2" xfId="966" xr:uid="{00000000-0005-0000-0000-0000751C0000}"/>
    <cellStyle name="40% - 강조색5 8 2 2" xfId="9823" xr:uid="{00000000-0005-0000-0000-0000761C0000}"/>
    <cellStyle name="40% - 강조색5 8 3" xfId="9824" xr:uid="{00000000-0005-0000-0000-0000771C0000}"/>
    <cellStyle name="40% - 강조색5 8 4" xfId="9825" xr:uid="{00000000-0005-0000-0000-0000781C0000}"/>
    <cellStyle name="40% - 강조색5 8 5" xfId="9826" xr:uid="{00000000-0005-0000-0000-0000791C0000}"/>
    <cellStyle name="40% - 강조색5 8 6" xfId="9827" xr:uid="{00000000-0005-0000-0000-00007A1C0000}"/>
    <cellStyle name="40% - 강조색5 8 7" xfId="9828" xr:uid="{00000000-0005-0000-0000-00007B1C0000}"/>
    <cellStyle name="40% - 강조색5 8 8" xfId="9829" xr:uid="{00000000-0005-0000-0000-00007C1C0000}"/>
    <cellStyle name="40% - 강조색5 8 9" xfId="9830" xr:uid="{00000000-0005-0000-0000-00007D1C0000}"/>
    <cellStyle name="40% - 강조색5 9" xfId="967" xr:uid="{00000000-0005-0000-0000-00007E1C0000}"/>
    <cellStyle name="40% - 강조색5 9 10" xfId="9832" xr:uid="{00000000-0005-0000-0000-00007F1C0000}"/>
    <cellStyle name="40% - 강조색5 9 11" xfId="9833" xr:uid="{00000000-0005-0000-0000-0000801C0000}"/>
    <cellStyle name="40% - 강조색5 9 12" xfId="9834" xr:uid="{00000000-0005-0000-0000-0000811C0000}"/>
    <cellStyle name="40% - 강조색5 9 13" xfId="9835" xr:uid="{00000000-0005-0000-0000-0000821C0000}"/>
    <cellStyle name="40% - 강조색5 9 14" xfId="9836" xr:uid="{00000000-0005-0000-0000-0000831C0000}"/>
    <cellStyle name="40% - 강조색5 9 15" xfId="9831" xr:uid="{00000000-0005-0000-0000-0000841C0000}"/>
    <cellStyle name="40% - 강조색5 9 2" xfId="968" xr:uid="{00000000-0005-0000-0000-0000851C0000}"/>
    <cellStyle name="40% - 강조색5 9 2 2" xfId="9837" xr:uid="{00000000-0005-0000-0000-0000861C0000}"/>
    <cellStyle name="40% - 강조색5 9 3" xfId="9838" xr:uid="{00000000-0005-0000-0000-0000871C0000}"/>
    <cellStyle name="40% - 강조색5 9 4" xfId="9839" xr:uid="{00000000-0005-0000-0000-0000881C0000}"/>
    <cellStyle name="40% - 강조색5 9 5" xfId="9840" xr:uid="{00000000-0005-0000-0000-0000891C0000}"/>
    <cellStyle name="40% - 강조색5 9 6" xfId="9841" xr:uid="{00000000-0005-0000-0000-00008A1C0000}"/>
    <cellStyle name="40% - 강조색5 9 7" xfId="9842" xr:uid="{00000000-0005-0000-0000-00008B1C0000}"/>
    <cellStyle name="40% - 강조색5 9 8" xfId="9843" xr:uid="{00000000-0005-0000-0000-00008C1C0000}"/>
    <cellStyle name="40% - 강조색5 9 9" xfId="9844" xr:uid="{00000000-0005-0000-0000-00008D1C0000}"/>
    <cellStyle name="40% - 강조색6 10" xfId="970" xr:uid="{00000000-0005-0000-0000-00008E1C0000}"/>
    <cellStyle name="40% - 강조색6 10 10" xfId="9847" xr:uid="{00000000-0005-0000-0000-00008F1C0000}"/>
    <cellStyle name="40% - 강조색6 10 11" xfId="9848" xr:uid="{00000000-0005-0000-0000-0000901C0000}"/>
    <cellStyle name="40% - 강조색6 10 12" xfId="9849" xr:uid="{00000000-0005-0000-0000-0000911C0000}"/>
    <cellStyle name="40% - 강조색6 10 13" xfId="9850" xr:uid="{00000000-0005-0000-0000-0000921C0000}"/>
    <cellStyle name="40% - 강조색6 10 14" xfId="9851" xr:uid="{00000000-0005-0000-0000-0000931C0000}"/>
    <cellStyle name="40% - 강조색6 10 15" xfId="9846" xr:uid="{00000000-0005-0000-0000-0000941C0000}"/>
    <cellStyle name="40% - 강조색6 10 2" xfId="971" xr:uid="{00000000-0005-0000-0000-0000951C0000}"/>
    <cellStyle name="40% - 강조색6 10 2 2" xfId="9852" xr:uid="{00000000-0005-0000-0000-0000961C0000}"/>
    <cellStyle name="40% - 강조색6 10 3" xfId="9853" xr:uid="{00000000-0005-0000-0000-0000971C0000}"/>
    <cellStyle name="40% - 강조색6 10 4" xfId="9854" xr:uid="{00000000-0005-0000-0000-0000981C0000}"/>
    <cellStyle name="40% - 강조색6 10 5" xfId="9855" xr:uid="{00000000-0005-0000-0000-0000991C0000}"/>
    <cellStyle name="40% - 강조색6 10 6" xfId="9856" xr:uid="{00000000-0005-0000-0000-00009A1C0000}"/>
    <cellStyle name="40% - 강조색6 10 7" xfId="9857" xr:uid="{00000000-0005-0000-0000-00009B1C0000}"/>
    <cellStyle name="40% - 강조색6 10 8" xfId="9858" xr:uid="{00000000-0005-0000-0000-00009C1C0000}"/>
    <cellStyle name="40% - 강조색6 10 9" xfId="9859" xr:uid="{00000000-0005-0000-0000-00009D1C0000}"/>
    <cellStyle name="40% - 강조색6 11" xfId="972" xr:uid="{00000000-0005-0000-0000-00009E1C0000}"/>
    <cellStyle name="40% - 강조색6 11 10" xfId="9861" xr:uid="{00000000-0005-0000-0000-00009F1C0000}"/>
    <cellStyle name="40% - 강조색6 11 11" xfId="9862" xr:uid="{00000000-0005-0000-0000-0000A01C0000}"/>
    <cellStyle name="40% - 강조색6 11 12" xfId="9863" xr:uid="{00000000-0005-0000-0000-0000A11C0000}"/>
    <cellStyle name="40% - 강조색6 11 13" xfId="9864" xr:uid="{00000000-0005-0000-0000-0000A21C0000}"/>
    <cellStyle name="40% - 강조색6 11 14" xfId="9865" xr:uid="{00000000-0005-0000-0000-0000A31C0000}"/>
    <cellStyle name="40% - 강조색6 11 15" xfId="9860" xr:uid="{00000000-0005-0000-0000-0000A41C0000}"/>
    <cellStyle name="40% - 강조색6 11 2" xfId="973" xr:uid="{00000000-0005-0000-0000-0000A51C0000}"/>
    <cellStyle name="40% - 강조색6 11 2 2" xfId="9866" xr:uid="{00000000-0005-0000-0000-0000A61C0000}"/>
    <cellStyle name="40% - 강조색6 11 3" xfId="9867" xr:uid="{00000000-0005-0000-0000-0000A71C0000}"/>
    <cellStyle name="40% - 강조색6 11 4" xfId="9868" xr:uid="{00000000-0005-0000-0000-0000A81C0000}"/>
    <cellStyle name="40% - 강조색6 11 5" xfId="9869" xr:uid="{00000000-0005-0000-0000-0000A91C0000}"/>
    <cellStyle name="40% - 강조색6 11 6" xfId="9870" xr:uid="{00000000-0005-0000-0000-0000AA1C0000}"/>
    <cellStyle name="40% - 강조색6 11 7" xfId="9871" xr:uid="{00000000-0005-0000-0000-0000AB1C0000}"/>
    <cellStyle name="40% - 강조색6 11 8" xfId="9872" xr:uid="{00000000-0005-0000-0000-0000AC1C0000}"/>
    <cellStyle name="40% - 강조색6 11 9" xfId="9873" xr:uid="{00000000-0005-0000-0000-0000AD1C0000}"/>
    <cellStyle name="40% - 강조색6 12" xfId="974" xr:uid="{00000000-0005-0000-0000-0000AE1C0000}"/>
    <cellStyle name="40% - 강조색6 12 10" xfId="9875" xr:uid="{00000000-0005-0000-0000-0000AF1C0000}"/>
    <cellStyle name="40% - 강조색6 12 11" xfId="9876" xr:uid="{00000000-0005-0000-0000-0000B01C0000}"/>
    <cellStyle name="40% - 강조색6 12 12" xfId="9877" xr:uid="{00000000-0005-0000-0000-0000B11C0000}"/>
    <cellStyle name="40% - 강조색6 12 13" xfId="9878" xr:uid="{00000000-0005-0000-0000-0000B21C0000}"/>
    <cellStyle name="40% - 강조색6 12 14" xfId="9879" xr:uid="{00000000-0005-0000-0000-0000B31C0000}"/>
    <cellStyle name="40% - 강조색6 12 15" xfId="9874" xr:uid="{00000000-0005-0000-0000-0000B41C0000}"/>
    <cellStyle name="40% - 강조색6 12 2" xfId="975" xr:uid="{00000000-0005-0000-0000-0000B51C0000}"/>
    <cellStyle name="40% - 강조색6 12 2 2" xfId="9880" xr:uid="{00000000-0005-0000-0000-0000B61C0000}"/>
    <cellStyle name="40% - 강조색6 12 3" xfId="9881" xr:uid="{00000000-0005-0000-0000-0000B71C0000}"/>
    <cellStyle name="40% - 강조색6 12 4" xfId="9882" xr:uid="{00000000-0005-0000-0000-0000B81C0000}"/>
    <cellStyle name="40% - 강조색6 12 5" xfId="9883" xr:uid="{00000000-0005-0000-0000-0000B91C0000}"/>
    <cellStyle name="40% - 강조색6 12 6" xfId="9884" xr:uid="{00000000-0005-0000-0000-0000BA1C0000}"/>
    <cellStyle name="40% - 강조색6 12 7" xfId="9885" xr:uid="{00000000-0005-0000-0000-0000BB1C0000}"/>
    <cellStyle name="40% - 강조색6 12 8" xfId="9886" xr:uid="{00000000-0005-0000-0000-0000BC1C0000}"/>
    <cellStyle name="40% - 강조색6 12 9" xfId="9887" xr:uid="{00000000-0005-0000-0000-0000BD1C0000}"/>
    <cellStyle name="40% - 강조색6 13" xfId="976" xr:uid="{00000000-0005-0000-0000-0000BE1C0000}"/>
    <cellStyle name="40% - 강조색6 13 10" xfId="9889" xr:uid="{00000000-0005-0000-0000-0000BF1C0000}"/>
    <cellStyle name="40% - 강조색6 13 11" xfId="9890" xr:uid="{00000000-0005-0000-0000-0000C01C0000}"/>
    <cellStyle name="40% - 강조색6 13 12" xfId="9891" xr:uid="{00000000-0005-0000-0000-0000C11C0000}"/>
    <cellStyle name="40% - 강조색6 13 13" xfId="9892" xr:uid="{00000000-0005-0000-0000-0000C21C0000}"/>
    <cellStyle name="40% - 강조색6 13 14" xfId="9893" xr:uid="{00000000-0005-0000-0000-0000C31C0000}"/>
    <cellStyle name="40% - 강조색6 13 15" xfId="9888" xr:uid="{00000000-0005-0000-0000-0000C41C0000}"/>
    <cellStyle name="40% - 강조색6 13 2" xfId="977" xr:uid="{00000000-0005-0000-0000-0000C51C0000}"/>
    <cellStyle name="40% - 강조색6 13 2 2" xfId="9894" xr:uid="{00000000-0005-0000-0000-0000C61C0000}"/>
    <cellStyle name="40% - 강조색6 13 3" xfId="9895" xr:uid="{00000000-0005-0000-0000-0000C71C0000}"/>
    <cellStyle name="40% - 강조색6 13 4" xfId="9896" xr:uid="{00000000-0005-0000-0000-0000C81C0000}"/>
    <cellStyle name="40% - 강조색6 13 5" xfId="9897" xr:uid="{00000000-0005-0000-0000-0000C91C0000}"/>
    <cellStyle name="40% - 강조색6 13 6" xfId="9898" xr:uid="{00000000-0005-0000-0000-0000CA1C0000}"/>
    <cellStyle name="40% - 강조색6 13 7" xfId="9899" xr:uid="{00000000-0005-0000-0000-0000CB1C0000}"/>
    <cellStyle name="40% - 강조색6 13 8" xfId="9900" xr:uid="{00000000-0005-0000-0000-0000CC1C0000}"/>
    <cellStyle name="40% - 강조색6 13 9" xfId="9901" xr:uid="{00000000-0005-0000-0000-0000CD1C0000}"/>
    <cellStyle name="40% - 강조색6 14" xfId="978" xr:uid="{00000000-0005-0000-0000-0000CE1C0000}"/>
    <cellStyle name="40% - 강조색6 14 10" xfId="9903" xr:uid="{00000000-0005-0000-0000-0000CF1C0000}"/>
    <cellStyle name="40% - 강조색6 14 11" xfId="9904" xr:uid="{00000000-0005-0000-0000-0000D01C0000}"/>
    <cellStyle name="40% - 강조색6 14 12" xfId="9905" xr:uid="{00000000-0005-0000-0000-0000D11C0000}"/>
    <cellStyle name="40% - 강조색6 14 13" xfId="9906" xr:uid="{00000000-0005-0000-0000-0000D21C0000}"/>
    <cellStyle name="40% - 강조색6 14 14" xfId="9907" xr:uid="{00000000-0005-0000-0000-0000D31C0000}"/>
    <cellStyle name="40% - 강조색6 14 15" xfId="9902" xr:uid="{00000000-0005-0000-0000-0000D41C0000}"/>
    <cellStyle name="40% - 강조색6 14 2" xfId="979" xr:uid="{00000000-0005-0000-0000-0000D51C0000}"/>
    <cellStyle name="40% - 강조색6 14 2 2" xfId="9908" xr:uid="{00000000-0005-0000-0000-0000D61C0000}"/>
    <cellStyle name="40% - 강조색6 14 3" xfId="9909" xr:uid="{00000000-0005-0000-0000-0000D71C0000}"/>
    <cellStyle name="40% - 강조색6 14 4" xfId="9910" xr:uid="{00000000-0005-0000-0000-0000D81C0000}"/>
    <cellStyle name="40% - 강조색6 14 5" xfId="9911" xr:uid="{00000000-0005-0000-0000-0000D91C0000}"/>
    <cellStyle name="40% - 강조색6 14 6" xfId="9912" xr:uid="{00000000-0005-0000-0000-0000DA1C0000}"/>
    <cellStyle name="40% - 강조색6 14 7" xfId="9913" xr:uid="{00000000-0005-0000-0000-0000DB1C0000}"/>
    <cellStyle name="40% - 강조색6 14 8" xfId="9914" xr:uid="{00000000-0005-0000-0000-0000DC1C0000}"/>
    <cellStyle name="40% - 강조색6 14 9" xfId="9915" xr:uid="{00000000-0005-0000-0000-0000DD1C0000}"/>
    <cellStyle name="40% - 강조색6 15" xfId="980" xr:uid="{00000000-0005-0000-0000-0000DE1C0000}"/>
    <cellStyle name="40% - 강조색6 15 10" xfId="9917" xr:uid="{00000000-0005-0000-0000-0000DF1C0000}"/>
    <cellStyle name="40% - 강조색6 15 11" xfId="9918" xr:uid="{00000000-0005-0000-0000-0000E01C0000}"/>
    <cellStyle name="40% - 강조색6 15 12" xfId="9919" xr:uid="{00000000-0005-0000-0000-0000E11C0000}"/>
    <cellStyle name="40% - 강조색6 15 13" xfId="9920" xr:uid="{00000000-0005-0000-0000-0000E21C0000}"/>
    <cellStyle name="40% - 강조색6 15 14" xfId="9921" xr:uid="{00000000-0005-0000-0000-0000E31C0000}"/>
    <cellStyle name="40% - 강조색6 15 15" xfId="9916" xr:uid="{00000000-0005-0000-0000-0000E41C0000}"/>
    <cellStyle name="40% - 강조색6 15 2" xfId="981" xr:uid="{00000000-0005-0000-0000-0000E51C0000}"/>
    <cellStyle name="40% - 강조색6 15 2 2" xfId="9922" xr:uid="{00000000-0005-0000-0000-0000E61C0000}"/>
    <cellStyle name="40% - 강조색6 15 3" xfId="9923" xr:uid="{00000000-0005-0000-0000-0000E71C0000}"/>
    <cellStyle name="40% - 강조색6 15 4" xfId="9924" xr:uid="{00000000-0005-0000-0000-0000E81C0000}"/>
    <cellStyle name="40% - 강조색6 15 5" xfId="9925" xr:uid="{00000000-0005-0000-0000-0000E91C0000}"/>
    <cellStyle name="40% - 강조색6 15 6" xfId="9926" xr:uid="{00000000-0005-0000-0000-0000EA1C0000}"/>
    <cellStyle name="40% - 강조색6 15 7" xfId="9927" xr:uid="{00000000-0005-0000-0000-0000EB1C0000}"/>
    <cellStyle name="40% - 강조색6 15 8" xfId="9928" xr:uid="{00000000-0005-0000-0000-0000EC1C0000}"/>
    <cellStyle name="40% - 강조색6 15 9" xfId="9929" xr:uid="{00000000-0005-0000-0000-0000ED1C0000}"/>
    <cellStyle name="40% - 강조색6 16" xfId="982" xr:uid="{00000000-0005-0000-0000-0000EE1C0000}"/>
    <cellStyle name="40% - 강조색6 16 10" xfId="9931" xr:uid="{00000000-0005-0000-0000-0000EF1C0000}"/>
    <cellStyle name="40% - 강조색6 16 11" xfId="9932" xr:uid="{00000000-0005-0000-0000-0000F01C0000}"/>
    <cellStyle name="40% - 강조색6 16 12" xfId="9933" xr:uid="{00000000-0005-0000-0000-0000F11C0000}"/>
    <cellStyle name="40% - 강조색6 16 13" xfId="9934" xr:uid="{00000000-0005-0000-0000-0000F21C0000}"/>
    <cellStyle name="40% - 강조색6 16 14" xfId="9935" xr:uid="{00000000-0005-0000-0000-0000F31C0000}"/>
    <cellStyle name="40% - 강조색6 16 15" xfId="9930" xr:uid="{00000000-0005-0000-0000-0000F41C0000}"/>
    <cellStyle name="40% - 강조색6 16 2" xfId="983" xr:uid="{00000000-0005-0000-0000-0000F51C0000}"/>
    <cellStyle name="40% - 강조색6 16 2 2" xfId="9936" xr:uid="{00000000-0005-0000-0000-0000F61C0000}"/>
    <cellStyle name="40% - 강조색6 16 3" xfId="9937" xr:uid="{00000000-0005-0000-0000-0000F71C0000}"/>
    <cellStyle name="40% - 강조색6 16 4" xfId="9938" xr:uid="{00000000-0005-0000-0000-0000F81C0000}"/>
    <cellStyle name="40% - 강조색6 16 5" xfId="9939" xr:uid="{00000000-0005-0000-0000-0000F91C0000}"/>
    <cellStyle name="40% - 강조색6 16 6" xfId="9940" xr:uid="{00000000-0005-0000-0000-0000FA1C0000}"/>
    <cellStyle name="40% - 강조색6 16 7" xfId="9941" xr:uid="{00000000-0005-0000-0000-0000FB1C0000}"/>
    <cellStyle name="40% - 강조색6 16 8" xfId="9942" xr:uid="{00000000-0005-0000-0000-0000FC1C0000}"/>
    <cellStyle name="40% - 강조색6 16 9" xfId="9943" xr:uid="{00000000-0005-0000-0000-0000FD1C0000}"/>
    <cellStyle name="40% - 강조색6 17" xfId="984" xr:uid="{00000000-0005-0000-0000-0000FE1C0000}"/>
    <cellStyle name="40% - 강조색6 17 10" xfId="9945" xr:uid="{00000000-0005-0000-0000-0000FF1C0000}"/>
    <cellStyle name="40% - 강조색6 17 11" xfId="9946" xr:uid="{00000000-0005-0000-0000-0000001D0000}"/>
    <cellStyle name="40% - 강조색6 17 12" xfId="9947" xr:uid="{00000000-0005-0000-0000-0000011D0000}"/>
    <cellStyle name="40% - 강조색6 17 13" xfId="9948" xr:uid="{00000000-0005-0000-0000-0000021D0000}"/>
    <cellStyle name="40% - 강조색6 17 14" xfId="9949" xr:uid="{00000000-0005-0000-0000-0000031D0000}"/>
    <cellStyle name="40% - 강조색6 17 15" xfId="9944" xr:uid="{00000000-0005-0000-0000-0000041D0000}"/>
    <cellStyle name="40% - 강조색6 17 2" xfId="985" xr:uid="{00000000-0005-0000-0000-0000051D0000}"/>
    <cellStyle name="40% - 강조색6 17 2 2" xfId="9950" xr:uid="{00000000-0005-0000-0000-0000061D0000}"/>
    <cellStyle name="40% - 강조색6 17 3" xfId="9951" xr:uid="{00000000-0005-0000-0000-0000071D0000}"/>
    <cellStyle name="40% - 강조색6 17 4" xfId="9952" xr:uid="{00000000-0005-0000-0000-0000081D0000}"/>
    <cellStyle name="40% - 강조색6 17 5" xfId="9953" xr:uid="{00000000-0005-0000-0000-0000091D0000}"/>
    <cellStyle name="40% - 강조색6 17 6" xfId="9954" xr:uid="{00000000-0005-0000-0000-00000A1D0000}"/>
    <cellStyle name="40% - 강조색6 17 7" xfId="9955" xr:uid="{00000000-0005-0000-0000-00000B1D0000}"/>
    <cellStyle name="40% - 강조색6 17 8" xfId="9956" xr:uid="{00000000-0005-0000-0000-00000C1D0000}"/>
    <cellStyle name="40% - 강조색6 17 9" xfId="9957" xr:uid="{00000000-0005-0000-0000-00000D1D0000}"/>
    <cellStyle name="40% - 강조색6 18" xfId="986" xr:uid="{00000000-0005-0000-0000-00000E1D0000}"/>
    <cellStyle name="40% - 강조색6 18 10" xfId="9959" xr:uid="{00000000-0005-0000-0000-00000F1D0000}"/>
    <cellStyle name="40% - 강조색6 18 11" xfId="9960" xr:uid="{00000000-0005-0000-0000-0000101D0000}"/>
    <cellStyle name="40% - 강조색6 18 12" xfId="9961" xr:uid="{00000000-0005-0000-0000-0000111D0000}"/>
    <cellStyle name="40% - 강조색6 18 13" xfId="9962" xr:uid="{00000000-0005-0000-0000-0000121D0000}"/>
    <cellStyle name="40% - 강조색6 18 14" xfId="9963" xr:uid="{00000000-0005-0000-0000-0000131D0000}"/>
    <cellStyle name="40% - 강조색6 18 15" xfId="9958" xr:uid="{00000000-0005-0000-0000-0000141D0000}"/>
    <cellStyle name="40% - 강조색6 18 2" xfId="987" xr:uid="{00000000-0005-0000-0000-0000151D0000}"/>
    <cellStyle name="40% - 강조색6 18 2 2" xfId="9964" xr:uid="{00000000-0005-0000-0000-0000161D0000}"/>
    <cellStyle name="40% - 강조색6 18 3" xfId="9965" xr:uid="{00000000-0005-0000-0000-0000171D0000}"/>
    <cellStyle name="40% - 강조색6 18 4" xfId="9966" xr:uid="{00000000-0005-0000-0000-0000181D0000}"/>
    <cellStyle name="40% - 강조색6 18 5" xfId="9967" xr:uid="{00000000-0005-0000-0000-0000191D0000}"/>
    <cellStyle name="40% - 강조색6 18 6" xfId="9968" xr:uid="{00000000-0005-0000-0000-00001A1D0000}"/>
    <cellStyle name="40% - 강조색6 18 7" xfId="9969" xr:uid="{00000000-0005-0000-0000-00001B1D0000}"/>
    <cellStyle name="40% - 강조색6 18 8" xfId="9970" xr:uid="{00000000-0005-0000-0000-00001C1D0000}"/>
    <cellStyle name="40% - 강조색6 18 9" xfId="9971" xr:uid="{00000000-0005-0000-0000-00001D1D0000}"/>
    <cellStyle name="40% - 강조색6 19" xfId="988" xr:uid="{00000000-0005-0000-0000-00001E1D0000}"/>
    <cellStyle name="40% - 강조색6 19 10" xfId="9973" xr:uid="{00000000-0005-0000-0000-00001F1D0000}"/>
    <cellStyle name="40% - 강조색6 19 11" xfId="9974" xr:uid="{00000000-0005-0000-0000-0000201D0000}"/>
    <cellStyle name="40% - 강조색6 19 12" xfId="9975" xr:uid="{00000000-0005-0000-0000-0000211D0000}"/>
    <cellStyle name="40% - 강조색6 19 13" xfId="9976" xr:uid="{00000000-0005-0000-0000-0000221D0000}"/>
    <cellStyle name="40% - 강조색6 19 14" xfId="9977" xr:uid="{00000000-0005-0000-0000-0000231D0000}"/>
    <cellStyle name="40% - 강조색6 19 15" xfId="9972" xr:uid="{00000000-0005-0000-0000-0000241D0000}"/>
    <cellStyle name="40% - 강조색6 19 2" xfId="989" xr:uid="{00000000-0005-0000-0000-0000251D0000}"/>
    <cellStyle name="40% - 강조색6 19 2 2" xfId="9978" xr:uid="{00000000-0005-0000-0000-0000261D0000}"/>
    <cellStyle name="40% - 강조색6 19 3" xfId="9979" xr:uid="{00000000-0005-0000-0000-0000271D0000}"/>
    <cellStyle name="40% - 강조색6 19 4" xfId="9980" xr:uid="{00000000-0005-0000-0000-0000281D0000}"/>
    <cellStyle name="40% - 강조색6 19 5" xfId="9981" xr:uid="{00000000-0005-0000-0000-0000291D0000}"/>
    <cellStyle name="40% - 강조색6 19 6" xfId="9982" xr:uid="{00000000-0005-0000-0000-00002A1D0000}"/>
    <cellStyle name="40% - 강조색6 19 7" xfId="9983" xr:uid="{00000000-0005-0000-0000-00002B1D0000}"/>
    <cellStyle name="40% - 강조색6 19 8" xfId="9984" xr:uid="{00000000-0005-0000-0000-00002C1D0000}"/>
    <cellStyle name="40% - 강조색6 19 9" xfId="9985" xr:uid="{00000000-0005-0000-0000-00002D1D0000}"/>
    <cellStyle name="40% - 강조색6 2" xfId="990" xr:uid="{00000000-0005-0000-0000-00002E1D0000}"/>
    <cellStyle name="40% - 강조색6 2 10" xfId="9987" xr:uid="{00000000-0005-0000-0000-00002F1D0000}"/>
    <cellStyle name="40% - 강조색6 2 11" xfId="9988" xr:uid="{00000000-0005-0000-0000-0000301D0000}"/>
    <cellStyle name="40% - 강조색6 2 12" xfId="9989" xr:uid="{00000000-0005-0000-0000-0000311D0000}"/>
    <cellStyle name="40% - 강조색6 2 13" xfId="9990" xr:uid="{00000000-0005-0000-0000-0000321D0000}"/>
    <cellStyle name="40% - 강조색6 2 14" xfId="9991" xr:uid="{00000000-0005-0000-0000-0000331D0000}"/>
    <cellStyle name="40% - 강조색6 2 15" xfId="9986" xr:uid="{00000000-0005-0000-0000-0000341D0000}"/>
    <cellStyle name="40% - 강조색6 2 16" xfId="27944" xr:uid="{00000000-0005-0000-0000-0000351D0000}"/>
    <cellStyle name="40% - 강조색6 2 2" xfId="991" xr:uid="{00000000-0005-0000-0000-0000361D0000}"/>
    <cellStyle name="40% - 강조색6 2 2 2" xfId="9992" xr:uid="{00000000-0005-0000-0000-0000371D0000}"/>
    <cellStyle name="40% - 강조색6 2 3" xfId="9993" xr:uid="{00000000-0005-0000-0000-0000381D0000}"/>
    <cellStyle name="40% - 강조색6 2 4" xfId="9994" xr:uid="{00000000-0005-0000-0000-0000391D0000}"/>
    <cellStyle name="40% - 강조색6 2 5" xfId="9995" xr:uid="{00000000-0005-0000-0000-00003A1D0000}"/>
    <cellStyle name="40% - 강조색6 2 6" xfId="9996" xr:uid="{00000000-0005-0000-0000-00003B1D0000}"/>
    <cellStyle name="40% - 강조색6 2 7" xfId="9997" xr:uid="{00000000-0005-0000-0000-00003C1D0000}"/>
    <cellStyle name="40% - 강조색6 2 8" xfId="9998" xr:uid="{00000000-0005-0000-0000-00003D1D0000}"/>
    <cellStyle name="40% - 강조색6 2 9" xfId="9999" xr:uid="{00000000-0005-0000-0000-00003E1D0000}"/>
    <cellStyle name="40% - 강조색6 20" xfId="992" xr:uid="{00000000-0005-0000-0000-00003F1D0000}"/>
    <cellStyle name="40% - 강조색6 20 10" xfId="10001" xr:uid="{00000000-0005-0000-0000-0000401D0000}"/>
    <cellStyle name="40% - 강조색6 20 11" xfId="10002" xr:uid="{00000000-0005-0000-0000-0000411D0000}"/>
    <cellStyle name="40% - 강조색6 20 12" xfId="10003" xr:uid="{00000000-0005-0000-0000-0000421D0000}"/>
    <cellStyle name="40% - 강조색6 20 13" xfId="10004" xr:uid="{00000000-0005-0000-0000-0000431D0000}"/>
    <cellStyle name="40% - 강조색6 20 14" xfId="10005" xr:uid="{00000000-0005-0000-0000-0000441D0000}"/>
    <cellStyle name="40% - 강조색6 20 15" xfId="10000" xr:uid="{00000000-0005-0000-0000-0000451D0000}"/>
    <cellStyle name="40% - 강조색6 20 2" xfId="993" xr:uid="{00000000-0005-0000-0000-0000461D0000}"/>
    <cellStyle name="40% - 강조색6 20 2 2" xfId="10006" xr:uid="{00000000-0005-0000-0000-0000471D0000}"/>
    <cellStyle name="40% - 강조색6 20 3" xfId="10007" xr:uid="{00000000-0005-0000-0000-0000481D0000}"/>
    <cellStyle name="40% - 강조색6 20 4" xfId="10008" xr:uid="{00000000-0005-0000-0000-0000491D0000}"/>
    <cellStyle name="40% - 강조색6 20 5" xfId="10009" xr:uid="{00000000-0005-0000-0000-00004A1D0000}"/>
    <cellStyle name="40% - 강조색6 20 6" xfId="10010" xr:uid="{00000000-0005-0000-0000-00004B1D0000}"/>
    <cellStyle name="40% - 강조색6 20 7" xfId="10011" xr:uid="{00000000-0005-0000-0000-00004C1D0000}"/>
    <cellStyle name="40% - 강조색6 20 8" xfId="10012" xr:uid="{00000000-0005-0000-0000-00004D1D0000}"/>
    <cellStyle name="40% - 강조색6 20 9" xfId="10013" xr:uid="{00000000-0005-0000-0000-00004E1D0000}"/>
    <cellStyle name="40% - 강조색6 21" xfId="994" xr:uid="{00000000-0005-0000-0000-00004F1D0000}"/>
    <cellStyle name="40% - 강조색6 21 10" xfId="10015" xr:uid="{00000000-0005-0000-0000-0000501D0000}"/>
    <cellStyle name="40% - 강조색6 21 11" xfId="10016" xr:uid="{00000000-0005-0000-0000-0000511D0000}"/>
    <cellStyle name="40% - 강조색6 21 12" xfId="10017" xr:uid="{00000000-0005-0000-0000-0000521D0000}"/>
    <cellStyle name="40% - 강조색6 21 13" xfId="10018" xr:uid="{00000000-0005-0000-0000-0000531D0000}"/>
    <cellStyle name="40% - 강조색6 21 14" xfId="10019" xr:uid="{00000000-0005-0000-0000-0000541D0000}"/>
    <cellStyle name="40% - 강조색6 21 15" xfId="10014" xr:uid="{00000000-0005-0000-0000-0000551D0000}"/>
    <cellStyle name="40% - 강조색6 21 2" xfId="995" xr:uid="{00000000-0005-0000-0000-0000561D0000}"/>
    <cellStyle name="40% - 강조색6 21 2 2" xfId="10020" xr:uid="{00000000-0005-0000-0000-0000571D0000}"/>
    <cellStyle name="40% - 강조색6 21 3" xfId="10021" xr:uid="{00000000-0005-0000-0000-0000581D0000}"/>
    <cellStyle name="40% - 강조색6 21 4" xfId="10022" xr:uid="{00000000-0005-0000-0000-0000591D0000}"/>
    <cellStyle name="40% - 강조색6 21 5" xfId="10023" xr:uid="{00000000-0005-0000-0000-00005A1D0000}"/>
    <cellStyle name="40% - 강조색6 21 6" xfId="10024" xr:uid="{00000000-0005-0000-0000-00005B1D0000}"/>
    <cellStyle name="40% - 강조색6 21 7" xfId="10025" xr:uid="{00000000-0005-0000-0000-00005C1D0000}"/>
    <cellStyle name="40% - 강조색6 21 8" xfId="10026" xr:uid="{00000000-0005-0000-0000-00005D1D0000}"/>
    <cellStyle name="40% - 강조색6 21 9" xfId="10027" xr:uid="{00000000-0005-0000-0000-00005E1D0000}"/>
    <cellStyle name="40% - 강조색6 22" xfId="996" xr:uid="{00000000-0005-0000-0000-00005F1D0000}"/>
    <cellStyle name="40% - 강조색6 22 10" xfId="10029" xr:uid="{00000000-0005-0000-0000-0000601D0000}"/>
    <cellStyle name="40% - 강조색6 22 11" xfId="10030" xr:uid="{00000000-0005-0000-0000-0000611D0000}"/>
    <cellStyle name="40% - 강조색6 22 12" xfId="10031" xr:uid="{00000000-0005-0000-0000-0000621D0000}"/>
    <cellStyle name="40% - 강조색6 22 13" xfId="10032" xr:uid="{00000000-0005-0000-0000-0000631D0000}"/>
    <cellStyle name="40% - 강조색6 22 14" xfId="10033" xr:uid="{00000000-0005-0000-0000-0000641D0000}"/>
    <cellStyle name="40% - 강조색6 22 15" xfId="10028" xr:uid="{00000000-0005-0000-0000-0000651D0000}"/>
    <cellStyle name="40% - 강조색6 22 2" xfId="997" xr:uid="{00000000-0005-0000-0000-0000661D0000}"/>
    <cellStyle name="40% - 강조색6 22 2 2" xfId="10034" xr:uid="{00000000-0005-0000-0000-0000671D0000}"/>
    <cellStyle name="40% - 강조색6 22 3" xfId="10035" xr:uid="{00000000-0005-0000-0000-0000681D0000}"/>
    <cellStyle name="40% - 강조색6 22 4" xfId="10036" xr:uid="{00000000-0005-0000-0000-0000691D0000}"/>
    <cellStyle name="40% - 강조색6 22 5" xfId="10037" xr:uid="{00000000-0005-0000-0000-00006A1D0000}"/>
    <cellStyle name="40% - 강조색6 22 6" xfId="10038" xr:uid="{00000000-0005-0000-0000-00006B1D0000}"/>
    <cellStyle name="40% - 강조색6 22 7" xfId="10039" xr:uid="{00000000-0005-0000-0000-00006C1D0000}"/>
    <cellStyle name="40% - 강조색6 22 8" xfId="10040" xr:uid="{00000000-0005-0000-0000-00006D1D0000}"/>
    <cellStyle name="40% - 강조색6 22 9" xfId="10041" xr:uid="{00000000-0005-0000-0000-00006E1D0000}"/>
    <cellStyle name="40% - 강조색6 23" xfId="998" xr:uid="{00000000-0005-0000-0000-00006F1D0000}"/>
    <cellStyle name="40% - 강조색6 23 10" xfId="10043" xr:uid="{00000000-0005-0000-0000-0000701D0000}"/>
    <cellStyle name="40% - 강조색6 23 11" xfId="10044" xr:uid="{00000000-0005-0000-0000-0000711D0000}"/>
    <cellStyle name="40% - 강조색6 23 12" xfId="10045" xr:uid="{00000000-0005-0000-0000-0000721D0000}"/>
    <cellStyle name="40% - 강조색6 23 13" xfId="10046" xr:uid="{00000000-0005-0000-0000-0000731D0000}"/>
    <cellStyle name="40% - 강조색6 23 14" xfId="10047" xr:uid="{00000000-0005-0000-0000-0000741D0000}"/>
    <cellStyle name="40% - 강조색6 23 15" xfId="10042" xr:uid="{00000000-0005-0000-0000-0000751D0000}"/>
    <cellStyle name="40% - 강조색6 23 2" xfId="999" xr:uid="{00000000-0005-0000-0000-0000761D0000}"/>
    <cellStyle name="40% - 강조색6 23 2 2" xfId="10048" xr:uid="{00000000-0005-0000-0000-0000771D0000}"/>
    <cellStyle name="40% - 강조색6 23 3" xfId="10049" xr:uid="{00000000-0005-0000-0000-0000781D0000}"/>
    <cellStyle name="40% - 강조색6 23 4" xfId="10050" xr:uid="{00000000-0005-0000-0000-0000791D0000}"/>
    <cellStyle name="40% - 강조색6 23 5" xfId="10051" xr:uid="{00000000-0005-0000-0000-00007A1D0000}"/>
    <cellStyle name="40% - 강조색6 23 6" xfId="10052" xr:uid="{00000000-0005-0000-0000-00007B1D0000}"/>
    <cellStyle name="40% - 강조색6 23 7" xfId="10053" xr:uid="{00000000-0005-0000-0000-00007C1D0000}"/>
    <cellStyle name="40% - 강조색6 23 8" xfId="10054" xr:uid="{00000000-0005-0000-0000-00007D1D0000}"/>
    <cellStyle name="40% - 강조색6 23 9" xfId="10055" xr:uid="{00000000-0005-0000-0000-00007E1D0000}"/>
    <cellStyle name="40% - 강조색6 24" xfId="1000" xr:uid="{00000000-0005-0000-0000-00007F1D0000}"/>
    <cellStyle name="40% - 강조색6 24 10" xfId="10057" xr:uid="{00000000-0005-0000-0000-0000801D0000}"/>
    <cellStyle name="40% - 강조색6 24 11" xfId="10058" xr:uid="{00000000-0005-0000-0000-0000811D0000}"/>
    <cellStyle name="40% - 강조색6 24 12" xfId="10059" xr:uid="{00000000-0005-0000-0000-0000821D0000}"/>
    <cellStyle name="40% - 강조색6 24 13" xfId="10060" xr:uid="{00000000-0005-0000-0000-0000831D0000}"/>
    <cellStyle name="40% - 강조색6 24 14" xfId="10061" xr:uid="{00000000-0005-0000-0000-0000841D0000}"/>
    <cellStyle name="40% - 강조색6 24 15" xfId="10056" xr:uid="{00000000-0005-0000-0000-0000851D0000}"/>
    <cellStyle name="40% - 강조색6 24 2" xfId="1001" xr:uid="{00000000-0005-0000-0000-0000861D0000}"/>
    <cellStyle name="40% - 강조색6 24 2 2" xfId="10062" xr:uid="{00000000-0005-0000-0000-0000871D0000}"/>
    <cellStyle name="40% - 강조색6 24 3" xfId="10063" xr:uid="{00000000-0005-0000-0000-0000881D0000}"/>
    <cellStyle name="40% - 강조색6 24 4" xfId="10064" xr:uid="{00000000-0005-0000-0000-0000891D0000}"/>
    <cellStyle name="40% - 강조색6 24 5" xfId="10065" xr:uid="{00000000-0005-0000-0000-00008A1D0000}"/>
    <cellStyle name="40% - 강조색6 24 6" xfId="10066" xr:uid="{00000000-0005-0000-0000-00008B1D0000}"/>
    <cellStyle name="40% - 강조색6 24 7" xfId="10067" xr:uid="{00000000-0005-0000-0000-00008C1D0000}"/>
    <cellStyle name="40% - 강조색6 24 8" xfId="10068" xr:uid="{00000000-0005-0000-0000-00008D1D0000}"/>
    <cellStyle name="40% - 강조색6 24 9" xfId="10069" xr:uid="{00000000-0005-0000-0000-00008E1D0000}"/>
    <cellStyle name="40% - 강조색6 25" xfId="1002" xr:uid="{00000000-0005-0000-0000-00008F1D0000}"/>
    <cellStyle name="40% - 강조색6 25 10" xfId="10071" xr:uid="{00000000-0005-0000-0000-0000901D0000}"/>
    <cellStyle name="40% - 강조색6 25 11" xfId="10072" xr:uid="{00000000-0005-0000-0000-0000911D0000}"/>
    <cellStyle name="40% - 강조색6 25 12" xfId="10073" xr:uid="{00000000-0005-0000-0000-0000921D0000}"/>
    <cellStyle name="40% - 강조색6 25 13" xfId="10074" xr:uid="{00000000-0005-0000-0000-0000931D0000}"/>
    <cellStyle name="40% - 강조색6 25 14" xfId="10075" xr:uid="{00000000-0005-0000-0000-0000941D0000}"/>
    <cellStyle name="40% - 강조색6 25 15" xfId="10070" xr:uid="{00000000-0005-0000-0000-0000951D0000}"/>
    <cellStyle name="40% - 강조색6 25 2" xfId="1003" xr:uid="{00000000-0005-0000-0000-0000961D0000}"/>
    <cellStyle name="40% - 강조색6 25 2 2" xfId="10076" xr:uid="{00000000-0005-0000-0000-0000971D0000}"/>
    <cellStyle name="40% - 강조색6 25 3" xfId="10077" xr:uid="{00000000-0005-0000-0000-0000981D0000}"/>
    <cellStyle name="40% - 강조색6 25 4" xfId="10078" xr:uid="{00000000-0005-0000-0000-0000991D0000}"/>
    <cellStyle name="40% - 강조색6 25 5" xfId="10079" xr:uid="{00000000-0005-0000-0000-00009A1D0000}"/>
    <cellStyle name="40% - 강조색6 25 6" xfId="10080" xr:uid="{00000000-0005-0000-0000-00009B1D0000}"/>
    <cellStyle name="40% - 강조색6 25 7" xfId="10081" xr:uid="{00000000-0005-0000-0000-00009C1D0000}"/>
    <cellStyle name="40% - 강조색6 25 8" xfId="10082" xr:uid="{00000000-0005-0000-0000-00009D1D0000}"/>
    <cellStyle name="40% - 강조색6 25 9" xfId="10083" xr:uid="{00000000-0005-0000-0000-00009E1D0000}"/>
    <cellStyle name="40% - 강조색6 26" xfId="1004" xr:uid="{00000000-0005-0000-0000-00009F1D0000}"/>
    <cellStyle name="40% - 강조색6 26 10" xfId="10085" xr:uid="{00000000-0005-0000-0000-0000A01D0000}"/>
    <cellStyle name="40% - 강조색6 26 11" xfId="10086" xr:uid="{00000000-0005-0000-0000-0000A11D0000}"/>
    <cellStyle name="40% - 강조색6 26 12" xfId="10087" xr:uid="{00000000-0005-0000-0000-0000A21D0000}"/>
    <cellStyle name="40% - 강조색6 26 13" xfId="10088" xr:uid="{00000000-0005-0000-0000-0000A31D0000}"/>
    <cellStyle name="40% - 강조색6 26 14" xfId="10089" xr:uid="{00000000-0005-0000-0000-0000A41D0000}"/>
    <cellStyle name="40% - 강조색6 26 15" xfId="10084" xr:uid="{00000000-0005-0000-0000-0000A51D0000}"/>
    <cellStyle name="40% - 강조색6 26 2" xfId="1005" xr:uid="{00000000-0005-0000-0000-0000A61D0000}"/>
    <cellStyle name="40% - 강조색6 26 2 2" xfId="10090" xr:uid="{00000000-0005-0000-0000-0000A71D0000}"/>
    <cellStyle name="40% - 강조색6 26 3" xfId="10091" xr:uid="{00000000-0005-0000-0000-0000A81D0000}"/>
    <cellStyle name="40% - 강조색6 26 4" xfId="10092" xr:uid="{00000000-0005-0000-0000-0000A91D0000}"/>
    <cellStyle name="40% - 강조색6 26 5" xfId="10093" xr:uid="{00000000-0005-0000-0000-0000AA1D0000}"/>
    <cellStyle name="40% - 강조색6 26 6" xfId="10094" xr:uid="{00000000-0005-0000-0000-0000AB1D0000}"/>
    <cellStyle name="40% - 강조색6 26 7" xfId="10095" xr:uid="{00000000-0005-0000-0000-0000AC1D0000}"/>
    <cellStyle name="40% - 강조색6 26 8" xfId="10096" xr:uid="{00000000-0005-0000-0000-0000AD1D0000}"/>
    <cellStyle name="40% - 강조색6 26 9" xfId="10097" xr:uid="{00000000-0005-0000-0000-0000AE1D0000}"/>
    <cellStyle name="40% - 강조색6 27" xfId="1006" xr:uid="{00000000-0005-0000-0000-0000AF1D0000}"/>
    <cellStyle name="40% - 강조색6 27 10" xfId="10099" xr:uid="{00000000-0005-0000-0000-0000B01D0000}"/>
    <cellStyle name="40% - 강조색6 27 11" xfId="10100" xr:uid="{00000000-0005-0000-0000-0000B11D0000}"/>
    <cellStyle name="40% - 강조색6 27 12" xfId="10101" xr:uid="{00000000-0005-0000-0000-0000B21D0000}"/>
    <cellStyle name="40% - 강조색6 27 13" xfId="10102" xr:uid="{00000000-0005-0000-0000-0000B31D0000}"/>
    <cellStyle name="40% - 강조색6 27 14" xfId="10103" xr:uid="{00000000-0005-0000-0000-0000B41D0000}"/>
    <cellStyle name="40% - 강조색6 27 15" xfId="10098" xr:uid="{00000000-0005-0000-0000-0000B51D0000}"/>
    <cellStyle name="40% - 강조색6 27 2" xfId="1007" xr:uid="{00000000-0005-0000-0000-0000B61D0000}"/>
    <cellStyle name="40% - 강조색6 27 2 2" xfId="10104" xr:uid="{00000000-0005-0000-0000-0000B71D0000}"/>
    <cellStyle name="40% - 강조색6 27 3" xfId="10105" xr:uid="{00000000-0005-0000-0000-0000B81D0000}"/>
    <cellStyle name="40% - 강조색6 27 4" xfId="10106" xr:uid="{00000000-0005-0000-0000-0000B91D0000}"/>
    <cellStyle name="40% - 강조색6 27 5" xfId="10107" xr:uid="{00000000-0005-0000-0000-0000BA1D0000}"/>
    <cellStyle name="40% - 강조색6 27 6" xfId="10108" xr:uid="{00000000-0005-0000-0000-0000BB1D0000}"/>
    <cellStyle name="40% - 강조색6 27 7" xfId="10109" xr:uid="{00000000-0005-0000-0000-0000BC1D0000}"/>
    <cellStyle name="40% - 강조색6 27 8" xfId="10110" xr:uid="{00000000-0005-0000-0000-0000BD1D0000}"/>
    <cellStyle name="40% - 강조색6 27 9" xfId="10111" xr:uid="{00000000-0005-0000-0000-0000BE1D0000}"/>
    <cellStyle name="40% - 강조색6 28" xfId="1008" xr:uid="{00000000-0005-0000-0000-0000BF1D0000}"/>
    <cellStyle name="40% - 강조색6 28 10" xfId="10113" xr:uid="{00000000-0005-0000-0000-0000C01D0000}"/>
    <cellStyle name="40% - 강조색6 28 11" xfId="10114" xr:uid="{00000000-0005-0000-0000-0000C11D0000}"/>
    <cellStyle name="40% - 강조색6 28 12" xfId="10115" xr:uid="{00000000-0005-0000-0000-0000C21D0000}"/>
    <cellStyle name="40% - 강조색6 28 13" xfId="10116" xr:uid="{00000000-0005-0000-0000-0000C31D0000}"/>
    <cellStyle name="40% - 강조색6 28 14" xfId="10117" xr:uid="{00000000-0005-0000-0000-0000C41D0000}"/>
    <cellStyle name="40% - 강조색6 28 15" xfId="10112" xr:uid="{00000000-0005-0000-0000-0000C51D0000}"/>
    <cellStyle name="40% - 강조색6 28 2" xfId="1009" xr:uid="{00000000-0005-0000-0000-0000C61D0000}"/>
    <cellStyle name="40% - 강조색6 28 2 2" xfId="10118" xr:uid="{00000000-0005-0000-0000-0000C71D0000}"/>
    <cellStyle name="40% - 강조색6 28 3" xfId="10119" xr:uid="{00000000-0005-0000-0000-0000C81D0000}"/>
    <cellStyle name="40% - 강조색6 28 4" xfId="10120" xr:uid="{00000000-0005-0000-0000-0000C91D0000}"/>
    <cellStyle name="40% - 강조색6 28 5" xfId="10121" xr:uid="{00000000-0005-0000-0000-0000CA1D0000}"/>
    <cellStyle name="40% - 강조색6 28 6" xfId="10122" xr:uid="{00000000-0005-0000-0000-0000CB1D0000}"/>
    <cellStyle name="40% - 강조색6 28 7" xfId="10123" xr:uid="{00000000-0005-0000-0000-0000CC1D0000}"/>
    <cellStyle name="40% - 강조색6 28 8" xfId="10124" xr:uid="{00000000-0005-0000-0000-0000CD1D0000}"/>
    <cellStyle name="40% - 강조색6 28 9" xfId="10125" xr:uid="{00000000-0005-0000-0000-0000CE1D0000}"/>
    <cellStyle name="40% - 강조색6 29" xfId="1010" xr:uid="{00000000-0005-0000-0000-0000CF1D0000}"/>
    <cellStyle name="40% - 강조색6 29 10" xfId="10127" xr:uid="{00000000-0005-0000-0000-0000D01D0000}"/>
    <cellStyle name="40% - 강조색6 29 11" xfId="10128" xr:uid="{00000000-0005-0000-0000-0000D11D0000}"/>
    <cellStyle name="40% - 강조색6 29 12" xfId="10129" xr:uid="{00000000-0005-0000-0000-0000D21D0000}"/>
    <cellStyle name="40% - 강조색6 29 13" xfId="10130" xr:uid="{00000000-0005-0000-0000-0000D31D0000}"/>
    <cellStyle name="40% - 강조색6 29 14" xfId="10131" xr:uid="{00000000-0005-0000-0000-0000D41D0000}"/>
    <cellStyle name="40% - 강조색6 29 15" xfId="10126" xr:uid="{00000000-0005-0000-0000-0000D51D0000}"/>
    <cellStyle name="40% - 강조색6 29 2" xfId="1011" xr:uid="{00000000-0005-0000-0000-0000D61D0000}"/>
    <cellStyle name="40% - 강조색6 29 2 2" xfId="10132" xr:uid="{00000000-0005-0000-0000-0000D71D0000}"/>
    <cellStyle name="40% - 강조색6 29 3" xfId="10133" xr:uid="{00000000-0005-0000-0000-0000D81D0000}"/>
    <cellStyle name="40% - 강조색6 29 4" xfId="10134" xr:uid="{00000000-0005-0000-0000-0000D91D0000}"/>
    <cellStyle name="40% - 강조색6 29 5" xfId="10135" xr:uid="{00000000-0005-0000-0000-0000DA1D0000}"/>
    <cellStyle name="40% - 강조색6 29 6" xfId="10136" xr:uid="{00000000-0005-0000-0000-0000DB1D0000}"/>
    <cellStyle name="40% - 강조색6 29 7" xfId="10137" xr:uid="{00000000-0005-0000-0000-0000DC1D0000}"/>
    <cellStyle name="40% - 강조색6 29 8" xfId="10138" xr:uid="{00000000-0005-0000-0000-0000DD1D0000}"/>
    <cellStyle name="40% - 강조색6 29 9" xfId="10139" xr:uid="{00000000-0005-0000-0000-0000DE1D0000}"/>
    <cellStyle name="40% - 강조색6 3" xfId="1012" xr:uid="{00000000-0005-0000-0000-0000DF1D0000}"/>
    <cellStyle name="40% - 강조색6 3 10" xfId="10141" xr:uid="{00000000-0005-0000-0000-0000E01D0000}"/>
    <cellStyle name="40% - 강조색6 3 11" xfId="10142" xr:uid="{00000000-0005-0000-0000-0000E11D0000}"/>
    <cellStyle name="40% - 강조색6 3 12" xfId="10143" xr:uid="{00000000-0005-0000-0000-0000E21D0000}"/>
    <cellStyle name="40% - 강조색6 3 13" xfId="10144" xr:uid="{00000000-0005-0000-0000-0000E31D0000}"/>
    <cellStyle name="40% - 강조색6 3 14" xfId="10145" xr:uid="{00000000-0005-0000-0000-0000E41D0000}"/>
    <cellStyle name="40% - 강조색6 3 15" xfId="10140" xr:uid="{00000000-0005-0000-0000-0000E51D0000}"/>
    <cellStyle name="40% - 강조색6 3 16" xfId="28200" xr:uid="{00000000-0005-0000-0000-0000E61D0000}"/>
    <cellStyle name="40% - 강조색6 3 2" xfId="1013" xr:uid="{00000000-0005-0000-0000-0000E71D0000}"/>
    <cellStyle name="40% - 강조색6 3 2 2" xfId="10146" xr:uid="{00000000-0005-0000-0000-0000E81D0000}"/>
    <cellStyle name="40% - 강조색6 3 3" xfId="10147" xr:uid="{00000000-0005-0000-0000-0000E91D0000}"/>
    <cellStyle name="40% - 강조색6 3 4" xfId="10148" xr:uid="{00000000-0005-0000-0000-0000EA1D0000}"/>
    <cellStyle name="40% - 강조색6 3 5" xfId="10149" xr:uid="{00000000-0005-0000-0000-0000EB1D0000}"/>
    <cellStyle name="40% - 강조색6 3 6" xfId="10150" xr:uid="{00000000-0005-0000-0000-0000EC1D0000}"/>
    <cellStyle name="40% - 강조색6 3 7" xfId="10151" xr:uid="{00000000-0005-0000-0000-0000ED1D0000}"/>
    <cellStyle name="40% - 강조색6 3 8" xfId="10152" xr:uid="{00000000-0005-0000-0000-0000EE1D0000}"/>
    <cellStyle name="40% - 강조색6 3 9" xfId="10153" xr:uid="{00000000-0005-0000-0000-0000EF1D0000}"/>
    <cellStyle name="40% - 강조색6 30" xfId="1014" xr:uid="{00000000-0005-0000-0000-0000F01D0000}"/>
    <cellStyle name="40% - 강조색6 30 10" xfId="10155" xr:uid="{00000000-0005-0000-0000-0000F11D0000}"/>
    <cellStyle name="40% - 강조색6 30 11" xfId="10156" xr:uid="{00000000-0005-0000-0000-0000F21D0000}"/>
    <cellStyle name="40% - 강조색6 30 12" xfId="10157" xr:uid="{00000000-0005-0000-0000-0000F31D0000}"/>
    <cellStyle name="40% - 강조색6 30 13" xfId="10158" xr:uid="{00000000-0005-0000-0000-0000F41D0000}"/>
    <cellStyle name="40% - 강조색6 30 14" xfId="10159" xr:uid="{00000000-0005-0000-0000-0000F51D0000}"/>
    <cellStyle name="40% - 강조색6 30 15" xfId="10154" xr:uid="{00000000-0005-0000-0000-0000F61D0000}"/>
    <cellStyle name="40% - 강조색6 30 2" xfId="1015" xr:uid="{00000000-0005-0000-0000-0000F71D0000}"/>
    <cellStyle name="40% - 강조색6 30 2 2" xfId="10160" xr:uid="{00000000-0005-0000-0000-0000F81D0000}"/>
    <cellStyle name="40% - 강조색6 30 3" xfId="10161" xr:uid="{00000000-0005-0000-0000-0000F91D0000}"/>
    <cellStyle name="40% - 강조색6 30 4" xfId="10162" xr:uid="{00000000-0005-0000-0000-0000FA1D0000}"/>
    <cellStyle name="40% - 강조색6 30 5" xfId="10163" xr:uid="{00000000-0005-0000-0000-0000FB1D0000}"/>
    <cellStyle name="40% - 강조색6 30 6" xfId="10164" xr:uid="{00000000-0005-0000-0000-0000FC1D0000}"/>
    <cellStyle name="40% - 강조색6 30 7" xfId="10165" xr:uid="{00000000-0005-0000-0000-0000FD1D0000}"/>
    <cellStyle name="40% - 강조색6 30 8" xfId="10166" xr:uid="{00000000-0005-0000-0000-0000FE1D0000}"/>
    <cellStyle name="40% - 강조색6 30 9" xfId="10167" xr:uid="{00000000-0005-0000-0000-0000FF1D0000}"/>
    <cellStyle name="40% - 강조색6 31" xfId="1016" xr:uid="{00000000-0005-0000-0000-0000001E0000}"/>
    <cellStyle name="40% - 강조색6 31 10" xfId="10169" xr:uid="{00000000-0005-0000-0000-0000011E0000}"/>
    <cellStyle name="40% - 강조색6 31 11" xfId="10170" xr:uid="{00000000-0005-0000-0000-0000021E0000}"/>
    <cellStyle name="40% - 강조색6 31 12" xfId="10171" xr:uid="{00000000-0005-0000-0000-0000031E0000}"/>
    <cellStyle name="40% - 강조색6 31 13" xfId="10172" xr:uid="{00000000-0005-0000-0000-0000041E0000}"/>
    <cellStyle name="40% - 강조색6 31 14" xfId="10173" xr:uid="{00000000-0005-0000-0000-0000051E0000}"/>
    <cellStyle name="40% - 강조색6 31 15" xfId="10168" xr:uid="{00000000-0005-0000-0000-0000061E0000}"/>
    <cellStyle name="40% - 강조색6 31 2" xfId="1017" xr:uid="{00000000-0005-0000-0000-0000071E0000}"/>
    <cellStyle name="40% - 강조색6 31 2 2" xfId="10174" xr:uid="{00000000-0005-0000-0000-0000081E0000}"/>
    <cellStyle name="40% - 강조색6 31 3" xfId="10175" xr:uid="{00000000-0005-0000-0000-0000091E0000}"/>
    <cellStyle name="40% - 강조색6 31 4" xfId="10176" xr:uid="{00000000-0005-0000-0000-00000A1E0000}"/>
    <cellStyle name="40% - 강조색6 31 5" xfId="10177" xr:uid="{00000000-0005-0000-0000-00000B1E0000}"/>
    <cellStyle name="40% - 강조색6 31 6" xfId="10178" xr:uid="{00000000-0005-0000-0000-00000C1E0000}"/>
    <cellStyle name="40% - 강조색6 31 7" xfId="10179" xr:uid="{00000000-0005-0000-0000-00000D1E0000}"/>
    <cellStyle name="40% - 강조색6 31 8" xfId="10180" xr:uid="{00000000-0005-0000-0000-00000E1E0000}"/>
    <cellStyle name="40% - 강조색6 31 9" xfId="10181" xr:uid="{00000000-0005-0000-0000-00000F1E0000}"/>
    <cellStyle name="40% - 강조색6 32" xfId="1018" xr:uid="{00000000-0005-0000-0000-0000101E0000}"/>
    <cellStyle name="40% - 강조색6 32 10" xfId="10183" xr:uid="{00000000-0005-0000-0000-0000111E0000}"/>
    <cellStyle name="40% - 강조색6 32 11" xfId="10184" xr:uid="{00000000-0005-0000-0000-0000121E0000}"/>
    <cellStyle name="40% - 강조색6 32 12" xfId="10185" xr:uid="{00000000-0005-0000-0000-0000131E0000}"/>
    <cellStyle name="40% - 강조색6 32 13" xfId="10186" xr:uid="{00000000-0005-0000-0000-0000141E0000}"/>
    <cellStyle name="40% - 강조색6 32 14" xfId="10187" xr:uid="{00000000-0005-0000-0000-0000151E0000}"/>
    <cellStyle name="40% - 강조색6 32 15" xfId="10182" xr:uid="{00000000-0005-0000-0000-0000161E0000}"/>
    <cellStyle name="40% - 강조색6 32 2" xfId="1019" xr:uid="{00000000-0005-0000-0000-0000171E0000}"/>
    <cellStyle name="40% - 강조색6 32 2 2" xfId="10188" xr:uid="{00000000-0005-0000-0000-0000181E0000}"/>
    <cellStyle name="40% - 강조색6 32 3" xfId="10189" xr:uid="{00000000-0005-0000-0000-0000191E0000}"/>
    <cellStyle name="40% - 강조색6 32 4" xfId="10190" xr:uid="{00000000-0005-0000-0000-00001A1E0000}"/>
    <cellStyle name="40% - 강조색6 32 5" xfId="10191" xr:uid="{00000000-0005-0000-0000-00001B1E0000}"/>
    <cellStyle name="40% - 강조색6 32 6" xfId="10192" xr:uid="{00000000-0005-0000-0000-00001C1E0000}"/>
    <cellStyle name="40% - 강조색6 32 7" xfId="10193" xr:uid="{00000000-0005-0000-0000-00001D1E0000}"/>
    <cellStyle name="40% - 강조색6 32 8" xfId="10194" xr:uid="{00000000-0005-0000-0000-00001E1E0000}"/>
    <cellStyle name="40% - 강조색6 32 9" xfId="10195" xr:uid="{00000000-0005-0000-0000-00001F1E0000}"/>
    <cellStyle name="40% - 강조색6 33" xfId="1020" xr:uid="{00000000-0005-0000-0000-0000201E0000}"/>
    <cellStyle name="40% - 강조색6 33 10" xfId="10197" xr:uid="{00000000-0005-0000-0000-0000211E0000}"/>
    <cellStyle name="40% - 강조색6 33 11" xfId="10198" xr:uid="{00000000-0005-0000-0000-0000221E0000}"/>
    <cellStyle name="40% - 강조색6 33 12" xfId="10199" xr:uid="{00000000-0005-0000-0000-0000231E0000}"/>
    <cellStyle name="40% - 강조색6 33 13" xfId="10200" xr:uid="{00000000-0005-0000-0000-0000241E0000}"/>
    <cellStyle name="40% - 강조색6 33 14" xfId="10201" xr:uid="{00000000-0005-0000-0000-0000251E0000}"/>
    <cellStyle name="40% - 강조색6 33 15" xfId="10196" xr:uid="{00000000-0005-0000-0000-0000261E0000}"/>
    <cellStyle name="40% - 강조색6 33 2" xfId="1021" xr:uid="{00000000-0005-0000-0000-0000271E0000}"/>
    <cellStyle name="40% - 강조색6 33 2 2" xfId="10202" xr:uid="{00000000-0005-0000-0000-0000281E0000}"/>
    <cellStyle name="40% - 강조색6 33 3" xfId="10203" xr:uid="{00000000-0005-0000-0000-0000291E0000}"/>
    <cellStyle name="40% - 강조색6 33 4" xfId="10204" xr:uid="{00000000-0005-0000-0000-00002A1E0000}"/>
    <cellStyle name="40% - 강조색6 33 5" xfId="10205" xr:uid="{00000000-0005-0000-0000-00002B1E0000}"/>
    <cellStyle name="40% - 강조색6 33 6" xfId="10206" xr:uid="{00000000-0005-0000-0000-00002C1E0000}"/>
    <cellStyle name="40% - 강조색6 33 7" xfId="10207" xr:uid="{00000000-0005-0000-0000-00002D1E0000}"/>
    <cellStyle name="40% - 강조색6 33 8" xfId="10208" xr:uid="{00000000-0005-0000-0000-00002E1E0000}"/>
    <cellStyle name="40% - 강조색6 33 9" xfId="10209" xr:uid="{00000000-0005-0000-0000-00002F1E0000}"/>
    <cellStyle name="40% - 강조색6 34" xfId="1022" xr:uid="{00000000-0005-0000-0000-0000301E0000}"/>
    <cellStyle name="40% - 강조색6 34 10" xfId="10211" xr:uid="{00000000-0005-0000-0000-0000311E0000}"/>
    <cellStyle name="40% - 강조색6 34 11" xfId="10212" xr:uid="{00000000-0005-0000-0000-0000321E0000}"/>
    <cellStyle name="40% - 강조색6 34 12" xfId="10213" xr:uid="{00000000-0005-0000-0000-0000331E0000}"/>
    <cellStyle name="40% - 강조색6 34 13" xfId="10214" xr:uid="{00000000-0005-0000-0000-0000341E0000}"/>
    <cellStyle name="40% - 강조색6 34 14" xfId="10215" xr:uid="{00000000-0005-0000-0000-0000351E0000}"/>
    <cellStyle name="40% - 강조색6 34 15" xfId="10210" xr:uid="{00000000-0005-0000-0000-0000361E0000}"/>
    <cellStyle name="40% - 강조색6 34 2" xfId="1023" xr:uid="{00000000-0005-0000-0000-0000371E0000}"/>
    <cellStyle name="40% - 강조색6 34 2 2" xfId="10216" xr:uid="{00000000-0005-0000-0000-0000381E0000}"/>
    <cellStyle name="40% - 강조색6 34 3" xfId="10217" xr:uid="{00000000-0005-0000-0000-0000391E0000}"/>
    <cellStyle name="40% - 강조색6 34 4" xfId="10218" xr:uid="{00000000-0005-0000-0000-00003A1E0000}"/>
    <cellStyle name="40% - 강조색6 34 5" xfId="10219" xr:uid="{00000000-0005-0000-0000-00003B1E0000}"/>
    <cellStyle name="40% - 강조색6 34 6" xfId="10220" xr:uid="{00000000-0005-0000-0000-00003C1E0000}"/>
    <cellStyle name="40% - 강조색6 34 7" xfId="10221" xr:uid="{00000000-0005-0000-0000-00003D1E0000}"/>
    <cellStyle name="40% - 강조색6 34 8" xfId="10222" xr:uid="{00000000-0005-0000-0000-00003E1E0000}"/>
    <cellStyle name="40% - 강조색6 34 9" xfId="10223" xr:uid="{00000000-0005-0000-0000-00003F1E0000}"/>
    <cellStyle name="40% - 강조색6 35" xfId="1024" xr:uid="{00000000-0005-0000-0000-0000401E0000}"/>
    <cellStyle name="40% - 강조색6 35 10" xfId="10225" xr:uid="{00000000-0005-0000-0000-0000411E0000}"/>
    <cellStyle name="40% - 강조색6 35 11" xfId="10226" xr:uid="{00000000-0005-0000-0000-0000421E0000}"/>
    <cellStyle name="40% - 강조색6 35 12" xfId="10227" xr:uid="{00000000-0005-0000-0000-0000431E0000}"/>
    <cellStyle name="40% - 강조색6 35 13" xfId="10228" xr:uid="{00000000-0005-0000-0000-0000441E0000}"/>
    <cellStyle name="40% - 강조색6 35 14" xfId="10229" xr:uid="{00000000-0005-0000-0000-0000451E0000}"/>
    <cellStyle name="40% - 강조색6 35 15" xfId="10224" xr:uid="{00000000-0005-0000-0000-0000461E0000}"/>
    <cellStyle name="40% - 강조색6 35 2" xfId="1025" xr:uid="{00000000-0005-0000-0000-0000471E0000}"/>
    <cellStyle name="40% - 강조색6 35 2 2" xfId="10230" xr:uid="{00000000-0005-0000-0000-0000481E0000}"/>
    <cellStyle name="40% - 강조색6 35 3" xfId="10231" xr:uid="{00000000-0005-0000-0000-0000491E0000}"/>
    <cellStyle name="40% - 강조색6 35 4" xfId="10232" xr:uid="{00000000-0005-0000-0000-00004A1E0000}"/>
    <cellStyle name="40% - 강조색6 35 5" xfId="10233" xr:uid="{00000000-0005-0000-0000-00004B1E0000}"/>
    <cellStyle name="40% - 강조색6 35 6" xfId="10234" xr:uid="{00000000-0005-0000-0000-00004C1E0000}"/>
    <cellStyle name="40% - 강조색6 35 7" xfId="10235" xr:uid="{00000000-0005-0000-0000-00004D1E0000}"/>
    <cellStyle name="40% - 강조색6 35 8" xfId="10236" xr:uid="{00000000-0005-0000-0000-00004E1E0000}"/>
    <cellStyle name="40% - 강조색6 35 9" xfId="10237" xr:uid="{00000000-0005-0000-0000-00004F1E0000}"/>
    <cellStyle name="40% - 강조색6 36" xfId="1026" xr:uid="{00000000-0005-0000-0000-0000501E0000}"/>
    <cellStyle name="40% - 강조색6 36 10" xfId="10239" xr:uid="{00000000-0005-0000-0000-0000511E0000}"/>
    <cellStyle name="40% - 강조색6 36 11" xfId="10240" xr:uid="{00000000-0005-0000-0000-0000521E0000}"/>
    <cellStyle name="40% - 강조색6 36 12" xfId="10241" xr:uid="{00000000-0005-0000-0000-0000531E0000}"/>
    <cellStyle name="40% - 강조색6 36 13" xfId="10242" xr:uid="{00000000-0005-0000-0000-0000541E0000}"/>
    <cellStyle name="40% - 강조색6 36 14" xfId="10243" xr:uid="{00000000-0005-0000-0000-0000551E0000}"/>
    <cellStyle name="40% - 강조색6 36 15" xfId="10238" xr:uid="{00000000-0005-0000-0000-0000561E0000}"/>
    <cellStyle name="40% - 강조색6 36 2" xfId="1027" xr:uid="{00000000-0005-0000-0000-0000571E0000}"/>
    <cellStyle name="40% - 강조색6 36 2 2" xfId="10244" xr:uid="{00000000-0005-0000-0000-0000581E0000}"/>
    <cellStyle name="40% - 강조색6 36 3" xfId="10245" xr:uid="{00000000-0005-0000-0000-0000591E0000}"/>
    <cellStyle name="40% - 강조색6 36 4" xfId="10246" xr:uid="{00000000-0005-0000-0000-00005A1E0000}"/>
    <cellStyle name="40% - 강조색6 36 5" xfId="10247" xr:uid="{00000000-0005-0000-0000-00005B1E0000}"/>
    <cellStyle name="40% - 강조색6 36 6" xfId="10248" xr:uid="{00000000-0005-0000-0000-00005C1E0000}"/>
    <cellStyle name="40% - 강조색6 36 7" xfId="10249" xr:uid="{00000000-0005-0000-0000-00005D1E0000}"/>
    <cellStyle name="40% - 강조색6 36 8" xfId="10250" xr:uid="{00000000-0005-0000-0000-00005E1E0000}"/>
    <cellStyle name="40% - 강조색6 36 9" xfId="10251" xr:uid="{00000000-0005-0000-0000-00005F1E0000}"/>
    <cellStyle name="40% - 강조색6 37" xfId="1028" xr:uid="{00000000-0005-0000-0000-0000601E0000}"/>
    <cellStyle name="40% - 강조색6 37 10" xfId="10253" xr:uid="{00000000-0005-0000-0000-0000611E0000}"/>
    <cellStyle name="40% - 강조색6 37 11" xfId="10254" xr:uid="{00000000-0005-0000-0000-0000621E0000}"/>
    <cellStyle name="40% - 강조색6 37 12" xfId="10255" xr:uid="{00000000-0005-0000-0000-0000631E0000}"/>
    <cellStyle name="40% - 강조색6 37 13" xfId="10256" xr:uid="{00000000-0005-0000-0000-0000641E0000}"/>
    <cellStyle name="40% - 강조색6 37 14" xfId="10257" xr:uid="{00000000-0005-0000-0000-0000651E0000}"/>
    <cellStyle name="40% - 강조색6 37 15" xfId="10252" xr:uid="{00000000-0005-0000-0000-0000661E0000}"/>
    <cellStyle name="40% - 강조색6 37 2" xfId="1029" xr:uid="{00000000-0005-0000-0000-0000671E0000}"/>
    <cellStyle name="40% - 강조색6 37 2 2" xfId="10258" xr:uid="{00000000-0005-0000-0000-0000681E0000}"/>
    <cellStyle name="40% - 강조색6 37 3" xfId="10259" xr:uid="{00000000-0005-0000-0000-0000691E0000}"/>
    <cellStyle name="40% - 강조색6 37 4" xfId="10260" xr:uid="{00000000-0005-0000-0000-00006A1E0000}"/>
    <cellStyle name="40% - 강조색6 37 5" xfId="10261" xr:uid="{00000000-0005-0000-0000-00006B1E0000}"/>
    <cellStyle name="40% - 강조색6 37 6" xfId="10262" xr:uid="{00000000-0005-0000-0000-00006C1E0000}"/>
    <cellStyle name="40% - 강조색6 37 7" xfId="10263" xr:uid="{00000000-0005-0000-0000-00006D1E0000}"/>
    <cellStyle name="40% - 강조색6 37 8" xfId="10264" xr:uid="{00000000-0005-0000-0000-00006E1E0000}"/>
    <cellStyle name="40% - 강조색6 37 9" xfId="10265" xr:uid="{00000000-0005-0000-0000-00006F1E0000}"/>
    <cellStyle name="40% - 강조색6 38" xfId="1030" xr:uid="{00000000-0005-0000-0000-0000701E0000}"/>
    <cellStyle name="40% - 강조색6 38 10" xfId="10267" xr:uid="{00000000-0005-0000-0000-0000711E0000}"/>
    <cellStyle name="40% - 강조색6 38 11" xfId="10268" xr:uid="{00000000-0005-0000-0000-0000721E0000}"/>
    <cellStyle name="40% - 강조색6 38 12" xfId="10269" xr:uid="{00000000-0005-0000-0000-0000731E0000}"/>
    <cellStyle name="40% - 강조색6 38 13" xfId="10270" xr:uid="{00000000-0005-0000-0000-0000741E0000}"/>
    <cellStyle name="40% - 강조색6 38 14" xfId="10271" xr:uid="{00000000-0005-0000-0000-0000751E0000}"/>
    <cellStyle name="40% - 강조색6 38 15" xfId="10266" xr:uid="{00000000-0005-0000-0000-0000761E0000}"/>
    <cellStyle name="40% - 강조색6 38 2" xfId="1031" xr:uid="{00000000-0005-0000-0000-0000771E0000}"/>
    <cellStyle name="40% - 강조색6 38 2 2" xfId="10272" xr:uid="{00000000-0005-0000-0000-0000781E0000}"/>
    <cellStyle name="40% - 강조색6 38 3" xfId="10273" xr:uid="{00000000-0005-0000-0000-0000791E0000}"/>
    <cellStyle name="40% - 강조색6 38 4" xfId="10274" xr:uid="{00000000-0005-0000-0000-00007A1E0000}"/>
    <cellStyle name="40% - 강조색6 38 5" xfId="10275" xr:uid="{00000000-0005-0000-0000-00007B1E0000}"/>
    <cellStyle name="40% - 강조색6 38 6" xfId="10276" xr:uid="{00000000-0005-0000-0000-00007C1E0000}"/>
    <cellStyle name="40% - 강조색6 38 7" xfId="10277" xr:uid="{00000000-0005-0000-0000-00007D1E0000}"/>
    <cellStyle name="40% - 강조색6 38 8" xfId="10278" xr:uid="{00000000-0005-0000-0000-00007E1E0000}"/>
    <cellStyle name="40% - 강조색6 38 9" xfId="10279" xr:uid="{00000000-0005-0000-0000-00007F1E0000}"/>
    <cellStyle name="40% - 강조색6 39" xfId="1032" xr:uid="{00000000-0005-0000-0000-0000801E0000}"/>
    <cellStyle name="40% - 강조색6 39 10" xfId="10281" xr:uid="{00000000-0005-0000-0000-0000811E0000}"/>
    <cellStyle name="40% - 강조색6 39 11" xfId="10282" xr:uid="{00000000-0005-0000-0000-0000821E0000}"/>
    <cellStyle name="40% - 강조색6 39 12" xfId="10283" xr:uid="{00000000-0005-0000-0000-0000831E0000}"/>
    <cellStyle name="40% - 강조색6 39 13" xfId="10284" xr:uid="{00000000-0005-0000-0000-0000841E0000}"/>
    <cellStyle name="40% - 강조색6 39 14" xfId="10285" xr:uid="{00000000-0005-0000-0000-0000851E0000}"/>
    <cellStyle name="40% - 강조색6 39 15" xfId="10280" xr:uid="{00000000-0005-0000-0000-0000861E0000}"/>
    <cellStyle name="40% - 강조색6 39 2" xfId="1033" xr:uid="{00000000-0005-0000-0000-0000871E0000}"/>
    <cellStyle name="40% - 강조색6 39 2 2" xfId="10286" xr:uid="{00000000-0005-0000-0000-0000881E0000}"/>
    <cellStyle name="40% - 강조색6 39 3" xfId="10287" xr:uid="{00000000-0005-0000-0000-0000891E0000}"/>
    <cellStyle name="40% - 강조색6 39 4" xfId="10288" xr:uid="{00000000-0005-0000-0000-00008A1E0000}"/>
    <cellStyle name="40% - 강조색6 39 5" xfId="10289" xr:uid="{00000000-0005-0000-0000-00008B1E0000}"/>
    <cellStyle name="40% - 강조색6 39 6" xfId="10290" xr:uid="{00000000-0005-0000-0000-00008C1E0000}"/>
    <cellStyle name="40% - 강조색6 39 7" xfId="10291" xr:uid="{00000000-0005-0000-0000-00008D1E0000}"/>
    <cellStyle name="40% - 강조색6 39 8" xfId="10292" xr:uid="{00000000-0005-0000-0000-00008E1E0000}"/>
    <cellStyle name="40% - 강조색6 39 9" xfId="10293" xr:uid="{00000000-0005-0000-0000-00008F1E0000}"/>
    <cellStyle name="40% - 강조색6 4" xfId="1034" xr:uid="{00000000-0005-0000-0000-0000901E0000}"/>
    <cellStyle name="40% - 강조색6 4 10" xfId="10295" xr:uid="{00000000-0005-0000-0000-0000911E0000}"/>
    <cellStyle name="40% - 강조색6 4 11" xfId="10296" xr:uid="{00000000-0005-0000-0000-0000921E0000}"/>
    <cellStyle name="40% - 강조색6 4 12" xfId="10297" xr:uid="{00000000-0005-0000-0000-0000931E0000}"/>
    <cellStyle name="40% - 강조색6 4 13" xfId="10298" xr:uid="{00000000-0005-0000-0000-0000941E0000}"/>
    <cellStyle name="40% - 강조색6 4 14" xfId="10299" xr:uid="{00000000-0005-0000-0000-0000951E0000}"/>
    <cellStyle name="40% - 강조색6 4 15" xfId="10294" xr:uid="{00000000-0005-0000-0000-0000961E0000}"/>
    <cellStyle name="40% - 강조색6 4 16" xfId="27862" xr:uid="{00000000-0005-0000-0000-0000971E0000}"/>
    <cellStyle name="40% - 강조색6 4 2" xfId="1035" xr:uid="{00000000-0005-0000-0000-0000981E0000}"/>
    <cellStyle name="40% - 강조색6 4 2 2" xfId="10300" xr:uid="{00000000-0005-0000-0000-0000991E0000}"/>
    <cellStyle name="40% - 강조색6 4 3" xfId="10301" xr:uid="{00000000-0005-0000-0000-00009A1E0000}"/>
    <cellStyle name="40% - 강조색6 4 4" xfId="10302" xr:uid="{00000000-0005-0000-0000-00009B1E0000}"/>
    <cellStyle name="40% - 강조색6 4 5" xfId="10303" xr:uid="{00000000-0005-0000-0000-00009C1E0000}"/>
    <cellStyle name="40% - 강조색6 4 6" xfId="10304" xr:uid="{00000000-0005-0000-0000-00009D1E0000}"/>
    <cellStyle name="40% - 강조색6 4 7" xfId="10305" xr:uid="{00000000-0005-0000-0000-00009E1E0000}"/>
    <cellStyle name="40% - 강조색6 4 8" xfId="10306" xr:uid="{00000000-0005-0000-0000-00009F1E0000}"/>
    <cellStyle name="40% - 강조색6 4 9" xfId="10307" xr:uid="{00000000-0005-0000-0000-0000A01E0000}"/>
    <cellStyle name="40% - 강조색6 40" xfId="1036" xr:uid="{00000000-0005-0000-0000-0000A11E0000}"/>
    <cellStyle name="40% - 강조색6 40 10" xfId="10309" xr:uid="{00000000-0005-0000-0000-0000A21E0000}"/>
    <cellStyle name="40% - 강조색6 40 11" xfId="10310" xr:uid="{00000000-0005-0000-0000-0000A31E0000}"/>
    <cellStyle name="40% - 강조색6 40 12" xfId="10311" xr:uid="{00000000-0005-0000-0000-0000A41E0000}"/>
    <cellStyle name="40% - 강조색6 40 13" xfId="10312" xr:uid="{00000000-0005-0000-0000-0000A51E0000}"/>
    <cellStyle name="40% - 강조색6 40 14" xfId="10313" xr:uid="{00000000-0005-0000-0000-0000A61E0000}"/>
    <cellStyle name="40% - 강조색6 40 15" xfId="10308" xr:uid="{00000000-0005-0000-0000-0000A71E0000}"/>
    <cellStyle name="40% - 강조색6 40 2" xfId="1037" xr:uid="{00000000-0005-0000-0000-0000A81E0000}"/>
    <cellStyle name="40% - 강조색6 40 2 2" xfId="10314" xr:uid="{00000000-0005-0000-0000-0000A91E0000}"/>
    <cellStyle name="40% - 강조색6 40 3" xfId="10315" xr:uid="{00000000-0005-0000-0000-0000AA1E0000}"/>
    <cellStyle name="40% - 강조색6 40 4" xfId="10316" xr:uid="{00000000-0005-0000-0000-0000AB1E0000}"/>
    <cellStyle name="40% - 강조색6 40 5" xfId="10317" xr:uid="{00000000-0005-0000-0000-0000AC1E0000}"/>
    <cellStyle name="40% - 강조색6 40 6" xfId="10318" xr:uid="{00000000-0005-0000-0000-0000AD1E0000}"/>
    <cellStyle name="40% - 강조색6 40 7" xfId="10319" xr:uid="{00000000-0005-0000-0000-0000AE1E0000}"/>
    <cellStyle name="40% - 강조색6 40 8" xfId="10320" xr:uid="{00000000-0005-0000-0000-0000AF1E0000}"/>
    <cellStyle name="40% - 강조색6 40 9" xfId="10321" xr:uid="{00000000-0005-0000-0000-0000B01E0000}"/>
    <cellStyle name="40% - 강조색6 41" xfId="1038" xr:uid="{00000000-0005-0000-0000-0000B11E0000}"/>
    <cellStyle name="40% - 강조색6 41 10" xfId="10323" xr:uid="{00000000-0005-0000-0000-0000B21E0000}"/>
    <cellStyle name="40% - 강조색6 41 11" xfId="10324" xr:uid="{00000000-0005-0000-0000-0000B31E0000}"/>
    <cellStyle name="40% - 강조색6 41 12" xfId="10325" xr:uid="{00000000-0005-0000-0000-0000B41E0000}"/>
    <cellStyle name="40% - 강조색6 41 13" xfId="10326" xr:uid="{00000000-0005-0000-0000-0000B51E0000}"/>
    <cellStyle name="40% - 강조색6 41 14" xfId="10327" xr:uid="{00000000-0005-0000-0000-0000B61E0000}"/>
    <cellStyle name="40% - 강조색6 41 15" xfId="10322" xr:uid="{00000000-0005-0000-0000-0000B71E0000}"/>
    <cellStyle name="40% - 강조색6 41 2" xfId="1039" xr:uid="{00000000-0005-0000-0000-0000B81E0000}"/>
    <cellStyle name="40% - 강조색6 41 2 2" xfId="10328" xr:uid="{00000000-0005-0000-0000-0000B91E0000}"/>
    <cellStyle name="40% - 강조색6 41 3" xfId="10329" xr:uid="{00000000-0005-0000-0000-0000BA1E0000}"/>
    <cellStyle name="40% - 강조색6 41 4" xfId="10330" xr:uid="{00000000-0005-0000-0000-0000BB1E0000}"/>
    <cellStyle name="40% - 강조색6 41 5" xfId="10331" xr:uid="{00000000-0005-0000-0000-0000BC1E0000}"/>
    <cellStyle name="40% - 강조색6 41 6" xfId="10332" xr:uid="{00000000-0005-0000-0000-0000BD1E0000}"/>
    <cellStyle name="40% - 강조색6 41 7" xfId="10333" xr:uid="{00000000-0005-0000-0000-0000BE1E0000}"/>
    <cellStyle name="40% - 강조색6 41 8" xfId="10334" xr:uid="{00000000-0005-0000-0000-0000BF1E0000}"/>
    <cellStyle name="40% - 강조색6 41 9" xfId="10335" xr:uid="{00000000-0005-0000-0000-0000C01E0000}"/>
    <cellStyle name="40% - 강조색6 42" xfId="1040" xr:uid="{00000000-0005-0000-0000-0000C11E0000}"/>
    <cellStyle name="40% - 강조색6 42 10" xfId="10337" xr:uid="{00000000-0005-0000-0000-0000C21E0000}"/>
    <cellStyle name="40% - 강조색6 42 11" xfId="10338" xr:uid="{00000000-0005-0000-0000-0000C31E0000}"/>
    <cellStyle name="40% - 강조색6 42 12" xfId="10339" xr:uid="{00000000-0005-0000-0000-0000C41E0000}"/>
    <cellStyle name="40% - 강조색6 42 13" xfId="10340" xr:uid="{00000000-0005-0000-0000-0000C51E0000}"/>
    <cellStyle name="40% - 강조색6 42 14" xfId="10341" xr:uid="{00000000-0005-0000-0000-0000C61E0000}"/>
    <cellStyle name="40% - 강조색6 42 15" xfId="10336" xr:uid="{00000000-0005-0000-0000-0000C71E0000}"/>
    <cellStyle name="40% - 강조색6 42 2" xfId="1041" xr:uid="{00000000-0005-0000-0000-0000C81E0000}"/>
    <cellStyle name="40% - 강조색6 42 2 2" xfId="10342" xr:uid="{00000000-0005-0000-0000-0000C91E0000}"/>
    <cellStyle name="40% - 강조색6 42 3" xfId="10343" xr:uid="{00000000-0005-0000-0000-0000CA1E0000}"/>
    <cellStyle name="40% - 강조색6 42 4" xfId="10344" xr:uid="{00000000-0005-0000-0000-0000CB1E0000}"/>
    <cellStyle name="40% - 강조색6 42 5" xfId="10345" xr:uid="{00000000-0005-0000-0000-0000CC1E0000}"/>
    <cellStyle name="40% - 강조색6 42 6" xfId="10346" xr:uid="{00000000-0005-0000-0000-0000CD1E0000}"/>
    <cellStyle name="40% - 강조색6 42 7" xfId="10347" xr:uid="{00000000-0005-0000-0000-0000CE1E0000}"/>
    <cellStyle name="40% - 강조색6 42 8" xfId="10348" xr:uid="{00000000-0005-0000-0000-0000CF1E0000}"/>
    <cellStyle name="40% - 강조색6 42 9" xfId="10349" xr:uid="{00000000-0005-0000-0000-0000D01E0000}"/>
    <cellStyle name="40% - 강조색6 43" xfId="1042" xr:uid="{00000000-0005-0000-0000-0000D11E0000}"/>
    <cellStyle name="40% - 강조색6 43 10" xfId="10351" xr:uid="{00000000-0005-0000-0000-0000D21E0000}"/>
    <cellStyle name="40% - 강조색6 43 11" xfId="10352" xr:uid="{00000000-0005-0000-0000-0000D31E0000}"/>
    <cellStyle name="40% - 강조색6 43 12" xfId="10353" xr:uid="{00000000-0005-0000-0000-0000D41E0000}"/>
    <cellStyle name="40% - 강조색6 43 13" xfId="10354" xr:uid="{00000000-0005-0000-0000-0000D51E0000}"/>
    <cellStyle name="40% - 강조색6 43 14" xfId="10355" xr:uid="{00000000-0005-0000-0000-0000D61E0000}"/>
    <cellStyle name="40% - 강조색6 43 15" xfId="10350" xr:uid="{00000000-0005-0000-0000-0000D71E0000}"/>
    <cellStyle name="40% - 강조색6 43 2" xfId="1043" xr:uid="{00000000-0005-0000-0000-0000D81E0000}"/>
    <cellStyle name="40% - 강조색6 43 2 2" xfId="10356" xr:uid="{00000000-0005-0000-0000-0000D91E0000}"/>
    <cellStyle name="40% - 강조색6 43 3" xfId="10357" xr:uid="{00000000-0005-0000-0000-0000DA1E0000}"/>
    <cellStyle name="40% - 강조색6 43 4" xfId="10358" xr:uid="{00000000-0005-0000-0000-0000DB1E0000}"/>
    <cellStyle name="40% - 강조색6 43 5" xfId="10359" xr:uid="{00000000-0005-0000-0000-0000DC1E0000}"/>
    <cellStyle name="40% - 강조색6 43 6" xfId="10360" xr:uid="{00000000-0005-0000-0000-0000DD1E0000}"/>
    <cellStyle name="40% - 강조색6 43 7" xfId="10361" xr:uid="{00000000-0005-0000-0000-0000DE1E0000}"/>
    <cellStyle name="40% - 강조색6 43 8" xfId="10362" xr:uid="{00000000-0005-0000-0000-0000DF1E0000}"/>
    <cellStyle name="40% - 강조색6 43 9" xfId="10363" xr:uid="{00000000-0005-0000-0000-0000E01E0000}"/>
    <cellStyle name="40% - 강조색6 44" xfId="1044" xr:uid="{00000000-0005-0000-0000-0000E11E0000}"/>
    <cellStyle name="40% - 강조색6 44 2" xfId="10364" xr:uid="{00000000-0005-0000-0000-0000E21E0000}"/>
    <cellStyle name="40% - 강조색6 45" xfId="1045" xr:uid="{00000000-0005-0000-0000-0000E31E0000}"/>
    <cellStyle name="40% - 강조색6 45 2" xfId="10365" xr:uid="{00000000-0005-0000-0000-0000E41E0000}"/>
    <cellStyle name="40% - 강조색6 46" xfId="969" xr:uid="{00000000-0005-0000-0000-0000E51E0000}"/>
    <cellStyle name="40% - 강조색6 47" xfId="9845" xr:uid="{00000000-0005-0000-0000-0000E61E0000}"/>
    <cellStyle name="40% - 강조색6 48" xfId="27633" xr:uid="{00000000-0005-0000-0000-0000E71E0000}"/>
    <cellStyle name="40% - 강조색6 5" xfId="1046" xr:uid="{00000000-0005-0000-0000-0000E81E0000}"/>
    <cellStyle name="40% - 강조색6 5 10" xfId="10367" xr:uid="{00000000-0005-0000-0000-0000E91E0000}"/>
    <cellStyle name="40% - 강조색6 5 11" xfId="10368" xr:uid="{00000000-0005-0000-0000-0000EA1E0000}"/>
    <cellStyle name="40% - 강조색6 5 12" xfId="10369" xr:uid="{00000000-0005-0000-0000-0000EB1E0000}"/>
    <cellStyle name="40% - 강조색6 5 13" xfId="10370" xr:uid="{00000000-0005-0000-0000-0000EC1E0000}"/>
    <cellStyle name="40% - 강조색6 5 14" xfId="10371" xr:uid="{00000000-0005-0000-0000-0000ED1E0000}"/>
    <cellStyle name="40% - 강조색6 5 15" xfId="10366" xr:uid="{00000000-0005-0000-0000-0000EE1E0000}"/>
    <cellStyle name="40% - 강조색6 5 2" xfId="1047" xr:uid="{00000000-0005-0000-0000-0000EF1E0000}"/>
    <cellStyle name="40% - 강조색6 5 2 2" xfId="10372" xr:uid="{00000000-0005-0000-0000-0000F01E0000}"/>
    <cellStyle name="40% - 강조색6 5 3" xfId="10373" xr:uid="{00000000-0005-0000-0000-0000F11E0000}"/>
    <cellStyle name="40% - 강조색6 5 4" xfId="10374" xr:uid="{00000000-0005-0000-0000-0000F21E0000}"/>
    <cellStyle name="40% - 강조색6 5 5" xfId="10375" xr:uid="{00000000-0005-0000-0000-0000F31E0000}"/>
    <cellStyle name="40% - 강조색6 5 6" xfId="10376" xr:uid="{00000000-0005-0000-0000-0000F41E0000}"/>
    <cellStyle name="40% - 강조색6 5 7" xfId="10377" xr:uid="{00000000-0005-0000-0000-0000F51E0000}"/>
    <cellStyle name="40% - 강조색6 5 8" xfId="10378" xr:uid="{00000000-0005-0000-0000-0000F61E0000}"/>
    <cellStyle name="40% - 강조색6 5 9" xfId="10379" xr:uid="{00000000-0005-0000-0000-0000F71E0000}"/>
    <cellStyle name="40% - 강조색6 6" xfId="1048" xr:uid="{00000000-0005-0000-0000-0000F81E0000}"/>
    <cellStyle name="40% - 강조색6 6 10" xfId="10381" xr:uid="{00000000-0005-0000-0000-0000F91E0000}"/>
    <cellStyle name="40% - 강조색6 6 11" xfId="10382" xr:uid="{00000000-0005-0000-0000-0000FA1E0000}"/>
    <cellStyle name="40% - 강조색6 6 12" xfId="10383" xr:uid="{00000000-0005-0000-0000-0000FB1E0000}"/>
    <cellStyle name="40% - 강조색6 6 13" xfId="10384" xr:uid="{00000000-0005-0000-0000-0000FC1E0000}"/>
    <cellStyle name="40% - 강조색6 6 14" xfId="10385" xr:uid="{00000000-0005-0000-0000-0000FD1E0000}"/>
    <cellStyle name="40% - 강조색6 6 15" xfId="10380" xr:uid="{00000000-0005-0000-0000-0000FE1E0000}"/>
    <cellStyle name="40% - 강조색6 6 2" xfId="1049" xr:uid="{00000000-0005-0000-0000-0000FF1E0000}"/>
    <cellStyle name="40% - 강조색6 6 2 2" xfId="10386" xr:uid="{00000000-0005-0000-0000-0000001F0000}"/>
    <cellStyle name="40% - 강조색6 6 3" xfId="10387" xr:uid="{00000000-0005-0000-0000-0000011F0000}"/>
    <cellStyle name="40% - 강조색6 6 4" xfId="10388" xr:uid="{00000000-0005-0000-0000-0000021F0000}"/>
    <cellStyle name="40% - 강조색6 6 5" xfId="10389" xr:uid="{00000000-0005-0000-0000-0000031F0000}"/>
    <cellStyle name="40% - 강조색6 6 6" xfId="10390" xr:uid="{00000000-0005-0000-0000-0000041F0000}"/>
    <cellStyle name="40% - 강조색6 6 7" xfId="10391" xr:uid="{00000000-0005-0000-0000-0000051F0000}"/>
    <cellStyle name="40% - 강조색6 6 8" xfId="10392" xr:uid="{00000000-0005-0000-0000-0000061F0000}"/>
    <cellStyle name="40% - 강조색6 6 9" xfId="10393" xr:uid="{00000000-0005-0000-0000-0000071F0000}"/>
    <cellStyle name="40% - 강조색6 7" xfId="1050" xr:uid="{00000000-0005-0000-0000-0000081F0000}"/>
    <cellStyle name="40% - 강조색6 7 10" xfId="10395" xr:uid="{00000000-0005-0000-0000-0000091F0000}"/>
    <cellStyle name="40% - 강조색6 7 11" xfId="10396" xr:uid="{00000000-0005-0000-0000-00000A1F0000}"/>
    <cellStyle name="40% - 강조색6 7 12" xfId="10397" xr:uid="{00000000-0005-0000-0000-00000B1F0000}"/>
    <cellStyle name="40% - 강조색6 7 13" xfId="10398" xr:uid="{00000000-0005-0000-0000-00000C1F0000}"/>
    <cellStyle name="40% - 강조색6 7 14" xfId="10399" xr:uid="{00000000-0005-0000-0000-00000D1F0000}"/>
    <cellStyle name="40% - 강조색6 7 15" xfId="10394" xr:uid="{00000000-0005-0000-0000-00000E1F0000}"/>
    <cellStyle name="40% - 강조색6 7 2" xfId="1051" xr:uid="{00000000-0005-0000-0000-00000F1F0000}"/>
    <cellStyle name="40% - 강조색6 7 2 2" xfId="10400" xr:uid="{00000000-0005-0000-0000-0000101F0000}"/>
    <cellStyle name="40% - 강조색6 7 3" xfId="10401" xr:uid="{00000000-0005-0000-0000-0000111F0000}"/>
    <cellStyle name="40% - 강조색6 7 4" xfId="10402" xr:uid="{00000000-0005-0000-0000-0000121F0000}"/>
    <cellStyle name="40% - 강조색6 7 5" xfId="10403" xr:uid="{00000000-0005-0000-0000-0000131F0000}"/>
    <cellStyle name="40% - 강조색6 7 6" xfId="10404" xr:uid="{00000000-0005-0000-0000-0000141F0000}"/>
    <cellStyle name="40% - 강조색6 7 7" xfId="10405" xr:uid="{00000000-0005-0000-0000-0000151F0000}"/>
    <cellStyle name="40% - 강조색6 7 8" xfId="10406" xr:uid="{00000000-0005-0000-0000-0000161F0000}"/>
    <cellStyle name="40% - 강조색6 7 9" xfId="10407" xr:uid="{00000000-0005-0000-0000-0000171F0000}"/>
    <cellStyle name="40% - 강조색6 8" xfId="1052" xr:uid="{00000000-0005-0000-0000-0000181F0000}"/>
    <cellStyle name="40% - 강조색6 8 10" xfId="10409" xr:uid="{00000000-0005-0000-0000-0000191F0000}"/>
    <cellStyle name="40% - 강조색6 8 11" xfId="10410" xr:uid="{00000000-0005-0000-0000-00001A1F0000}"/>
    <cellStyle name="40% - 강조색6 8 12" xfId="10411" xr:uid="{00000000-0005-0000-0000-00001B1F0000}"/>
    <cellStyle name="40% - 강조색6 8 13" xfId="10412" xr:uid="{00000000-0005-0000-0000-00001C1F0000}"/>
    <cellStyle name="40% - 강조색6 8 14" xfId="10413" xr:uid="{00000000-0005-0000-0000-00001D1F0000}"/>
    <cellStyle name="40% - 강조색6 8 15" xfId="10408" xr:uid="{00000000-0005-0000-0000-00001E1F0000}"/>
    <cellStyle name="40% - 강조색6 8 2" xfId="1053" xr:uid="{00000000-0005-0000-0000-00001F1F0000}"/>
    <cellStyle name="40% - 강조색6 8 2 2" xfId="10414" xr:uid="{00000000-0005-0000-0000-0000201F0000}"/>
    <cellStyle name="40% - 강조색6 8 3" xfId="10415" xr:uid="{00000000-0005-0000-0000-0000211F0000}"/>
    <cellStyle name="40% - 강조색6 8 4" xfId="10416" xr:uid="{00000000-0005-0000-0000-0000221F0000}"/>
    <cellStyle name="40% - 강조색6 8 5" xfId="10417" xr:uid="{00000000-0005-0000-0000-0000231F0000}"/>
    <cellStyle name="40% - 강조색6 8 6" xfId="10418" xr:uid="{00000000-0005-0000-0000-0000241F0000}"/>
    <cellStyle name="40% - 강조색6 8 7" xfId="10419" xr:uid="{00000000-0005-0000-0000-0000251F0000}"/>
    <cellStyle name="40% - 강조색6 8 8" xfId="10420" xr:uid="{00000000-0005-0000-0000-0000261F0000}"/>
    <cellStyle name="40% - 강조색6 8 9" xfId="10421" xr:uid="{00000000-0005-0000-0000-0000271F0000}"/>
    <cellStyle name="40% - 강조색6 9" xfId="1054" xr:uid="{00000000-0005-0000-0000-0000281F0000}"/>
    <cellStyle name="40% - 강조색6 9 10" xfId="10423" xr:uid="{00000000-0005-0000-0000-0000291F0000}"/>
    <cellStyle name="40% - 강조색6 9 11" xfId="10424" xr:uid="{00000000-0005-0000-0000-00002A1F0000}"/>
    <cellStyle name="40% - 강조색6 9 12" xfId="10425" xr:uid="{00000000-0005-0000-0000-00002B1F0000}"/>
    <cellStyle name="40% - 강조색6 9 13" xfId="10426" xr:uid="{00000000-0005-0000-0000-00002C1F0000}"/>
    <cellStyle name="40% - 강조색6 9 14" xfId="10427" xr:uid="{00000000-0005-0000-0000-00002D1F0000}"/>
    <cellStyle name="40% - 강조색6 9 15" xfId="10422" xr:uid="{00000000-0005-0000-0000-00002E1F0000}"/>
    <cellStyle name="40% - 강조색6 9 2" xfId="1055" xr:uid="{00000000-0005-0000-0000-00002F1F0000}"/>
    <cellStyle name="40% - 강조색6 9 2 2" xfId="10428" xr:uid="{00000000-0005-0000-0000-0000301F0000}"/>
    <cellStyle name="40% - 강조색6 9 3" xfId="10429" xr:uid="{00000000-0005-0000-0000-0000311F0000}"/>
    <cellStyle name="40% - 강조색6 9 4" xfId="10430" xr:uid="{00000000-0005-0000-0000-0000321F0000}"/>
    <cellStyle name="40% - 강조색6 9 5" xfId="10431" xr:uid="{00000000-0005-0000-0000-0000331F0000}"/>
    <cellStyle name="40% - 강조색6 9 6" xfId="10432" xr:uid="{00000000-0005-0000-0000-0000341F0000}"/>
    <cellStyle name="40% - 강조색6 9 7" xfId="10433" xr:uid="{00000000-0005-0000-0000-0000351F0000}"/>
    <cellStyle name="40% - 강조색6 9 8" xfId="10434" xr:uid="{00000000-0005-0000-0000-0000361F0000}"/>
    <cellStyle name="40% - 강조색6 9 9" xfId="10435" xr:uid="{00000000-0005-0000-0000-0000371F0000}"/>
    <cellStyle name="60% - Accent1" xfId="27641" xr:uid="{00000000-0005-0000-0000-0000381F0000}"/>
    <cellStyle name="60% - Accent2" xfId="27640" xr:uid="{00000000-0005-0000-0000-0000391F0000}"/>
    <cellStyle name="60% - Accent3" xfId="27639" xr:uid="{00000000-0005-0000-0000-00003A1F0000}"/>
    <cellStyle name="60% - Accent4" xfId="27638" xr:uid="{00000000-0005-0000-0000-00003B1F0000}"/>
    <cellStyle name="60% - Accent5" xfId="27637" xr:uid="{00000000-0005-0000-0000-00003C1F0000}"/>
    <cellStyle name="60% - Accent6" xfId="27636" xr:uid="{00000000-0005-0000-0000-00003D1F0000}"/>
    <cellStyle name="60% - 강조색1 10" xfId="1057" xr:uid="{00000000-0005-0000-0000-00003E1F0000}"/>
    <cellStyle name="60% - 강조색1 10 10" xfId="10438" xr:uid="{00000000-0005-0000-0000-00003F1F0000}"/>
    <cellStyle name="60% - 강조색1 10 11" xfId="10439" xr:uid="{00000000-0005-0000-0000-0000401F0000}"/>
    <cellStyle name="60% - 강조색1 10 12" xfId="10440" xr:uid="{00000000-0005-0000-0000-0000411F0000}"/>
    <cellStyle name="60% - 강조색1 10 13" xfId="10441" xr:uid="{00000000-0005-0000-0000-0000421F0000}"/>
    <cellStyle name="60% - 강조색1 10 14" xfId="10442" xr:uid="{00000000-0005-0000-0000-0000431F0000}"/>
    <cellStyle name="60% - 강조색1 10 15" xfId="10437" xr:uid="{00000000-0005-0000-0000-0000441F0000}"/>
    <cellStyle name="60% - 강조색1 10 2" xfId="1058" xr:uid="{00000000-0005-0000-0000-0000451F0000}"/>
    <cellStyle name="60% - 강조색1 10 2 2" xfId="10443" xr:uid="{00000000-0005-0000-0000-0000461F0000}"/>
    <cellStyle name="60% - 강조색1 10 3" xfId="10444" xr:uid="{00000000-0005-0000-0000-0000471F0000}"/>
    <cellStyle name="60% - 강조색1 10 4" xfId="10445" xr:uid="{00000000-0005-0000-0000-0000481F0000}"/>
    <cellStyle name="60% - 강조색1 10 5" xfId="10446" xr:uid="{00000000-0005-0000-0000-0000491F0000}"/>
    <cellStyle name="60% - 강조색1 10 6" xfId="10447" xr:uid="{00000000-0005-0000-0000-00004A1F0000}"/>
    <cellStyle name="60% - 강조색1 10 7" xfId="10448" xr:uid="{00000000-0005-0000-0000-00004B1F0000}"/>
    <cellStyle name="60% - 강조색1 10 8" xfId="10449" xr:uid="{00000000-0005-0000-0000-00004C1F0000}"/>
    <cellStyle name="60% - 강조색1 10 9" xfId="10450" xr:uid="{00000000-0005-0000-0000-00004D1F0000}"/>
    <cellStyle name="60% - 강조색1 11" xfId="1059" xr:uid="{00000000-0005-0000-0000-00004E1F0000}"/>
    <cellStyle name="60% - 강조색1 11 10" xfId="10452" xr:uid="{00000000-0005-0000-0000-00004F1F0000}"/>
    <cellStyle name="60% - 강조색1 11 11" xfId="10453" xr:uid="{00000000-0005-0000-0000-0000501F0000}"/>
    <cellStyle name="60% - 강조색1 11 12" xfId="10454" xr:uid="{00000000-0005-0000-0000-0000511F0000}"/>
    <cellStyle name="60% - 강조색1 11 13" xfId="10455" xr:uid="{00000000-0005-0000-0000-0000521F0000}"/>
    <cellStyle name="60% - 강조색1 11 14" xfId="10456" xr:uid="{00000000-0005-0000-0000-0000531F0000}"/>
    <cellStyle name="60% - 강조색1 11 15" xfId="10451" xr:uid="{00000000-0005-0000-0000-0000541F0000}"/>
    <cellStyle name="60% - 강조색1 11 2" xfId="1060" xr:uid="{00000000-0005-0000-0000-0000551F0000}"/>
    <cellStyle name="60% - 강조색1 11 2 2" xfId="10457" xr:uid="{00000000-0005-0000-0000-0000561F0000}"/>
    <cellStyle name="60% - 강조색1 11 3" xfId="10458" xr:uid="{00000000-0005-0000-0000-0000571F0000}"/>
    <cellStyle name="60% - 강조색1 11 4" xfId="10459" xr:uid="{00000000-0005-0000-0000-0000581F0000}"/>
    <cellStyle name="60% - 강조색1 11 5" xfId="10460" xr:uid="{00000000-0005-0000-0000-0000591F0000}"/>
    <cellStyle name="60% - 강조색1 11 6" xfId="10461" xr:uid="{00000000-0005-0000-0000-00005A1F0000}"/>
    <cellStyle name="60% - 강조색1 11 7" xfId="10462" xr:uid="{00000000-0005-0000-0000-00005B1F0000}"/>
    <cellStyle name="60% - 강조색1 11 8" xfId="10463" xr:uid="{00000000-0005-0000-0000-00005C1F0000}"/>
    <cellStyle name="60% - 강조색1 11 9" xfId="10464" xr:uid="{00000000-0005-0000-0000-00005D1F0000}"/>
    <cellStyle name="60% - 강조색1 12" xfId="1061" xr:uid="{00000000-0005-0000-0000-00005E1F0000}"/>
    <cellStyle name="60% - 강조색1 12 10" xfId="10466" xr:uid="{00000000-0005-0000-0000-00005F1F0000}"/>
    <cellStyle name="60% - 강조색1 12 11" xfId="10467" xr:uid="{00000000-0005-0000-0000-0000601F0000}"/>
    <cellStyle name="60% - 강조색1 12 12" xfId="10468" xr:uid="{00000000-0005-0000-0000-0000611F0000}"/>
    <cellStyle name="60% - 강조색1 12 13" xfId="10469" xr:uid="{00000000-0005-0000-0000-0000621F0000}"/>
    <cellStyle name="60% - 강조색1 12 14" xfId="10470" xr:uid="{00000000-0005-0000-0000-0000631F0000}"/>
    <cellStyle name="60% - 강조색1 12 15" xfId="10465" xr:uid="{00000000-0005-0000-0000-0000641F0000}"/>
    <cellStyle name="60% - 강조색1 12 2" xfId="1062" xr:uid="{00000000-0005-0000-0000-0000651F0000}"/>
    <cellStyle name="60% - 강조색1 12 2 2" xfId="10471" xr:uid="{00000000-0005-0000-0000-0000661F0000}"/>
    <cellStyle name="60% - 강조색1 12 3" xfId="10472" xr:uid="{00000000-0005-0000-0000-0000671F0000}"/>
    <cellStyle name="60% - 강조색1 12 4" xfId="10473" xr:uid="{00000000-0005-0000-0000-0000681F0000}"/>
    <cellStyle name="60% - 강조색1 12 5" xfId="10474" xr:uid="{00000000-0005-0000-0000-0000691F0000}"/>
    <cellStyle name="60% - 강조색1 12 6" xfId="10475" xr:uid="{00000000-0005-0000-0000-00006A1F0000}"/>
    <cellStyle name="60% - 강조색1 12 7" xfId="10476" xr:uid="{00000000-0005-0000-0000-00006B1F0000}"/>
    <cellStyle name="60% - 강조색1 12 8" xfId="10477" xr:uid="{00000000-0005-0000-0000-00006C1F0000}"/>
    <cellStyle name="60% - 강조색1 12 9" xfId="10478" xr:uid="{00000000-0005-0000-0000-00006D1F0000}"/>
    <cellStyle name="60% - 강조색1 13" xfId="1063" xr:uid="{00000000-0005-0000-0000-00006E1F0000}"/>
    <cellStyle name="60% - 강조색1 13 10" xfId="10480" xr:uid="{00000000-0005-0000-0000-00006F1F0000}"/>
    <cellStyle name="60% - 강조색1 13 11" xfId="10481" xr:uid="{00000000-0005-0000-0000-0000701F0000}"/>
    <cellStyle name="60% - 강조색1 13 12" xfId="10482" xr:uid="{00000000-0005-0000-0000-0000711F0000}"/>
    <cellStyle name="60% - 강조색1 13 13" xfId="10483" xr:uid="{00000000-0005-0000-0000-0000721F0000}"/>
    <cellStyle name="60% - 강조색1 13 14" xfId="10484" xr:uid="{00000000-0005-0000-0000-0000731F0000}"/>
    <cellStyle name="60% - 강조색1 13 15" xfId="10479" xr:uid="{00000000-0005-0000-0000-0000741F0000}"/>
    <cellStyle name="60% - 강조색1 13 2" xfId="1064" xr:uid="{00000000-0005-0000-0000-0000751F0000}"/>
    <cellStyle name="60% - 강조색1 13 2 2" xfId="10485" xr:uid="{00000000-0005-0000-0000-0000761F0000}"/>
    <cellStyle name="60% - 강조색1 13 3" xfId="10486" xr:uid="{00000000-0005-0000-0000-0000771F0000}"/>
    <cellStyle name="60% - 강조색1 13 4" xfId="10487" xr:uid="{00000000-0005-0000-0000-0000781F0000}"/>
    <cellStyle name="60% - 강조색1 13 5" xfId="10488" xr:uid="{00000000-0005-0000-0000-0000791F0000}"/>
    <cellStyle name="60% - 강조색1 13 6" xfId="10489" xr:uid="{00000000-0005-0000-0000-00007A1F0000}"/>
    <cellStyle name="60% - 강조색1 13 7" xfId="10490" xr:uid="{00000000-0005-0000-0000-00007B1F0000}"/>
    <cellStyle name="60% - 강조색1 13 8" xfId="10491" xr:uid="{00000000-0005-0000-0000-00007C1F0000}"/>
    <cellStyle name="60% - 강조색1 13 9" xfId="10492" xr:uid="{00000000-0005-0000-0000-00007D1F0000}"/>
    <cellStyle name="60% - 강조색1 14" xfId="1065" xr:uid="{00000000-0005-0000-0000-00007E1F0000}"/>
    <cellStyle name="60% - 강조색1 14 10" xfId="10494" xr:uid="{00000000-0005-0000-0000-00007F1F0000}"/>
    <cellStyle name="60% - 강조색1 14 11" xfId="10495" xr:uid="{00000000-0005-0000-0000-0000801F0000}"/>
    <cellStyle name="60% - 강조색1 14 12" xfId="10496" xr:uid="{00000000-0005-0000-0000-0000811F0000}"/>
    <cellStyle name="60% - 강조색1 14 13" xfId="10497" xr:uid="{00000000-0005-0000-0000-0000821F0000}"/>
    <cellStyle name="60% - 강조색1 14 14" xfId="10498" xr:uid="{00000000-0005-0000-0000-0000831F0000}"/>
    <cellStyle name="60% - 강조색1 14 15" xfId="10493" xr:uid="{00000000-0005-0000-0000-0000841F0000}"/>
    <cellStyle name="60% - 강조색1 14 2" xfId="1066" xr:uid="{00000000-0005-0000-0000-0000851F0000}"/>
    <cellStyle name="60% - 강조색1 14 2 2" xfId="10499" xr:uid="{00000000-0005-0000-0000-0000861F0000}"/>
    <cellStyle name="60% - 강조색1 14 3" xfId="10500" xr:uid="{00000000-0005-0000-0000-0000871F0000}"/>
    <cellStyle name="60% - 강조색1 14 4" xfId="10501" xr:uid="{00000000-0005-0000-0000-0000881F0000}"/>
    <cellStyle name="60% - 강조색1 14 5" xfId="10502" xr:uid="{00000000-0005-0000-0000-0000891F0000}"/>
    <cellStyle name="60% - 강조색1 14 6" xfId="10503" xr:uid="{00000000-0005-0000-0000-00008A1F0000}"/>
    <cellStyle name="60% - 강조색1 14 7" xfId="10504" xr:uid="{00000000-0005-0000-0000-00008B1F0000}"/>
    <cellStyle name="60% - 강조색1 14 8" xfId="10505" xr:uid="{00000000-0005-0000-0000-00008C1F0000}"/>
    <cellStyle name="60% - 강조색1 14 9" xfId="10506" xr:uid="{00000000-0005-0000-0000-00008D1F0000}"/>
    <cellStyle name="60% - 강조색1 15" xfId="1067" xr:uid="{00000000-0005-0000-0000-00008E1F0000}"/>
    <cellStyle name="60% - 강조색1 15 10" xfId="10508" xr:uid="{00000000-0005-0000-0000-00008F1F0000}"/>
    <cellStyle name="60% - 강조색1 15 11" xfId="10509" xr:uid="{00000000-0005-0000-0000-0000901F0000}"/>
    <cellStyle name="60% - 강조색1 15 12" xfId="10510" xr:uid="{00000000-0005-0000-0000-0000911F0000}"/>
    <cellStyle name="60% - 강조색1 15 13" xfId="10511" xr:uid="{00000000-0005-0000-0000-0000921F0000}"/>
    <cellStyle name="60% - 강조색1 15 14" xfId="10512" xr:uid="{00000000-0005-0000-0000-0000931F0000}"/>
    <cellStyle name="60% - 강조색1 15 15" xfId="10507" xr:uid="{00000000-0005-0000-0000-0000941F0000}"/>
    <cellStyle name="60% - 강조색1 15 2" xfId="1068" xr:uid="{00000000-0005-0000-0000-0000951F0000}"/>
    <cellStyle name="60% - 강조색1 15 2 2" xfId="10513" xr:uid="{00000000-0005-0000-0000-0000961F0000}"/>
    <cellStyle name="60% - 강조색1 15 3" xfId="10514" xr:uid="{00000000-0005-0000-0000-0000971F0000}"/>
    <cellStyle name="60% - 강조색1 15 4" xfId="10515" xr:uid="{00000000-0005-0000-0000-0000981F0000}"/>
    <cellStyle name="60% - 강조색1 15 5" xfId="10516" xr:uid="{00000000-0005-0000-0000-0000991F0000}"/>
    <cellStyle name="60% - 강조색1 15 6" xfId="10517" xr:uid="{00000000-0005-0000-0000-00009A1F0000}"/>
    <cellStyle name="60% - 강조색1 15 7" xfId="10518" xr:uid="{00000000-0005-0000-0000-00009B1F0000}"/>
    <cellStyle name="60% - 강조색1 15 8" xfId="10519" xr:uid="{00000000-0005-0000-0000-00009C1F0000}"/>
    <cellStyle name="60% - 강조색1 15 9" xfId="10520" xr:uid="{00000000-0005-0000-0000-00009D1F0000}"/>
    <cellStyle name="60% - 강조색1 16" xfId="1069" xr:uid="{00000000-0005-0000-0000-00009E1F0000}"/>
    <cellStyle name="60% - 강조색1 16 10" xfId="10522" xr:uid="{00000000-0005-0000-0000-00009F1F0000}"/>
    <cellStyle name="60% - 강조색1 16 11" xfId="10523" xr:uid="{00000000-0005-0000-0000-0000A01F0000}"/>
    <cellStyle name="60% - 강조색1 16 12" xfId="10524" xr:uid="{00000000-0005-0000-0000-0000A11F0000}"/>
    <cellStyle name="60% - 강조색1 16 13" xfId="10525" xr:uid="{00000000-0005-0000-0000-0000A21F0000}"/>
    <cellStyle name="60% - 강조색1 16 14" xfId="10526" xr:uid="{00000000-0005-0000-0000-0000A31F0000}"/>
    <cellStyle name="60% - 강조색1 16 15" xfId="10521" xr:uid="{00000000-0005-0000-0000-0000A41F0000}"/>
    <cellStyle name="60% - 강조색1 16 2" xfId="1070" xr:uid="{00000000-0005-0000-0000-0000A51F0000}"/>
    <cellStyle name="60% - 강조색1 16 2 2" xfId="10527" xr:uid="{00000000-0005-0000-0000-0000A61F0000}"/>
    <cellStyle name="60% - 강조색1 16 3" xfId="10528" xr:uid="{00000000-0005-0000-0000-0000A71F0000}"/>
    <cellStyle name="60% - 강조색1 16 4" xfId="10529" xr:uid="{00000000-0005-0000-0000-0000A81F0000}"/>
    <cellStyle name="60% - 강조색1 16 5" xfId="10530" xr:uid="{00000000-0005-0000-0000-0000A91F0000}"/>
    <cellStyle name="60% - 강조색1 16 6" xfId="10531" xr:uid="{00000000-0005-0000-0000-0000AA1F0000}"/>
    <cellStyle name="60% - 강조색1 16 7" xfId="10532" xr:uid="{00000000-0005-0000-0000-0000AB1F0000}"/>
    <cellStyle name="60% - 강조색1 16 8" xfId="10533" xr:uid="{00000000-0005-0000-0000-0000AC1F0000}"/>
    <cellStyle name="60% - 강조색1 16 9" xfId="10534" xr:uid="{00000000-0005-0000-0000-0000AD1F0000}"/>
    <cellStyle name="60% - 강조색1 17" xfId="1071" xr:uid="{00000000-0005-0000-0000-0000AE1F0000}"/>
    <cellStyle name="60% - 강조색1 17 10" xfId="10536" xr:uid="{00000000-0005-0000-0000-0000AF1F0000}"/>
    <cellStyle name="60% - 강조색1 17 11" xfId="10537" xr:uid="{00000000-0005-0000-0000-0000B01F0000}"/>
    <cellStyle name="60% - 강조색1 17 12" xfId="10538" xr:uid="{00000000-0005-0000-0000-0000B11F0000}"/>
    <cellStyle name="60% - 강조색1 17 13" xfId="10539" xr:uid="{00000000-0005-0000-0000-0000B21F0000}"/>
    <cellStyle name="60% - 강조색1 17 14" xfId="10540" xr:uid="{00000000-0005-0000-0000-0000B31F0000}"/>
    <cellStyle name="60% - 강조색1 17 15" xfId="10535" xr:uid="{00000000-0005-0000-0000-0000B41F0000}"/>
    <cellStyle name="60% - 강조색1 17 2" xfId="1072" xr:uid="{00000000-0005-0000-0000-0000B51F0000}"/>
    <cellStyle name="60% - 강조색1 17 2 2" xfId="10541" xr:uid="{00000000-0005-0000-0000-0000B61F0000}"/>
    <cellStyle name="60% - 강조색1 17 3" xfId="10542" xr:uid="{00000000-0005-0000-0000-0000B71F0000}"/>
    <cellStyle name="60% - 강조색1 17 4" xfId="10543" xr:uid="{00000000-0005-0000-0000-0000B81F0000}"/>
    <cellStyle name="60% - 강조색1 17 5" xfId="10544" xr:uid="{00000000-0005-0000-0000-0000B91F0000}"/>
    <cellStyle name="60% - 강조색1 17 6" xfId="10545" xr:uid="{00000000-0005-0000-0000-0000BA1F0000}"/>
    <cellStyle name="60% - 강조색1 17 7" xfId="10546" xr:uid="{00000000-0005-0000-0000-0000BB1F0000}"/>
    <cellStyle name="60% - 강조색1 17 8" xfId="10547" xr:uid="{00000000-0005-0000-0000-0000BC1F0000}"/>
    <cellStyle name="60% - 강조색1 17 9" xfId="10548" xr:uid="{00000000-0005-0000-0000-0000BD1F0000}"/>
    <cellStyle name="60% - 강조색1 18" xfId="1073" xr:uid="{00000000-0005-0000-0000-0000BE1F0000}"/>
    <cellStyle name="60% - 강조색1 18 10" xfId="10550" xr:uid="{00000000-0005-0000-0000-0000BF1F0000}"/>
    <cellStyle name="60% - 강조색1 18 11" xfId="10551" xr:uid="{00000000-0005-0000-0000-0000C01F0000}"/>
    <cellStyle name="60% - 강조색1 18 12" xfId="10552" xr:uid="{00000000-0005-0000-0000-0000C11F0000}"/>
    <cellStyle name="60% - 강조색1 18 13" xfId="10553" xr:uid="{00000000-0005-0000-0000-0000C21F0000}"/>
    <cellStyle name="60% - 강조색1 18 14" xfId="10554" xr:uid="{00000000-0005-0000-0000-0000C31F0000}"/>
    <cellStyle name="60% - 강조색1 18 15" xfId="10549" xr:uid="{00000000-0005-0000-0000-0000C41F0000}"/>
    <cellStyle name="60% - 강조색1 18 2" xfId="1074" xr:uid="{00000000-0005-0000-0000-0000C51F0000}"/>
    <cellStyle name="60% - 강조색1 18 2 2" xfId="10555" xr:uid="{00000000-0005-0000-0000-0000C61F0000}"/>
    <cellStyle name="60% - 강조색1 18 3" xfId="10556" xr:uid="{00000000-0005-0000-0000-0000C71F0000}"/>
    <cellStyle name="60% - 강조색1 18 4" xfId="10557" xr:uid="{00000000-0005-0000-0000-0000C81F0000}"/>
    <cellStyle name="60% - 강조색1 18 5" xfId="10558" xr:uid="{00000000-0005-0000-0000-0000C91F0000}"/>
    <cellStyle name="60% - 강조색1 18 6" xfId="10559" xr:uid="{00000000-0005-0000-0000-0000CA1F0000}"/>
    <cellStyle name="60% - 강조색1 18 7" xfId="10560" xr:uid="{00000000-0005-0000-0000-0000CB1F0000}"/>
    <cellStyle name="60% - 강조색1 18 8" xfId="10561" xr:uid="{00000000-0005-0000-0000-0000CC1F0000}"/>
    <cellStyle name="60% - 강조색1 18 9" xfId="10562" xr:uid="{00000000-0005-0000-0000-0000CD1F0000}"/>
    <cellStyle name="60% - 강조색1 19" xfId="1075" xr:uid="{00000000-0005-0000-0000-0000CE1F0000}"/>
    <cellStyle name="60% - 강조색1 19 10" xfId="10564" xr:uid="{00000000-0005-0000-0000-0000CF1F0000}"/>
    <cellStyle name="60% - 강조색1 19 11" xfId="10565" xr:uid="{00000000-0005-0000-0000-0000D01F0000}"/>
    <cellStyle name="60% - 강조색1 19 12" xfId="10566" xr:uid="{00000000-0005-0000-0000-0000D11F0000}"/>
    <cellStyle name="60% - 강조색1 19 13" xfId="10567" xr:uid="{00000000-0005-0000-0000-0000D21F0000}"/>
    <cellStyle name="60% - 강조색1 19 14" xfId="10568" xr:uid="{00000000-0005-0000-0000-0000D31F0000}"/>
    <cellStyle name="60% - 강조색1 19 15" xfId="10563" xr:uid="{00000000-0005-0000-0000-0000D41F0000}"/>
    <cellStyle name="60% - 강조색1 19 2" xfId="1076" xr:uid="{00000000-0005-0000-0000-0000D51F0000}"/>
    <cellStyle name="60% - 강조색1 19 2 2" xfId="10569" xr:uid="{00000000-0005-0000-0000-0000D61F0000}"/>
    <cellStyle name="60% - 강조색1 19 3" xfId="10570" xr:uid="{00000000-0005-0000-0000-0000D71F0000}"/>
    <cellStyle name="60% - 강조색1 19 4" xfId="10571" xr:uid="{00000000-0005-0000-0000-0000D81F0000}"/>
    <cellStyle name="60% - 강조색1 19 5" xfId="10572" xr:uid="{00000000-0005-0000-0000-0000D91F0000}"/>
    <cellStyle name="60% - 강조색1 19 6" xfId="10573" xr:uid="{00000000-0005-0000-0000-0000DA1F0000}"/>
    <cellStyle name="60% - 강조색1 19 7" xfId="10574" xr:uid="{00000000-0005-0000-0000-0000DB1F0000}"/>
    <cellStyle name="60% - 강조색1 19 8" xfId="10575" xr:uid="{00000000-0005-0000-0000-0000DC1F0000}"/>
    <cellStyle name="60% - 강조색1 19 9" xfId="10576" xr:uid="{00000000-0005-0000-0000-0000DD1F0000}"/>
    <cellStyle name="60% - 강조색1 2" xfId="1077" xr:uid="{00000000-0005-0000-0000-0000DE1F0000}"/>
    <cellStyle name="60% - 강조색1 2 10" xfId="10578" xr:uid="{00000000-0005-0000-0000-0000DF1F0000}"/>
    <cellStyle name="60% - 강조색1 2 11" xfId="10579" xr:uid="{00000000-0005-0000-0000-0000E01F0000}"/>
    <cellStyle name="60% - 강조색1 2 12" xfId="10580" xr:uid="{00000000-0005-0000-0000-0000E11F0000}"/>
    <cellStyle name="60% - 강조색1 2 13" xfId="10581" xr:uid="{00000000-0005-0000-0000-0000E21F0000}"/>
    <cellStyle name="60% - 강조색1 2 14" xfId="10582" xr:uid="{00000000-0005-0000-0000-0000E31F0000}"/>
    <cellStyle name="60% - 강조색1 2 15" xfId="10577" xr:uid="{00000000-0005-0000-0000-0000E41F0000}"/>
    <cellStyle name="60% - 강조색1 2 16" xfId="27945" xr:uid="{00000000-0005-0000-0000-0000E51F0000}"/>
    <cellStyle name="60% - 강조색1 2 2" xfId="1078" xr:uid="{00000000-0005-0000-0000-0000E61F0000}"/>
    <cellStyle name="60% - 강조색1 2 2 2" xfId="10583" xr:uid="{00000000-0005-0000-0000-0000E71F0000}"/>
    <cellStyle name="60% - 강조색1 2 3" xfId="10584" xr:uid="{00000000-0005-0000-0000-0000E81F0000}"/>
    <cellStyle name="60% - 강조색1 2 4" xfId="10585" xr:uid="{00000000-0005-0000-0000-0000E91F0000}"/>
    <cellStyle name="60% - 강조색1 2 5" xfId="10586" xr:uid="{00000000-0005-0000-0000-0000EA1F0000}"/>
    <cellStyle name="60% - 강조색1 2 6" xfId="10587" xr:uid="{00000000-0005-0000-0000-0000EB1F0000}"/>
    <cellStyle name="60% - 강조색1 2 7" xfId="10588" xr:uid="{00000000-0005-0000-0000-0000EC1F0000}"/>
    <cellStyle name="60% - 강조색1 2 8" xfId="10589" xr:uid="{00000000-0005-0000-0000-0000ED1F0000}"/>
    <cellStyle name="60% - 강조색1 2 9" xfId="10590" xr:uid="{00000000-0005-0000-0000-0000EE1F0000}"/>
    <cellStyle name="60% - 강조색1 20" xfId="1079" xr:uid="{00000000-0005-0000-0000-0000EF1F0000}"/>
    <cellStyle name="60% - 강조색1 20 10" xfId="10592" xr:uid="{00000000-0005-0000-0000-0000F01F0000}"/>
    <cellStyle name="60% - 강조색1 20 11" xfId="10593" xr:uid="{00000000-0005-0000-0000-0000F11F0000}"/>
    <cellStyle name="60% - 강조색1 20 12" xfId="10594" xr:uid="{00000000-0005-0000-0000-0000F21F0000}"/>
    <cellStyle name="60% - 강조색1 20 13" xfId="10595" xr:uid="{00000000-0005-0000-0000-0000F31F0000}"/>
    <cellStyle name="60% - 강조색1 20 14" xfId="10596" xr:uid="{00000000-0005-0000-0000-0000F41F0000}"/>
    <cellStyle name="60% - 강조색1 20 15" xfId="10591" xr:uid="{00000000-0005-0000-0000-0000F51F0000}"/>
    <cellStyle name="60% - 강조색1 20 2" xfId="1080" xr:uid="{00000000-0005-0000-0000-0000F61F0000}"/>
    <cellStyle name="60% - 강조색1 20 2 2" xfId="10597" xr:uid="{00000000-0005-0000-0000-0000F71F0000}"/>
    <cellStyle name="60% - 강조색1 20 3" xfId="10598" xr:uid="{00000000-0005-0000-0000-0000F81F0000}"/>
    <cellStyle name="60% - 강조색1 20 4" xfId="10599" xr:uid="{00000000-0005-0000-0000-0000F91F0000}"/>
    <cellStyle name="60% - 강조색1 20 5" xfId="10600" xr:uid="{00000000-0005-0000-0000-0000FA1F0000}"/>
    <cellStyle name="60% - 강조색1 20 6" xfId="10601" xr:uid="{00000000-0005-0000-0000-0000FB1F0000}"/>
    <cellStyle name="60% - 강조색1 20 7" xfId="10602" xr:uid="{00000000-0005-0000-0000-0000FC1F0000}"/>
    <cellStyle name="60% - 강조색1 20 8" xfId="10603" xr:uid="{00000000-0005-0000-0000-0000FD1F0000}"/>
    <cellStyle name="60% - 강조색1 20 9" xfId="10604" xr:uid="{00000000-0005-0000-0000-0000FE1F0000}"/>
    <cellStyle name="60% - 강조색1 21" xfId="1081" xr:uid="{00000000-0005-0000-0000-0000FF1F0000}"/>
    <cellStyle name="60% - 강조색1 21 10" xfId="10606" xr:uid="{00000000-0005-0000-0000-000000200000}"/>
    <cellStyle name="60% - 강조색1 21 11" xfId="10607" xr:uid="{00000000-0005-0000-0000-000001200000}"/>
    <cellStyle name="60% - 강조색1 21 12" xfId="10608" xr:uid="{00000000-0005-0000-0000-000002200000}"/>
    <cellStyle name="60% - 강조색1 21 13" xfId="10609" xr:uid="{00000000-0005-0000-0000-000003200000}"/>
    <cellStyle name="60% - 강조색1 21 14" xfId="10610" xr:uid="{00000000-0005-0000-0000-000004200000}"/>
    <cellStyle name="60% - 강조색1 21 15" xfId="10605" xr:uid="{00000000-0005-0000-0000-000005200000}"/>
    <cellStyle name="60% - 강조색1 21 2" xfId="1082" xr:uid="{00000000-0005-0000-0000-000006200000}"/>
    <cellStyle name="60% - 강조색1 21 2 2" xfId="10611" xr:uid="{00000000-0005-0000-0000-000007200000}"/>
    <cellStyle name="60% - 강조색1 21 3" xfId="10612" xr:uid="{00000000-0005-0000-0000-000008200000}"/>
    <cellStyle name="60% - 강조색1 21 4" xfId="10613" xr:uid="{00000000-0005-0000-0000-000009200000}"/>
    <cellStyle name="60% - 강조색1 21 5" xfId="10614" xr:uid="{00000000-0005-0000-0000-00000A200000}"/>
    <cellStyle name="60% - 강조색1 21 6" xfId="10615" xr:uid="{00000000-0005-0000-0000-00000B200000}"/>
    <cellStyle name="60% - 강조색1 21 7" xfId="10616" xr:uid="{00000000-0005-0000-0000-00000C200000}"/>
    <cellStyle name="60% - 강조색1 21 8" xfId="10617" xr:uid="{00000000-0005-0000-0000-00000D200000}"/>
    <cellStyle name="60% - 강조색1 21 9" xfId="10618" xr:uid="{00000000-0005-0000-0000-00000E200000}"/>
    <cellStyle name="60% - 강조색1 22" xfId="1083" xr:uid="{00000000-0005-0000-0000-00000F200000}"/>
    <cellStyle name="60% - 강조색1 22 10" xfId="10620" xr:uid="{00000000-0005-0000-0000-000010200000}"/>
    <cellStyle name="60% - 강조색1 22 11" xfId="10621" xr:uid="{00000000-0005-0000-0000-000011200000}"/>
    <cellStyle name="60% - 강조색1 22 12" xfId="10622" xr:uid="{00000000-0005-0000-0000-000012200000}"/>
    <cellStyle name="60% - 강조색1 22 13" xfId="10623" xr:uid="{00000000-0005-0000-0000-000013200000}"/>
    <cellStyle name="60% - 강조색1 22 14" xfId="10624" xr:uid="{00000000-0005-0000-0000-000014200000}"/>
    <cellStyle name="60% - 강조색1 22 15" xfId="10619" xr:uid="{00000000-0005-0000-0000-000015200000}"/>
    <cellStyle name="60% - 강조색1 22 2" xfId="1084" xr:uid="{00000000-0005-0000-0000-000016200000}"/>
    <cellStyle name="60% - 강조색1 22 2 2" xfId="10625" xr:uid="{00000000-0005-0000-0000-000017200000}"/>
    <cellStyle name="60% - 강조색1 22 3" xfId="10626" xr:uid="{00000000-0005-0000-0000-000018200000}"/>
    <cellStyle name="60% - 강조색1 22 4" xfId="10627" xr:uid="{00000000-0005-0000-0000-000019200000}"/>
    <cellStyle name="60% - 강조색1 22 5" xfId="10628" xr:uid="{00000000-0005-0000-0000-00001A200000}"/>
    <cellStyle name="60% - 강조색1 22 6" xfId="10629" xr:uid="{00000000-0005-0000-0000-00001B200000}"/>
    <cellStyle name="60% - 강조색1 22 7" xfId="10630" xr:uid="{00000000-0005-0000-0000-00001C200000}"/>
    <cellStyle name="60% - 강조색1 22 8" xfId="10631" xr:uid="{00000000-0005-0000-0000-00001D200000}"/>
    <cellStyle name="60% - 강조색1 22 9" xfId="10632" xr:uid="{00000000-0005-0000-0000-00001E200000}"/>
    <cellStyle name="60% - 강조색1 23" xfId="1085" xr:uid="{00000000-0005-0000-0000-00001F200000}"/>
    <cellStyle name="60% - 강조색1 23 10" xfId="10634" xr:uid="{00000000-0005-0000-0000-000020200000}"/>
    <cellStyle name="60% - 강조색1 23 11" xfId="10635" xr:uid="{00000000-0005-0000-0000-000021200000}"/>
    <cellStyle name="60% - 강조색1 23 12" xfId="10636" xr:uid="{00000000-0005-0000-0000-000022200000}"/>
    <cellStyle name="60% - 강조색1 23 13" xfId="10637" xr:uid="{00000000-0005-0000-0000-000023200000}"/>
    <cellStyle name="60% - 강조색1 23 14" xfId="10638" xr:uid="{00000000-0005-0000-0000-000024200000}"/>
    <cellStyle name="60% - 강조색1 23 15" xfId="10633" xr:uid="{00000000-0005-0000-0000-000025200000}"/>
    <cellStyle name="60% - 강조색1 23 2" xfId="1086" xr:uid="{00000000-0005-0000-0000-000026200000}"/>
    <cellStyle name="60% - 강조색1 23 2 2" xfId="10639" xr:uid="{00000000-0005-0000-0000-000027200000}"/>
    <cellStyle name="60% - 강조색1 23 3" xfId="10640" xr:uid="{00000000-0005-0000-0000-000028200000}"/>
    <cellStyle name="60% - 강조색1 23 4" xfId="10641" xr:uid="{00000000-0005-0000-0000-000029200000}"/>
    <cellStyle name="60% - 강조색1 23 5" xfId="10642" xr:uid="{00000000-0005-0000-0000-00002A200000}"/>
    <cellStyle name="60% - 강조색1 23 6" xfId="10643" xr:uid="{00000000-0005-0000-0000-00002B200000}"/>
    <cellStyle name="60% - 강조색1 23 7" xfId="10644" xr:uid="{00000000-0005-0000-0000-00002C200000}"/>
    <cellStyle name="60% - 강조색1 23 8" xfId="10645" xr:uid="{00000000-0005-0000-0000-00002D200000}"/>
    <cellStyle name="60% - 강조색1 23 9" xfId="10646" xr:uid="{00000000-0005-0000-0000-00002E200000}"/>
    <cellStyle name="60% - 강조색1 24" xfId="1087" xr:uid="{00000000-0005-0000-0000-00002F200000}"/>
    <cellStyle name="60% - 강조색1 24 10" xfId="10648" xr:uid="{00000000-0005-0000-0000-000030200000}"/>
    <cellStyle name="60% - 강조색1 24 11" xfId="10649" xr:uid="{00000000-0005-0000-0000-000031200000}"/>
    <cellStyle name="60% - 강조색1 24 12" xfId="10650" xr:uid="{00000000-0005-0000-0000-000032200000}"/>
    <cellStyle name="60% - 강조색1 24 13" xfId="10651" xr:uid="{00000000-0005-0000-0000-000033200000}"/>
    <cellStyle name="60% - 강조색1 24 14" xfId="10652" xr:uid="{00000000-0005-0000-0000-000034200000}"/>
    <cellStyle name="60% - 강조색1 24 15" xfId="10647" xr:uid="{00000000-0005-0000-0000-000035200000}"/>
    <cellStyle name="60% - 강조색1 24 2" xfId="1088" xr:uid="{00000000-0005-0000-0000-000036200000}"/>
    <cellStyle name="60% - 강조색1 24 2 2" xfId="10653" xr:uid="{00000000-0005-0000-0000-000037200000}"/>
    <cellStyle name="60% - 강조색1 24 3" xfId="10654" xr:uid="{00000000-0005-0000-0000-000038200000}"/>
    <cellStyle name="60% - 강조색1 24 4" xfId="10655" xr:uid="{00000000-0005-0000-0000-000039200000}"/>
    <cellStyle name="60% - 강조색1 24 5" xfId="10656" xr:uid="{00000000-0005-0000-0000-00003A200000}"/>
    <cellStyle name="60% - 강조색1 24 6" xfId="10657" xr:uid="{00000000-0005-0000-0000-00003B200000}"/>
    <cellStyle name="60% - 강조색1 24 7" xfId="10658" xr:uid="{00000000-0005-0000-0000-00003C200000}"/>
    <cellStyle name="60% - 강조색1 24 8" xfId="10659" xr:uid="{00000000-0005-0000-0000-00003D200000}"/>
    <cellStyle name="60% - 강조색1 24 9" xfId="10660" xr:uid="{00000000-0005-0000-0000-00003E200000}"/>
    <cellStyle name="60% - 강조색1 25" xfId="1089" xr:uid="{00000000-0005-0000-0000-00003F200000}"/>
    <cellStyle name="60% - 강조색1 25 10" xfId="10662" xr:uid="{00000000-0005-0000-0000-000040200000}"/>
    <cellStyle name="60% - 강조색1 25 11" xfId="10663" xr:uid="{00000000-0005-0000-0000-000041200000}"/>
    <cellStyle name="60% - 강조색1 25 12" xfId="10664" xr:uid="{00000000-0005-0000-0000-000042200000}"/>
    <cellStyle name="60% - 강조색1 25 13" xfId="10665" xr:uid="{00000000-0005-0000-0000-000043200000}"/>
    <cellStyle name="60% - 강조색1 25 14" xfId="10666" xr:uid="{00000000-0005-0000-0000-000044200000}"/>
    <cellStyle name="60% - 강조색1 25 15" xfId="10661" xr:uid="{00000000-0005-0000-0000-000045200000}"/>
    <cellStyle name="60% - 강조색1 25 2" xfId="1090" xr:uid="{00000000-0005-0000-0000-000046200000}"/>
    <cellStyle name="60% - 강조색1 25 2 2" xfId="10667" xr:uid="{00000000-0005-0000-0000-000047200000}"/>
    <cellStyle name="60% - 강조색1 25 3" xfId="10668" xr:uid="{00000000-0005-0000-0000-000048200000}"/>
    <cellStyle name="60% - 강조색1 25 4" xfId="10669" xr:uid="{00000000-0005-0000-0000-000049200000}"/>
    <cellStyle name="60% - 강조색1 25 5" xfId="10670" xr:uid="{00000000-0005-0000-0000-00004A200000}"/>
    <cellStyle name="60% - 강조색1 25 6" xfId="10671" xr:uid="{00000000-0005-0000-0000-00004B200000}"/>
    <cellStyle name="60% - 강조색1 25 7" xfId="10672" xr:uid="{00000000-0005-0000-0000-00004C200000}"/>
    <cellStyle name="60% - 강조색1 25 8" xfId="10673" xr:uid="{00000000-0005-0000-0000-00004D200000}"/>
    <cellStyle name="60% - 강조색1 25 9" xfId="10674" xr:uid="{00000000-0005-0000-0000-00004E200000}"/>
    <cellStyle name="60% - 강조색1 26" xfId="1091" xr:uid="{00000000-0005-0000-0000-00004F200000}"/>
    <cellStyle name="60% - 강조색1 26 10" xfId="10676" xr:uid="{00000000-0005-0000-0000-000050200000}"/>
    <cellStyle name="60% - 강조색1 26 11" xfId="10677" xr:uid="{00000000-0005-0000-0000-000051200000}"/>
    <cellStyle name="60% - 강조색1 26 12" xfId="10678" xr:uid="{00000000-0005-0000-0000-000052200000}"/>
    <cellStyle name="60% - 강조색1 26 13" xfId="10679" xr:uid="{00000000-0005-0000-0000-000053200000}"/>
    <cellStyle name="60% - 강조색1 26 14" xfId="10680" xr:uid="{00000000-0005-0000-0000-000054200000}"/>
    <cellStyle name="60% - 강조색1 26 15" xfId="10675" xr:uid="{00000000-0005-0000-0000-000055200000}"/>
    <cellStyle name="60% - 강조색1 26 2" xfId="1092" xr:uid="{00000000-0005-0000-0000-000056200000}"/>
    <cellStyle name="60% - 강조색1 26 2 2" xfId="10681" xr:uid="{00000000-0005-0000-0000-000057200000}"/>
    <cellStyle name="60% - 강조색1 26 3" xfId="10682" xr:uid="{00000000-0005-0000-0000-000058200000}"/>
    <cellStyle name="60% - 강조색1 26 4" xfId="10683" xr:uid="{00000000-0005-0000-0000-000059200000}"/>
    <cellStyle name="60% - 강조색1 26 5" xfId="10684" xr:uid="{00000000-0005-0000-0000-00005A200000}"/>
    <cellStyle name="60% - 강조색1 26 6" xfId="10685" xr:uid="{00000000-0005-0000-0000-00005B200000}"/>
    <cellStyle name="60% - 강조색1 26 7" xfId="10686" xr:uid="{00000000-0005-0000-0000-00005C200000}"/>
    <cellStyle name="60% - 강조색1 26 8" xfId="10687" xr:uid="{00000000-0005-0000-0000-00005D200000}"/>
    <cellStyle name="60% - 강조색1 26 9" xfId="10688" xr:uid="{00000000-0005-0000-0000-00005E200000}"/>
    <cellStyle name="60% - 강조색1 27" xfId="1093" xr:uid="{00000000-0005-0000-0000-00005F200000}"/>
    <cellStyle name="60% - 강조색1 27 10" xfId="10690" xr:uid="{00000000-0005-0000-0000-000060200000}"/>
    <cellStyle name="60% - 강조색1 27 11" xfId="10691" xr:uid="{00000000-0005-0000-0000-000061200000}"/>
    <cellStyle name="60% - 강조색1 27 12" xfId="10692" xr:uid="{00000000-0005-0000-0000-000062200000}"/>
    <cellStyle name="60% - 강조색1 27 13" xfId="10693" xr:uid="{00000000-0005-0000-0000-000063200000}"/>
    <cellStyle name="60% - 강조색1 27 14" xfId="10694" xr:uid="{00000000-0005-0000-0000-000064200000}"/>
    <cellStyle name="60% - 강조색1 27 15" xfId="10689" xr:uid="{00000000-0005-0000-0000-000065200000}"/>
    <cellStyle name="60% - 강조색1 27 2" xfId="1094" xr:uid="{00000000-0005-0000-0000-000066200000}"/>
    <cellStyle name="60% - 강조색1 27 2 2" xfId="10695" xr:uid="{00000000-0005-0000-0000-000067200000}"/>
    <cellStyle name="60% - 강조색1 27 3" xfId="10696" xr:uid="{00000000-0005-0000-0000-000068200000}"/>
    <cellStyle name="60% - 강조색1 27 4" xfId="10697" xr:uid="{00000000-0005-0000-0000-000069200000}"/>
    <cellStyle name="60% - 강조색1 27 5" xfId="10698" xr:uid="{00000000-0005-0000-0000-00006A200000}"/>
    <cellStyle name="60% - 강조색1 27 6" xfId="10699" xr:uid="{00000000-0005-0000-0000-00006B200000}"/>
    <cellStyle name="60% - 강조색1 27 7" xfId="10700" xr:uid="{00000000-0005-0000-0000-00006C200000}"/>
    <cellStyle name="60% - 강조색1 27 8" xfId="10701" xr:uid="{00000000-0005-0000-0000-00006D200000}"/>
    <cellStyle name="60% - 강조색1 27 9" xfId="10702" xr:uid="{00000000-0005-0000-0000-00006E200000}"/>
    <cellStyle name="60% - 강조색1 28" xfId="1095" xr:uid="{00000000-0005-0000-0000-00006F200000}"/>
    <cellStyle name="60% - 강조색1 28 10" xfId="10704" xr:uid="{00000000-0005-0000-0000-000070200000}"/>
    <cellStyle name="60% - 강조색1 28 11" xfId="10705" xr:uid="{00000000-0005-0000-0000-000071200000}"/>
    <cellStyle name="60% - 강조색1 28 12" xfId="10706" xr:uid="{00000000-0005-0000-0000-000072200000}"/>
    <cellStyle name="60% - 강조색1 28 13" xfId="10707" xr:uid="{00000000-0005-0000-0000-000073200000}"/>
    <cellStyle name="60% - 강조색1 28 14" xfId="10708" xr:uid="{00000000-0005-0000-0000-000074200000}"/>
    <cellStyle name="60% - 강조색1 28 15" xfId="10703" xr:uid="{00000000-0005-0000-0000-000075200000}"/>
    <cellStyle name="60% - 강조색1 28 2" xfId="1096" xr:uid="{00000000-0005-0000-0000-000076200000}"/>
    <cellStyle name="60% - 강조색1 28 2 2" xfId="10709" xr:uid="{00000000-0005-0000-0000-000077200000}"/>
    <cellStyle name="60% - 강조색1 28 3" xfId="10710" xr:uid="{00000000-0005-0000-0000-000078200000}"/>
    <cellStyle name="60% - 강조색1 28 4" xfId="10711" xr:uid="{00000000-0005-0000-0000-000079200000}"/>
    <cellStyle name="60% - 강조색1 28 5" xfId="10712" xr:uid="{00000000-0005-0000-0000-00007A200000}"/>
    <cellStyle name="60% - 강조색1 28 6" xfId="10713" xr:uid="{00000000-0005-0000-0000-00007B200000}"/>
    <cellStyle name="60% - 강조색1 28 7" xfId="10714" xr:uid="{00000000-0005-0000-0000-00007C200000}"/>
    <cellStyle name="60% - 강조색1 28 8" xfId="10715" xr:uid="{00000000-0005-0000-0000-00007D200000}"/>
    <cellStyle name="60% - 강조색1 28 9" xfId="10716" xr:uid="{00000000-0005-0000-0000-00007E200000}"/>
    <cellStyle name="60% - 강조색1 29" xfId="1097" xr:uid="{00000000-0005-0000-0000-00007F200000}"/>
    <cellStyle name="60% - 강조색1 29 10" xfId="10718" xr:uid="{00000000-0005-0000-0000-000080200000}"/>
    <cellStyle name="60% - 강조색1 29 11" xfId="10719" xr:uid="{00000000-0005-0000-0000-000081200000}"/>
    <cellStyle name="60% - 강조색1 29 12" xfId="10720" xr:uid="{00000000-0005-0000-0000-000082200000}"/>
    <cellStyle name="60% - 강조색1 29 13" xfId="10721" xr:uid="{00000000-0005-0000-0000-000083200000}"/>
    <cellStyle name="60% - 강조색1 29 14" xfId="10722" xr:uid="{00000000-0005-0000-0000-000084200000}"/>
    <cellStyle name="60% - 강조색1 29 15" xfId="10717" xr:uid="{00000000-0005-0000-0000-000085200000}"/>
    <cellStyle name="60% - 강조색1 29 2" xfId="1098" xr:uid="{00000000-0005-0000-0000-000086200000}"/>
    <cellStyle name="60% - 강조색1 29 2 2" xfId="10723" xr:uid="{00000000-0005-0000-0000-000087200000}"/>
    <cellStyle name="60% - 강조색1 29 3" xfId="10724" xr:uid="{00000000-0005-0000-0000-000088200000}"/>
    <cellStyle name="60% - 강조색1 29 4" xfId="10725" xr:uid="{00000000-0005-0000-0000-000089200000}"/>
    <cellStyle name="60% - 강조색1 29 5" xfId="10726" xr:uid="{00000000-0005-0000-0000-00008A200000}"/>
    <cellStyle name="60% - 강조색1 29 6" xfId="10727" xr:uid="{00000000-0005-0000-0000-00008B200000}"/>
    <cellStyle name="60% - 강조색1 29 7" xfId="10728" xr:uid="{00000000-0005-0000-0000-00008C200000}"/>
    <cellStyle name="60% - 강조색1 29 8" xfId="10729" xr:uid="{00000000-0005-0000-0000-00008D200000}"/>
    <cellStyle name="60% - 강조색1 29 9" xfId="10730" xr:uid="{00000000-0005-0000-0000-00008E200000}"/>
    <cellStyle name="60% - 강조색1 3" xfId="1099" xr:uid="{00000000-0005-0000-0000-00008F200000}"/>
    <cellStyle name="60% - 강조색1 3 10" xfId="10732" xr:uid="{00000000-0005-0000-0000-000090200000}"/>
    <cellStyle name="60% - 강조색1 3 11" xfId="10733" xr:uid="{00000000-0005-0000-0000-000091200000}"/>
    <cellStyle name="60% - 강조색1 3 12" xfId="10734" xr:uid="{00000000-0005-0000-0000-000092200000}"/>
    <cellStyle name="60% - 강조색1 3 13" xfId="10735" xr:uid="{00000000-0005-0000-0000-000093200000}"/>
    <cellStyle name="60% - 강조색1 3 14" xfId="10736" xr:uid="{00000000-0005-0000-0000-000094200000}"/>
    <cellStyle name="60% - 강조색1 3 15" xfId="10731" xr:uid="{00000000-0005-0000-0000-000095200000}"/>
    <cellStyle name="60% - 강조색1 3 16" xfId="28201" xr:uid="{00000000-0005-0000-0000-000096200000}"/>
    <cellStyle name="60% - 강조색1 3 2" xfId="1100" xr:uid="{00000000-0005-0000-0000-000097200000}"/>
    <cellStyle name="60% - 강조색1 3 2 2" xfId="10737" xr:uid="{00000000-0005-0000-0000-000098200000}"/>
    <cellStyle name="60% - 강조색1 3 3" xfId="10738" xr:uid="{00000000-0005-0000-0000-000099200000}"/>
    <cellStyle name="60% - 강조색1 3 4" xfId="10739" xr:uid="{00000000-0005-0000-0000-00009A200000}"/>
    <cellStyle name="60% - 강조색1 3 5" xfId="10740" xr:uid="{00000000-0005-0000-0000-00009B200000}"/>
    <cellStyle name="60% - 강조색1 3 6" xfId="10741" xr:uid="{00000000-0005-0000-0000-00009C200000}"/>
    <cellStyle name="60% - 강조색1 3 7" xfId="10742" xr:uid="{00000000-0005-0000-0000-00009D200000}"/>
    <cellStyle name="60% - 강조색1 3 8" xfId="10743" xr:uid="{00000000-0005-0000-0000-00009E200000}"/>
    <cellStyle name="60% - 강조색1 3 9" xfId="10744" xr:uid="{00000000-0005-0000-0000-00009F200000}"/>
    <cellStyle name="60% - 강조색1 30" xfId="1101" xr:uid="{00000000-0005-0000-0000-0000A0200000}"/>
    <cellStyle name="60% - 강조색1 30 10" xfId="10746" xr:uid="{00000000-0005-0000-0000-0000A1200000}"/>
    <cellStyle name="60% - 강조색1 30 11" xfId="10747" xr:uid="{00000000-0005-0000-0000-0000A2200000}"/>
    <cellStyle name="60% - 강조색1 30 12" xfId="10748" xr:uid="{00000000-0005-0000-0000-0000A3200000}"/>
    <cellStyle name="60% - 강조색1 30 13" xfId="10749" xr:uid="{00000000-0005-0000-0000-0000A4200000}"/>
    <cellStyle name="60% - 강조색1 30 14" xfId="10750" xr:uid="{00000000-0005-0000-0000-0000A5200000}"/>
    <cellStyle name="60% - 강조색1 30 15" xfId="10745" xr:uid="{00000000-0005-0000-0000-0000A6200000}"/>
    <cellStyle name="60% - 강조색1 30 2" xfId="1102" xr:uid="{00000000-0005-0000-0000-0000A7200000}"/>
    <cellStyle name="60% - 강조색1 30 2 2" xfId="10751" xr:uid="{00000000-0005-0000-0000-0000A8200000}"/>
    <cellStyle name="60% - 강조색1 30 3" xfId="10752" xr:uid="{00000000-0005-0000-0000-0000A9200000}"/>
    <cellStyle name="60% - 강조색1 30 4" xfId="10753" xr:uid="{00000000-0005-0000-0000-0000AA200000}"/>
    <cellStyle name="60% - 강조색1 30 5" xfId="10754" xr:uid="{00000000-0005-0000-0000-0000AB200000}"/>
    <cellStyle name="60% - 강조색1 30 6" xfId="10755" xr:uid="{00000000-0005-0000-0000-0000AC200000}"/>
    <cellStyle name="60% - 강조색1 30 7" xfId="10756" xr:uid="{00000000-0005-0000-0000-0000AD200000}"/>
    <cellStyle name="60% - 강조색1 30 8" xfId="10757" xr:uid="{00000000-0005-0000-0000-0000AE200000}"/>
    <cellStyle name="60% - 강조색1 30 9" xfId="10758" xr:uid="{00000000-0005-0000-0000-0000AF200000}"/>
    <cellStyle name="60% - 강조색1 31" xfId="1103" xr:uid="{00000000-0005-0000-0000-0000B0200000}"/>
    <cellStyle name="60% - 강조색1 31 10" xfId="10760" xr:uid="{00000000-0005-0000-0000-0000B1200000}"/>
    <cellStyle name="60% - 강조색1 31 11" xfId="10761" xr:uid="{00000000-0005-0000-0000-0000B2200000}"/>
    <cellStyle name="60% - 강조색1 31 12" xfId="10762" xr:uid="{00000000-0005-0000-0000-0000B3200000}"/>
    <cellStyle name="60% - 강조색1 31 13" xfId="10763" xr:uid="{00000000-0005-0000-0000-0000B4200000}"/>
    <cellStyle name="60% - 강조색1 31 14" xfId="10764" xr:uid="{00000000-0005-0000-0000-0000B5200000}"/>
    <cellStyle name="60% - 강조색1 31 15" xfId="10759" xr:uid="{00000000-0005-0000-0000-0000B6200000}"/>
    <cellStyle name="60% - 강조색1 31 2" xfId="1104" xr:uid="{00000000-0005-0000-0000-0000B7200000}"/>
    <cellStyle name="60% - 강조색1 31 2 2" xfId="10765" xr:uid="{00000000-0005-0000-0000-0000B8200000}"/>
    <cellStyle name="60% - 강조색1 31 3" xfId="10766" xr:uid="{00000000-0005-0000-0000-0000B9200000}"/>
    <cellStyle name="60% - 강조색1 31 4" xfId="10767" xr:uid="{00000000-0005-0000-0000-0000BA200000}"/>
    <cellStyle name="60% - 강조색1 31 5" xfId="10768" xr:uid="{00000000-0005-0000-0000-0000BB200000}"/>
    <cellStyle name="60% - 강조색1 31 6" xfId="10769" xr:uid="{00000000-0005-0000-0000-0000BC200000}"/>
    <cellStyle name="60% - 강조색1 31 7" xfId="10770" xr:uid="{00000000-0005-0000-0000-0000BD200000}"/>
    <cellStyle name="60% - 강조색1 31 8" xfId="10771" xr:uid="{00000000-0005-0000-0000-0000BE200000}"/>
    <cellStyle name="60% - 강조색1 31 9" xfId="10772" xr:uid="{00000000-0005-0000-0000-0000BF200000}"/>
    <cellStyle name="60% - 강조색1 32" xfId="1105" xr:uid="{00000000-0005-0000-0000-0000C0200000}"/>
    <cellStyle name="60% - 강조색1 32 10" xfId="10774" xr:uid="{00000000-0005-0000-0000-0000C1200000}"/>
    <cellStyle name="60% - 강조색1 32 11" xfId="10775" xr:uid="{00000000-0005-0000-0000-0000C2200000}"/>
    <cellStyle name="60% - 강조색1 32 12" xfId="10776" xr:uid="{00000000-0005-0000-0000-0000C3200000}"/>
    <cellStyle name="60% - 강조색1 32 13" xfId="10777" xr:uid="{00000000-0005-0000-0000-0000C4200000}"/>
    <cellStyle name="60% - 강조색1 32 14" xfId="10778" xr:uid="{00000000-0005-0000-0000-0000C5200000}"/>
    <cellStyle name="60% - 강조색1 32 15" xfId="10773" xr:uid="{00000000-0005-0000-0000-0000C6200000}"/>
    <cellStyle name="60% - 강조색1 32 2" xfId="1106" xr:uid="{00000000-0005-0000-0000-0000C7200000}"/>
    <cellStyle name="60% - 강조색1 32 2 2" xfId="10779" xr:uid="{00000000-0005-0000-0000-0000C8200000}"/>
    <cellStyle name="60% - 강조색1 32 3" xfId="10780" xr:uid="{00000000-0005-0000-0000-0000C9200000}"/>
    <cellStyle name="60% - 강조색1 32 4" xfId="10781" xr:uid="{00000000-0005-0000-0000-0000CA200000}"/>
    <cellStyle name="60% - 강조색1 32 5" xfId="10782" xr:uid="{00000000-0005-0000-0000-0000CB200000}"/>
    <cellStyle name="60% - 강조색1 32 6" xfId="10783" xr:uid="{00000000-0005-0000-0000-0000CC200000}"/>
    <cellStyle name="60% - 강조색1 32 7" xfId="10784" xr:uid="{00000000-0005-0000-0000-0000CD200000}"/>
    <cellStyle name="60% - 강조색1 32 8" xfId="10785" xr:uid="{00000000-0005-0000-0000-0000CE200000}"/>
    <cellStyle name="60% - 강조색1 32 9" xfId="10786" xr:uid="{00000000-0005-0000-0000-0000CF200000}"/>
    <cellStyle name="60% - 강조색1 33" xfId="1107" xr:uid="{00000000-0005-0000-0000-0000D0200000}"/>
    <cellStyle name="60% - 강조색1 33 10" xfId="10788" xr:uid="{00000000-0005-0000-0000-0000D1200000}"/>
    <cellStyle name="60% - 강조색1 33 11" xfId="10789" xr:uid="{00000000-0005-0000-0000-0000D2200000}"/>
    <cellStyle name="60% - 강조색1 33 12" xfId="10790" xr:uid="{00000000-0005-0000-0000-0000D3200000}"/>
    <cellStyle name="60% - 강조색1 33 13" xfId="10791" xr:uid="{00000000-0005-0000-0000-0000D4200000}"/>
    <cellStyle name="60% - 강조색1 33 14" xfId="10792" xr:uid="{00000000-0005-0000-0000-0000D5200000}"/>
    <cellStyle name="60% - 강조색1 33 15" xfId="10787" xr:uid="{00000000-0005-0000-0000-0000D6200000}"/>
    <cellStyle name="60% - 강조색1 33 2" xfId="1108" xr:uid="{00000000-0005-0000-0000-0000D7200000}"/>
    <cellStyle name="60% - 강조색1 33 2 2" xfId="10793" xr:uid="{00000000-0005-0000-0000-0000D8200000}"/>
    <cellStyle name="60% - 강조색1 33 3" xfId="10794" xr:uid="{00000000-0005-0000-0000-0000D9200000}"/>
    <cellStyle name="60% - 강조색1 33 4" xfId="10795" xr:uid="{00000000-0005-0000-0000-0000DA200000}"/>
    <cellStyle name="60% - 강조색1 33 5" xfId="10796" xr:uid="{00000000-0005-0000-0000-0000DB200000}"/>
    <cellStyle name="60% - 강조색1 33 6" xfId="10797" xr:uid="{00000000-0005-0000-0000-0000DC200000}"/>
    <cellStyle name="60% - 강조색1 33 7" xfId="10798" xr:uid="{00000000-0005-0000-0000-0000DD200000}"/>
    <cellStyle name="60% - 강조색1 33 8" xfId="10799" xr:uid="{00000000-0005-0000-0000-0000DE200000}"/>
    <cellStyle name="60% - 강조색1 33 9" xfId="10800" xr:uid="{00000000-0005-0000-0000-0000DF200000}"/>
    <cellStyle name="60% - 강조색1 34" xfId="1109" xr:uid="{00000000-0005-0000-0000-0000E0200000}"/>
    <cellStyle name="60% - 강조색1 34 10" xfId="10802" xr:uid="{00000000-0005-0000-0000-0000E1200000}"/>
    <cellStyle name="60% - 강조색1 34 11" xfId="10803" xr:uid="{00000000-0005-0000-0000-0000E2200000}"/>
    <cellStyle name="60% - 강조색1 34 12" xfId="10804" xr:uid="{00000000-0005-0000-0000-0000E3200000}"/>
    <cellStyle name="60% - 강조색1 34 13" xfId="10805" xr:uid="{00000000-0005-0000-0000-0000E4200000}"/>
    <cellStyle name="60% - 강조색1 34 14" xfId="10806" xr:uid="{00000000-0005-0000-0000-0000E5200000}"/>
    <cellStyle name="60% - 강조색1 34 15" xfId="10801" xr:uid="{00000000-0005-0000-0000-0000E6200000}"/>
    <cellStyle name="60% - 강조색1 34 2" xfId="1110" xr:uid="{00000000-0005-0000-0000-0000E7200000}"/>
    <cellStyle name="60% - 강조색1 34 2 2" xfId="10807" xr:uid="{00000000-0005-0000-0000-0000E8200000}"/>
    <cellStyle name="60% - 강조색1 34 3" xfId="10808" xr:uid="{00000000-0005-0000-0000-0000E9200000}"/>
    <cellStyle name="60% - 강조색1 34 4" xfId="10809" xr:uid="{00000000-0005-0000-0000-0000EA200000}"/>
    <cellStyle name="60% - 강조색1 34 5" xfId="10810" xr:uid="{00000000-0005-0000-0000-0000EB200000}"/>
    <cellStyle name="60% - 강조색1 34 6" xfId="10811" xr:uid="{00000000-0005-0000-0000-0000EC200000}"/>
    <cellStyle name="60% - 강조색1 34 7" xfId="10812" xr:uid="{00000000-0005-0000-0000-0000ED200000}"/>
    <cellStyle name="60% - 강조색1 34 8" xfId="10813" xr:uid="{00000000-0005-0000-0000-0000EE200000}"/>
    <cellStyle name="60% - 강조색1 34 9" xfId="10814" xr:uid="{00000000-0005-0000-0000-0000EF200000}"/>
    <cellStyle name="60% - 강조색1 35" xfId="1111" xr:uid="{00000000-0005-0000-0000-0000F0200000}"/>
    <cellStyle name="60% - 강조색1 35 10" xfId="10816" xr:uid="{00000000-0005-0000-0000-0000F1200000}"/>
    <cellStyle name="60% - 강조색1 35 11" xfId="10817" xr:uid="{00000000-0005-0000-0000-0000F2200000}"/>
    <cellStyle name="60% - 강조색1 35 12" xfId="10818" xr:uid="{00000000-0005-0000-0000-0000F3200000}"/>
    <cellStyle name="60% - 강조색1 35 13" xfId="10819" xr:uid="{00000000-0005-0000-0000-0000F4200000}"/>
    <cellStyle name="60% - 강조색1 35 14" xfId="10820" xr:uid="{00000000-0005-0000-0000-0000F5200000}"/>
    <cellStyle name="60% - 강조색1 35 15" xfId="10815" xr:uid="{00000000-0005-0000-0000-0000F6200000}"/>
    <cellStyle name="60% - 강조색1 35 2" xfId="1112" xr:uid="{00000000-0005-0000-0000-0000F7200000}"/>
    <cellStyle name="60% - 강조색1 35 2 2" xfId="10821" xr:uid="{00000000-0005-0000-0000-0000F8200000}"/>
    <cellStyle name="60% - 강조색1 35 3" xfId="10822" xr:uid="{00000000-0005-0000-0000-0000F9200000}"/>
    <cellStyle name="60% - 강조색1 35 4" xfId="10823" xr:uid="{00000000-0005-0000-0000-0000FA200000}"/>
    <cellStyle name="60% - 강조색1 35 5" xfId="10824" xr:uid="{00000000-0005-0000-0000-0000FB200000}"/>
    <cellStyle name="60% - 강조색1 35 6" xfId="10825" xr:uid="{00000000-0005-0000-0000-0000FC200000}"/>
    <cellStyle name="60% - 강조색1 35 7" xfId="10826" xr:uid="{00000000-0005-0000-0000-0000FD200000}"/>
    <cellStyle name="60% - 강조색1 35 8" xfId="10827" xr:uid="{00000000-0005-0000-0000-0000FE200000}"/>
    <cellStyle name="60% - 강조색1 35 9" xfId="10828" xr:uid="{00000000-0005-0000-0000-0000FF200000}"/>
    <cellStyle name="60% - 강조색1 36" xfId="1113" xr:uid="{00000000-0005-0000-0000-000000210000}"/>
    <cellStyle name="60% - 강조색1 36 10" xfId="10830" xr:uid="{00000000-0005-0000-0000-000001210000}"/>
    <cellStyle name="60% - 강조색1 36 11" xfId="10831" xr:uid="{00000000-0005-0000-0000-000002210000}"/>
    <cellStyle name="60% - 강조색1 36 12" xfId="10832" xr:uid="{00000000-0005-0000-0000-000003210000}"/>
    <cellStyle name="60% - 강조색1 36 13" xfId="10833" xr:uid="{00000000-0005-0000-0000-000004210000}"/>
    <cellStyle name="60% - 강조색1 36 14" xfId="10834" xr:uid="{00000000-0005-0000-0000-000005210000}"/>
    <cellStyle name="60% - 강조색1 36 15" xfId="10829" xr:uid="{00000000-0005-0000-0000-000006210000}"/>
    <cellStyle name="60% - 강조색1 36 2" xfId="1114" xr:uid="{00000000-0005-0000-0000-000007210000}"/>
    <cellStyle name="60% - 강조색1 36 2 2" xfId="10835" xr:uid="{00000000-0005-0000-0000-000008210000}"/>
    <cellStyle name="60% - 강조색1 36 3" xfId="10836" xr:uid="{00000000-0005-0000-0000-000009210000}"/>
    <cellStyle name="60% - 강조색1 36 4" xfId="10837" xr:uid="{00000000-0005-0000-0000-00000A210000}"/>
    <cellStyle name="60% - 강조색1 36 5" xfId="10838" xr:uid="{00000000-0005-0000-0000-00000B210000}"/>
    <cellStyle name="60% - 강조색1 36 6" xfId="10839" xr:uid="{00000000-0005-0000-0000-00000C210000}"/>
    <cellStyle name="60% - 강조색1 36 7" xfId="10840" xr:uid="{00000000-0005-0000-0000-00000D210000}"/>
    <cellStyle name="60% - 강조색1 36 8" xfId="10841" xr:uid="{00000000-0005-0000-0000-00000E210000}"/>
    <cellStyle name="60% - 강조색1 36 9" xfId="10842" xr:uid="{00000000-0005-0000-0000-00000F210000}"/>
    <cellStyle name="60% - 강조색1 37" xfId="1115" xr:uid="{00000000-0005-0000-0000-000010210000}"/>
    <cellStyle name="60% - 강조색1 37 10" xfId="10844" xr:uid="{00000000-0005-0000-0000-000011210000}"/>
    <cellStyle name="60% - 강조색1 37 11" xfId="10845" xr:uid="{00000000-0005-0000-0000-000012210000}"/>
    <cellStyle name="60% - 강조색1 37 12" xfId="10846" xr:uid="{00000000-0005-0000-0000-000013210000}"/>
    <cellStyle name="60% - 강조색1 37 13" xfId="10847" xr:uid="{00000000-0005-0000-0000-000014210000}"/>
    <cellStyle name="60% - 강조색1 37 14" xfId="10848" xr:uid="{00000000-0005-0000-0000-000015210000}"/>
    <cellStyle name="60% - 강조색1 37 15" xfId="10843" xr:uid="{00000000-0005-0000-0000-000016210000}"/>
    <cellStyle name="60% - 강조색1 37 2" xfId="1116" xr:uid="{00000000-0005-0000-0000-000017210000}"/>
    <cellStyle name="60% - 강조색1 37 2 2" xfId="10849" xr:uid="{00000000-0005-0000-0000-000018210000}"/>
    <cellStyle name="60% - 강조색1 37 3" xfId="10850" xr:uid="{00000000-0005-0000-0000-000019210000}"/>
    <cellStyle name="60% - 강조색1 37 4" xfId="10851" xr:uid="{00000000-0005-0000-0000-00001A210000}"/>
    <cellStyle name="60% - 강조색1 37 5" xfId="10852" xr:uid="{00000000-0005-0000-0000-00001B210000}"/>
    <cellStyle name="60% - 강조색1 37 6" xfId="10853" xr:uid="{00000000-0005-0000-0000-00001C210000}"/>
    <cellStyle name="60% - 강조색1 37 7" xfId="10854" xr:uid="{00000000-0005-0000-0000-00001D210000}"/>
    <cellStyle name="60% - 강조색1 37 8" xfId="10855" xr:uid="{00000000-0005-0000-0000-00001E210000}"/>
    <cellStyle name="60% - 강조색1 37 9" xfId="10856" xr:uid="{00000000-0005-0000-0000-00001F210000}"/>
    <cellStyle name="60% - 강조색1 38" xfId="1117" xr:uid="{00000000-0005-0000-0000-000020210000}"/>
    <cellStyle name="60% - 강조색1 38 10" xfId="10858" xr:uid="{00000000-0005-0000-0000-000021210000}"/>
    <cellStyle name="60% - 강조색1 38 11" xfId="10859" xr:uid="{00000000-0005-0000-0000-000022210000}"/>
    <cellStyle name="60% - 강조색1 38 12" xfId="10860" xr:uid="{00000000-0005-0000-0000-000023210000}"/>
    <cellStyle name="60% - 강조색1 38 13" xfId="10861" xr:uid="{00000000-0005-0000-0000-000024210000}"/>
    <cellStyle name="60% - 강조색1 38 14" xfId="10862" xr:uid="{00000000-0005-0000-0000-000025210000}"/>
    <cellStyle name="60% - 강조색1 38 15" xfId="10857" xr:uid="{00000000-0005-0000-0000-000026210000}"/>
    <cellStyle name="60% - 강조색1 38 2" xfId="1118" xr:uid="{00000000-0005-0000-0000-000027210000}"/>
    <cellStyle name="60% - 강조색1 38 2 2" xfId="10863" xr:uid="{00000000-0005-0000-0000-000028210000}"/>
    <cellStyle name="60% - 강조색1 38 3" xfId="10864" xr:uid="{00000000-0005-0000-0000-000029210000}"/>
    <cellStyle name="60% - 강조색1 38 4" xfId="10865" xr:uid="{00000000-0005-0000-0000-00002A210000}"/>
    <cellStyle name="60% - 강조색1 38 5" xfId="10866" xr:uid="{00000000-0005-0000-0000-00002B210000}"/>
    <cellStyle name="60% - 강조색1 38 6" xfId="10867" xr:uid="{00000000-0005-0000-0000-00002C210000}"/>
    <cellStyle name="60% - 강조색1 38 7" xfId="10868" xr:uid="{00000000-0005-0000-0000-00002D210000}"/>
    <cellStyle name="60% - 강조색1 38 8" xfId="10869" xr:uid="{00000000-0005-0000-0000-00002E210000}"/>
    <cellStyle name="60% - 강조색1 38 9" xfId="10870" xr:uid="{00000000-0005-0000-0000-00002F210000}"/>
    <cellStyle name="60% - 강조색1 39" xfId="1119" xr:uid="{00000000-0005-0000-0000-000030210000}"/>
    <cellStyle name="60% - 강조색1 39 10" xfId="10872" xr:uid="{00000000-0005-0000-0000-000031210000}"/>
    <cellStyle name="60% - 강조색1 39 11" xfId="10873" xr:uid="{00000000-0005-0000-0000-000032210000}"/>
    <cellStyle name="60% - 강조색1 39 12" xfId="10874" xr:uid="{00000000-0005-0000-0000-000033210000}"/>
    <cellStyle name="60% - 강조색1 39 13" xfId="10875" xr:uid="{00000000-0005-0000-0000-000034210000}"/>
    <cellStyle name="60% - 강조색1 39 14" xfId="10876" xr:uid="{00000000-0005-0000-0000-000035210000}"/>
    <cellStyle name="60% - 강조색1 39 15" xfId="10871" xr:uid="{00000000-0005-0000-0000-000036210000}"/>
    <cellStyle name="60% - 강조색1 39 2" xfId="1120" xr:uid="{00000000-0005-0000-0000-000037210000}"/>
    <cellStyle name="60% - 강조색1 39 2 2" xfId="10877" xr:uid="{00000000-0005-0000-0000-000038210000}"/>
    <cellStyle name="60% - 강조색1 39 3" xfId="10878" xr:uid="{00000000-0005-0000-0000-000039210000}"/>
    <cellStyle name="60% - 강조색1 39 4" xfId="10879" xr:uid="{00000000-0005-0000-0000-00003A210000}"/>
    <cellStyle name="60% - 강조색1 39 5" xfId="10880" xr:uid="{00000000-0005-0000-0000-00003B210000}"/>
    <cellStyle name="60% - 강조색1 39 6" xfId="10881" xr:uid="{00000000-0005-0000-0000-00003C210000}"/>
    <cellStyle name="60% - 강조색1 39 7" xfId="10882" xr:uid="{00000000-0005-0000-0000-00003D210000}"/>
    <cellStyle name="60% - 강조색1 39 8" xfId="10883" xr:uid="{00000000-0005-0000-0000-00003E210000}"/>
    <cellStyle name="60% - 강조색1 39 9" xfId="10884" xr:uid="{00000000-0005-0000-0000-00003F210000}"/>
    <cellStyle name="60% - 강조색1 4" xfId="1121" xr:uid="{00000000-0005-0000-0000-000040210000}"/>
    <cellStyle name="60% - 강조색1 4 10" xfId="10886" xr:uid="{00000000-0005-0000-0000-000041210000}"/>
    <cellStyle name="60% - 강조색1 4 11" xfId="10887" xr:uid="{00000000-0005-0000-0000-000042210000}"/>
    <cellStyle name="60% - 강조색1 4 12" xfId="10888" xr:uid="{00000000-0005-0000-0000-000043210000}"/>
    <cellStyle name="60% - 강조색1 4 13" xfId="10889" xr:uid="{00000000-0005-0000-0000-000044210000}"/>
    <cellStyle name="60% - 강조색1 4 14" xfId="10890" xr:uid="{00000000-0005-0000-0000-000045210000}"/>
    <cellStyle name="60% - 강조색1 4 15" xfId="10885" xr:uid="{00000000-0005-0000-0000-000046210000}"/>
    <cellStyle name="60% - 강조색1 4 16" xfId="27863" xr:uid="{00000000-0005-0000-0000-000047210000}"/>
    <cellStyle name="60% - 강조색1 4 2" xfId="1122" xr:uid="{00000000-0005-0000-0000-000048210000}"/>
    <cellStyle name="60% - 강조색1 4 2 2" xfId="10891" xr:uid="{00000000-0005-0000-0000-000049210000}"/>
    <cellStyle name="60% - 강조색1 4 3" xfId="10892" xr:uid="{00000000-0005-0000-0000-00004A210000}"/>
    <cellStyle name="60% - 강조색1 4 4" xfId="10893" xr:uid="{00000000-0005-0000-0000-00004B210000}"/>
    <cellStyle name="60% - 강조색1 4 5" xfId="10894" xr:uid="{00000000-0005-0000-0000-00004C210000}"/>
    <cellStyle name="60% - 강조색1 4 6" xfId="10895" xr:uid="{00000000-0005-0000-0000-00004D210000}"/>
    <cellStyle name="60% - 강조색1 4 7" xfId="10896" xr:uid="{00000000-0005-0000-0000-00004E210000}"/>
    <cellStyle name="60% - 강조색1 4 8" xfId="10897" xr:uid="{00000000-0005-0000-0000-00004F210000}"/>
    <cellStyle name="60% - 강조색1 4 9" xfId="10898" xr:uid="{00000000-0005-0000-0000-000050210000}"/>
    <cellStyle name="60% - 강조색1 40" xfId="1123" xr:uid="{00000000-0005-0000-0000-000051210000}"/>
    <cellStyle name="60% - 강조색1 40 10" xfId="10900" xr:uid="{00000000-0005-0000-0000-000052210000}"/>
    <cellStyle name="60% - 강조색1 40 11" xfId="10901" xr:uid="{00000000-0005-0000-0000-000053210000}"/>
    <cellStyle name="60% - 강조색1 40 12" xfId="10902" xr:uid="{00000000-0005-0000-0000-000054210000}"/>
    <cellStyle name="60% - 강조색1 40 13" xfId="10903" xr:uid="{00000000-0005-0000-0000-000055210000}"/>
    <cellStyle name="60% - 강조색1 40 14" xfId="10904" xr:uid="{00000000-0005-0000-0000-000056210000}"/>
    <cellStyle name="60% - 강조색1 40 15" xfId="10899" xr:uid="{00000000-0005-0000-0000-000057210000}"/>
    <cellStyle name="60% - 강조색1 40 2" xfId="1124" xr:uid="{00000000-0005-0000-0000-000058210000}"/>
    <cellStyle name="60% - 강조색1 40 2 2" xfId="10905" xr:uid="{00000000-0005-0000-0000-000059210000}"/>
    <cellStyle name="60% - 강조색1 40 3" xfId="10906" xr:uid="{00000000-0005-0000-0000-00005A210000}"/>
    <cellStyle name="60% - 강조색1 40 4" xfId="10907" xr:uid="{00000000-0005-0000-0000-00005B210000}"/>
    <cellStyle name="60% - 강조색1 40 5" xfId="10908" xr:uid="{00000000-0005-0000-0000-00005C210000}"/>
    <cellStyle name="60% - 강조색1 40 6" xfId="10909" xr:uid="{00000000-0005-0000-0000-00005D210000}"/>
    <cellStyle name="60% - 강조색1 40 7" xfId="10910" xr:uid="{00000000-0005-0000-0000-00005E210000}"/>
    <cellStyle name="60% - 강조색1 40 8" xfId="10911" xr:uid="{00000000-0005-0000-0000-00005F210000}"/>
    <cellStyle name="60% - 강조색1 40 9" xfId="10912" xr:uid="{00000000-0005-0000-0000-000060210000}"/>
    <cellStyle name="60% - 강조색1 41" xfId="1125" xr:uid="{00000000-0005-0000-0000-000061210000}"/>
    <cellStyle name="60% - 강조색1 41 10" xfId="10914" xr:uid="{00000000-0005-0000-0000-000062210000}"/>
    <cellStyle name="60% - 강조색1 41 11" xfId="10915" xr:uid="{00000000-0005-0000-0000-000063210000}"/>
    <cellStyle name="60% - 강조색1 41 12" xfId="10916" xr:uid="{00000000-0005-0000-0000-000064210000}"/>
    <cellStyle name="60% - 강조색1 41 13" xfId="10917" xr:uid="{00000000-0005-0000-0000-000065210000}"/>
    <cellStyle name="60% - 강조색1 41 14" xfId="10918" xr:uid="{00000000-0005-0000-0000-000066210000}"/>
    <cellStyle name="60% - 강조색1 41 15" xfId="10913" xr:uid="{00000000-0005-0000-0000-000067210000}"/>
    <cellStyle name="60% - 강조색1 41 2" xfId="1126" xr:uid="{00000000-0005-0000-0000-000068210000}"/>
    <cellStyle name="60% - 강조색1 41 2 2" xfId="10919" xr:uid="{00000000-0005-0000-0000-000069210000}"/>
    <cellStyle name="60% - 강조색1 41 3" xfId="10920" xr:uid="{00000000-0005-0000-0000-00006A210000}"/>
    <cellStyle name="60% - 강조색1 41 4" xfId="10921" xr:uid="{00000000-0005-0000-0000-00006B210000}"/>
    <cellStyle name="60% - 강조색1 41 5" xfId="10922" xr:uid="{00000000-0005-0000-0000-00006C210000}"/>
    <cellStyle name="60% - 강조색1 41 6" xfId="10923" xr:uid="{00000000-0005-0000-0000-00006D210000}"/>
    <cellStyle name="60% - 강조색1 41 7" xfId="10924" xr:uid="{00000000-0005-0000-0000-00006E210000}"/>
    <cellStyle name="60% - 강조색1 41 8" xfId="10925" xr:uid="{00000000-0005-0000-0000-00006F210000}"/>
    <cellStyle name="60% - 강조색1 41 9" xfId="10926" xr:uid="{00000000-0005-0000-0000-000070210000}"/>
    <cellStyle name="60% - 강조색1 42" xfId="1127" xr:uid="{00000000-0005-0000-0000-000071210000}"/>
    <cellStyle name="60% - 강조색1 42 10" xfId="10928" xr:uid="{00000000-0005-0000-0000-000072210000}"/>
    <cellStyle name="60% - 강조색1 42 11" xfId="10929" xr:uid="{00000000-0005-0000-0000-000073210000}"/>
    <cellStyle name="60% - 강조색1 42 12" xfId="10930" xr:uid="{00000000-0005-0000-0000-000074210000}"/>
    <cellStyle name="60% - 강조색1 42 13" xfId="10931" xr:uid="{00000000-0005-0000-0000-000075210000}"/>
    <cellStyle name="60% - 강조색1 42 14" xfId="10932" xr:uid="{00000000-0005-0000-0000-000076210000}"/>
    <cellStyle name="60% - 강조색1 42 15" xfId="10927" xr:uid="{00000000-0005-0000-0000-000077210000}"/>
    <cellStyle name="60% - 강조색1 42 2" xfId="1128" xr:uid="{00000000-0005-0000-0000-000078210000}"/>
    <cellStyle name="60% - 강조색1 42 2 2" xfId="10933" xr:uid="{00000000-0005-0000-0000-000079210000}"/>
    <cellStyle name="60% - 강조색1 42 3" xfId="10934" xr:uid="{00000000-0005-0000-0000-00007A210000}"/>
    <cellStyle name="60% - 강조색1 42 4" xfId="10935" xr:uid="{00000000-0005-0000-0000-00007B210000}"/>
    <cellStyle name="60% - 강조색1 42 5" xfId="10936" xr:uid="{00000000-0005-0000-0000-00007C210000}"/>
    <cellStyle name="60% - 강조색1 42 6" xfId="10937" xr:uid="{00000000-0005-0000-0000-00007D210000}"/>
    <cellStyle name="60% - 강조색1 42 7" xfId="10938" xr:uid="{00000000-0005-0000-0000-00007E210000}"/>
    <cellStyle name="60% - 강조색1 42 8" xfId="10939" xr:uid="{00000000-0005-0000-0000-00007F210000}"/>
    <cellStyle name="60% - 강조색1 42 9" xfId="10940" xr:uid="{00000000-0005-0000-0000-000080210000}"/>
    <cellStyle name="60% - 강조색1 43" xfId="1129" xr:uid="{00000000-0005-0000-0000-000081210000}"/>
    <cellStyle name="60% - 강조색1 43 10" xfId="10942" xr:uid="{00000000-0005-0000-0000-000082210000}"/>
    <cellStyle name="60% - 강조색1 43 11" xfId="10943" xr:uid="{00000000-0005-0000-0000-000083210000}"/>
    <cellStyle name="60% - 강조색1 43 12" xfId="10944" xr:uid="{00000000-0005-0000-0000-000084210000}"/>
    <cellStyle name="60% - 강조색1 43 13" xfId="10945" xr:uid="{00000000-0005-0000-0000-000085210000}"/>
    <cellStyle name="60% - 강조색1 43 14" xfId="10946" xr:uid="{00000000-0005-0000-0000-000086210000}"/>
    <cellStyle name="60% - 강조색1 43 15" xfId="10941" xr:uid="{00000000-0005-0000-0000-000087210000}"/>
    <cellStyle name="60% - 강조색1 43 2" xfId="1130" xr:uid="{00000000-0005-0000-0000-000088210000}"/>
    <cellStyle name="60% - 강조색1 43 2 2" xfId="10947" xr:uid="{00000000-0005-0000-0000-000089210000}"/>
    <cellStyle name="60% - 강조색1 43 3" xfId="10948" xr:uid="{00000000-0005-0000-0000-00008A210000}"/>
    <cellStyle name="60% - 강조색1 43 4" xfId="10949" xr:uid="{00000000-0005-0000-0000-00008B210000}"/>
    <cellStyle name="60% - 강조색1 43 5" xfId="10950" xr:uid="{00000000-0005-0000-0000-00008C210000}"/>
    <cellStyle name="60% - 강조색1 43 6" xfId="10951" xr:uid="{00000000-0005-0000-0000-00008D210000}"/>
    <cellStyle name="60% - 강조색1 43 7" xfId="10952" xr:uid="{00000000-0005-0000-0000-00008E210000}"/>
    <cellStyle name="60% - 강조색1 43 8" xfId="10953" xr:uid="{00000000-0005-0000-0000-00008F210000}"/>
    <cellStyle name="60% - 강조색1 43 9" xfId="10954" xr:uid="{00000000-0005-0000-0000-000090210000}"/>
    <cellStyle name="60% - 강조색1 44" xfId="1131" xr:uid="{00000000-0005-0000-0000-000091210000}"/>
    <cellStyle name="60% - 강조색1 44 2" xfId="10955" xr:uid="{00000000-0005-0000-0000-000092210000}"/>
    <cellStyle name="60% - 강조색1 45" xfId="1132" xr:uid="{00000000-0005-0000-0000-000093210000}"/>
    <cellStyle name="60% - 강조색1 45 2" xfId="10956" xr:uid="{00000000-0005-0000-0000-000094210000}"/>
    <cellStyle name="60% - 강조색1 46" xfId="1056" xr:uid="{00000000-0005-0000-0000-000095210000}"/>
    <cellStyle name="60% - 강조색1 47" xfId="10436" xr:uid="{00000000-0005-0000-0000-000096210000}"/>
    <cellStyle name="60% - 강조색1 48" xfId="27632" xr:uid="{00000000-0005-0000-0000-000097210000}"/>
    <cellStyle name="60% - 강조색1 5" xfId="1133" xr:uid="{00000000-0005-0000-0000-000098210000}"/>
    <cellStyle name="60% - 강조색1 5 10" xfId="10958" xr:uid="{00000000-0005-0000-0000-000099210000}"/>
    <cellStyle name="60% - 강조색1 5 11" xfId="10959" xr:uid="{00000000-0005-0000-0000-00009A210000}"/>
    <cellStyle name="60% - 강조색1 5 12" xfId="10960" xr:uid="{00000000-0005-0000-0000-00009B210000}"/>
    <cellStyle name="60% - 강조색1 5 13" xfId="10961" xr:uid="{00000000-0005-0000-0000-00009C210000}"/>
    <cellStyle name="60% - 강조색1 5 14" xfId="10962" xr:uid="{00000000-0005-0000-0000-00009D210000}"/>
    <cellStyle name="60% - 강조색1 5 15" xfId="10957" xr:uid="{00000000-0005-0000-0000-00009E210000}"/>
    <cellStyle name="60% - 강조색1 5 2" xfId="1134" xr:uid="{00000000-0005-0000-0000-00009F210000}"/>
    <cellStyle name="60% - 강조색1 5 2 2" xfId="10963" xr:uid="{00000000-0005-0000-0000-0000A0210000}"/>
    <cellStyle name="60% - 강조색1 5 3" xfId="10964" xr:uid="{00000000-0005-0000-0000-0000A1210000}"/>
    <cellStyle name="60% - 강조색1 5 4" xfId="10965" xr:uid="{00000000-0005-0000-0000-0000A2210000}"/>
    <cellStyle name="60% - 강조색1 5 5" xfId="10966" xr:uid="{00000000-0005-0000-0000-0000A3210000}"/>
    <cellStyle name="60% - 강조색1 5 6" xfId="10967" xr:uid="{00000000-0005-0000-0000-0000A4210000}"/>
    <cellStyle name="60% - 강조색1 5 7" xfId="10968" xr:uid="{00000000-0005-0000-0000-0000A5210000}"/>
    <cellStyle name="60% - 강조색1 5 8" xfId="10969" xr:uid="{00000000-0005-0000-0000-0000A6210000}"/>
    <cellStyle name="60% - 강조색1 5 9" xfId="10970" xr:uid="{00000000-0005-0000-0000-0000A7210000}"/>
    <cellStyle name="60% - 강조색1 6" xfId="1135" xr:uid="{00000000-0005-0000-0000-0000A8210000}"/>
    <cellStyle name="60% - 강조색1 6 10" xfId="10972" xr:uid="{00000000-0005-0000-0000-0000A9210000}"/>
    <cellStyle name="60% - 강조색1 6 11" xfId="10973" xr:uid="{00000000-0005-0000-0000-0000AA210000}"/>
    <cellStyle name="60% - 강조색1 6 12" xfId="10974" xr:uid="{00000000-0005-0000-0000-0000AB210000}"/>
    <cellStyle name="60% - 강조색1 6 13" xfId="10975" xr:uid="{00000000-0005-0000-0000-0000AC210000}"/>
    <cellStyle name="60% - 강조색1 6 14" xfId="10976" xr:uid="{00000000-0005-0000-0000-0000AD210000}"/>
    <cellStyle name="60% - 강조색1 6 15" xfId="10971" xr:uid="{00000000-0005-0000-0000-0000AE210000}"/>
    <cellStyle name="60% - 강조색1 6 2" xfId="1136" xr:uid="{00000000-0005-0000-0000-0000AF210000}"/>
    <cellStyle name="60% - 강조색1 6 2 2" xfId="10977" xr:uid="{00000000-0005-0000-0000-0000B0210000}"/>
    <cellStyle name="60% - 강조색1 6 3" xfId="10978" xr:uid="{00000000-0005-0000-0000-0000B1210000}"/>
    <cellStyle name="60% - 강조색1 6 4" xfId="10979" xr:uid="{00000000-0005-0000-0000-0000B2210000}"/>
    <cellStyle name="60% - 강조색1 6 5" xfId="10980" xr:uid="{00000000-0005-0000-0000-0000B3210000}"/>
    <cellStyle name="60% - 강조색1 6 6" xfId="10981" xr:uid="{00000000-0005-0000-0000-0000B4210000}"/>
    <cellStyle name="60% - 강조색1 6 7" xfId="10982" xr:uid="{00000000-0005-0000-0000-0000B5210000}"/>
    <cellStyle name="60% - 강조색1 6 8" xfId="10983" xr:uid="{00000000-0005-0000-0000-0000B6210000}"/>
    <cellStyle name="60% - 강조색1 6 9" xfId="10984" xr:uid="{00000000-0005-0000-0000-0000B7210000}"/>
    <cellStyle name="60% - 강조색1 7" xfId="1137" xr:uid="{00000000-0005-0000-0000-0000B8210000}"/>
    <cellStyle name="60% - 강조색1 7 10" xfId="10986" xr:uid="{00000000-0005-0000-0000-0000B9210000}"/>
    <cellStyle name="60% - 강조색1 7 11" xfId="10987" xr:uid="{00000000-0005-0000-0000-0000BA210000}"/>
    <cellStyle name="60% - 강조색1 7 12" xfId="10988" xr:uid="{00000000-0005-0000-0000-0000BB210000}"/>
    <cellStyle name="60% - 강조색1 7 13" xfId="10989" xr:uid="{00000000-0005-0000-0000-0000BC210000}"/>
    <cellStyle name="60% - 강조색1 7 14" xfId="10990" xr:uid="{00000000-0005-0000-0000-0000BD210000}"/>
    <cellStyle name="60% - 강조색1 7 15" xfId="10985" xr:uid="{00000000-0005-0000-0000-0000BE210000}"/>
    <cellStyle name="60% - 강조색1 7 2" xfId="1138" xr:uid="{00000000-0005-0000-0000-0000BF210000}"/>
    <cellStyle name="60% - 강조색1 7 2 2" xfId="10991" xr:uid="{00000000-0005-0000-0000-0000C0210000}"/>
    <cellStyle name="60% - 강조색1 7 3" xfId="10992" xr:uid="{00000000-0005-0000-0000-0000C1210000}"/>
    <cellStyle name="60% - 강조색1 7 4" xfId="10993" xr:uid="{00000000-0005-0000-0000-0000C2210000}"/>
    <cellStyle name="60% - 강조색1 7 5" xfId="10994" xr:uid="{00000000-0005-0000-0000-0000C3210000}"/>
    <cellStyle name="60% - 강조색1 7 6" xfId="10995" xr:uid="{00000000-0005-0000-0000-0000C4210000}"/>
    <cellStyle name="60% - 강조색1 7 7" xfId="10996" xr:uid="{00000000-0005-0000-0000-0000C5210000}"/>
    <cellStyle name="60% - 강조색1 7 8" xfId="10997" xr:uid="{00000000-0005-0000-0000-0000C6210000}"/>
    <cellStyle name="60% - 강조색1 7 9" xfId="10998" xr:uid="{00000000-0005-0000-0000-0000C7210000}"/>
    <cellStyle name="60% - 강조색1 8" xfId="1139" xr:uid="{00000000-0005-0000-0000-0000C8210000}"/>
    <cellStyle name="60% - 강조색1 8 10" xfId="11000" xr:uid="{00000000-0005-0000-0000-0000C9210000}"/>
    <cellStyle name="60% - 강조색1 8 11" xfId="11001" xr:uid="{00000000-0005-0000-0000-0000CA210000}"/>
    <cellStyle name="60% - 강조색1 8 12" xfId="11002" xr:uid="{00000000-0005-0000-0000-0000CB210000}"/>
    <cellStyle name="60% - 강조색1 8 13" xfId="11003" xr:uid="{00000000-0005-0000-0000-0000CC210000}"/>
    <cellStyle name="60% - 강조색1 8 14" xfId="11004" xr:uid="{00000000-0005-0000-0000-0000CD210000}"/>
    <cellStyle name="60% - 강조색1 8 15" xfId="10999" xr:uid="{00000000-0005-0000-0000-0000CE210000}"/>
    <cellStyle name="60% - 강조색1 8 2" xfId="1140" xr:uid="{00000000-0005-0000-0000-0000CF210000}"/>
    <cellStyle name="60% - 강조색1 8 2 2" xfId="11005" xr:uid="{00000000-0005-0000-0000-0000D0210000}"/>
    <cellStyle name="60% - 강조색1 8 3" xfId="11006" xr:uid="{00000000-0005-0000-0000-0000D1210000}"/>
    <cellStyle name="60% - 강조색1 8 4" xfId="11007" xr:uid="{00000000-0005-0000-0000-0000D2210000}"/>
    <cellStyle name="60% - 강조색1 8 5" xfId="11008" xr:uid="{00000000-0005-0000-0000-0000D3210000}"/>
    <cellStyle name="60% - 강조색1 8 6" xfId="11009" xr:uid="{00000000-0005-0000-0000-0000D4210000}"/>
    <cellStyle name="60% - 강조색1 8 7" xfId="11010" xr:uid="{00000000-0005-0000-0000-0000D5210000}"/>
    <cellStyle name="60% - 강조색1 8 8" xfId="11011" xr:uid="{00000000-0005-0000-0000-0000D6210000}"/>
    <cellStyle name="60% - 강조색1 8 9" xfId="11012" xr:uid="{00000000-0005-0000-0000-0000D7210000}"/>
    <cellStyle name="60% - 강조색1 9" xfId="1141" xr:uid="{00000000-0005-0000-0000-0000D8210000}"/>
    <cellStyle name="60% - 강조색1 9 10" xfId="11014" xr:uid="{00000000-0005-0000-0000-0000D9210000}"/>
    <cellStyle name="60% - 강조색1 9 11" xfId="11015" xr:uid="{00000000-0005-0000-0000-0000DA210000}"/>
    <cellStyle name="60% - 강조색1 9 12" xfId="11016" xr:uid="{00000000-0005-0000-0000-0000DB210000}"/>
    <cellStyle name="60% - 강조색1 9 13" xfId="11017" xr:uid="{00000000-0005-0000-0000-0000DC210000}"/>
    <cellStyle name="60% - 강조색1 9 14" xfId="11018" xr:uid="{00000000-0005-0000-0000-0000DD210000}"/>
    <cellStyle name="60% - 강조색1 9 15" xfId="11013" xr:uid="{00000000-0005-0000-0000-0000DE210000}"/>
    <cellStyle name="60% - 강조색1 9 2" xfId="1142" xr:uid="{00000000-0005-0000-0000-0000DF210000}"/>
    <cellStyle name="60% - 강조색1 9 2 2" xfId="11019" xr:uid="{00000000-0005-0000-0000-0000E0210000}"/>
    <cellStyle name="60% - 강조색1 9 3" xfId="11020" xr:uid="{00000000-0005-0000-0000-0000E1210000}"/>
    <cellStyle name="60% - 강조색1 9 4" xfId="11021" xr:uid="{00000000-0005-0000-0000-0000E2210000}"/>
    <cellStyle name="60% - 강조색1 9 5" xfId="11022" xr:uid="{00000000-0005-0000-0000-0000E3210000}"/>
    <cellStyle name="60% - 강조색1 9 6" xfId="11023" xr:uid="{00000000-0005-0000-0000-0000E4210000}"/>
    <cellStyle name="60% - 강조색1 9 7" xfId="11024" xr:uid="{00000000-0005-0000-0000-0000E5210000}"/>
    <cellStyle name="60% - 강조색1 9 8" xfId="11025" xr:uid="{00000000-0005-0000-0000-0000E6210000}"/>
    <cellStyle name="60% - 강조색1 9 9" xfId="11026" xr:uid="{00000000-0005-0000-0000-0000E7210000}"/>
    <cellStyle name="60% - 강조색2 10" xfId="1144" xr:uid="{00000000-0005-0000-0000-0000E8210000}"/>
    <cellStyle name="60% - 강조색2 10 10" xfId="11029" xr:uid="{00000000-0005-0000-0000-0000E9210000}"/>
    <cellStyle name="60% - 강조색2 10 11" xfId="11030" xr:uid="{00000000-0005-0000-0000-0000EA210000}"/>
    <cellStyle name="60% - 강조색2 10 12" xfId="11031" xr:uid="{00000000-0005-0000-0000-0000EB210000}"/>
    <cellStyle name="60% - 강조색2 10 13" xfId="11032" xr:uid="{00000000-0005-0000-0000-0000EC210000}"/>
    <cellStyle name="60% - 강조색2 10 14" xfId="11033" xr:uid="{00000000-0005-0000-0000-0000ED210000}"/>
    <cellStyle name="60% - 강조색2 10 15" xfId="11028" xr:uid="{00000000-0005-0000-0000-0000EE210000}"/>
    <cellStyle name="60% - 강조색2 10 2" xfId="1145" xr:uid="{00000000-0005-0000-0000-0000EF210000}"/>
    <cellStyle name="60% - 강조색2 10 2 2" xfId="11034" xr:uid="{00000000-0005-0000-0000-0000F0210000}"/>
    <cellStyle name="60% - 강조색2 10 3" xfId="11035" xr:uid="{00000000-0005-0000-0000-0000F1210000}"/>
    <cellStyle name="60% - 강조색2 10 4" xfId="11036" xr:uid="{00000000-0005-0000-0000-0000F2210000}"/>
    <cellStyle name="60% - 강조색2 10 5" xfId="11037" xr:uid="{00000000-0005-0000-0000-0000F3210000}"/>
    <cellStyle name="60% - 강조색2 10 6" xfId="11038" xr:uid="{00000000-0005-0000-0000-0000F4210000}"/>
    <cellStyle name="60% - 강조색2 10 7" xfId="11039" xr:uid="{00000000-0005-0000-0000-0000F5210000}"/>
    <cellStyle name="60% - 강조색2 10 8" xfId="11040" xr:uid="{00000000-0005-0000-0000-0000F6210000}"/>
    <cellStyle name="60% - 강조색2 10 9" xfId="11041" xr:uid="{00000000-0005-0000-0000-0000F7210000}"/>
    <cellStyle name="60% - 강조색2 11" xfId="1146" xr:uid="{00000000-0005-0000-0000-0000F8210000}"/>
    <cellStyle name="60% - 강조색2 11 10" xfId="11043" xr:uid="{00000000-0005-0000-0000-0000F9210000}"/>
    <cellStyle name="60% - 강조색2 11 11" xfId="11044" xr:uid="{00000000-0005-0000-0000-0000FA210000}"/>
    <cellStyle name="60% - 강조색2 11 12" xfId="11045" xr:uid="{00000000-0005-0000-0000-0000FB210000}"/>
    <cellStyle name="60% - 강조색2 11 13" xfId="11046" xr:uid="{00000000-0005-0000-0000-0000FC210000}"/>
    <cellStyle name="60% - 강조색2 11 14" xfId="11047" xr:uid="{00000000-0005-0000-0000-0000FD210000}"/>
    <cellStyle name="60% - 강조색2 11 15" xfId="11042" xr:uid="{00000000-0005-0000-0000-0000FE210000}"/>
    <cellStyle name="60% - 강조색2 11 2" xfId="1147" xr:uid="{00000000-0005-0000-0000-0000FF210000}"/>
    <cellStyle name="60% - 강조색2 11 2 2" xfId="11048" xr:uid="{00000000-0005-0000-0000-000000220000}"/>
    <cellStyle name="60% - 강조색2 11 3" xfId="11049" xr:uid="{00000000-0005-0000-0000-000001220000}"/>
    <cellStyle name="60% - 강조색2 11 4" xfId="11050" xr:uid="{00000000-0005-0000-0000-000002220000}"/>
    <cellStyle name="60% - 강조색2 11 5" xfId="11051" xr:uid="{00000000-0005-0000-0000-000003220000}"/>
    <cellStyle name="60% - 강조색2 11 6" xfId="11052" xr:uid="{00000000-0005-0000-0000-000004220000}"/>
    <cellStyle name="60% - 강조색2 11 7" xfId="11053" xr:uid="{00000000-0005-0000-0000-000005220000}"/>
    <cellStyle name="60% - 강조색2 11 8" xfId="11054" xr:uid="{00000000-0005-0000-0000-000006220000}"/>
    <cellStyle name="60% - 강조색2 11 9" xfId="11055" xr:uid="{00000000-0005-0000-0000-000007220000}"/>
    <cellStyle name="60% - 강조색2 12" xfId="1148" xr:uid="{00000000-0005-0000-0000-000008220000}"/>
    <cellStyle name="60% - 강조색2 12 10" xfId="11057" xr:uid="{00000000-0005-0000-0000-000009220000}"/>
    <cellStyle name="60% - 강조색2 12 11" xfId="11058" xr:uid="{00000000-0005-0000-0000-00000A220000}"/>
    <cellStyle name="60% - 강조색2 12 12" xfId="11059" xr:uid="{00000000-0005-0000-0000-00000B220000}"/>
    <cellStyle name="60% - 강조색2 12 13" xfId="11060" xr:uid="{00000000-0005-0000-0000-00000C220000}"/>
    <cellStyle name="60% - 강조색2 12 14" xfId="11061" xr:uid="{00000000-0005-0000-0000-00000D220000}"/>
    <cellStyle name="60% - 강조색2 12 15" xfId="11056" xr:uid="{00000000-0005-0000-0000-00000E220000}"/>
    <cellStyle name="60% - 강조색2 12 2" xfId="1149" xr:uid="{00000000-0005-0000-0000-00000F220000}"/>
    <cellStyle name="60% - 강조색2 12 2 2" xfId="11062" xr:uid="{00000000-0005-0000-0000-000010220000}"/>
    <cellStyle name="60% - 강조색2 12 3" xfId="11063" xr:uid="{00000000-0005-0000-0000-000011220000}"/>
    <cellStyle name="60% - 강조색2 12 4" xfId="11064" xr:uid="{00000000-0005-0000-0000-000012220000}"/>
    <cellStyle name="60% - 강조색2 12 5" xfId="11065" xr:uid="{00000000-0005-0000-0000-000013220000}"/>
    <cellStyle name="60% - 강조색2 12 6" xfId="11066" xr:uid="{00000000-0005-0000-0000-000014220000}"/>
    <cellStyle name="60% - 강조색2 12 7" xfId="11067" xr:uid="{00000000-0005-0000-0000-000015220000}"/>
    <cellStyle name="60% - 강조색2 12 8" xfId="11068" xr:uid="{00000000-0005-0000-0000-000016220000}"/>
    <cellStyle name="60% - 강조색2 12 9" xfId="11069" xr:uid="{00000000-0005-0000-0000-000017220000}"/>
    <cellStyle name="60% - 강조색2 13" xfId="1150" xr:uid="{00000000-0005-0000-0000-000018220000}"/>
    <cellStyle name="60% - 강조색2 13 10" xfId="11071" xr:uid="{00000000-0005-0000-0000-000019220000}"/>
    <cellStyle name="60% - 강조색2 13 11" xfId="11072" xr:uid="{00000000-0005-0000-0000-00001A220000}"/>
    <cellStyle name="60% - 강조색2 13 12" xfId="11073" xr:uid="{00000000-0005-0000-0000-00001B220000}"/>
    <cellStyle name="60% - 강조색2 13 13" xfId="11074" xr:uid="{00000000-0005-0000-0000-00001C220000}"/>
    <cellStyle name="60% - 강조색2 13 14" xfId="11075" xr:uid="{00000000-0005-0000-0000-00001D220000}"/>
    <cellStyle name="60% - 강조색2 13 15" xfId="11070" xr:uid="{00000000-0005-0000-0000-00001E220000}"/>
    <cellStyle name="60% - 강조색2 13 2" xfId="1151" xr:uid="{00000000-0005-0000-0000-00001F220000}"/>
    <cellStyle name="60% - 강조색2 13 2 2" xfId="11076" xr:uid="{00000000-0005-0000-0000-000020220000}"/>
    <cellStyle name="60% - 강조색2 13 3" xfId="11077" xr:uid="{00000000-0005-0000-0000-000021220000}"/>
    <cellStyle name="60% - 강조색2 13 4" xfId="11078" xr:uid="{00000000-0005-0000-0000-000022220000}"/>
    <cellStyle name="60% - 강조색2 13 5" xfId="11079" xr:uid="{00000000-0005-0000-0000-000023220000}"/>
    <cellStyle name="60% - 강조색2 13 6" xfId="11080" xr:uid="{00000000-0005-0000-0000-000024220000}"/>
    <cellStyle name="60% - 강조색2 13 7" xfId="11081" xr:uid="{00000000-0005-0000-0000-000025220000}"/>
    <cellStyle name="60% - 강조색2 13 8" xfId="11082" xr:uid="{00000000-0005-0000-0000-000026220000}"/>
    <cellStyle name="60% - 강조색2 13 9" xfId="11083" xr:uid="{00000000-0005-0000-0000-000027220000}"/>
    <cellStyle name="60% - 강조색2 14" xfId="1152" xr:uid="{00000000-0005-0000-0000-000028220000}"/>
    <cellStyle name="60% - 강조색2 14 10" xfId="11085" xr:uid="{00000000-0005-0000-0000-000029220000}"/>
    <cellStyle name="60% - 강조색2 14 11" xfId="11086" xr:uid="{00000000-0005-0000-0000-00002A220000}"/>
    <cellStyle name="60% - 강조색2 14 12" xfId="11087" xr:uid="{00000000-0005-0000-0000-00002B220000}"/>
    <cellStyle name="60% - 강조색2 14 13" xfId="11088" xr:uid="{00000000-0005-0000-0000-00002C220000}"/>
    <cellStyle name="60% - 강조색2 14 14" xfId="11089" xr:uid="{00000000-0005-0000-0000-00002D220000}"/>
    <cellStyle name="60% - 강조색2 14 15" xfId="11084" xr:uid="{00000000-0005-0000-0000-00002E220000}"/>
    <cellStyle name="60% - 강조색2 14 2" xfId="1153" xr:uid="{00000000-0005-0000-0000-00002F220000}"/>
    <cellStyle name="60% - 강조색2 14 2 2" xfId="11090" xr:uid="{00000000-0005-0000-0000-000030220000}"/>
    <cellStyle name="60% - 강조색2 14 3" xfId="11091" xr:uid="{00000000-0005-0000-0000-000031220000}"/>
    <cellStyle name="60% - 강조색2 14 4" xfId="11092" xr:uid="{00000000-0005-0000-0000-000032220000}"/>
    <cellStyle name="60% - 강조색2 14 5" xfId="11093" xr:uid="{00000000-0005-0000-0000-000033220000}"/>
    <cellStyle name="60% - 강조색2 14 6" xfId="11094" xr:uid="{00000000-0005-0000-0000-000034220000}"/>
    <cellStyle name="60% - 강조색2 14 7" xfId="11095" xr:uid="{00000000-0005-0000-0000-000035220000}"/>
    <cellStyle name="60% - 강조색2 14 8" xfId="11096" xr:uid="{00000000-0005-0000-0000-000036220000}"/>
    <cellStyle name="60% - 강조색2 14 9" xfId="11097" xr:uid="{00000000-0005-0000-0000-000037220000}"/>
    <cellStyle name="60% - 강조색2 15" xfId="1154" xr:uid="{00000000-0005-0000-0000-000038220000}"/>
    <cellStyle name="60% - 강조색2 15 10" xfId="11099" xr:uid="{00000000-0005-0000-0000-000039220000}"/>
    <cellStyle name="60% - 강조색2 15 11" xfId="11100" xr:uid="{00000000-0005-0000-0000-00003A220000}"/>
    <cellStyle name="60% - 강조색2 15 12" xfId="11101" xr:uid="{00000000-0005-0000-0000-00003B220000}"/>
    <cellStyle name="60% - 강조색2 15 13" xfId="11102" xr:uid="{00000000-0005-0000-0000-00003C220000}"/>
    <cellStyle name="60% - 강조색2 15 14" xfId="11103" xr:uid="{00000000-0005-0000-0000-00003D220000}"/>
    <cellStyle name="60% - 강조색2 15 15" xfId="11098" xr:uid="{00000000-0005-0000-0000-00003E220000}"/>
    <cellStyle name="60% - 강조색2 15 2" xfId="1155" xr:uid="{00000000-0005-0000-0000-00003F220000}"/>
    <cellStyle name="60% - 강조색2 15 2 2" xfId="11104" xr:uid="{00000000-0005-0000-0000-000040220000}"/>
    <cellStyle name="60% - 강조색2 15 3" xfId="11105" xr:uid="{00000000-0005-0000-0000-000041220000}"/>
    <cellStyle name="60% - 강조색2 15 4" xfId="11106" xr:uid="{00000000-0005-0000-0000-000042220000}"/>
    <cellStyle name="60% - 강조색2 15 5" xfId="11107" xr:uid="{00000000-0005-0000-0000-000043220000}"/>
    <cellStyle name="60% - 강조색2 15 6" xfId="11108" xr:uid="{00000000-0005-0000-0000-000044220000}"/>
    <cellStyle name="60% - 강조색2 15 7" xfId="11109" xr:uid="{00000000-0005-0000-0000-000045220000}"/>
    <cellStyle name="60% - 강조색2 15 8" xfId="11110" xr:uid="{00000000-0005-0000-0000-000046220000}"/>
    <cellStyle name="60% - 강조색2 15 9" xfId="11111" xr:uid="{00000000-0005-0000-0000-000047220000}"/>
    <cellStyle name="60% - 강조색2 16" xfId="1156" xr:uid="{00000000-0005-0000-0000-000048220000}"/>
    <cellStyle name="60% - 강조색2 16 10" xfId="11113" xr:uid="{00000000-0005-0000-0000-000049220000}"/>
    <cellStyle name="60% - 강조색2 16 11" xfId="11114" xr:uid="{00000000-0005-0000-0000-00004A220000}"/>
    <cellStyle name="60% - 강조색2 16 12" xfId="11115" xr:uid="{00000000-0005-0000-0000-00004B220000}"/>
    <cellStyle name="60% - 강조색2 16 13" xfId="11116" xr:uid="{00000000-0005-0000-0000-00004C220000}"/>
    <cellStyle name="60% - 강조색2 16 14" xfId="11117" xr:uid="{00000000-0005-0000-0000-00004D220000}"/>
    <cellStyle name="60% - 강조색2 16 15" xfId="11112" xr:uid="{00000000-0005-0000-0000-00004E220000}"/>
    <cellStyle name="60% - 강조색2 16 2" xfId="1157" xr:uid="{00000000-0005-0000-0000-00004F220000}"/>
    <cellStyle name="60% - 강조색2 16 2 2" xfId="11118" xr:uid="{00000000-0005-0000-0000-000050220000}"/>
    <cellStyle name="60% - 강조색2 16 3" xfId="11119" xr:uid="{00000000-0005-0000-0000-000051220000}"/>
    <cellStyle name="60% - 강조색2 16 4" xfId="11120" xr:uid="{00000000-0005-0000-0000-000052220000}"/>
    <cellStyle name="60% - 강조색2 16 5" xfId="11121" xr:uid="{00000000-0005-0000-0000-000053220000}"/>
    <cellStyle name="60% - 강조색2 16 6" xfId="11122" xr:uid="{00000000-0005-0000-0000-000054220000}"/>
    <cellStyle name="60% - 강조색2 16 7" xfId="11123" xr:uid="{00000000-0005-0000-0000-000055220000}"/>
    <cellStyle name="60% - 강조색2 16 8" xfId="11124" xr:uid="{00000000-0005-0000-0000-000056220000}"/>
    <cellStyle name="60% - 강조색2 16 9" xfId="11125" xr:uid="{00000000-0005-0000-0000-000057220000}"/>
    <cellStyle name="60% - 강조색2 17" xfId="1158" xr:uid="{00000000-0005-0000-0000-000058220000}"/>
    <cellStyle name="60% - 강조색2 17 10" xfId="11127" xr:uid="{00000000-0005-0000-0000-000059220000}"/>
    <cellStyle name="60% - 강조색2 17 11" xfId="11128" xr:uid="{00000000-0005-0000-0000-00005A220000}"/>
    <cellStyle name="60% - 강조색2 17 12" xfId="11129" xr:uid="{00000000-0005-0000-0000-00005B220000}"/>
    <cellStyle name="60% - 강조색2 17 13" xfId="11130" xr:uid="{00000000-0005-0000-0000-00005C220000}"/>
    <cellStyle name="60% - 강조색2 17 14" xfId="11131" xr:uid="{00000000-0005-0000-0000-00005D220000}"/>
    <cellStyle name="60% - 강조색2 17 15" xfId="11126" xr:uid="{00000000-0005-0000-0000-00005E220000}"/>
    <cellStyle name="60% - 강조색2 17 2" xfId="1159" xr:uid="{00000000-0005-0000-0000-00005F220000}"/>
    <cellStyle name="60% - 강조색2 17 2 2" xfId="11132" xr:uid="{00000000-0005-0000-0000-000060220000}"/>
    <cellStyle name="60% - 강조색2 17 3" xfId="11133" xr:uid="{00000000-0005-0000-0000-000061220000}"/>
    <cellStyle name="60% - 강조색2 17 4" xfId="11134" xr:uid="{00000000-0005-0000-0000-000062220000}"/>
    <cellStyle name="60% - 강조색2 17 5" xfId="11135" xr:uid="{00000000-0005-0000-0000-000063220000}"/>
    <cellStyle name="60% - 강조색2 17 6" xfId="11136" xr:uid="{00000000-0005-0000-0000-000064220000}"/>
    <cellStyle name="60% - 강조색2 17 7" xfId="11137" xr:uid="{00000000-0005-0000-0000-000065220000}"/>
    <cellStyle name="60% - 강조색2 17 8" xfId="11138" xr:uid="{00000000-0005-0000-0000-000066220000}"/>
    <cellStyle name="60% - 강조색2 17 9" xfId="11139" xr:uid="{00000000-0005-0000-0000-000067220000}"/>
    <cellStyle name="60% - 강조색2 18" xfId="1160" xr:uid="{00000000-0005-0000-0000-000068220000}"/>
    <cellStyle name="60% - 강조색2 18 10" xfId="11141" xr:uid="{00000000-0005-0000-0000-000069220000}"/>
    <cellStyle name="60% - 강조색2 18 11" xfId="11142" xr:uid="{00000000-0005-0000-0000-00006A220000}"/>
    <cellStyle name="60% - 강조색2 18 12" xfId="11143" xr:uid="{00000000-0005-0000-0000-00006B220000}"/>
    <cellStyle name="60% - 강조색2 18 13" xfId="11144" xr:uid="{00000000-0005-0000-0000-00006C220000}"/>
    <cellStyle name="60% - 강조색2 18 14" xfId="11145" xr:uid="{00000000-0005-0000-0000-00006D220000}"/>
    <cellStyle name="60% - 강조색2 18 15" xfId="11140" xr:uid="{00000000-0005-0000-0000-00006E220000}"/>
    <cellStyle name="60% - 강조색2 18 2" xfId="1161" xr:uid="{00000000-0005-0000-0000-00006F220000}"/>
    <cellStyle name="60% - 강조색2 18 2 2" xfId="11146" xr:uid="{00000000-0005-0000-0000-000070220000}"/>
    <cellStyle name="60% - 강조색2 18 3" xfId="11147" xr:uid="{00000000-0005-0000-0000-000071220000}"/>
    <cellStyle name="60% - 강조색2 18 4" xfId="11148" xr:uid="{00000000-0005-0000-0000-000072220000}"/>
    <cellStyle name="60% - 강조색2 18 5" xfId="11149" xr:uid="{00000000-0005-0000-0000-000073220000}"/>
    <cellStyle name="60% - 강조색2 18 6" xfId="11150" xr:uid="{00000000-0005-0000-0000-000074220000}"/>
    <cellStyle name="60% - 강조색2 18 7" xfId="11151" xr:uid="{00000000-0005-0000-0000-000075220000}"/>
    <cellStyle name="60% - 강조색2 18 8" xfId="11152" xr:uid="{00000000-0005-0000-0000-000076220000}"/>
    <cellStyle name="60% - 강조색2 18 9" xfId="11153" xr:uid="{00000000-0005-0000-0000-000077220000}"/>
    <cellStyle name="60% - 강조색2 19" xfId="1162" xr:uid="{00000000-0005-0000-0000-000078220000}"/>
    <cellStyle name="60% - 강조색2 19 10" xfId="11155" xr:uid="{00000000-0005-0000-0000-000079220000}"/>
    <cellStyle name="60% - 강조색2 19 11" xfId="11156" xr:uid="{00000000-0005-0000-0000-00007A220000}"/>
    <cellStyle name="60% - 강조색2 19 12" xfId="11157" xr:uid="{00000000-0005-0000-0000-00007B220000}"/>
    <cellStyle name="60% - 강조색2 19 13" xfId="11158" xr:uid="{00000000-0005-0000-0000-00007C220000}"/>
    <cellStyle name="60% - 강조색2 19 14" xfId="11159" xr:uid="{00000000-0005-0000-0000-00007D220000}"/>
    <cellStyle name="60% - 강조색2 19 15" xfId="11154" xr:uid="{00000000-0005-0000-0000-00007E220000}"/>
    <cellStyle name="60% - 강조색2 19 2" xfId="1163" xr:uid="{00000000-0005-0000-0000-00007F220000}"/>
    <cellStyle name="60% - 강조색2 19 2 2" xfId="11160" xr:uid="{00000000-0005-0000-0000-000080220000}"/>
    <cellStyle name="60% - 강조색2 19 3" xfId="11161" xr:uid="{00000000-0005-0000-0000-000081220000}"/>
    <cellStyle name="60% - 강조색2 19 4" xfId="11162" xr:uid="{00000000-0005-0000-0000-000082220000}"/>
    <cellStyle name="60% - 강조색2 19 5" xfId="11163" xr:uid="{00000000-0005-0000-0000-000083220000}"/>
    <cellStyle name="60% - 강조색2 19 6" xfId="11164" xr:uid="{00000000-0005-0000-0000-000084220000}"/>
    <cellStyle name="60% - 강조색2 19 7" xfId="11165" xr:uid="{00000000-0005-0000-0000-000085220000}"/>
    <cellStyle name="60% - 강조색2 19 8" xfId="11166" xr:uid="{00000000-0005-0000-0000-000086220000}"/>
    <cellStyle name="60% - 강조색2 19 9" xfId="11167" xr:uid="{00000000-0005-0000-0000-000087220000}"/>
    <cellStyle name="60% - 강조색2 2" xfId="1164" xr:uid="{00000000-0005-0000-0000-000088220000}"/>
    <cellStyle name="60% - 강조색2 2 10" xfId="11169" xr:uid="{00000000-0005-0000-0000-000089220000}"/>
    <cellStyle name="60% - 강조색2 2 11" xfId="11170" xr:uid="{00000000-0005-0000-0000-00008A220000}"/>
    <cellStyle name="60% - 강조색2 2 12" xfId="11171" xr:uid="{00000000-0005-0000-0000-00008B220000}"/>
    <cellStyle name="60% - 강조색2 2 13" xfId="11172" xr:uid="{00000000-0005-0000-0000-00008C220000}"/>
    <cellStyle name="60% - 강조색2 2 14" xfId="11173" xr:uid="{00000000-0005-0000-0000-00008D220000}"/>
    <cellStyle name="60% - 강조색2 2 15" xfId="11168" xr:uid="{00000000-0005-0000-0000-00008E220000}"/>
    <cellStyle name="60% - 강조색2 2 16" xfId="27946" xr:uid="{00000000-0005-0000-0000-00008F220000}"/>
    <cellStyle name="60% - 강조색2 2 2" xfId="1165" xr:uid="{00000000-0005-0000-0000-000090220000}"/>
    <cellStyle name="60% - 강조색2 2 2 2" xfId="11174" xr:uid="{00000000-0005-0000-0000-000091220000}"/>
    <cellStyle name="60% - 강조색2 2 3" xfId="11175" xr:uid="{00000000-0005-0000-0000-000092220000}"/>
    <cellStyle name="60% - 강조색2 2 4" xfId="11176" xr:uid="{00000000-0005-0000-0000-000093220000}"/>
    <cellStyle name="60% - 강조색2 2 5" xfId="11177" xr:uid="{00000000-0005-0000-0000-000094220000}"/>
    <cellStyle name="60% - 강조색2 2 6" xfId="11178" xr:uid="{00000000-0005-0000-0000-000095220000}"/>
    <cellStyle name="60% - 강조색2 2 7" xfId="11179" xr:uid="{00000000-0005-0000-0000-000096220000}"/>
    <cellStyle name="60% - 강조색2 2 8" xfId="11180" xr:uid="{00000000-0005-0000-0000-000097220000}"/>
    <cellStyle name="60% - 강조색2 2 9" xfId="11181" xr:uid="{00000000-0005-0000-0000-000098220000}"/>
    <cellStyle name="60% - 강조색2 20" xfId="1166" xr:uid="{00000000-0005-0000-0000-000099220000}"/>
    <cellStyle name="60% - 강조색2 20 10" xfId="11183" xr:uid="{00000000-0005-0000-0000-00009A220000}"/>
    <cellStyle name="60% - 강조색2 20 11" xfId="11184" xr:uid="{00000000-0005-0000-0000-00009B220000}"/>
    <cellStyle name="60% - 강조색2 20 12" xfId="11185" xr:uid="{00000000-0005-0000-0000-00009C220000}"/>
    <cellStyle name="60% - 강조색2 20 13" xfId="11186" xr:uid="{00000000-0005-0000-0000-00009D220000}"/>
    <cellStyle name="60% - 강조색2 20 14" xfId="11187" xr:uid="{00000000-0005-0000-0000-00009E220000}"/>
    <cellStyle name="60% - 강조색2 20 15" xfId="11182" xr:uid="{00000000-0005-0000-0000-00009F220000}"/>
    <cellStyle name="60% - 강조색2 20 2" xfId="1167" xr:uid="{00000000-0005-0000-0000-0000A0220000}"/>
    <cellStyle name="60% - 강조색2 20 2 2" xfId="11188" xr:uid="{00000000-0005-0000-0000-0000A1220000}"/>
    <cellStyle name="60% - 강조색2 20 3" xfId="11189" xr:uid="{00000000-0005-0000-0000-0000A2220000}"/>
    <cellStyle name="60% - 강조색2 20 4" xfId="11190" xr:uid="{00000000-0005-0000-0000-0000A3220000}"/>
    <cellStyle name="60% - 강조색2 20 5" xfId="11191" xr:uid="{00000000-0005-0000-0000-0000A4220000}"/>
    <cellStyle name="60% - 강조색2 20 6" xfId="11192" xr:uid="{00000000-0005-0000-0000-0000A5220000}"/>
    <cellStyle name="60% - 강조색2 20 7" xfId="11193" xr:uid="{00000000-0005-0000-0000-0000A6220000}"/>
    <cellStyle name="60% - 강조색2 20 8" xfId="11194" xr:uid="{00000000-0005-0000-0000-0000A7220000}"/>
    <cellStyle name="60% - 강조색2 20 9" xfId="11195" xr:uid="{00000000-0005-0000-0000-0000A8220000}"/>
    <cellStyle name="60% - 강조색2 21" xfId="1168" xr:uid="{00000000-0005-0000-0000-0000A9220000}"/>
    <cellStyle name="60% - 강조색2 21 10" xfId="11197" xr:uid="{00000000-0005-0000-0000-0000AA220000}"/>
    <cellStyle name="60% - 강조색2 21 11" xfId="11198" xr:uid="{00000000-0005-0000-0000-0000AB220000}"/>
    <cellStyle name="60% - 강조색2 21 12" xfId="11199" xr:uid="{00000000-0005-0000-0000-0000AC220000}"/>
    <cellStyle name="60% - 강조색2 21 13" xfId="11200" xr:uid="{00000000-0005-0000-0000-0000AD220000}"/>
    <cellStyle name="60% - 강조색2 21 14" xfId="11201" xr:uid="{00000000-0005-0000-0000-0000AE220000}"/>
    <cellStyle name="60% - 강조색2 21 15" xfId="11196" xr:uid="{00000000-0005-0000-0000-0000AF220000}"/>
    <cellStyle name="60% - 강조색2 21 2" xfId="1169" xr:uid="{00000000-0005-0000-0000-0000B0220000}"/>
    <cellStyle name="60% - 강조색2 21 2 2" xfId="11202" xr:uid="{00000000-0005-0000-0000-0000B1220000}"/>
    <cellStyle name="60% - 강조색2 21 3" xfId="11203" xr:uid="{00000000-0005-0000-0000-0000B2220000}"/>
    <cellStyle name="60% - 강조색2 21 4" xfId="11204" xr:uid="{00000000-0005-0000-0000-0000B3220000}"/>
    <cellStyle name="60% - 강조색2 21 5" xfId="11205" xr:uid="{00000000-0005-0000-0000-0000B4220000}"/>
    <cellStyle name="60% - 강조색2 21 6" xfId="11206" xr:uid="{00000000-0005-0000-0000-0000B5220000}"/>
    <cellStyle name="60% - 강조색2 21 7" xfId="11207" xr:uid="{00000000-0005-0000-0000-0000B6220000}"/>
    <cellStyle name="60% - 강조색2 21 8" xfId="11208" xr:uid="{00000000-0005-0000-0000-0000B7220000}"/>
    <cellStyle name="60% - 강조색2 21 9" xfId="11209" xr:uid="{00000000-0005-0000-0000-0000B8220000}"/>
    <cellStyle name="60% - 강조색2 22" xfId="1170" xr:uid="{00000000-0005-0000-0000-0000B9220000}"/>
    <cellStyle name="60% - 강조색2 22 10" xfId="11211" xr:uid="{00000000-0005-0000-0000-0000BA220000}"/>
    <cellStyle name="60% - 강조색2 22 11" xfId="11212" xr:uid="{00000000-0005-0000-0000-0000BB220000}"/>
    <cellStyle name="60% - 강조색2 22 12" xfId="11213" xr:uid="{00000000-0005-0000-0000-0000BC220000}"/>
    <cellStyle name="60% - 강조색2 22 13" xfId="11214" xr:uid="{00000000-0005-0000-0000-0000BD220000}"/>
    <cellStyle name="60% - 강조색2 22 14" xfId="11215" xr:uid="{00000000-0005-0000-0000-0000BE220000}"/>
    <cellStyle name="60% - 강조색2 22 15" xfId="11210" xr:uid="{00000000-0005-0000-0000-0000BF220000}"/>
    <cellStyle name="60% - 강조색2 22 2" xfId="1171" xr:uid="{00000000-0005-0000-0000-0000C0220000}"/>
    <cellStyle name="60% - 강조색2 22 2 2" xfId="11216" xr:uid="{00000000-0005-0000-0000-0000C1220000}"/>
    <cellStyle name="60% - 강조색2 22 3" xfId="11217" xr:uid="{00000000-0005-0000-0000-0000C2220000}"/>
    <cellStyle name="60% - 강조색2 22 4" xfId="11218" xr:uid="{00000000-0005-0000-0000-0000C3220000}"/>
    <cellStyle name="60% - 강조색2 22 5" xfId="11219" xr:uid="{00000000-0005-0000-0000-0000C4220000}"/>
    <cellStyle name="60% - 강조색2 22 6" xfId="11220" xr:uid="{00000000-0005-0000-0000-0000C5220000}"/>
    <cellStyle name="60% - 강조색2 22 7" xfId="11221" xr:uid="{00000000-0005-0000-0000-0000C6220000}"/>
    <cellStyle name="60% - 강조색2 22 8" xfId="11222" xr:uid="{00000000-0005-0000-0000-0000C7220000}"/>
    <cellStyle name="60% - 강조색2 22 9" xfId="11223" xr:uid="{00000000-0005-0000-0000-0000C8220000}"/>
    <cellStyle name="60% - 강조색2 23" xfId="1172" xr:uid="{00000000-0005-0000-0000-0000C9220000}"/>
    <cellStyle name="60% - 강조색2 23 10" xfId="11225" xr:uid="{00000000-0005-0000-0000-0000CA220000}"/>
    <cellStyle name="60% - 강조색2 23 11" xfId="11226" xr:uid="{00000000-0005-0000-0000-0000CB220000}"/>
    <cellStyle name="60% - 강조색2 23 12" xfId="11227" xr:uid="{00000000-0005-0000-0000-0000CC220000}"/>
    <cellStyle name="60% - 강조색2 23 13" xfId="11228" xr:uid="{00000000-0005-0000-0000-0000CD220000}"/>
    <cellStyle name="60% - 강조색2 23 14" xfId="11229" xr:uid="{00000000-0005-0000-0000-0000CE220000}"/>
    <cellStyle name="60% - 강조색2 23 15" xfId="11224" xr:uid="{00000000-0005-0000-0000-0000CF220000}"/>
    <cellStyle name="60% - 강조색2 23 2" xfId="1173" xr:uid="{00000000-0005-0000-0000-0000D0220000}"/>
    <cellStyle name="60% - 강조색2 23 2 2" xfId="11230" xr:uid="{00000000-0005-0000-0000-0000D1220000}"/>
    <cellStyle name="60% - 강조색2 23 3" xfId="11231" xr:uid="{00000000-0005-0000-0000-0000D2220000}"/>
    <cellStyle name="60% - 강조색2 23 4" xfId="11232" xr:uid="{00000000-0005-0000-0000-0000D3220000}"/>
    <cellStyle name="60% - 강조색2 23 5" xfId="11233" xr:uid="{00000000-0005-0000-0000-0000D4220000}"/>
    <cellStyle name="60% - 강조색2 23 6" xfId="11234" xr:uid="{00000000-0005-0000-0000-0000D5220000}"/>
    <cellStyle name="60% - 강조색2 23 7" xfId="11235" xr:uid="{00000000-0005-0000-0000-0000D6220000}"/>
    <cellStyle name="60% - 강조색2 23 8" xfId="11236" xr:uid="{00000000-0005-0000-0000-0000D7220000}"/>
    <cellStyle name="60% - 강조색2 23 9" xfId="11237" xr:uid="{00000000-0005-0000-0000-0000D8220000}"/>
    <cellStyle name="60% - 강조색2 24" xfId="1174" xr:uid="{00000000-0005-0000-0000-0000D9220000}"/>
    <cellStyle name="60% - 강조색2 24 10" xfId="11239" xr:uid="{00000000-0005-0000-0000-0000DA220000}"/>
    <cellStyle name="60% - 강조색2 24 11" xfId="11240" xr:uid="{00000000-0005-0000-0000-0000DB220000}"/>
    <cellStyle name="60% - 강조색2 24 12" xfId="11241" xr:uid="{00000000-0005-0000-0000-0000DC220000}"/>
    <cellStyle name="60% - 강조색2 24 13" xfId="11242" xr:uid="{00000000-0005-0000-0000-0000DD220000}"/>
    <cellStyle name="60% - 강조색2 24 14" xfId="11243" xr:uid="{00000000-0005-0000-0000-0000DE220000}"/>
    <cellStyle name="60% - 강조색2 24 15" xfId="11238" xr:uid="{00000000-0005-0000-0000-0000DF220000}"/>
    <cellStyle name="60% - 강조색2 24 2" xfId="1175" xr:uid="{00000000-0005-0000-0000-0000E0220000}"/>
    <cellStyle name="60% - 강조색2 24 2 2" xfId="11244" xr:uid="{00000000-0005-0000-0000-0000E1220000}"/>
    <cellStyle name="60% - 강조색2 24 3" xfId="11245" xr:uid="{00000000-0005-0000-0000-0000E2220000}"/>
    <cellStyle name="60% - 강조색2 24 4" xfId="11246" xr:uid="{00000000-0005-0000-0000-0000E3220000}"/>
    <cellStyle name="60% - 강조색2 24 5" xfId="11247" xr:uid="{00000000-0005-0000-0000-0000E4220000}"/>
    <cellStyle name="60% - 강조색2 24 6" xfId="11248" xr:uid="{00000000-0005-0000-0000-0000E5220000}"/>
    <cellStyle name="60% - 강조색2 24 7" xfId="11249" xr:uid="{00000000-0005-0000-0000-0000E6220000}"/>
    <cellStyle name="60% - 강조색2 24 8" xfId="11250" xr:uid="{00000000-0005-0000-0000-0000E7220000}"/>
    <cellStyle name="60% - 강조색2 24 9" xfId="11251" xr:uid="{00000000-0005-0000-0000-0000E8220000}"/>
    <cellStyle name="60% - 강조색2 25" xfId="1176" xr:uid="{00000000-0005-0000-0000-0000E9220000}"/>
    <cellStyle name="60% - 강조색2 25 10" xfId="11253" xr:uid="{00000000-0005-0000-0000-0000EA220000}"/>
    <cellStyle name="60% - 강조색2 25 11" xfId="11254" xr:uid="{00000000-0005-0000-0000-0000EB220000}"/>
    <cellStyle name="60% - 강조색2 25 12" xfId="11255" xr:uid="{00000000-0005-0000-0000-0000EC220000}"/>
    <cellStyle name="60% - 강조색2 25 13" xfId="11256" xr:uid="{00000000-0005-0000-0000-0000ED220000}"/>
    <cellStyle name="60% - 강조색2 25 14" xfId="11257" xr:uid="{00000000-0005-0000-0000-0000EE220000}"/>
    <cellStyle name="60% - 강조색2 25 15" xfId="11252" xr:uid="{00000000-0005-0000-0000-0000EF220000}"/>
    <cellStyle name="60% - 강조색2 25 2" xfId="1177" xr:uid="{00000000-0005-0000-0000-0000F0220000}"/>
    <cellStyle name="60% - 강조색2 25 2 2" xfId="11258" xr:uid="{00000000-0005-0000-0000-0000F1220000}"/>
    <cellStyle name="60% - 강조색2 25 3" xfId="11259" xr:uid="{00000000-0005-0000-0000-0000F2220000}"/>
    <cellStyle name="60% - 강조색2 25 4" xfId="11260" xr:uid="{00000000-0005-0000-0000-0000F3220000}"/>
    <cellStyle name="60% - 강조색2 25 5" xfId="11261" xr:uid="{00000000-0005-0000-0000-0000F4220000}"/>
    <cellStyle name="60% - 강조색2 25 6" xfId="11262" xr:uid="{00000000-0005-0000-0000-0000F5220000}"/>
    <cellStyle name="60% - 강조색2 25 7" xfId="11263" xr:uid="{00000000-0005-0000-0000-0000F6220000}"/>
    <cellStyle name="60% - 강조색2 25 8" xfId="11264" xr:uid="{00000000-0005-0000-0000-0000F7220000}"/>
    <cellStyle name="60% - 강조색2 25 9" xfId="11265" xr:uid="{00000000-0005-0000-0000-0000F8220000}"/>
    <cellStyle name="60% - 강조색2 26" xfId="1178" xr:uid="{00000000-0005-0000-0000-0000F9220000}"/>
    <cellStyle name="60% - 강조색2 26 10" xfId="11267" xr:uid="{00000000-0005-0000-0000-0000FA220000}"/>
    <cellStyle name="60% - 강조색2 26 11" xfId="11268" xr:uid="{00000000-0005-0000-0000-0000FB220000}"/>
    <cellStyle name="60% - 강조색2 26 12" xfId="11269" xr:uid="{00000000-0005-0000-0000-0000FC220000}"/>
    <cellStyle name="60% - 강조색2 26 13" xfId="11270" xr:uid="{00000000-0005-0000-0000-0000FD220000}"/>
    <cellStyle name="60% - 강조색2 26 14" xfId="11271" xr:uid="{00000000-0005-0000-0000-0000FE220000}"/>
    <cellStyle name="60% - 강조색2 26 15" xfId="11266" xr:uid="{00000000-0005-0000-0000-0000FF220000}"/>
    <cellStyle name="60% - 강조색2 26 2" xfId="1179" xr:uid="{00000000-0005-0000-0000-000000230000}"/>
    <cellStyle name="60% - 강조색2 26 2 2" xfId="11272" xr:uid="{00000000-0005-0000-0000-000001230000}"/>
    <cellStyle name="60% - 강조색2 26 3" xfId="11273" xr:uid="{00000000-0005-0000-0000-000002230000}"/>
    <cellStyle name="60% - 강조색2 26 4" xfId="11274" xr:uid="{00000000-0005-0000-0000-000003230000}"/>
    <cellStyle name="60% - 강조색2 26 5" xfId="11275" xr:uid="{00000000-0005-0000-0000-000004230000}"/>
    <cellStyle name="60% - 강조색2 26 6" xfId="11276" xr:uid="{00000000-0005-0000-0000-000005230000}"/>
    <cellStyle name="60% - 강조색2 26 7" xfId="11277" xr:uid="{00000000-0005-0000-0000-000006230000}"/>
    <cellStyle name="60% - 강조색2 26 8" xfId="11278" xr:uid="{00000000-0005-0000-0000-000007230000}"/>
    <cellStyle name="60% - 강조색2 26 9" xfId="11279" xr:uid="{00000000-0005-0000-0000-000008230000}"/>
    <cellStyle name="60% - 강조색2 27" xfId="1180" xr:uid="{00000000-0005-0000-0000-000009230000}"/>
    <cellStyle name="60% - 강조색2 27 10" xfId="11281" xr:uid="{00000000-0005-0000-0000-00000A230000}"/>
    <cellStyle name="60% - 강조색2 27 11" xfId="11282" xr:uid="{00000000-0005-0000-0000-00000B230000}"/>
    <cellStyle name="60% - 강조색2 27 12" xfId="11283" xr:uid="{00000000-0005-0000-0000-00000C230000}"/>
    <cellStyle name="60% - 강조색2 27 13" xfId="11284" xr:uid="{00000000-0005-0000-0000-00000D230000}"/>
    <cellStyle name="60% - 강조색2 27 14" xfId="11285" xr:uid="{00000000-0005-0000-0000-00000E230000}"/>
    <cellStyle name="60% - 강조색2 27 15" xfId="11280" xr:uid="{00000000-0005-0000-0000-00000F230000}"/>
    <cellStyle name="60% - 강조색2 27 2" xfId="1181" xr:uid="{00000000-0005-0000-0000-000010230000}"/>
    <cellStyle name="60% - 강조색2 27 2 2" xfId="11286" xr:uid="{00000000-0005-0000-0000-000011230000}"/>
    <cellStyle name="60% - 강조색2 27 3" xfId="11287" xr:uid="{00000000-0005-0000-0000-000012230000}"/>
    <cellStyle name="60% - 강조색2 27 4" xfId="11288" xr:uid="{00000000-0005-0000-0000-000013230000}"/>
    <cellStyle name="60% - 강조색2 27 5" xfId="11289" xr:uid="{00000000-0005-0000-0000-000014230000}"/>
    <cellStyle name="60% - 강조색2 27 6" xfId="11290" xr:uid="{00000000-0005-0000-0000-000015230000}"/>
    <cellStyle name="60% - 강조색2 27 7" xfId="11291" xr:uid="{00000000-0005-0000-0000-000016230000}"/>
    <cellStyle name="60% - 강조색2 27 8" xfId="11292" xr:uid="{00000000-0005-0000-0000-000017230000}"/>
    <cellStyle name="60% - 강조색2 27 9" xfId="11293" xr:uid="{00000000-0005-0000-0000-000018230000}"/>
    <cellStyle name="60% - 강조색2 28" xfId="1182" xr:uid="{00000000-0005-0000-0000-000019230000}"/>
    <cellStyle name="60% - 강조색2 28 10" xfId="11295" xr:uid="{00000000-0005-0000-0000-00001A230000}"/>
    <cellStyle name="60% - 강조색2 28 11" xfId="11296" xr:uid="{00000000-0005-0000-0000-00001B230000}"/>
    <cellStyle name="60% - 강조색2 28 12" xfId="11297" xr:uid="{00000000-0005-0000-0000-00001C230000}"/>
    <cellStyle name="60% - 강조색2 28 13" xfId="11298" xr:uid="{00000000-0005-0000-0000-00001D230000}"/>
    <cellStyle name="60% - 강조색2 28 14" xfId="11299" xr:uid="{00000000-0005-0000-0000-00001E230000}"/>
    <cellStyle name="60% - 강조색2 28 15" xfId="11294" xr:uid="{00000000-0005-0000-0000-00001F230000}"/>
    <cellStyle name="60% - 강조색2 28 2" xfId="1183" xr:uid="{00000000-0005-0000-0000-000020230000}"/>
    <cellStyle name="60% - 강조색2 28 2 2" xfId="11300" xr:uid="{00000000-0005-0000-0000-000021230000}"/>
    <cellStyle name="60% - 강조색2 28 3" xfId="11301" xr:uid="{00000000-0005-0000-0000-000022230000}"/>
    <cellStyle name="60% - 강조색2 28 4" xfId="11302" xr:uid="{00000000-0005-0000-0000-000023230000}"/>
    <cellStyle name="60% - 강조색2 28 5" xfId="11303" xr:uid="{00000000-0005-0000-0000-000024230000}"/>
    <cellStyle name="60% - 강조색2 28 6" xfId="11304" xr:uid="{00000000-0005-0000-0000-000025230000}"/>
    <cellStyle name="60% - 강조색2 28 7" xfId="11305" xr:uid="{00000000-0005-0000-0000-000026230000}"/>
    <cellStyle name="60% - 강조색2 28 8" xfId="11306" xr:uid="{00000000-0005-0000-0000-000027230000}"/>
    <cellStyle name="60% - 강조색2 28 9" xfId="11307" xr:uid="{00000000-0005-0000-0000-000028230000}"/>
    <cellStyle name="60% - 강조색2 29" xfId="1184" xr:uid="{00000000-0005-0000-0000-000029230000}"/>
    <cellStyle name="60% - 강조색2 29 10" xfId="11309" xr:uid="{00000000-0005-0000-0000-00002A230000}"/>
    <cellStyle name="60% - 강조색2 29 11" xfId="11310" xr:uid="{00000000-0005-0000-0000-00002B230000}"/>
    <cellStyle name="60% - 강조색2 29 12" xfId="11311" xr:uid="{00000000-0005-0000-0000-00002C230000}"/>
    <cellStyle name="60% - 강조색2 29 13" xfId="11312" xr:uid="{00000000-0005-0000-0000-00002D230000}"/>
    <cellStyle name="60% - 강조색2 29 14" xfId="11313" xr:uid="{00000000-0005-0000-0000-00002E230000}"/>
    <cellStyle name="60% - 강조색2 29 15" xfId="11308" xr:uid="{00000000-0005-0000-0000-00002F230000}"/>
    <cellStyle name="60% - 강조색2 29 2" xfId="1185" xr:uid="{00000000-0005-0000-0000-000030230000}"/>
    <cellStyle name="60% - 강조색2 29 2 2" xfId="11314" xr:uid="{00000000-0005-0000-0000-000031230000}"/>
    <cellStyle name="60% - 강조색2 29 3" xfId="11315" xr:uid="{00000000-0005-0000-0000-000032230000}"/>
    <cellStyle name="60% - 강조색2 29 4" xfId="11316" xr:uid="{00000000-0005-0000-0000-000033230000}"/>
    <cellStyle name="60% - 강조색2 29 5" xfId="11317" xr:uid="{00000000-0005-0000-0000-000034230000}"/>
    <cellStyle name="60% - 강조색2 29 6" xfId="11318" xr:uid="{00000000-0005-0000-0000-000035230000}"/>
    <cellStyle name="60% - 강조색2 29 7" xfId="11319" xr:uid="{00000000-0005-0000-0000-000036230000}"/>
    <cellStyle name="60% - 강조색2 29 8" xfId="11320" xr:uid="{00000000-0005-0000-0000-000037230000}"/>
    <cellStyle name="60% - 강조색2 29 9" xfId="11321" xr:uid="{00000000-0005-0000-0000-000038230000}"/>
    <cellStyle name="60% - 강조색2 3" xfId="1186" xr:uid="{00000000-0005-0000-0000-000039230000}"/>
    <cellStyle name="60% - 강조색2 3 10" xfId="11323" xr:uid="{00000000-0005-0000-0000-00003A230000}"/>
    <cellStyle name="60% - 강조색2 3 11" xfId="11324" xr:uid="{00000000-0005-0000-0000-00003B230000}"/>
    <cellStyle name="60% - 강조색2 3 12" xfId="11325" xr:uid="{00000000-0005-0000-0000-00003C230000}"/>
    <cellStyle name="60% - 강조색2 3 13" xfId="11326" xr:uid="{00000000-0005-0000-0000-00003D230000}"/>
    <cellStyle name="60% - 강조색2 3 14" xfId="11327" xr:uid="{00000000-0005-0000-0000-00003E230000}"/>
    <cellStyle name="60% - 강조색2 3 15" xfId="11322" xr:uid="{00000000-0005-0000-0000-00003F230000}"/>
    <cellStyle name="60% - 강조색2 3 16" xfId="28202" xr:uid="{00000000-0005-0000-0000-000040230000}"/>
    <cellStyle name="60% - 강조색2 3 2" xfId="1187" xr:uid="{00000000-0005-0000-0000-000041230000}"/>
    <cellStyle name="60% - 강조색2 3 2 2" xfId="11328" xr:uid="{00000000-0005-0000-0000-000042230000}"/>
    <cellStyle name="60% - 강조색2 3 3" xfId="11329" xr:uid="{00000000-0005-0000-0000-000043230000}"/>
    <cellStyle name="60% - 강조색2 3 4" xfId="11330" xr:uid="{00000000-0005-0000-0000-000044230000}"/>
    <cellStyle name="60% - 강조색2 3 5" xfId="11331" xr:uid="{00000000-0005-0000-0000-000045230000}"/>
    <cellStyle name="60% - 강조색2 3 6" xfId="11332" xr:uid="{00000000-0005-0000-0000-000046230000}"/>
    <cellStyle name="60% - 강조색2 3 7" xfId="11333" xr:uid="{00000000-0005-0000-0000-000047230000}"/>
    <cellStyle name="60% - 강조색2 3 8" xfId="11334" xr:uid="{00000000-0005-0000-0000-000048230000}"/>
    <cellStyle name="60% - 강조색2 3 9" xfId="11335" xr:uid="{00000000-0005-0000-0000-000049230000}"/>
    <cellStyle name="60% - 강조색2 30" xfId="1188" xr:uid="{00000000-0005-0000-0000-00004A230000}"/>
    <cellStyle name="60% - 강조색2 30 10" xfId="11337" xr:uid="{00000000-0005-0000-0000-00004B230000}"/>
    <cellStyle name="60% - 강조색2 30 11" xfId="11338" xr:uid="{00000000-0005-0000-0000-00004C230000}"/>
    <cellStyle name="60% - 강조색2 30 12" xfId="11339" xr:uid="{00000000-0005-0000-0000-00004D230000}"/>
    <cellStyle name="60% - 강조색2 30 13" xfId="11340" xr:uid="{00000000-0005-0000-0000-00004E230000}"/>
    <cellStyle name="60% - 강조색2 30 14" xfId="11341" xr:uid="{00000000-0005-0000-0000-00004F230000}"/>
    <cellStyle name="60% - 강조색2 30 15" xfId="11336" xr:uid="{00000000-0005-0000-0000-000050230000}"/>
    <cellStyle name="60% - 강조색2 30 2" xfId="1189" xr:uid="{00000000-0005-0000-0000-000051230000}"/>
    <cellStyle name="60% - 강조색2 30 2 2" xfId="11342" xr:uid="{00000000-0005-0000-0000-000052230000}"/>
    <cellStyle name="60% - 강조색2 30 3" xfId="11343" xr:uid="{00000000-0005-0000-0000-000053230000}"/>
    <cellStyle name="60% - 강조색2 30 4" xfId="11344" xr:uid="{00000000-0005-0000-0000-000054230000}"/>
    <cellStyle name="60% - 강조색2 30 5" xfId="11345" xr:uid="{00000000-0005-0000-0000-000055230000}"/>
    <cellStyle name="60% - 강조색2 30 6" xfId="11346" xr:uid="{00000000-0005-0000-0000-000056230000}"/>
    <cellStyle name="60% - 강조색2 30 7" xfId="11347" xr:uid="{00000000-0005-0000-0000-000057230000}"/>
    <cellStyle name="60% - 강조색2 30 8" xfId="11348" xr:uid="{00000000-0005-0000-0000-000058230000}"/>
    <cellStyle name="60% - 강조색2 30 9" xfId="11349" xr:uid="{00000000-0005-0000-0000-000059230000}"/>
    <cellStyle name="60% - 강조색2 31" xfId="1190" xr:uid="{00000000-0005-0000-0000-00005A230000}"/>
    <cellStyle name="60% - 강조색2 31 10" xfId="11351" xr:uid="{00000000-0005-0000-0000-00005B230000}"/>
    <cellStyle name="60% - 강조색2 31 11" xfId="11352" xr:uid="{00000000-0005-0000-0000-00005C230000}"/>
    <cellStyle name="60% - 강조색2 31 12" xfId="11353" xr:uid="{00000000-0005-0000-0000-00005D230000}"/>
    <cellStyle name="60% - 강조색2 31 13" xfId="11354" xr:uid="{00000000-0005-0000-0000-00005E230000}"/>
    <cellStyle name="60% - 강조색2 31 14" xfId="11355" xr:uid="{00000000-0005-0000-0000-00005F230000}"/>
    <cellStyle name="60% - 강조색2 31 15" xfId="11350" xr:uid="{00000000-0005-0000-0000-000060230000}"/>
    <cellStyle name="60% - 강조색2 31 2" xfId="1191" xr:uid="{00000000-0005-0000-0000-000061230000}"/>
    <cellStyle name="60% - 강조색2 31 2 2" xfId="11356" xr:uid="{00000000-0005-0000-0000-000062230000}"/>
    <cellStyle name="60% - 강조색2 31 3" xfId="11357" xr:uid="{00000000-0005-0000-0000-000063230000}"/>
    <cellStyle name="60% - 강조색2 31 4" xfId="11358" xr:uid="{00000000-0005-0000-0000-000064230000}"/>
    <cellStyle name="60% - 강조색2 31 5" xfId="11359" xr:uid="{00000000-0005-0000-0000-000065230000}"/>
    <cellStyle name="60% - 강조색2 31 6" xfId="11360" xr:uid="{00000000-0005-0000-0000-000066230000}"/>
    <cellStyle name="60% - 강조색2 31 7" xfId="11361" xr:uid="{00000000-0005-0000-0000-000067230000}"/>
    <cellStyle name="60% - 강조색2 31 8" xfId="11362" xr:uid="{00000000-0005-0000-0000-000068230000}"/>
    <cellStyle name="60% - 강조색2 31 9" xfId="11363" xr:uid="{00000000-0005-0000-0000-000069230000}"/>
    <cellStyle name="60% - 강조색2 32" xfId="1192" xr:uid="{00000000-0005-0000-0000-00006A230000}"/>
    <cellStyle name="60% - 강조색2 32 10" xfId="11365" xr:uid="{00000000-0005-0000-0000-00006B230000}"/>
    <cellStyle name="60% - 강조색2 32 11" xfId="11366" xr:uid="{00000000-0005-0000-0000-00006C230000}"/>
    <cellStyle name="60% - 강조색2 32 12" xfId="11367" xr:uid="{00000000-0005-0000-0000-00006D230000}"/>
    <cellStyle name="60% - 강조색2 32 13" xfId="11368" xr:uid="{00000000-0005-0000-0000-00006E230000}"/>
    <cellStyle name="60% - 강조색2 32 14" xfId="11369" xr:uid="{00000000-0005-0000-0000-00006F230000}"/>
    <cellStyle name="60% - 강조색2 32 15" xfId="11364" xr:uid="{00000000-0005-0000-0000-000070230000}"/>
    <cellStyle name="60% - 강조색2 32 2" xfId="1193" xr:uid="{00000000-0005-0000-0000-000071230000}"/>
    <cellStyle name="60% - 강조색2 32 2 2" xfId="11370" xr:uid="{00000000-0005-0000-0000-000072230000}"/>
    <cellStyle name="60% - 강조색2 32 3" xfId="11371" xr:uid="{00000000-0005-0000-0000-000073230000}"/>
    <cellStyle name="60% - 강조색2 32 4" xfId="11372" xr:uid="{00000000-0005-0000-0000-000074230000}"/>
    <cellStyle name="60% - 강조색2 32 5" xfId="11373" xr:uid="{00000000-0005-0000-0000-000075230000}"/>
    <cellStyle name="60% - 강조색2 32 6" xfId="11374" xr:uid="{00000000-0005-0000-0000-000076230000}"/>
    <cellStyle name="60% - 강조색2 32 7" xfId="11375" xr:uid="{00000000-0005-0000-0000-000077230000}"/>
    <cellStyle name="60% - 강조색2 32 8" xfId="11376" xr:uid="{00000000-0005-0000-0000-000078230000}"/>
    <cellStyle name="60% - 강조색2 32 9" xfId="11377" xr:uid="{00000000-0005-0000-0000-000079230000}"/>
    <cellStyle name="60% - 강조색2 33" xfId="1194" xr:uid="{00000000-0005-0000-0000-00007A230000}"/>
    <cellStyle name="60% - 강조색2 33 10" xfId="11379" xr:uid="{00000000-0005-0000-0000-00007B230000}"/>
    <cellStyle name="60% - 강조색2 33 11" xfId="11380" xr:uid="{00000000-0005-0000-0000-00007C230000}"/>
    <cellStyle name="60% - 강조색2 33 12" xfId="11381" xr:uid="{00000000-0005-0000-0000-00007D230000}"/>
    <cellStyle name="60% - 강조색2 33 13" xfId="11382" xr:uid="{00000000-0005-0000-0000-00007E230000}"/>
    <cellStyle name="60% - 강조색2 33 14" xfId="11383" xr:uid="{00000000-0005-0000-0000-00007F230000}"/>
    <cellStyle name="60% - 강조색2 33 15" xfId="11378" xr:uid="{00000000-0005-0000-0000-000080230000}"/>
    <cellStyle name="60% - 강조색2 33 2" xfId="1195" xr:uid="{00000000-0005-0000-0000-000081230000}"/>
    <cellStyle name="60% - 강조색2 33 2 2" xfId="11384" xr:uid="{00000000-0005-0000-0000-000082230000}"/>
    <cellStyle name="60% - 강조색2 33 3" xfId="11385" xr:uid="{00000000-0005-0000-0000-000083230000}"/>
    <cellStyle name="60% - 강조색2 33 4" xfId="11386" xr:uid="{00000000-0005-0000-0000-000084230000}"/>
    <cellStyle name="60% - 강조색2 33 5" xfId="11387" xr:uid="{00000000-0005-0000-0000-000085230000}"/>
    <cellStyle name="60% - 강조색2 33 6" xfId="11388" xr:uid="{00000000-0005-0000-0000-000086230000}"/>
    <cellStyle name="60% - 강조색2 33 7" xfId="11389" xr:uid="{00000000-0005-0000-0000-000087230000}"/>
    <cellStyle name="60% - 강조색2 33 8" xfId="11390" xr:uid="{00000000-0005-0000-0000-000088230000}"/>
    <cellStyle name="60% - 강조색2 33 9" xfId="11391" xr:uid="{00000000-0005-0000-0000-000089230000}"/>
    <cellStyle name="60% - 강조색2 34" xfId="1196" xr:uid="{00000000-0005-0000-0000-00008A230000}"/>
    <cellStyle name="60% - 강조색2 34 10" xfId="11393" xr:uid="{00000000-0005-0000-0000-00008B230000}"/>
    <cellStyle name="60% - 강조색2 34 11" xfId="11394" xr:uid="{00000000-0005-0000-0000-00008C230000}"/>
    <cellStyle name="60% - 강조색2 34 12" xfId="11395" xr:uid="{00000000-0005-0000-0000-00008D230000}"/>
    <cellStyle name="60% - 강조색2 34 13" xfId="11396" xr:uid="{00000000-0005-0000-0000-00008E230000}"/>
    <cellStyle name="60% - 강조색2 34 14" xfId="11397" xr:uid="{00000000-0005-0000-0000-00008F230000}"/>
    <cellStyle name="60% - 강조색2 34 15" xfId="11392" xr:uid="{00000000-0005-0000-0000-000090230000}"/>
    <cellStyle name="60% - 강조색2 34 2" xfId="1197" xr:uid="{00000000-0005-0000-0000-000091230000}"/>
    <cellStyle name="60% - 강조색2 34 2 2" xfId="11398" xr:uid="{00000000-0005-0000-0000-000092230000}"/>
    <cellStyle name="60% - 강조색2 34 3" xfId="11399" xr:uid="{00000000-0005-0000-0000-000093230000}"/>
    <cellStyle name="60% - 강조색2 34 4" xfId="11400" xr:uid="{00000000-0005-0000-0000-000094230000}"/>
    <cellStyle name="60% - 강조색2 34 5" xfId="11401" xr:uid="{00000000-0005-0000-0000-000095230000}"/>
    <cellStyle name="60% - 강조색2 34 6" xfId="11402" xr:uid="{00000000-0005-0000-0000-000096230000}"/>
    <cellStyle name="60% - 강조색2 34 7" xfId="11403" xr:uid="{00000000-0005-0000-0000-000097230000}"/>
    <cellStyle name="60% - 강조색2 34 8" xfId="11404" xr:uid="{00000000-0005-0000-0000-000098230000}"/>
    <cellStyle name="60% - 강조색2 34 9" xfId="11405" xr:uid="{00000000-0005-0000-0000-000099230000}"/>
    <cellStyle name="60% - 강조색2 35" xfId="1198" xr:uid="{00000000-0005-0000-0000-00009A230000}"/>
    <cellStyle name="60% - 강조색2 35 10" xfId="11407" xr:uid="{00000000-0005-0000-0000-00009B230000}"/>
    <cellStyle name="60% - 강조색2 35 11" xfId="11408" xr:uid="{00000000-0005-0000-0000-00009C230000}"/>
    <cellStyle name="60% - 강조색2 35 12" xfId="11409" xr:uid="{00000000-0005-0000-0000-00009D230000}"/>
    <cellStyle name="60% - 강조색2 35 13" xfId="11410" xr:uid="{00000000-0005-0000-0000-00009E230000}"/>
    <cellStyle name="60% - 강조색2 35 14" xfId="11411" xr:uid="{00000000-0005-0000-0000-00009F230000}"/>
    <cellStyle name="60% - 강조색2 35 15" xfId="11406" xr:uid="{00000000-0005-0000-0000-0000A0230000}"/>
    <cellStyle name="60% - 강조색2 35 2" xfId="1199" xr:uid="{00000000-0005-0000-0000-0000A1230000}"/>
    <cellStyle name="60% - 강조색2 35 2 2" xfId="11412" xr:uid="{00000000-0005-0000-0000-0000A2230000}"/>
    <cellStyle name="60% - 강조색2 35 3" xfId="11413" xr:uid="{00000000-0005-0000-0000-0000A3230000}"/>
    <cellStyle name="60% - 강조색2 35 4" xfId="11414" xr:uid="{00000000-0005-0000-0000-0000A4230000}"/>
    <cellStyle name="60% - 강조색2 35 5" xfId="11415" xr:uid="{00000000-0005-0000-0000-0000A5230000}"/>
    <cellStyle name="60% - 강조색2 35 6" xfId="11416" xr:uid="{00000000-0005-0000-0000-0000A6230000}"/>
    <cellStyle name="60% - 강조색2 35 7" xfId="11417" xr:uid="{00000000-0005-0000-0000-0000A7230000}"/>
    <cellStyle name="60% - 강조색2 35 8" xfId="11418" xr:uid="{00000000-0005-0000-0000-0000A8230000}"/>
    <cellStyle name="60% - 강조색2 35 9" xfId="11419" xr:uid="{00000000-0005-0000-0000-0000A9230000}"/>
    <cellStyle name="60% - 강조색2 36" xfId="1200" xr:uid="{00000000-0005-0000-0000-0000AA230000}"/>
    <cellStyle name="60% - 강조색2 36 10" xfId="11421" xr:uid="{00000000-0005-0000-0000-0000AB230000}"/>
    <cellStyle name="60% - 강조색2 36 11" xfId="11422" xr:uid="{00000000-0005-0000-0000-0000AC230000}"/>
    <cellStyle name="60% - 강조색2 36 12" xfId="11423" xr:uid="{00000000-0005-0000-0000-0000AD230000}"/>
    <cellStyle name="60% - 강조색2 36 13" xfId="11424" xr:uid="{00000000-0005-0000-0000-0000AE230000}"/>
    <cellStyle name="60% - 강조색2 36 14" xfId="11425" xr:uid="{00000000-0005-0000-0000-0000AF230000}"/>
    <cellStyle name="60% - 강조색2 36 15" xfId="11420" xr:uid="{00000000-0005-0000-0000-0000B0230000}"/>
    <cellStyle name="60% - 강조색2 36 2" xfId="1201" xr:uid="{00000000-0005-0000-0000-0000B1230000}"/>
    <cellStyle name="60% - 강조색2 36 2 2" xfId="11426" xr:uid="{00000000-0005-0000-0000-0000B2230000}"/>
    <cellStyle name="60% - 강조색2 36 3" xfId="11427" xr:uid="{00000000-0005-0000-0000-0000B3230000}"/>
    <cellStyle name="60% - 강조색2 36 4" xfId="11428" xr:uid="{00000000-0005-0000-0000-0000B4230000}"/>
    <cellStyle name="60% - 강조색2 36 5" xfId="11429" xr:uid="{00000000-0005-0000-0000-0000B5230000}"/>
    <cellStyle name="60% - 강조색2 36 6" xfId="11430" xr:uid="{00000000-0005-0000-0000-0000B6230000}"/>
    <cellStyle name="60% - 강조색2 36 7" xfId="11431" xr:uid="{00000000-0005-0000-0000-0000B7230000}"/>
    <cellStyle name="60% - 강조색2 36 8" xfId="11432" xr:uid="{00000000-0005-0000-0000-0000B8230000}"/>
    <cellStyle name="60% - 강조색2 36 9" xfId="11433" xr:uid="{00000000-0005-0000-0000-0000B9230000}"/>
    <cellStyle name="60% - 강조색2 37" xfId="1202" xr:uid="{00000000-0005-0000-0000-0000BA230000}"/>
    <cellStyle name="60% - 강조색2 37 10" xfId="11435" xr:uid="{00000000-0005-0000-0000-0000BB230000}"/>
    <cellStyle name="60% - 강조색2 37 11" xfId="11436" xr:uid="{00000000-0005-0000-0000-0000BC230000}"/>
    <cellStyle name="60% - 강조색2 37 12" xfId="11437" xr:uid="{00000000-0005-0000-0000-0000BD230000}"/>
    <cellStyle name="60% - 강조색2 37 13" xfId="11438" xr:uid="{00000000-0005-0000-0000-0000BE230000}"/>
    <cellStyle name="60% - 강조색2 37 14" xfId="11439" xr:uid="{00000000-0005-0000-0000-0000BF230000}"/>
    <cellStyle name="60% - 강조색2 37 15" xfId="11434" xr:uid="{00000000-0005-0000-0000-0000C0230000}"/>
    <cellStyle name="60% - 강조색2 37 2" xfId="1203" xr:uid="{00000000-0005-0000-0000-0000C1230000}"/>
    <cellStyle name="60% - 강조색2 37 2 2" xfId="11440" xr:uid="{00000000-0005-0000-0000-0000C2230000}"/>
    <cellStyle name="60% - 강조색2 37 3" xfId="11441" xr:uid="{00000000-0005-0000-0000-0000C3230000}"/>
    <cellStyle name="60% - 강조색2 37 4" xfId="11442" xr:uid="{00000000-0005-0000-0000-0000C4230000}"/>
    <cellStyle name="60% - 강조색2 37 5" xfId="11443" xr:uid="{00000000-0005-0000-0000-0000C5230000}"/>
    <cellStyle name="60% - 강조색2 37 6" xfId="11444" xr:uid="{00000000-0005-0000-0000-0000C6230000}"/>
    <cellStyle name="60% - 강조색2 37 7" xfId="11445" xr:uid="{00000000-0005-0000-0000-0000C7230000}"/>
    <cellStyle name="60% - 강조색2 37 8" xfId="11446" xr:uid="{00000000-0005-0000-0000-0000C8230000}"/>
    <cellStyle name="60% - 강조색2 37 9" xfId="11447" xr:uid="{00000000-0005-0000-0000-0000C9230000}"/>
    <cellStyle name="60% - 강조색2 38" xfId="1204" xr:uid="{00000000-0005-0000-0000-0000CA230000}"/>
    <cellStyle name="60% - 강조색2 38 10" xfId="11449" xr:uid="{00000000-0005-0000-0000-0000CB230000}"/>
    <cellStyle name="60% - 강조색2 38 11" xfId="11450" xr:uid="{00000000-0005-0000-0000-0000CC230000}"/>
    <cellStyle name="60% - 강조색2 38 12" xfId="11451" xr:uid="{00000000-0005-0000-0000-0000CD230000}"/>
    <cellStyle name="60% - 강조색2 38 13" xfId="11452" xr:uid="{00000000-0005-0000-0000-0000CE230000}"/>
    <cellStyle name="60% - 강조색2 38 14" xfId="11453" xr:uid="{00000000-0005-0000-0000-0000CF230000}"/>
    <cellStyle name="60% - 강조색2 38 15" xfId="11448" xr:uid="{00000000-0005-0000-0000-0000D0230000}"/>
    <cellStyle name="60% - 강조색2 38 2" xfId="1205" xr:uid="{00000000-0005-0000-0000-0000D1230000}"/>
    <cellStyle name="60% - 강조색2 38 2 2" xfId="11454" xr:uid="{00000000-0005-0000-0000-0000D2230000}"/>
    <cellStyle name="60% - 강조색2 38 3" xfId="11455" xr:uid="{00000000-0005-0000-0000-0000D3230000}"/>
    <cellStyle name="60% - 강조색2 38 4" xfId="11456" xr:uid="{00000000-0005-0000-0000-0000D4230000}"/>
    <cellStyle name="60% - 강조색2 38 5" xfId="11457" xr:uid="{00000000-0005-0000-0000-0000D5230000}"/>
    <cellStyle name="60% - 강조색2 38 6" xfId="11458" xr:uid="{00000000-0005-0000-0000-0000D6230000}"/>
    <cellStyle name="60% - 강조색2 38 7" xfId="11459" xr:uid="{00000000-0005-0000-0000-0000D7230000}"/>
    <cellStyle name="60% - 강조색2 38 8" xfId="11460" xr:uid="{00000000-0005-0000-0000-0000D8230000}"/>
    <cellStyle name="60% - 강조색2 38 9" xfId="11461" xr:uid="{00000000-0005-0000-0000-0000D9230000}"/>
    <cellStyle name="60% - 강조색2 39" xfId="1206" xr:uid="{00000000-0005-0000-0000-0000DA230000}"/>
    <cellStyle name="60% - 강조색2 39 10" xfId="11463" xr:uid="{00000000-0005-0000-0000-0000DB230000}"/>
    <cellStyle name="60% - 강조색2 39 11" xfId="11464" xr:uid="{00000000-0005-0000-0000-0000DC230000}"/>
    <cellStyle name="60% - 강조색2 39 12" xfId="11465" xr:uid="{00000000-0005-0000-0000-0000DD230000}"/>
    <cellStyle name="60% - 강조색2 39 13" xfId="11466" xr:uid="{00000000-0005-0000-0000-0000DE230000}"/>
    <cellStyle name="60% - 강조색2 39 14" xfId="11467" xr:uid="{00000000-0005-0000-0000-0000DF230000}"/>
    <cellStyle name="60% - 강조색2 39 15" xfId="11462" xr:uid="{00000000-0005-0000-0000-0000E0230000}"/>
    <cellStyle name="60% - 강조색2 39 2" xfId="1207" xr:uid="{00000000-0005-0000-0000-0000E1230000}"/>
    <cellStyle name="60% - 강조색2 39 2 2" xfId="11468" xr:uid="{00000000-0005-0000-0000-0000E2230000}"/>
    <cellStyle name="60% - 강조색2 39 3" xfId="11469" xr:uid="{00000000-0005-0000-0000-0000E3230000}"/>
    <cellStyle name="60% - 강조색2 39 4" xfId="11470" xr:uid="{00000000-0005-0000-0000-0000E4230000}"/>
    <cellStyle name="60% - 강조색2 39 5" xfId="11471" xr:uid="{00000000-0005-0000-0000-0000E5230000}"/>
    <cellStyle name="60% - 강조색2 39 6" xfId="11472" xr:uid="{00000000-0005-0000-0000-0000E6230000}"/>
    <cellStyle name="60% - 강조색2 39 7" xfId="11473" xr:uid="{00000000-0005-0000-0000-0000E7230000}"/>
    <cellStyle name="60% - 강조색2 39 8" xfId="11474" xr:uid="{00000000-0005-0000-0000-0000E8230000}"/>
    <cellStyle name="60% - 강조색2 39 9" xfId="11475" xr:uid="{00000000-0005-0000-0000-0000E9230000}"/>
    <cellStyle name="60% - 강조색2 4" xfId="1208" xr:uid="{00000000-0005-0000-0000-0000EA230000}"/>
    <cellStyle name="60% - 강조색2 4 10" xfId="11477" xr:uid="{00000000-0005-0000-0000-0000EB230000}"/>
    <cellStyle name="60% - 강조색2 4 11" xfId="11478" xr:uid="{00000000-0005-0000-0000-0000EC230000}"/>
    <cellStyle name="60% - 강조색2 4 12" xfId="11479" xr:uid="{00000000-0005-0000-0000-0000ED230000}"/>
    <cellStyle name="60% - 강조색2 4 13" xfId="11480" xr:uid="{00000000-0005-0000-0000-0000EE230000}"/>
    <cellStyle name="60% - 강조색2 4 14" xfId="11481" xr:uid="{00000000-0005-0000-0000-0000EF230000}"/>
    <cellStyle name="60% - 강조색2 4 15" xfId="11476" xr:uid="{00000000-0005-0000-0000-0000F0230000}"/>
    <cellStyle name="60% - 강조색2 4 16" xfId="27864" xr:uid="{00000000-0005-0000-0000-0000F1230000}"/>
    <cellStyle name="60% - 강조색2 4 2" xfId="1209" xr:uid="{00000000-0005-0000-0000-0000F2230000}"/>
    <cellStyle name="60% - 강조색2 4 2 2" xfId="11482" xr:uid="{00000000-0005-0000-0000-0000F3230000}"/>
    <cellStyle name="60% - 강조색2 4 3" xfId="11483" xr:uid="{00000000-0005-0000-0000-0000F4230000}"/>
    <cellStyle name="60% - 강조색2 4 4" xfId="11484" xr:uid="{00000000-0005-0000-0000-0000F5230000}"/>
    <cellStyle name="60% - 강조색2 4 5" xfId="11485" xr:uid="{00000000-0005-0000-0000-0000F6230000}"/>
    <cellStyle name="60% - 강조색2 4 6" xfId="11486" xr:uid="{00000000-0005-0000-0000-0000F7230000}"/>
    <cellStyle name="60% - 강조색2 4 7" xfId="11487" xr:uid="{00000000-0005-0000-0000-0000F8230000}"/>
    <cellStyle name="60% - 강조색2 4 8" xfId="11488" xr:uid="{00000000-0005-0000-0000-0000F9230000}"/>
    <cellStyle name="60% - 강조색2 4 9" xfId="11489" xr:uid="{00000000-0005-0000-0000-0000FA230000}"/>
    <cellStyle name="60% - 강조색2 40" xfId="1210" xr:uid="{00000000-0005-0000-0000-0000FB230000}"/>
    <cellStyle name="60% - 강조색2 40 10" xfId="11491" xr:uid="{00000000-0005-0000-0000-0000FC230000}"/>
    <cellStyle name="60% - 강조색2 40 11" xfId="11492" xr:uid="{00000000-0005-0000-0000-0000FD230000}"/>
    <cellStyle name="60% - 강조색2 40 12" xfId="11493" xr:uid="{00000000-0005-0000-0000-0000FE230000}"/>
    <cellStyle name="60% - 강조색2 40 13" xfId="11494" xr:uid="{00000000-0005-0000-0000-0000FF230000}"/>
    <cellStyle name="60% - 강조색2 40 14" xfId="11495" xr:uid="{00000000-0005-0000-0000-000000240000}"/>
    <cellStyle name="60% - 강조색2 40 15" xfId="11490" xr:uid="{00000000-0005-0000-0000-000001240000}"/>
    <cellStyle name="60% - 강조색2 40 2" xfId="1211" xr:uid="{00000000-0005-0000-0000-000002240000}"/>
    <cellStyle name="60% - 강조색2 40 2 2" xfId="11496" xr:uid="{00000000-0005-0000-0000-000003240000}"/>
    <cellStyle name="60% - 강조색2 40 3" xfId="11497" xr:uid="{00000000-0005-0000-0000-000004240000}"/>
    <cellStyle name="60% - 강조색2 40 4" xfId="11498" xr:uid="{00000000-0005-0000-0000-000005240000}"/>
    <cellStyle name="60% - 강조색2 40 5" xfId="11499" xr:uid="{00000000-0005-0000-0000-000006240000}"/>
    <cellStyle name="60% - 강조색2 40 6" xfId="11500" xr:uid="{00000000-0005-0000-0000-000007240000}"/>
    <cellStyle name="60% - 강조색2 40 7" xfId="11501" xr:uid="{00000000-0005-0000-0000-000008240000}"/>
    <cellStyle name="60% - 강조색2 40 8" xfId="11502" xr:uid="{00000000-0005-0000-0000-000009240000}"/>
    <cellStyle name="60% - 강조색2 40 9" xfId="11503" xr:uid="{00000000-0005-0000-0000-00000A240000}"/>
    <cellStyle name="60% - 강조색2 41" xfId="1212" xr:uid="{00000000-0005-0000-0000-00000B240000}"/>
    <cellStyle name="60% - 강조색2 41 10" xfId="11505" xr:uid="{00000000-0005-0000-0000-00000C240000}"/>
    <cellStyle name="60% - 강조색2 41 11" xfId="11506" xr:uid="{00000000-0005-0000-0000-00000D240000}"/>
    <cellStyle name="60% - 강조색2 41 12" xfId="11507" xr:uid="{00000000-0005-0000-0000-00000E240000}"/>
    <cellStyle name="60% - 강조색2 41 13" xfId="11508" xr:uid="{00000000-0005-0000-0000-00000F240000}"/>
    <cellStyle name="60% - 강조색2 41 14" xfId="11509" xr:uid="{00000000-0005-0000-0000-000010240000}"/>
    <cellStyle name="60% - 강조색2 41 15" xfId="11504" xr:uid="{00000000-0005-0000-0000-000011240000}"/>
    <cellStyle name="60% - 강조색2 41 2" xfId="1213" xr:uid="{00000000-0005-0000-0000-000012240000}"/>
    <cellStyle name="60% - 강조색2 41 2 2" xfId="11510" xr:uid="{00000000-0005-0000-0000-000013240000}"/>
    <cellStyle name="60% - 강조색2 41 3" xfId="11511" xr:uid="{00000000-0005-0000-0000-000014240000}"/>
    <cellStyle name="60% - 강조색2 41 4" xfId="11512" xr:uid="{00000000-0005-0000-0000-000015240000}"/>
    <cellStyle name="60% - 강조색2 41 5" xfId="11513" xr:uid="{00000000-0005-0000-0000-000016240000}"/>
    <cellStyle name="60% - 강조색2 41 6" xfId="11514" xr:uid="{00000000-0005-0000-0000-000017240000}"/>
    <cellStyle name="60% - 강조색2 41 7" xfId="11515" xr:uid="{00000000-0005-0000-0000-000018240000}"/>
    <cellStyle name="60% - 강조색2 41 8" xfId="11516" xr:uid="{00000000-0005-0000-0000-000019240000}"/>
    <cellStyle name="60% - 강조색2 41 9" xfId="11517" xr:uid="{00000000-0005-0000-0000-00001A240000}"/>
    <cellStyle name="60% - 강조색2 42" xfId="1214" xr:uid="{00000000-0005-0000-0000-00001B240000}"/>
    <cellStyle name="60% - 강조색2 42 10" xfId="11519" xr:uid="{00000000-0005-0000-0000-00001C240000}"/>
    <cellStyle name="60% - 강조색2 42 11" xfId="11520" xr:uid="{00000000-0005-0000-0000-00001D240000}"/>
    <cellStyle name="60% - 강조색2 42 12" xfId="11521" xr:uid="{00000000-0005-0000-0000-00001E240000}"/>
    <cellStyle name="60% - 강조색2 42 13" xfId="11522" xr:uid="{00000000-0005-0000-0000-00001F240000}"/>
    <cellStyle name="60% - 강조색2 42 14" xfId="11523" xr:uid="{00000000-0005-0000-0000-000020240000}"/>
    <cellStyle name="60% - 강조색2 42 15" xfId="11518" xr:uid="{00000000-0005-0000-0000-000021240000}"/>
    <cellStyle name="60% - 강조색2 42 2" xfId="1215" xr:uid="{00000000-0005-0000-0000-000022240000}"/>
    <cellStyle name="60% - 강조색2 42 2 2" xfId="11524" xr:uid="{00000000-0005-0000-0000-000023240000}"/>
    <cellStyle name="60% - 강조색2 42 3" xfId="11525" xr:uid="{00000000-0005-0000-0000-000024240000}"/>
    <cellStyle name="60% - 강조색2 42 4" xfId="11526" xr:uid="{00000000-0005-0000-0000-000025240000}"/>
    <cellStyle name="60% - 강조색2 42 5" xfId="11527" xr:uid="{00000000-0005-0000-0000-000026240000}"/>
    <cellStyle name="60% - 강조색2 42 6" xfId="11528" xr:uid="{00000000-0005-0000-0000-000027240000}"/>
    <cellStyle name="60% - 강조색2 42 7" xfId="11529" xr:uid="{00000000-0005-0000-0000-000028240000}"/>
    <cellStyle name="60% - 강조색2 42 8" xfId="11530" xr:uid="{00000000-0005-0000-0000-000029240000}"/>
    <cellStyle name="60% - 강조색2 42 9" xfId="11531" xr:uid="{00000000-0005-0000-0000-00002A240000}"/>
    <cellStyle name="60% - 강조색2 43" xfId="1216" xr:uid="{00000000-0005-0000-0000-00002B240000}"/>
    <cellStyle name="60% - 강조색2 43 10" xfId="11533" xr:uid="{00000000-0005-0000-0000-00002C240000}"/>
    <cellStyle name="60% - 강조색2 43 11" xfId="11534" xr:uid="{00000000-0005-0000-0000-00002D240000}"/>
    <cellStyle name="60% - 강조색2 43 12" xfId="11535" xr:uid="{00000000-0005-0000-0000-00002E240000}"/>
    <cellStyle name="60% - 강조색2 43 13" xfId="11536" xr:uid="{00000000-0005-0000-0000-00002F240000}"/>
    <cellStyle name="60% - 강조색2 43 14" xfId="11537" xr:uid="{00000000-0005-0000-0000-000030240000}"/>
    <cellStyle name="60% - 강조색2 43 15" xfId="11532" xr:uid="{00000000-0005-0000-0000-000031240000}"/>
    <cellStyle name="60% - 강조색2 43 2" xfId="1217" xr:uid="{00000000-0005-0000-0000-000032240000}"/>
    <cellStyle name="60% - 강조색2 43 2 2" xfId="11538" xr:uid="{00000000-0005-0000-0000-000033240000}"/>
    <cellStyle name="60% - 강조색2 43 3" xfId="11539" xr:uid="{00000000-0005-0000-0000-000034240000}"/>
    <cellStyle name="60% - 강조색2 43 4" xfId="11540" xr:uid="{00000000-0005-0000-0000-000035240000}"/>
    <cellStyle name="60% - 강조색2 43 5" xfId="11541" xr:uid="{00000000-0005-0000-0000-000036240000}"/>
    <cellStyle name="60% - 강조색2 43 6" xfId="11542" xr:uid="{00000000-0005-0000-0000-000037240000}"/>
    <cellStyle name="60% - 강조색2 43 7" xfId="11543" xr:uid="{00000000-0005-0000-0000-000038240000}"/>
    <cellStyle name="60% - 강조색2 43 8" xfId="11544" xr:uid="{00000000-0005-0000-0000-000039240000}"/>
    <cellStyle name="60% - 강조색2 43 9" xfId="11545" xr:uid="{00000000-0005-0000-0000-00003A240000}"/>
    <cellStyle name="60% - 강조색2 44" xfId="1218" xr:uid="{00000000-0005-0000-0000-00003B240000}"/>
    <cellStyle name="60% - 강조색2 44 2" xfId="11546" xr:uid="{00000000-0005-0000-0000-00003C240000}"/>
    <cellStyle name="60% - 강조색2 45" xfId="1219" xr:uid="{00000000-0005-0000-0000-00003D240000}"/>
    <cellStyle name="60% - 강조색2 45 2" xfId="11547" xr:uid="{00000000-0005-0000-0000-00003E240000}"/>
    <cellStyle name="60% - 강조색2 46" xfId="1143" xr:uid="{00000000-0005-0000-0000-00003F240000}"/>
    <cellStyle name="60% - 강조색2 47" xfId="11027" xr:uid="{00000000-0005-0000-0000-000040240000}"/>
    <cellStyle name="60% - 강조색2 5" xfId="1220" xr:uid="{00000000-0005-0000-0000-000041240000}"/>
    <cellStyle name="60% - 강조색2 5 10" xfId="11549" xr:uid="{00000000-0005-0000-0000-000042240000}"/>
    <cellStyle name="60% - 강조색2 5 11" xfId="11550" xr:uid="{00000000-0005-0000-0000-000043240000}"/>
    <cellStyle name="60% - 강조색2 5 12" xfId="11551" xr:uid="{00000000-0005-0000-0000-000044240000}"/>
    <cellStyle name="60% - 강조색2 5 13" xfId="11552" xr:uid="{00000000-0005-0000-0000-000045240000}"/>
    <cellStyle name="60% - 강조색2 5 14" xfId="11553" xr:uid="{00000000-0005-0000-0000-000046240000}"/>
    <cellStyle name="60% - 강조색2 5 15" xfId="11548" xr:uid="{00000000-0005-0000-0000-000047240000}"/>
    <cellStyle name="60% - 강조색2 5 2" xfId="1221" xr:uid="{00000000-0005-0000-0000-000048240000}"/>
    <cellStyle name="60% - 강조색2 5 2 2" xfId="11554" xr:uid="{00000000-0005-0000-0000-000049240000}"/>
    <cellStyle name="60% - 강조색2 5 3" xfId="11555" xr:uid="{00000000-0005-0000-0000-00004A240000}"/>
    <cellStyle name="60% - 강조색2 5 4" xfId="11556" xr:uid="{00000000-0005-0000-0000-00004B240000}"/>
    <cellStyle name="60% - 강조색2 5 5" xfId="11557" xr:uid="{00000000-0005-0000-0000-00004C240000}"/>
    <cellStyle name="60% - 강조색2 5 6" xfId="11558" xr:uid="{00000000-0005-0000-0000-00004D240000}"/>
    <cellStyle name="60% - 강조색2 5 7" xfId="11559" xr:uid="{00000000-0005-0000-0000-00004E240000}"/>
    <cellStyle name="60% - 강조색2 5 8" xfId="11560" xr:uid="{00000000-0005-0000-0000-00004F240000}"/>
    <cellStyle name="60% - 강조색2 5 9" xfId="11561" xr:uid="{00000000-0005-0000-0000-000050240000}"/>
    <cellStyle name="60% - 강조색2 6" xfId="1222" xr:uid="{00000000-0005-0000-0000-000051240000}"/>
    <cellStyle name="60% - 강조색2 6 10" xfId="11563" xr:uid="{00000000-0005-0000-0000-000052240000}"/>
    <cellStyle name="60% - 강조색2 6 11" xfId="11564" xr:uid="{00000000-0005-0000-0000-000053240000}"/>
    <cellStyle name="60% - 강조색2 6 12" xfId="11565" xr:uid="{00000000-0005-0000-0000-000054240000}"/>
    <cellStyle name="60% - 강조색2 6 13" xfId="11566" xr:uid="{00000000-0005-0000-0000-000055240000}"/>
    <cellStyle name="60% - 강조색2 6 14" xfId="11567" xr:uid="{00000000-0005-0000-0000-000056240000}"/>
    <cellStyle name="60% - 강조색2 6 15" xfId="11562" xr:uid="{00000000-0005-0000-0000-000057240000}"/>
    <cellStyle name="60% - 강조색2 6 2" xfId="1223" xr:uid="{00000000-0005-0000-0000-000058240000}"/>
    <cellStyle name="60% - 강조색2 6 2 2" xfId="11568" xr:uid="{00000000-0005-0000-0000-000059240000}"/>
    <cellStyle name="60% - 강조색2 6 3" xfId="11569" xr:uid="{00000000-0005-0000-0000-00005A240000}"/>
    <cellStyle name="60% - 강조색2 6 4" xfId="11570" xr:uid="{00000000-0005-0000-0000-00005B240000}"/>
    <cellStyle name="60% - 강조색2 6 5" xfId="11571" xr:uid="{00000000-0005-0000-0000-00005C240000}"/>
    <cellStyle name="60% - 강조색2 6 6" xfId="11572" xr:uid="{00000000-0005-0000-0000-00005D240000}"/>
    <cellStyle name="60% - 강조색2 6 7" xfId="11573" xr:uid="{00000000-0005-0000-0000-00005E240000}"/>
    <cellStyle name="60% - 강조색2 6 8" xfId="11574" xr:uid="{00000000-0005-0000-0000-00005F240000}"/>
    <cellStyle name="60% - 강조색2 6 9" xfId="11575" xr:uid="{00000000-0005-0000-0000-000060240000}"/>
    <cellStyle name="60% - 강조색2 7" xfId="1224" xr:uid="{00000000-0005-0000-0000-000061240000}"/>
    <cellStyle name="60% - 강조색2 7 10" xfId="11577" xr:uid="{00000000-0005-0000-0000-000062240000}"/>
    <cellStyle name="60% - 강조색2 7 11" xfId="11578" xr:uid="{00000000-0005-0000-0000-000063240000}"/>
    <cellStyle name="60% - 강조색2 7 12" xfId="11579" xr:uid="{00000000-0005-0000-0000-000064240000}"/>
    <cellStyle name="60% - 강조색2 7 13" xfId="11580" xr:uid="{00000000-0005-0000-0000-000065240000}"/>
    <cellStyle name="60% - 강조색2 7 14" xfId="11581" xr:uid="{00000000-0005-0000-0000-000066240000}"/>
    <cellStyle name="60% - 강조색2 7 15" xfId="11576" xr:uid="{00000000-0005-0000-0000-000067240000}"/>
    <cellStyle name="60% - 강조색2 7 2" xfId="1225" xr:uid="{00000000-0005-0000-0000-000068240000}"/>
    <cellStyle name="60% - 강조색2 7 2 2" xfId="11582" xr:uid="{00000000-0005-0000-0000-000069240000}"/>
    <cellStyle name="60% - 강조색2 7 3" xfId="11583" xr:uid="{00000000-0005-0000-0000-00006A240000}"/>
    <cellStyle name="60% - 강조색2 7 4" xfId="11584" xr:uid="{00000000-0005-0000-0000-00006B240000}"/>
    <cellStyle name="60% - 강조색2 7 5" xfId="11585" xr:uid="{00000000-0005-0000-0000-00006C240000}"/>
    <cellStyle name="60% - 강조색2 7 6" xfId="11586" xr:uid="{00000000-0005-0000-0000-00006D240000}"/>
    <cellStyle name="60% - 강조색2 7 7" xfId="11587" xr:uid="{00000000-0005-0000-0000-00006E240000}"/>
    <cellStyle name="60% - 강조색2 7 8" xfId="11588" xr:uid="{00000000-0005-0000-0000-00006F240000}"/>
    <cellStyle name="60% - 강조색2 7 9" xfId="11589" xr:uid="{00000000-0005-0000-0000-000070240000}"/>
    <cellStyle name="60% - 강조색2 8" xfId="1226" xr:uid="{00000000-0005-0000-0000-000071240000}"/>
    <cellStyle name="60% - 강조색2 8 10" xfId="11591" xr:uid="{00000000-0005-0000-0000-000072240000}"/>
    <cellStyle name="60% - 강조색2 8 11" xfId="11592" xr:uid="{00000000-0005-0000-0000-000073240000}"/>
    <cellStyle name="60% - 강조색2 8 12" xfId="11593" xr:uid="{00000000-0005-0000-0000-000074240000}"/>
    <cellStyle name="60% - 강조색2 8 13" xfId="11594" xr:uid="{00000000-0005-0000-0000-000075240000}"/>
    <cellStyle name="60% - 강조색2 8 14" xfId="11595" xr:uid="{00000000-0005-0000-0000-000076240000}"/>
    <cellStyle name="60% - 강조색2 8 15" xfId="11590" xr:uid="{00000000-0005-0000-0000-000077240000}"/>
    <cellStyle name="60% - 강조색2 8 2" xfId="1227" xr:uid="{00000000-0005-0000-0000-000078240000}"/>
    <cellStyle name="60% - 강조색2 8 2 2" xfId="11596" xr:uid="{00000000-0005-0000-0000-000079240000}"/>
    <cellStyle name="60% - 강조색2 8 3" xfId="11597" xr:uid="{00000000-0005-0000-0000-00007A240000}"/>
    <cellStyle name="60% - 강조색2 8 4" xfId="11598" xr:uid="{00000000-0005-0000-0000-00007B240000}"/>
    <cellStyle name="60% - 강조색2 8 5" xfId="11599" xr:uid="{00000000-0005-0000-0000-00007C240000}"/>
    <cellStyle name="60% - 강조색2 8 6" xfId="11600" xr:uid="{00000000-0005-0000-0000-00007D240000}"/>
    <cellStyle name="60% - 강조색2 8 7" xfId="11601" xr:uid="{00000000-0005-0000-0000-00007E240000}"/>
    <cellStyle name="60% - 강조색2 8 8" xfId="11602" xr:uid="{00000000-0005-0000-0000-00007F240000}"/>
    <cellStyle name="60% - 강조색2 8 9" xfId="11603" xr:uid="{00000000-0005-0000-0000-000080240000}"/>
    <cellStyle name="60% - 강조색2 9" xfId="1228" xr:uid="{00000000-0005-0000-0000-000081240000}"/>
    <cellStyle name="60% - 강조색2 9 10" xfId="11605" xr:uid="{00000000-0005-0000-0000-000082240000}"/>
    <cellStyle name="60% - 강조색2 9 11" xfId="11606" xr:uid="{00000000-0005-0000-0000-000083240000}"/>
    <cellStyle name="60% - 강조색2 9 12" xfId="11607" xr:uid="{00000000-0005-0000-0000-000084240000}"/>
    <cellStyle name="60% - 강조색2 9 13" xfId="11608" xr:uid="{00000000-0005-0000-0000-000085240000}"/>
    <cellStyle name="60% - 강조색2 9 14" xfId="11609" xr:uid="{00000000-0005-0000-0000-000086240000}"/>
    <cellStyle name="60% - 강조색2 9 15" xfId="11604" xr:uid="{00000000-0005-0000-0000-000087240000}"/>
    <cellStyle name="60% - 강조색2 9 2" xfId="1229" xr:uid="{00000000-0005-0000-0000-000088240000}"/>
    <cellStyle name="60% - 강조색2 9 2 2" xfId="11610" xr:uid="{00000000-0005-0000-0000-000089240000}"/>
    <cellStyle name="60% - 강조색2 9 3" xfId="11611" xr:uid="{00000000-0005-0000-0000-00008A240000}"/>
    <cellStyle name="60% - 강조색2 9 4" xfId="11612" xr:uid="{00000000-0005-0000-0000-00008B240000}"/>
    <cellStyle name="60% - 강조색2 9 5" xfId="11613" xr:uid="{00000000-0005-0000-0000-00008C240000}"/>
    <cellStyle name="60% - 강조색2 9 6" xfId="11614" xr:uid="{00000000-0005-0000-0000-00008D240000}"/>
    <cellStyle name="60% - 강조색2 9 7" xfId="11615" xr:uid="{00000000-0005-0000-0000-00008E240000}"/>
    <cellStyle name="60% - 강조색2 9 8" xfId="11616" xr:uid="{00000000-0005-0000-0000-00008F240000}"/>
    <cellStyle name="60% - 강조색2 9 9" xfId="11617" xr:uid="{00000000-0005-0000-0000-000090240000}"/>
    <cellStyle name="60% - 강조색3 10" xfId="1231" xr:uid="{00000000-0005-0000-0000-000091240000}"/>
    <cellStyle name="60% - 강조색3 10 10" xfId="11620" xr:uid="{00000000-0005-0000-0000-000092240000}"/>
    <cellStyle name="60% - 강조색3 10 11" xfId="11621" xr:uid="{00000000-0005-0000-0000-000093240000}"/>
    <cellStyle name="60% - 강조색3 10 12" xfId="11622" xr:uid="{00000000-0005-0000-0000-000094240000}"/>
    <cellStyle name="60% - 강조색3 10 13" xfId="11623" xr:uid="{00000000-0005-0000-0000-000095240000}"/>
    <cellStyle name="60% - 강조색3 10 14" xfId="11624" xr:uid="{00000000-0005-0000-0000-000096240000}"/>
    <cellStyle name="60% - 강조색3 10 15" xfId="11619" xr:uid="{00000000-0005-0000-0000-000097240000}"/>
    <cellStyle name="60% - 강조색3 10 16" xfId="27775" xr:uid="{00000000-0005-0000-0000-000098240000}"/>
    <cellStyle name="60% - 강조색3 10 2" xfId="1232" xr:uid="{00000000-0005-0000-0000-000099240000}"/>
    <cellStyle name="60% - 강조색3 10 2 2" xfId="11625" xr:uid="{00000000-0005-0000-0000-00009A240000}"/>
    <cellStyle name="60% - 강조색3 10 3" xfId="11626" xr:uid="{00000000-0005-0000-0000-00009B240000}"/>
    <cellStyle name="60% - 강조색3 10 4" xfId="11627" xr:uid="{00000000-0005-0000-0000-00009C240000}"/>
    <cellStyle name="60% - 강조색3 10 5" xfId="11628" xr:uid="{00000000-0005-0000-0000-00009D240000}"/>
    <cellStyle name="60% - 강조색3 10 6" xfId="11629" xr:uid="{00000000-0005-0000-0000-00009E240000}"/>
    <cellStyle name="60% - 강조색3 10 7" xfId="11630" xr:uid="{00000000-0005-0000-0000-00009F240000}"/>
    <cellStyle name="60% - 강조색3 10 8" xfId="11631" xr:uid="{00000000-0005-0000-0000-0000A0240000}"/>
    <cellStyle name="60% - 강조색3 10 9" xfId="11632" xr:uid="{00000000-0005-0000-0000-0000A1240000}"/>
    <cellStyle name="60% - 강조색3 11" xfId="1233" xr:uid="{00000000-0005-0000-0000-0000A2240000}"/>
    <cellStyle name="60% - 강조색3 11 10" xfId="11634" xr:uid="{00000000-0005-0000-0000-0000A3240000}"/>
    <cellStyle name="60% - 강조색3 11 11" xfId="11635" xr:uid="{00000000-0005-0000-0000-0000A4240000}"/>
    <cellStyle name="60% - 강조색3 11 12" xfId="11636" xr:uid="{00000000-0005-0000-0000-0000A5240000}"/>
    <cellStyle name="60% - 강조색3 11 13" xfId="11637" xr:uid="{00000000-0005-0000-0000-0000A6240000}"/>
    <cellStyle name="60% - 강조색3 11 14" xfId="11638" xr:uid="{00000000-0005-0000-0000-0000A7240000}"/>
    <cellStyle name="60% - 강조색3 11 15" xfId="11633" xr:uid="{00000000-0005-0000-0000-0000A8240000}"/>
    <cellStyle name="60% - 강조색3 11 16" xfId="27774" xr:uid="{00000000-0005-0000-0000-0000A9240000}"/>
    <cellStyle name="60% - 강조색3 11 2" xfId="1234" xr:uid="{00000000-0005-0000-0000-0000AA240000}"/>
    <cellStyle name="60% - 강조색3 11 2 2" xfId="11639" xr:uid="{00000000-0005-0000-0000-0000AB240000}"/>
    <cellStyle name="60% - 강조색3 11 3" xfId="11640" xr:uid="{00000000-0005-0000-0000-0000AC240000}"/>
    <cellStyle name="60% - 강조색3 11 4" xfId="11641" xr:uid="{00000000-0005-0000-0000-0000AD240000}"/>
    <cellStyle name="60% - 강조색3 11 5" xfId="11642" xr:uid="{00000000-0005-0000-0000-0000AE240000}"/>
    <cellStyle name="60% - 강조색3 11 6" xfId="11643" xr:uid="{00000000-0005-0000-0000-0000AF240000}"/>
    <cellStyle name="60% - 강조색3 11 7" xfId="11644" xr:uid="{00000000-0005-0000-0000-0000B0240000}"/>
    <cellStyle name="60% - 강조색3 11 8" xfId="11645" xr:uid="{00000000-0005-0000-0000-0000B1240000}"/>
    <cellStyle name="60% - 강조색3 11 9" xfId="11646" xr:uid="{00000000-0005-0000-0000-0000B2240000}"/>
    <cellStyle name="60% - 강조색3 12" xfId="1235" xr:uid="{00000000-0005-0000-0000-0000B3240000}"/>
    <cellStyle name="60% - 강조색3 12 10" xfId="11648" xr:uid="{00000000-0005-0000-0000-0000B4240000}"/>
    <cellStyle name="60% - 강조색3 12 11" xfId="11649" xr:uid="{00000000-0005-0000-0000-0000B5240000}"/>
    <cellStyle name="60% - 강조색3 12 12" xfId="11650" xr:uid="{00000000-0005-0000-0000-0000B6240000}"/>
    <cellStyle name="60% - 강조색3 12 13" xfId="11651" xr:uid="{00000000-0005-0000-0000-0000B7240000}"/>
    <cellStyle name="60% - 강조색3 12 14" xfId="11652" xr:uid="{00000000-0005-0000-0000-0000B8240000}"/>
    <cellStyle name="60% - 강조색3 12 15" xfId="11647" xr:uid="{00000000-0005-0000-0000-0000B9240000}"/>
    <cellStyle name="60% - 강조색3 12 16" xfId="27773" xr:uid="{00000000-0005-0000-0000-0000BA240000}"/>
    <cellStyle name="60% - 강조색3 12 2" xfId="1236" xr:uid="{00000000-0005-0000-0000-0000BB240000}"/>
    <cellStyle name="60% - 강조색3 12 2 2" xfId="11653" xr:uid="{00000000-0005-0000-0000-0000BC240000}"/>
    <cellStyle name="60% - 강조색3 12 3" xfId="11654" xr:uid="{00000000-0005-0000-0000-0000BD240000}"/>
    <cellStyle name="60% - 강조색3 12 4" xfId="11655" xr:uid="{00000000-0005-0000-0000-0000BE240000}"/>
    <cellStyle name="60% - 강조색3 12 5" xfId="11656" xr:uid="{00000000-0005-0000-0000-0000BF240000}"/>
    <cellStyle name="60% - 강조색3 12 6" xfId="11657" xr:uid="{00000000-0005-0000-0000-0000C0240000}"/>
    <cellStyle name="60% - 강조색3 12 7" xfId="11658" xr:uid="{00000000-0005-0000-0000-0000C1240000}"/>
    <cellStyle name="60% - 강조색3 12 8" xfId="11659" xr:uid="{00000000-0005-0000-0000-0000C2240000}"/>
    <cellStyle name="60% - 강조색3 12 9" xfId="11660" xr:uid="{00000000-0005-0000-0000-0000C3240000}"/>
    <cellStyle name="60% - 강조색3 13" xfId="1237" xr:uid="{00000000-0005-0000-0000-0000C4240000}"/>
    <cellStyle name="60% - 강조색3 13 10" xfId="11662" xr:uid="{00000000-0005-0000-0000-0000C5240000}"/>
    <cellStyle name="60% - 강조색3 13 11" xfId="11663" xr:uid="{00000000-0005-0000-0000-0000C6240000}"/>
    <cellStyle name="60% - 강조색3 13 12" xfId="11664" xr:uid="{00000000-0005-0000-0000-0000C7240000}"/>
    <cellStyle name="60% - 강조색3 13 13" xfId="11665" xr:uid="{00000000-0005-0000-0000-0000C8240000}"/>
    <cellStyle name="60% - 강조색3 13 14" xfId="11666" xr:uid="{00000000-0005-0000-0000-0000C9240000}"/>
    <cellStyle name="60% - 강조색3 13 15" xfId="11661" xr:uid="{00000000-0005-0000-0000-0000CA240000}"/>
    <cellStyle name="60% - 강조색3 13 16" xfId="27772" xr:uid="{00000000-0005-0000-0000-0000CB240000}"/>
    <cellStyle name="60% - 강조색3 13 2" xfId="1238" xr:uid="{00000000-0005-0000-0000-0000CC240000}"/>
    <cellStyle name="60% - 강조색3 13 2 2" xfId="11667" xr:uid="{00000000-0005-0000-0000-0000CD240000}"/>
    <cellStyle name="60% - 강조색3 13 3" xfId="11668" xr:uid="{00000000-0005-0000-0000-0000CE240000}"/>
    <cellStyle name="60% - 강조색3 13 4" xfId="11669" xr:uid="{00000000-0005-0000-0000-0000CF240000}"/>
    <cellStyle name="60% - 강조색3 13 5" xfId="11670" xr:uid="{00000000-0005-0000-0000-0000D0240000}"/>
    <cellStyle name="60% - 강조색3 13 6" xfId="11671" xr:uid="{00000000-0005-0000-0000-0000D1240000}"/>
    <cellStyle name="60% - 강조색3 13 7" xfId="11672" xr:uid="{00000000-0005-0000-0000-0000D2240000}"/>
    <cellStyle name="60% - 강조색3 13 8" xfId="11673" xr:uid="{00000000-0005-0000-0000-0000D3240000}"/>
    <cellStyle name="60% - 강조색3 13 9" xfId="11674" xr:uid="{00000000-0005-0000-0000-0000D4240000}"/>
    <cellStyle name="60% - 강조색3 14" xfId="1239" xr:uid="{00000000-0005-0000-0000-0000D5240000}"/>
    <cellStyle name="60% - 강조색3 14 10" xfId="11676" xr:uid="{00000000-0005-0000-0000-0000D6240000}"/>
    <cellStyle name="60% - 강조색3 14 11" xfId="11677" xr:uid="{00000000-0005-0000-0000-0000D7240000}"/>
    <cellStyle name="60% - 강조색3 14 12" xfId="11678" xr:uid="{00000000-0005-0000-0000-0000D8240000}"/>
    <cellStyle name="60% - 강조색3 14 13" xfId="11679" xr:uid="{00000000-0005-0000-0000-0000D9240000}"/>
    <cellStyle name="60% - 강조색3 14 14" xfId="11680" xr:uid="{00000000-0005-0000-0000-0000DA240000}"/>
    <cellStyle name="60% - 강조색3 14 15" xfId="11675" xr:uid="{00000000-0005-0000-0000-0000DB240000}"/>
    <cellStyle name="60% - 강조색3 14 16" xfId="27771" xr:uid="{00000000-0005-0000-0000-0000DC240000}"/>
    <cellStyle name="60% - 강조색3 14 2" xfId="1240" xr:uid="{00000000-0005-0000-0000-0000DD240000}"/>
    <cellStyle name="60% - 강조색3 14 2 2" xfId="11681" xr:uid="{00000000-0005-0000-0000-0000DE240000}"/>
    <cellStyle name="60% - 강조색3 14 3" xfId="11682" xr:uid="{00000000-0005-0000-0000-0000DF240000}"/>
    <cellStyle name="60% - 강조색3 14 4" xfId="11683" xr:uid="{00000000-0005-0000-0000-0000E0240000}"/>
    <cellStyle name="60% - 강조색3 14 5" xfId="11684" xr:uid="{00000000-0005-0000-0000-0000E1240000}"/>
    <cellStyle name="60% - 강조색3 14 6" xfId="11685" xr:uid="{00000000-0005-0000-0000-0000E2240000}"/>
    <cellStyle name="60% - 강조색3 14 7" xfId="11686" xr:uid="{00000000-0005-0000-0000-0000E3240000}"/>
    <cellStyle name="60% - 강조색3 14 8" xfId="11687" xr:uid="{00000000-0005-0000-0000-0000E4240000}"/>
    <cellStyle name="60% - 강조색3 14 9" xfId="11688" xr:uid="{00000000-0005-0000-0000-0000E5240000}"/>
    <cellStyle name="60% - 강조색3 15" xfId="1241" xr:uid="{00000000-0005-0000-0000-0000E6240000}"/>
    <cellStyle name="60% - 강조색3 15 10" xfId="11690" xr:uid="{00000000-0005-0000-0000-0000E7240000}"/>
    <cellStyle name="60% - 강조색3 15 11" xfId="11691" xr:uid="{00000000-0005-0000-0000-0000E8240000}"/>
    <cellStyle name="60% - 강조색3 15 12" xfId="11692" xr:uid="{00000000-0005-0000-0000-0000E9240000}"/>
    <cellStyle name="60% - 강조색3 15 13" xfId="11693" xr:uid="{00000000-0005-0000-0000-0000EA240000}"/>
    <cellStyle name="60% - 강조색3 15 14" xfId="11694" xr:uid="{00000000-0005-0000-0000-0000EB240000}"/>
    <cellStyle name="60% - 강조색3 15 15" xfId="11689" xr:uid="{00000000-0005-0000-0000-0000EC240000}"/>
    <cellStyle name="60% - 강조색3 15 16" xfId="27770" xr:uid="{00000000-0005-0000-0000-0000ED240000}"/>
    <cellStyle name="60% - 강조색3 15 2" xfId="1242" xr:uid="{00000000-0005-0000-0000-0000EE240000}"/>
    <cellStyle name="60% - 강조색3 15 2 2" xfId="11695" xr:uid="{00000000-0005-0000-0000-0000EF240000}"/>
    <cellStyle name="60% - 강조색3 15 3" xfId="11696" xr:uid="{00000000-0005-0000-0000-0000F0240000}"/>
    <cellStyle name="60% - 강조색3 15 4" xfId="11697" xr:uid="{00000000-0005-0000-0000-0000F1240000}"/>
    <cellStyle name="60% - 강조색3 15 5" xfId="11698" xr:uid="{00000000-0005-0000-0000-0000F2240000}"/>
    <cellStyle name="60% - 강조색3 15 6" xfId="11699" xr:uid="{00000000-0005-0000-0000-0000F3240000}"/>
    <cellStyle name="60% - 강조색3 15 7" xfId="11700" xr:uid="{00000000-0005-0000-0000-0000F4240000}"/>
    <cellStyle name="60% - 강조색3 15 8" xfId="11701" xr:uid="{00000000-0005-0000-0000-0000F5240000}"/>
    <cellStyle name="60% - 강조색3 15 9" xfId="11702" xr:uid="{00000000-0005-0000-0000-0000F6240000}"/>
    <cellStyle name="60% - 강조색3 16" xfId="1243" xr:uid="{00000000-0005-0000-0000-0000F7240000}"/>
    <cellStyle name="60% - 강조색3 16 10" xfId="11704" xr:uid="{00000000-0005-0000-0000-0000F8240000}"/>
    <cellStyle name="60% - 강조색3 16 11" xfId="11705" xr:uid="{00000000-0005-0000-0000-0000F9240000}"/>
    <cellStyle name="60% - 강조색3 16 12" xfId="11706" xr:uid="{00000000-0005-0000-0000-0000FA240000}"/>
    <cellStyle name="60% - 강조색3 16 13" xfId="11707" xr:uid="{00000000-0005-0000-0000-0000FB240000}"/>
    <cellStyle name="60% - 강조색3 16 14" xfId="11708" xr:uid="{00000000-0005-0000-0000-0000FC240000}"/>
    <cellStyle name="60% - 강조색3 16 15" xfId="11703" xr:uid="{00000000-0005-0000-0000-0000FD240000}"/>
    <cellStyle name="60% - 강조색3 16 16" xfId="27769" xr:uid="{00000000-0005-0000-0000-0000FE240000}"/>
    <cellStyle name="60% - 강조색3 16 2" xfId="1244" xr:uid="{00000000-0005-0000-0000-0000FF240000}"/>
    <cellStyle name="60% - 강조색3 16 2 2" xfId="11709" xr:uid="{00000000-0005-0000-0000-000000250000}"/>
    <cellStyle name="60% - 강조색3 16 3" xfId="11710" xr:uid="{00000000-0005-0000-0000-000001250000}"/>
    <cellStyle name="60% - 강조색3 16 4" xfId="11711" xr:uid="{00000000-0005-0000-0000-000002250000}"/>
    <cellStyle name="60% - 강조색3 16 5" xfId="11712" xr:uid="{00000000-0005-0000-0000-000003250000}"/>
    <cellStyle name="60% - 강조색3 16 6" xfId="11713" xr:uid="{00000000-0005-0000-0000-000004250000}"/>
    <cellStyle name="60% - 강조색3 16 7" xfId="11714" xr:uid="{00000000-0005-0000-0000-000005250000}"/>
    <cellStyle name="60% - 강조색3 16 8" xfId="11715" xr:uid="{00000000-0005-0000-0000-000006250000}"/>
    <cellStyle name="60% - 강조색3 16 9" xfId="11716" xr:uid="{00000000-0005-0000-0000-000007250000}"/>
    <cellStyle name="60% - 강조색3 17" xfId="1245" xr:uid="{00000000-0005-0000-0000-000008250000}"/>
    <cellStyle name="60% - 강조색3 17 10" xfId="11718" xr:uid="{00000000-0005-0000-0000-000009250000}"/>
    <cellStyle name="60% - 강조색3 17 11" xfId="11719" xr:uid="{00000000-0005-0000-0000-00000A250000}"/>
    <cellStyle name="60% - 강조색3 17 12" xfId="11720" xr:uid="{00000000-0005-0000-0000-00000B250000}"/>
    <cellStyle name="60% - 강조색3 17 13" xfId="11721" xr:uid="{00000000-0005-0000-0000-00000C250000}"/>
    <cellStyle name="60% - 강조색3 17 14" xfId="11722" xr:uid="{00000000-0005-0000-0000-00000D250000}"/>
    <cellStyle name="60% - 강조색3 17 15" xfId="11717" xr:uid="{00000000-0005-0000-0000-00000E250000}"/>
    <cellStyle name="60% - 강조색3 17 16" xfId="27768" xr:uid="{00000000-0005-0000-0000-00000F250000}"/>
    <cellStyle name="60% - 강조색3 17 2" xfId="1246" xr:uid="{00000000-0005-0000-0000-000010250000}"/>
    <cellStyle name="60% - 강조색3 17 2 2" xfId="11723" xr:uid="{00000000-0005-0000-0000-000011250000}"/>
    <cellStyle name="60% - 강조색3 17 3" xfId="11724" xr:uid="{00000000-0005-0000-0000-000012250000}"/>
    <cellStyle name="60% - 강조색3 17 4" xfId="11725" xr:uid="{00000000-0005-0000-0000-000013250000}"/>
    <cellStyle name="60% - 강조색3 17 5" xfId="11726" xr:uid="{00000000-0005-0000-0000-000014250000}"/>
    <cellStyle name="60% - 강조색3 17 6" xfId="11727" xr:uid="{00000000-0005-0000-0000-000015250000}"/>
    <cellStyle name="60% - 강조색3 17 7" xfId="11728" xr:uid="{00000000-0005-0000-0000-000016250000}"/>
    <cellStyle name="60% - 강조색3 17 8" xfId="11729" xr:uid="{00000000-0005-0000-0000-000017250000}"/>
    <cellStyle name="60% - 강조색3 17 9" xfId="11730" xr:uid="{00000000-0005-0000-0000-000018250000}"/>
    <cellStyle name="60% - 강조색3 18" xfId="1247" xr:uid="{00000000-0005-0000-0000-000019250000}"/>
    <cellStyle name="60% - 강조색3 18 10" xfId="11732" xr:uid="{00000000-0005-0000-0000-00001A250000}"/>
    <cellStyle name="60% - 강조색3 18 11" xfId="11733" xr:uid="{00000000-0005-0000-0000-00001B250000}"/>
    <cellStyle name="60% - 강조색3 18 12" xfId="11734" xr:uid="{00000000-0005-0000-0000-00001C250000}"/>
    <cellStyle name="60% - 강조색3 18 13" xfId="11735" xr:uid="{00000000-0005-0000-0000-00001D250000}"/>
    <cellStyle name="60% - 강조색3 18 14" xfId="11736" xr:uid="{00000000-0005-0000-0000-00001E250000}"/>
    <cellStyle name="60% - 강조색3 18 15" xfId="11731" xr:uid="{00000000-0005-0000-0000-00001F250000}"/>
    <cellStyle name="60% - 강조색3 18 16" xfId="27767" xr:uid="{00000000-0005-0000-0000-000020250000}"/>
    <cellStyle name="60% - 강조색3 18 2" xfId="1248" xr:uid="{00000000-0005-0000-0000-000021250000}"/>
    <cellStyle name="60% - 강조색3 18 2 2" xfId="11737" xr:uid="{00000000-0005-0000-0000-000022250000}"/>
    <cellStyle name="60% - 강조색3 18 3" xfId="11738" xr:uid="{00000000-0005-0000-0000-000023250000}"/>
    <cellStyle name="60% - 강조색3 18 4" xfId="11739" xr:uid="{00000000-0005-0000-0000-000024250000}"/>
    <cellStyle name="60% - 강조색3 18 5" xfId="11740" xr:uid="{00000000-0005-0000-0000-000025250000}"/>
    <cellStyle name="60% - 강조색3 18 6" xfId="11741" xr:uid="{00000000-0005-0000-0000-000026250000}"/>
    <cellStyle name="60% - 강조색3 18 7" xfId="11742" xr:uid="{00000000-0005-0000-0000-000027250000}"/>
    <cellStyle name="60% - 강조색3 18 8" xfId="11743" xr:uid="{00000000-0005-0000-0000-000028250000}"/>
    <cellStyle name="60% - 강조색3 18 9" xfId="11744" xr:uid="{00000000-0005-0000-0000-000029250000}"/>
    <cellStyle name="60% - 강조색3 19" xfId="1249" xr:uid="{00000000-0005-0000-0000-00002A250000}"/>
    <cellStyle name="60% - 강조색3 19 10" xfId="11746" xr:uid="{00000000-0005-0000-0000-00002B250000}"/>
    <cellStyle name="60% - 강조색3 19 11" xfId="11747" xr:uid="{00000000-0005-0000-0000-00002C250000}"/>
    <cellStyle name="60% - 강조색3 19 12" xfId="11748" xr:uid="{00000000-0005-0000-0000-00002D250000}"/>
    <cellStyle name="60% - 강조색3 19 13" xfId="11749" xr:uid="{00000000-0005-0000-0000-00002E250000}"/>
    <cellStyle name="60% - 강조색3 19 14" xfId="11750" xr:uid="{00000000-0005-0000-0000-00002F250000}"/>
    <cellStyle name="60% - 강조색3 19 15" xfId="11745" xr:uid="{00000000-0005-0000-0000-000030250000}"/>
    <cellStyle name="60% - 강조색3 19 16" xfId="27766" xr:uid="{00000000-0005-0000-0000-000031250000}"/>
    <cellStyle name="60% - 강조색3 19 2" xfId="1250" xr:uid="{00000000-0005-0000-0000-000032250000}"/>
    <cellStyle name="60% - 강조색3 19 2 2" xfId="11751" xr:uid="{00000000-0005-0000-0000-000033250000}"/>
    <cellStyle name="60% - 강조색3 19 3" xfId="11752" xr:uid="{00000000-0005-0000-0000-000034250000}"/>
    <cellStyle name="60% - 강조색3 19 4" xfId="11753" xr:uid="{00000000-0005-0000-0000-000035250000}"/>
    <cellStyle name="60% - 강조색3 19 5" xfId="11754" xr:uid="{00000000-0005-0000-0000-000036250000}"/>
    <cellStyle name="60% - 강조색3 19 6" xfId="11755" xr:uid="{00000000-0005-0000-0000-000037250000}"/>
    <cellStyle name="60% - 강조색3 19 7" xfId="11756" xr:uid="{00000000-0005-0000-0000-000038250000}"/>
    <cellStyle name="60% - 강조색3 19 8" xfId="11757" xr:uid="{00000000-0005-0000-0000-000039250000}"/>
    <cellStyle name="60% - 강조색3 19 9" xfId="11758" xr:uid="{00000000-0005-0000-0000-00003A250000}"/>
    <cellStyle name="60% - 강조색3 2" xfId="1251" xr:uid="{00000000-0005-0000-0000-00003B250000}"/>
    <cellStyle name="60% - 강조색3 2 10" xfId="11760" xr:uid="{00000000-0005-0000-0000-00003C250000}"/>
    <cellStyle name="60% - 강조색3 2 11" xfId="11761" xr:uid="{00000000-0005-0000-0000-00003D250000}"/>
    <cellStyle name="60% - 강조색3 2 12" xfId="11762" xr:uid="{00000000-0005-0000-0000-00003E250000}"/>
    <cellStyle name="60% - 강조색3 2 13" xfId="11763" xr:uid="{00000000-0005-0000-0000-00003F250000}"/>
    <cellStyle name="60% - 강조색3 2 14" xfId="11764" xr:uid="{00000000-0005-0000-0000-000040250000}"/>
    <cellStyle name="60% - 강조색3 2 15" xfId="11759" xr:uid="{00000000-0005-0000-0000-000041250000}"/>
    <cellStyle name="60% - 강조색3 2 16" xfId="27765" xr:uid="{00000000-0005-0000-0000-000042250000}"/>
    <cellStyle name="60% - 강조색3 2 17" xfId="27947" xr:uid="{00000000-0005-0000-0000-000043250000}"/>
    <cellStyle name="60% - 강조색3 2 2" xfId="1252" xr:uid="{00000000-0005-0000-0000-000044250000}"/>
    <cellStyle name="60% - 강조색3 2 2 2" xfId="11765" xr:uid="{00000000-0005-0000-0000-000045250000}"/>
    <cellStyle name="60% - 강조색3 2 3" xfId="11766" xr:uid="{00000000-0005-0000-0000-000046250000}"/>
    <cellStyle name="60% - 강조색3 2 4" xfId="11767" xr:uid="{00000000-0005-0000-0000-000047250000}"/>
    <cellStyle name="60% - 강조색3 2 5" xfId="11768" xr:uid="{00000000-0005-0000-0000-000048250000}"/>
    <cellStyle name="60% - 강조색3 2 6" xfId="11769" xr:uid="{00000000-0005-0000-0000-000049250000}"/>
    <cellStyle name="60% - 강조색3 2 7" xfId="11770" xr:uid="{00000000-0005-0000-0000-00004A250000}"/>
    <cellStyle name="60% - 강조색3 2 8" xfId="11771" xr:uid="{00000000-0005-0000-0000-00004B250000}"/>
    <cellStyle name="60% - 강조색3 2 9" xfId="11772" xr:uid="{00000000-0005-0000-0000-00004C250000}"/>
    <cellStyle name="60% - 강조색3 20" xfId="1253" xr:uid="{00000000-0005-0000-0000-00004D250000}"/>
    <cellStyle name="60% - 강조색3 20 10" xfId="11774" xr:uid="{00000000-0005-0000-0000-00004E250000}"/>
    <cellStyle name="60% - 강조색3 20 11" xfId="11775" xr:uid="{00000000-0005-0000-0000-00004F250000}"/>
    <cellStyle name="60% - 강조색3 20 12" xfId="11776" xr:uid="{00000000-0005-0000-0000-000050250000}"/>
    <cellStyle name="60% - 강조색3 20 13" xfId="11777" xr:uid="{00000000-0005-0000-0000-000051250000}"/>
    <cellStyle name="60% - 강조색3 20 14" xfId="11778" xr:uid="{00000000-0005-0000-0000-000052250000}"/>
    <cellStyle name="60% - 강조색3 20 15" xfId="11773" xr:uid="{00000000-0005-0000-0000-000053250000}"/>
    <cellStyle name="60% - 강조색3 20 16" xfId="27764" xr:uid="{00000000-0005-0000-0000-000054250000}"/>
    <cellStyle name="60% - 강조색3 20 2" xfId="1254" xr:uid="{00000000-0005-0000-0000-000055250000}"/>
    <cellStyle name="60% - 강조색3 20 2 2" xfId="11779" xr:uid="{00000000-0005-0000-0000-000056250000}"/>
    <cellStyle name="60% - 강조색3 20 3" xfId="11780" xr:uid="{00000000-0005-0000-0000-000057250000}"/>
    <cellStyle name="60% - 강조색3 20 4" xfId="11781" xr:uid="{00000000-0005-0000-0000-000058250000}"/>
    <cellStyle name="60% - 강조색3 20 5" xfId="11782" xr:uid="{00000000-0005-0000-0000-000059250000}"/>
    <cellStyle name="60% - 강조색3 20 6" xfId="11783" xr:uid="{00000000-0005-0000-0000-00005A250000}"/>
    <cellStyle name="60% - 강조색3 20 7" xfId="11784" xr:uid="{00000000-0005-0000-0000-00005B250000}"/>
    <cellStyle name="60% - 강조색3 20 8" xfId="11785" xr:uid="{00000000-0005-0000-0000-00005C250000}"/>
    <cellStyle name="60% - 강조색3 20 9" xfId="11786" xr:uid="{00000000-0005-0000-0000-00005D250000}"/>
    <cellStyle name="60% - 강조색3 21" xfId="1255" xr:uid="{00000000-0005-0000-0000-00005E250000}"/>
    <cellStyle name="60% - 강조색3 21 10" xfId="11788" xr:uid="{00000000-0005-0000-0000-00005F250000}"/>
    <cellStyle name="60% - 강조색3 21 11" xfId="11789" xr:uid="{00000000-0005-0000-0000-000060250000}"/>
    <cellStyle name="60% - 강조색3 21 12" xfId="11790" xr:uid="{00000000-0005-0000-0000-000061250000}"/>
    <cellStyle name="60% - 강조색3 21 13" xfId="11791" xr:uid="{00000000-0005-0000-0000-000062250000}"/>
    <cellStyle name="60% - 강조색3 21 14" xfId="11792" xr:uid="{00000000-0005-0000-0000-000063250000}"/>
    <cellStyle name="60% - 강조색3 21 15" xfId="11787" xr:uid="{00000000-0005-0000-0000-000064250000}"/>
    <cellStyle name="60% - 강조색3 21 16" xfId="27763" xr:uid="{00000000-0005-0000-0000-000065250000}"/>
    <cellStyle name="60% - 강조색3 21 2" xfId="1256" xr:uid="{00000000-0005-0000-0000-000066250000}"/>
    <cellStyle name="60% - 강조색3 21 2 2" xfId="11793" xr:uid="{00000000-0005-0000-0000-000067250000}"/>
    <cellStyle name="60% - 강조색3 21 3" xfId="11794" xr:uid="{00000000-0005-0000-0000-000068250000}"/>
    <cellStyle name="60% - 강조색3 21 4" xfId="11795" xr:uid="{00000000-0005-0000-0000-000069250000}"/>
    <cellStyle name="60% - 강조색3 21 5" xfId="11796" xr:uid="{00000000-0005-0000-0000-00006A250000}"/>
    <cellStyle name="60% - 강조색3 21 6" xfId="11797" xr:uid="{00000000-0005-0000-0000-00006B250000}"/>
    <cellStyle name="60% - 강조색3 21 7" xfId="11798" xr:uid="{00000000-0005-0000-0000-00006C250000}"/>
    <cellStyle name="60% - 강조색3 21 8" xfId="11799" xr:uid="{00000000-0005-0000-0000-00006D250000}"/>
    <cellStyle name="60% - 강조색3 21 9" xfId="11800" xr:uid="{00000000-0005-0000-0000-00006E250000}"/>
    <cellStyle name="60% - 강조색3 22" xfId="1257" xr:uid="{00000000-0005-0000-0000-00006F250000}"/>
    <cellStyle name="60% - 강조색3 22 10" xfId="11802" xr:uid="{00000000-0005-0000-0000-000070250000}"/>
    <cellStyle name="60% - 강조색3 22 11" xfId="11803" xr:uid="{00000000-0005-0000-0000-000071250000}"/>
    <cellStyle name="60% - 강조색3 22 12" xfId="11804" xr:uid="{00000000-0005-0000-0000-000072250000}"/>
    <cellStyle name="60% - 강조색3 22 13" xfId="11805" xr:uid="{00000000-0005-0000-0000-000073250000}"/>
    <cellStyle name="60% - 강조색3 22 14" xfId="11806" xr:uid="{00000000-0005-0000-0000-000074250000}"/>
    <cellStyle name="60% - 강조색3 22 15" xfId="11801" xr:uid="{00000000-0005-0000-0000-000075250000}"/>
    <cellStyle name="60% - 강조색3 22 16" xfId="27762" xr:uid="{00000000-0005-0000-0000-000076250000}"/>
    <cellStyle name="60% - 강조색3 22 2" xfId="1258" xr:uid="{00000000-0005-0000-0000-000077250000}"/>
    <cellStyle name="60% - 강조색3 22 2 2" xfId="11807" xr:uid="{00000000-0005-0000-0000-000078250000}"/>
    <cellStyle name="60% - 강조색3 22 3" xfId="11808" xr:uid="{00000000-0005-0000-0000-000079250000}"/>
    <cellStyle name="60% - 강조색3 22 4" xfId="11809" xr:uid="{00000000-0005-0000-0000-00007A250000}"/>
    <cellStyle name="60% - 강조색3 22 5" xfId="11810" xr:uid="{00000000-0005-0000-0000-00007B250000}"/>
    <cellStyle name="60% - 강조색3 22 6" xfId="11811" xr:uid="{00000000-0005-0000-0000-00007C250000}"/>
    <cellStyle name="60% - 강조색3 22 7" xfId="11812" xr:uid="{00000000-0005-0000-0000-00007D250000}"/>
    <cellStyle name="60% - 강조색3 22 8" xfId="11813" xr:uid="{00000000-0005-0000-0000-00007E250000}"/>
    <cellStyle name="60% - 강조색3 22 9" xfId="11814" xr:uid="{00000000-0005-0000-0000-00007F250000}"/>
    <cellStyle name="60% - 강조색3 23" xfId="1259" xr:uid="{00000000-0005-0000-0000-000080250000}"/>
    <cellStyle name="60% - 강조색3 23 10" xfId="11816" xr:uid="{00000000-0005-0000-0000-000081250000}"/>
    <cellStyle name="60% - 강조색3 23 11" xfId="11817" xr:uid="{00000000-0005-0000-0000-000082250000}"/>
    <cellStyle name="60% - 강조색3 23 12" xfId="11818" xr:uid="{00000000-0005-0000-0000-000083250000}"/>
    <cellStyle name="60% - 강조색3 23 13" xfId="11819" xr:uid="{00000000-0005-0000-0000-000084250000}"/>
    <cellStyle name="60% - 강조색3 23 14" xfId="11820" xr:uid="{00000000-0005-0000-0000-000085250000}"/>
    <cellStyle name="60% - 강조색3 23 15" xfId="11815" xr:uid="{00000000-0005-0000-0000-000086250000}"/>
    <cellStyle name="60% - 강조색3 23 16" xfId="27761" xr:uid="{00000000-0005-0000-0000-000087250000}"/>
    <cellStyle name="60% - 강조색3 23 2" xfId="1260" xr:uid="{00000000-0005-0000-0000-000088250000}"/>
    <cellStyle name="60% - 강조색3 23 2 2" xfId="11821" xr:uid="{00000000-0005-0000-0000-000089250000}"/>
    <cellStyle name="60% - 강조색3 23 3" xfId="11822" xr:uid="{00000000-0005-0000-0000-00008A250000}"/>
    <cellStyle name="60% - 강조색3 23 4" xfId="11823" xr:uid="{00000000-0005-0000-0000-00008B250000}"/>
    <cellStyle name="60% - 강조색3 23 5" xfId="11824" xr:uid="{00000000-0005-0000-0000-00008C250000}"/>
    <cellStyle name="60% - 강조색3 23 6" xfId="11825" xr:uid="{00000000-0005-0000-0000-00008D250000}"/>
    <cellStyle name="60% - 강조색3 23 7" xfId="11826" xr:uid="{00000000-0005-0000-0000-00008E250000}"/>
    <cellStyle name="60% - 강조색3 23 8" xfId="11827" xr:uid="{00000000-0005-0000-0000-00008F250000}"/>
    <cellStyle name="60% - 강조색3 23 9" xfId="11828" xr:uid="{00000000-0005-0000-0000-000090250000}"/>
    <cellStyle name="60% - 강조색3 24" xfId="1261" xr:uid="{00000000-0005-0000-0000-000091250000}"/>
    <cellStyle name="60% - 강조색3 24 10" xfId="11830" xr:uid="{00000000-0005-0000-0000-000092250000}"/>
    <cellStyle name="60% - 강조색3 24 11" xfId="11831" xr:uid="{00000000-0005-0000-0000-000093250000}"/>
    <cellStyle name="60% - 강조색3 24 12" xfId="11832" xr:uid="{00000000-0005-0000-0000-000094250000}"/>
    <cellStyle name="60% - 강조색3 24 13" xfId="11833" xr:uid="{00000000-0005-0000-0000-000095250000}"/>
    <cellStyle name="60% - 강조색3 24 14" xfId="11834" xr:uid="{00000000-0005-0000-0000-000096250000}"/>
    <cellStyle name="60% - 강조색3 24 15" xfId="11829" xr:uid="{00000000-0005-0000-0000-000097250000}"/>
    <cellStyle name="60% - 강조색3 24 16" xfId="27760" xr:uid="{00000000-0005-0000-0000-000098250000}"/>
    <cellStyle name="60% - 강조색3 24 2" xfId="1262" xr:uid="{00000000-0005-0000-0000-000099250000}"/>
    <cellStyle name="60% - 강조색3 24 2 2" xfId="11835" xr:uid="{00000000-0005-0000-0000-00009A250000}"/>
    <cellStyle name="60% - 강조색3 24 3" xfId="11836" xr:uid="{00000000-0005-0000-0000-00009B250000}"/>
    <cellStyle name="60% - 강조색3 24 4" xfId="11837" xr:uid="{00000000-0005-0000-0000-00009C250000}"/>
    <cellStyle name="60% - 강조색3 24 5" xfId="11838" xr:uid="{00000000-0005-0000-0000-00009D250000}"/>
    <cellStyle name="60% - 강조색3 24 6" xfId="11839" xr:uid="{00000000-0005-0000-0000-00009E250000}"/>
    <cellStyle name="60% - 강조색3 24 7" xfId="11840" xr:uid="{00000000-0005-0000-0000-00009F250000}"/>
    <cellStyle name="60% - 강조색3 24 8" xfId="11841" xr:uid="{00000000-0005-0000-0000-0000A0250000}"/>
    <cellStyle name="60% - 강조색3 24 9" xfId="11842" xr:uid="{00000000-0005-0000-0000-0000A1250000}"/>
    <cellStyle name="60% - 강조색3 25" xfId="1263" xr:uid="{00000000-0005-0000-0000-0000A2250000}"/>
    <cellStyle name="60% - 강조색3 25 10" xfId="11844" xr:uid="{00000000-0005-0000-0000-0000A3250000}"/>
    <cellStyle name="60% - 강조색3 25 11" xfId="11845" xr:uid="{00000000-0005-0000-0000-0000A4250000}"/>
    <cellStyle name="60% - 강조색3 25 12" xfId="11846" xr:uid="{00000000-0005-0000-0000-0000A5250000}"/>
    <cellStyle name="60% - 강조색3 25 13" xfId="11847" xr:uid="{00000000-0005-0000-0000-0000A6250000}"/>
    <cellStyle name="60% - 강조색3 25 14" xfId="11848" xr:uid="{00000000-0005-0000-0000-0000A7250000}"/>
    <cellStyle name="60% - 강조색3 25 15" xfId="11843" xr:uid="{00000000-0005-0000-0000-0000A8250000}"/>
    <cellStyle name="60% - 강조색3 25 16" xfId="27759" xr:uid="{00000000-0005-0000-0000-0000A9250000}"/>
    <cellStyle name="60% - 강조색3 25 2" xfId="1264" xr:uid="{00000000-0005-0000-0000-0000AA250000}"/>
    <cellStyle name="60% - 강조색3 25 2 2" xfId="11849" xr:uid="{00000000-0005-0000-0000-0000AB250000}"/>
    <cellStyle name="60% - 강조색3 25 3" xfId="11850" xr:uid="{00000000-0005-0000-0000-0000AC250000}"/>
    <cellStyle name="60% - 강조색3 25 4" xfId="11851" xr:uid="{00000000-0005-0000-0000-0000AD250000}"/>
    <cellStyle name="60% - 강조색3 25 5" xfId="11852" xr:uid="{00000000-0005-0000-0000-0000AE250000}"/>
    <cellStyle name="60% - 강조색3 25 6" xfId="11853" xr:uid="{00000000-0005-0000-0000-0000AF250000}"/>
    <cellStyle name="60% - 강조색3 25 7" xfId="11854" xr:uid="{00000000-0005-0000-0000-0000B0250000}"/>
    <cellStyle name="60% - 강조색3 25 8" xfId="11855" xr:uid="{00000000-0005-0000-0000-0000B1250000}"/>
    <cellStyle name="60% - 강조색3 25 9" xfId="11856" xr:uid="{00000000-0005-0000-0000-0000B2250000}"/>
    <cellStyle name="60% - 강조색3 26" xfId="1265" xr:uid="{00000000-0005-0000-0000-0000B3250000}"/>
    <cellStyle name="60% - 강조색3 26 10" xfId="11858" xr:uid="{00000000-0005-0000-0000-0000B4250000}"/>
    <cellStyle name="60% - 강조색3 26 11" xfId="11859" xr:uid="{00000000-0005-0000-0000-0000B5250000}"/>
    <cellStyle name="60% - 강조색3 26 12" xfId="11860" xr:uid="{00000000-0005-0000-0000-0000B6250000}"/>
    <cellStyle name="60% - 강조색3 26 13" xfId="11861" xr:uid="{00000000-0005-0000-0000-0000B7250000}"/>
    <cellStyle name="60% - 강조색3 26 14" xfId="11862" xr:uid="{00000000-0005-0000-0000-0000B8250000}"/>
    <cellStyle name="60% - 강조색3 26 15" xfId="11857" xr:uid="{00000000-0005-0000-0000-0000B9250000}"/>
    <cellStyle name="60% - 강조색3 26 16" xfId="27758" xr:uid="{00000000-0005-0000-0000-0000BA250000}"/>
    <cellStyle name="60% - 강조색3 26 2" xfId="1266" xr:uid="{00000000-0005-0000-0000-0000BB250000}"/>
    <cellStyle name="60% - 강조색3 26 2 2" xfId="11863" xr:uid="{00000000-0005-0000-0000-0000BC250000}"/>
    <cellStyle name="60% - 강조색3 26 3" xfId="11864" xr:uid="{00000000-0005-0000-0000-0000BD250000}"/>
    <cellStyle name="60% - 강조색3 26 4" xfId="11865" xr:uid="{00000000-0005-0000-0000-0000BE250000}"/>
    <cellStyle name="60% - 강조색3 26 5" xfId="11866" xr:uid="{00000000-0005-0000-0000-0000BF250000}"/>
    <cellStyle name="60% - 강조색3 26 6" xfId="11867" xr:uid="{00000000-0005-0000-0000-0000C0250000}"/>
    <cellStyle name="60% - 강조색3 26 7" xfId="11868" xr:uid="{00000000-0005-0000-0000-0000C1250000}"/>
    <cellStyle name="60% - 강조색3 26 8" xfId="11869" xr:uid="{00000000-0005-0000-0000-0000C2250000}"/>
    <cellStyle name="60% - 강조색3 26 9" xfId="11870" xr:uid="{00000000-0005-0000-0000-0000C3250000}"/>
    <cellStyle name="60% - 강조색3 27" xfId="1267" xr:uid="{00000000-0005-0000-0000-0000C4250000}"/>
    <cellStyle name="60% - 강조색3 27 10" xfId="11872" xr:uid="{00000000-0005-0000-0000-0000C5250000}"/>
    <cellStyle name="60% - 강조색3 27 11" xfId="11873" xr:uid="{00000000-0005-0000-0000-0000C6250000}"/>
    <cellStyle name="60% - 강조색3 27 12" xfId="11874" xr:uid="{00000000-0005-0000-0000-0000C7250000}"/>
    <cellStyle name="60% - 강조색3 27 13" xfId="11875" xr:uid="{00000000-0005-0000-0000-0000C8250000}"/>
    <cellStyle name="60% - 강조색3 27 14" xfId="11876" xr:uid="{00000000-0005-0000-0000-0000C9250000}"/>
    <cellStyle name="60% - 강조색3 27 15" xfId="11871" xr:uid="{00000000-0005-0000-0000-0000CA250000}"/>
    <cellStyle name="60% - 강조색3 27 16" xfId="27757" xr:uid="{00000000-0005-0000-0000-0000CB250000}"/>
    <cellStyle name="60% - 강조색3 27 2" xfId="1268" xr:uid="{00000000-0005-0000-0000-0000CC250000}"/>
    <cellStyle name="60% - 강조색3 27 2 2" xfId="11877" xr:uid="{00000000-0005-0000-0000-0000CD250000}"/>
    <cellStyle name="60% - 강조색3 27 3" xfId="11878" xr:uid="{00000000-0005-0000-0000-0000CE250000}"/>
    <cellStyle name="60% - 강조색3 27 4" xfId="11879" xr:uid="{00000000-0005-0000-0000-0000CF250000}"/>
    <cellStyle name="60% - 강조색3 27 5" xfId="11880" xr:uid="{00000000-0005-0000-0000-0000D0250000}"/>
    <cellStyle name="60% - 강조색3 27 6" xfId="11881" xr:uid="{00000000-0005-0000-0000-0000D1250000}"/>
    <cellStyle name="60% - 강조색3 27 7" xfId="11882" xr:uid="{00000000-0005-0000-0000-0000D2250000}"/>
    <cellStyle name="60% - 강조색3 27 8" xfId="11883" xr:uid="{00000000-0005-0000-0000-0000D3250000}"/>
    <cellStyle name="60% - 강조색3 27 9" xfId="11884" xr:uid="{00000000-0005-0000-0000-0000D4250000}"/>
    <cellStyle name="60% - 강조색3 28" xfId="1269" xr:uid="{00000000-0005-0000-0000-0000D5250000}"/>
    <cellStyle name="60% - 강조색3 28 10" xfId="11886" xr:uid="{00000000-0005-0000-0000-0000D6250000}"/>
    <cellStyle name="60% - 강조색3 28 11" xfId="11887" xr:uid="{00000000-0005-0000-0000-0000D7250000}"/>
    <cellStyle name="60% - 강조색3 28 12" xfId="11888" xr:uid="{00000000-0005-0000-0000-0000D8250000}"/>
    <cellStyle name="60% - 강조색3 28 13" xfId="11889" xr:uid="{00000000-0005-0000-0000-0000D9250000}"/>
    <cellStyle name="60% - 강조색3 28 14" xfId="11890" xr:uid="{00000000-0005-0000-0000-0000DA250000}"/>
    <cellStyle name="60% - 강조색3 28 15" xfId="11885" xr:uid="{00000000-0005-0000-0000-0000DB250000}"/>
    <cellStyle name="60% - 강조색3 28 16" xfId="27756" xr:uid="{00000000-0005-0000-0000-0000DC250000}"/>
    <cellStyle name="60% - 강조색3 28 2" xfId="1270" xr:uid="{00000000-0005-0000-0000-0000DD250000}"/>
    <cellStyle name="60% - 강조색3 28 2 2" xfId="11891" xr:uid="{00000000-0005-0000-0000-0000DE250000}"/>
    <cellStyle name="60% - 강조색3 28 3" xfId="11892" xr:uid="{00000000-0005-0000-0000-0000DF250000}"/>
    <cellStyle name="60% - 강조색3 28 4" xfId="11893" xr:uid="{00000000-0005-0000-0000-0000E0250000}"/>
    <cellStyle name="60% - 강조색3 28 5" xfId="11894" xr:uid="{00000000-0005-0000-0000-0000E1250000}"/>
    <cellStyle name="60% - 강조색3 28 6" xfId="11895" xr:uid="{00000000-0005-0000-0000-0000E2250000}"/>
    <cellStyle name="60% - 강조색3 28 7" xfId="11896" xr:uid="{00000000-0005-0000-0000-0000E3250000}"/>
    <cellStyle name="60% - 강조색3 28 8" xfId="11897" xr:uid="{00000000-0005-0000-0000-0000E4250000}"/>
    <cellStyle name="60% - 강조색3 28 9" xfId="11898" xr:uid="{00000000-0005-0000-0000-0000E5250000}"/>
    <cellStyle name="60% - 강조색3 29" xfId="1271" xr:uid="{00000000-0005-0000-0000-0000E6250000}"/>
    <cellStyle name="60% - 강조색3 29 10" xfId="11900" xr:uid="{00000000-0005-0000-0000-0000E7250000}"/>
    <cellStyle name="60% - 강조색3 29 11" xfId="11901" xr:uid="{00000000-0005-0000-0000-0000E8250000}"/>
    <cellStyle name="60% - 강조색3 29 12" xfId="11902" xr:uid="{00000000-0005-0000-0000-0000E9250000}"/>
    <cellStyle name="60% - 강조색3 29 13" xfId="11903" xr:uid="{00000000-0005-0000-0000-0000EA250000}"/>
    <cellStyle name="60% - 강조색3 29 14" xfId="11904" xr:uid="{00000000-0005-0000-0000-0000EB250000}"/>
    <cellStyle name="60% - 강조색3 29 15" xfId="11899" xr:uid="{00000000-0005-0000-0000-0000EC250000}"/>
    <cellStyle name="60% - 강조색3 29 16" xfId="27755" xr:uid="{00000000-0005-0000-0000-0000ED250000}"/>
    <cellStyle name="60% - 강조색3 29 2" xfId="1272" xr:uid="{00000000-0005-0000-0000-0000EE250000}"/>
    <cellStyle name="60% - 강조색3 29 2 2" xfId="11905" xr:uid="{00000000-0005-0000-0000-0000EF250000}"/>
    <cellStyle name="60% - 강조색3 29 3" xfId="11906" xr:uid="{00000000-0005-0000-0000-0000F0250000}"/>
    <cellStyle name="60% - 강조색3 29 4" xfId="11907" xr:uid="{00000000-0005-0000-0000-0000F1250000}"/>
    <cellStyle name="60% - 강조색3 29 5" xfId="11908" xr:uid="{00000000-0005-0000-0000-0000F2250000}"/>
    <cellStyle name="60% - 강조색3 29 6" xfId="11909" xr:uid="{00000000-0005-0000-0000-0000F3250000}"/>
    <cellStyle name="60% - 강조색3 29 7" xfId="11910" xr:uid="{00000000-0005-0000-0000-0000F4250000}"/>
    <cellStyle name="60% - 강조색3 29 8" xfId="11911" xr:uid="{00000000-0005-0000-0000-0000F5250000}"/>
    <cellStyle name="60% - 강조색3 29 9" xfId="11912" xr:uid="{00000000-0005-0000-0000-0000F6250000}"/>
    <cellStyle name="60% - 강조색3 3" xfId="1273" xr:uid="{00000000-0005-0000-0000-0000F7250000}"/>
    <cellStyle name="60% - 강조색3 3 10" xfId="11914" xr:uid="{00000000-0005-0000-0000-0000F8250000}"/>
    <cellStyle name="60% - 강조색3 3 11" xfId="11915" xr:uid="{00000000-0005-0000-0000-0000F9250000}"/>
    <cellStyle name="60% - 강조색3 3 12" xfId="11916" xr:uid="{00000000-0005-0000-0000-0000FA250000}"/>
    <cellStyle name="60% - 강조색3 3 13" xfId="11917" xr:uid="{00000000-0005-0000-0000-0000FB250000}"/>
    <cellStyle name="60% - 강조색3 3 14" xfId="11918" xr:uid="{00000000-0005-0000-0000-0000FC250000}"/>
    <cellStyle name="60% - 강조색3 3 15" xfId="11913" xr:uid="{00000000-0005-0000-0000-0000FD250000}"/>
    <cellStyle name="60% - 강조색3 3 16" xfId="27754" xr:uid="{00000000-0005-0000-0000-0000FE250000}"/>
    <cellStyle name="60% - 강조색3 3 17" xfId="28203" xr:uid="{00000000-0005-0000-0000-0000FF250000}"/>
    <cellStyle name="60% - 강조색3 3 2" xfId="1274" xr:uid="{00000000-0005-0000-0000-000000260000}"/>
    <cellStyle name="60% - 강조색3 3 2 2" xfId="11919" xr:uid="{00000000-0005-0000-0000-000001260000}"/>
    <cellStyle name="60% - 강조색3 3 3" xfId="11920" xr:uid="{00000000-0005-0000-0000-000002260000}"/>
    <cellStyle name="60% - 강조색3 3 4" xfId="11921" xr:uid="{00000000-0005-0000-0000-000003260000}"/>
    <cellStyle name="60% - 강조색3 3 5" xfId="11922" xr:uid="{00000000-0005-0000-0000-000004260000}"/>
    <cellStyle name="60% - 강조색3 3 6" xfId="11923" xr:uid="{00000000-0005-0000-0000-000005260000}"/>
    <cellStyle name="60% - 강조색3 3 7" xfId="11924" xr:uid="{00000000-0005-0000-0000-000006260000}"/>
    <cellStyle name="60% - 강조색3 3 8" xfId="11925" xr:uid="{00000000-0005-0000-0000-000007260000}"/>
    <cellStyle name="60% - 강조색3 3 9" xfId="11926" xr:uid="{00000000-0005-0000-0000-000008260000}"/>
    <cellStyle name="60% - 강조색3 30" xfId="1275" xr:uid="{00000000-0005-0000-0000-000009260000}"/>
    <cellStyle name="60% - 강조색3 30 10" xfId="11928" xr:uid="{00000000-0005-0000-0000-00000A260000}"/>
    <cellStyle name="60% - 강조색3 30 11" xfId="11929" xr:uid="{00000000-0005-0000-0000-00000B260000}"/>
    <cellStyle name="60% - 강조색3 30 12" xfId="11930" xr:uid="{00000000-0005-0000-0000-00000C260000}"/>
    <cellStyle name="60% - 강조색3 30 13" xfId="11931" xr:uid="{00000000-0005-0000-0000-00000D260000}"/>
    <cellStyle name="60% - 강조색3 30 14" xfId="11932" xr:uid="{00000000-0005-0000-0000-00000E260000}"/>
    <cellStyle name="60% - 강조색3 30 15" xfId="11927" xr:uid="{00000000-0005-0000-0000-00000F260000}"/>
    <cellStyle name="60% - 강조색3 30 16" xfId="27753" xr:uid="{00000000-0005-0000-0000-000010260000}"/>
    <cellStyle name="60% - 강조색3 30 2" xfId="1276" xr:uid="{00000000-0005-0000-0000-000011260000}"/>
    <cellStyle name="60% - 강조색3 30 2 2" xfId="11933" xr:uid="{00000000-0005-0000-0000-000012260000}"/>
    <cellStyle name="60% - 강조색3 30 3" xfId="11934" xr:uid="{00000000-0005-0000-0000-000013260000}"/>
    <cellStyle name="60% - 강조색3 30 4" xfId="11935" xr:uid="{00000000-0005-0000-0000-000014260000}"/>
    <cellStyle name="60% - 강조색3 30 5" xfId="11936" xr:uid="{00000000-0005-0000-0000-000015260000}"/>
    <cellStyle name="60% - 강조색3 30 6" xfId="11937" xr:uid="{00000000-0005-0000-0000-000016260000}"/>
    <cellStyle name="60% - 강조색3 30 7" xfId="11938" xr:uid="{00000000-0005-0000-0000-000017260000}"/>
    <cellStyle name="60% - 강조색3 30 8" xfId="11939" xr:uid="{00000000-0005-0000-0000-000018260000}"/>
    <cellStyle name="60% - 강조색3 30 9" xfId="11940" xr:uid="{00000000-0005-0000-0000-000019260000}"/>
    <cellStyle name="60% - 강조색3 31" xfId="1277" xr:uid="{00000000-0005-0000-0000-00001A260000}"/>
    <cellStyle name="60% - 강조색3 31 10" xfId="11942" xr:uid="{00000000-0005-0000-0000-00001B260000}"/>
    <cellStyle name="60% - 강조색3 31 11" xfId="11943" xr:uid="{00000000-0005-0000-0000-00001C260000}"/>
    <cellStyle name="60% - 강조색3 31 12" xfId="11944" xr:uid="{00000000-0005-0000-0000-00001D260000}"/>
    <cellStyle name="60% - 강조색3 31 13" xfId="11945" xr:uid="{00000000-0005-0000-0000-00001E260000}"/>
    <cellStyle name="60% - 강조색3 31 14" xfId="11946" xr:uid="{00000000-0005-0000-0000-00001F260000}"/>
    <cellStyle name="60% - 강조색3 31 15" xfId="11941" xr:uid="{00000000-0005-0000-0000-000020260000}"/>
    <cellStyle name="60% - 강조색3 31 16" xfId="27752" xr:uid="{00000000-0005-0000-0000-000021260000}"/>
    <cellStyle name="60% - 강조색3 31 2" xfId="1278" xr:uid="{00000000-0005-0000-0000-000022260000}"/>
    <cellStyle name="60% - 강조색3 31 2 2" xfId="11947" xr:uid="{00000000-0005-0000-0000-000023260000}"/>
    <cellStyle name="60% - 강조색3 31 3" xfId="11948" xr:uid="{00000000-0005-0000-0000-000024260000}"/>
    <cellStyle name="60% - 강조색3 31 4" xfId="11949" xr:uid="{00000000-0005-0000-0000-000025260000}"/>
    <cellStyle name="60% - 강조색3 31 5" xfId="11950" xr:uid="{00000000-0005-0000-0000-000026260000}"/>
    <cellStyle name="60% - 강조색3 31 6" xfId="11951" xr:uid="{00000000-0005-0000-0000-000027260000}"/>
    <cellStyle name="60% - 강조색3 31 7" xfId="11952" xr:uid="{00000000-0005-0000-0000-000028260000}"/>
    <cellStyle name="60% - 강조색3 31 8" xfId="11953" xr:uid="{00000000-0005-0000-0000-000029260000}"/>
    <cellStyle name="60% - 강조색3 31 9" xfId="11954" xr:uid="{00000000-0005-0000-0000-00002A260000}"/>
    <cellStyle name="60% - 강조색3 32" xfId="1279" xr:uid="{00000000-0005-0000-0000-00002B260000}"/>
    <cellStyle name="60% - 강조색3 32 10" xfId="11956" xr:uid="{00000000-0005-0000-0000-00002C260000}"/>
    <cellStyle name="60% - 강조색3 32 11" xfId="11957" xr:uid="{00000000-0005-0000-0000-00002D260000}"/>
    <cellStyle name="60% - 강조색3 32 12" xfId="11958" xr:uid="{00000000-0005-0000-0000-00002E260000}"/>
    <cellStyle name="60% - 강조색3 32 13" xfId="11959" xr:uid="{00000000-0005-0000-0000-00002F260000}"/>
    <cellStyle name="60% - 강조색3 32 14" xfId="11960" xr:uid="{00000000-0005-0000-0000-000030260000}"/>
    <cellStyle name="60% - 강조색3 32 15" xfId="11955" xr:uid="{00000000-0005-0000-0000-000031260000}"/>
    <cellStyle name="60% - 강조색3 32 16" xfId="27751" xr:uid="{00000000-0005-0000-0000-000032260000}"/>
    <cellStyle name="60% - 강조색3 32 2" xfId="1280" xr:uid="{00000000-0005-0000-0000-000033260000}"/>
    <cellStyle name="60% - 강조색3 32 2 2" xfId="11961" xr:uid="{00000000-0005-0000-0000-000034260000}"/>
    <cellStyle name="60% - 강조색3 32 3" xfId="11962" xr:uid="{00000000-0005-0000-0000-000035260000}"/>
    <cellStyle name="60% - 강조색3 32 4" xfId="11963" xr:uid="{00000000-0005-0000-0000-000036260000}"/>
    <cellStyle name="60% - 강조색3 32 5" xfId="11964" xr:uid="{00000000-0005-0000-0000-000037260000}"/>
    <cellStyle name="60% - 강조색3 32 6" xfId="11965" xr:uid="{00000000-0005-0000-0000-000038260000}"/>
    <cellStyle name="60% - 강조색3 32 7" xfId="11966" xr:uid="{00000000-0005-0000-0000-000039260000}"/>
    <cellStyle name="60% - 강조색3 32 8" xfId="11967" xr:uid="{00000000-0005-0000-0000-00003A260000}"/>
    <cellStyle name="60% - 강조색3 32 9" xfId="11968" xr:uid="{00000000-0005-0000-0000-00003B260000}"/>
    <cellStyle name="60% - 강조색3 33" xfId="1281" xr:uid="{00000000-0005-0000-0000-00003C260000}"/>
    <cellStyle name="60% - 강조색3 33 10" xfId="11970" xr:uid="{00000000-0005-0000-0000-00003D260000}"/>
    <cellStyle name="60% - 강조색3 33 11" xfId="11971" xr:uid="{00000000-0005-0000-0000-00003E260000}"/>
    <cellStyle name="60% - 강조색3 33 12" xfId="11972" xr:uid="{00000000-0005-0000-0000-00003F260000}"/>
    <cellStyle name="60% - 강조색3 33 13" xfId="11973" xr:uid="{00000000-0005-0000-0000-000040260000}"/>
    <cellStyle name="60% - 강조색3 33 14" xfId="11974" xr:uid="{00000000-0005-0000-0000-000041260000}"/>
    <cellStyle name="60% - 강조색3 33 15" xfId="11969" xr:uid="{00000000-0005-0000-0000-000042260000}"/>
    <cellStyle name="60% - 강조색3 33 16" xfId="27750" xr:uid="{00000000-0005-0000-0000-000043260000}"/>
    <cellStyle name="60% - 강조색3 33 2" xfId="1282" xr:uid="{00000000-0005-0000-0000-000044260000}"/>
    <cellStyle name="60% - 강조색3 33 2 2" xfId="11975" xr:uid="{00000000-0005-0000-0000-000045260000}"/>
    <cellStyle name="60% - 강조색3 33 3" xfId="11976" xr:uid="{00000000-0005-0000-0000-000046260000}"/>
    <cellStyle name="60% - 강조색3 33 4" xfId="11977" xr:uid="{00000000-0005-0000-0000-000047260000}"/>
    <cellStyle name="60% - 강조색3 33 5" xfId="11978" xr:uid="{00000000-0005-0000-0000-000048260000}"/>
    <cellStyle name="60% - 강조색3 33 6" xfId="11979" xr:uid="{00000000-0005-0000-0000-000049260000}"/>
    <cellStyle name="60% - 강조색3 33 7" xfId="11980" xr:uid="{00000000-0005-0000-0000-00004A260000}"/>
    <cellStyle name="60% - 강조색3 33 8" xfId="11981" xr:uid="{00000000-0005-0000-0000-00004B260000}"/>
    <cellStyle name="60% - 강조색3 33 9" xfId="11982" xr:uid="{00000000-0005-0000-0000-00004C260000}"/>
    <cellStyle name="60% - 강조색3 34" xfId="1283" xr:uid="{00000000-0005-0000-0000-00004D260000}"/>
    <cellStyle name="60% - 강조색3 34 10" xfId="11984" xr:uid="{00000000-0005-0000-0000-00004E260000}"/>
    <cellStyle name="60% - 강조색3 34 11" xfId="11985" xr:uid="{00000000-0005-0000-0000-00004F260000}"/>
    <cellStyle name="60% - 강조색3 34 12" xfId="11986" xr:uid="{00000000-0005-0000-0000-000050260000}"/>
    <cellStyle name="60% - 강조색3 34 13" xfId="11987" xr:uid="{00000000-0005-0000-0000-000051260000}"/>
    <cellStyle name="60% - 강조색3 34 14" xfId="11988" xr:uid="{00000000-0005-0000-0000-000052260000}"/>
    <cellStyle name="60% - 강조색3 34 15" xfId="11983" xr:uid="{00000000-0005-0000-0000-000053260000}"/>
    <cellStyle name="60% - 강조색3 34 16" xfId="27749" xr:uid="{00000000-0005-0000-0000-000054260000}"/>
    <cellStyle name="60% - 강조색3 34 2" xfId="1284" xr:uid="{00000000-0005-0000-0000-000055260000}"/>
    <cellStyle name="60% - 강조색3 34 2 2" xfId="11989" xr:uid="{00000000-0005-0000-0000-000056260000}"/>
    <cellStyle name="60% - 강조색3 34 3" xfId="11990" xr:uid="{00000000-0005-0000-0000-000057260000}"/>
    <cellStyle name="60% - 강조색3 34 4" xfId="11991" xr:uid="{00000000-0005-0000-0000-000058260000}"/>
    <cellStyle name="60% - 강조색3 34 5" xfId="11992" xr:uid="{00000000-0005-0000-0000-000059260000}"/>
    <cellStyle name="60% - 강조색3 34 6" xfId="11993" xr:uid="{00000000-0005-0000-0000-00005A260000}"/>
    <cellStyle name="60% - 강조색3 34 7" xfId="11994" xr:uid="{00000000-0005-0000-0000-00005B260000}"/>
    <cellStyle name="60% - 강조색3 34 8" xfId="11995" xr:uid="{00000000-0005-0000-0000-00005C260000}"/>
    <cellStyle name="60% - 강조색3 34 9" xfId="11996" xr:uid="{00000000-0005-0000-0000-00005D260000}"/>
    <cellStyle name="60% - 강조색3 35" xfId="1285" xr:uid="{00000000-0005-0000-0000-00005E260000}"/>
    <cellStyle name="60% - 강조색3 35 10" xfId="11998" xr:uid="{00000000-0005-0000-0000-00005F260000}"/>
    <cellStyle name="60% - 강조색3 35 11" xfId="11999" xr:uid="{00000000-0005-0000-0000-000060260000}"/>
    <cellStyle name="60% - 강조색3 35 12" xfId="12000" xr:uid="{00000000-0005-0000-0000-000061260000}"/>
    <cellStyle name="60% - 강조색3 35 13" xfId="12001" xr:uid="{00000000-0005-0000-0000-000062260000}"/>
    <cellStyle name="60% - 강조색3 35 14" xfId="12002" xr:uid="{00000000-0005-0000-0000-000063260000}"/>
    <cellStyle name="60% - 강조색3 35 15" xfId="11997" xr:uid="{00000000-0005-0000-0000-000064260000}"/>
    <cellStyle name="60% - 강조색3 35 16" xfId="27748" xr:uid="{00000000-0005-0000-0000-000065260000}"/>
    <cellStyle name="60% - 강조색3 35 2" xfId="1286" xr:uid="{00000000-0005-0000-0000-000066260000}"/>
    <cellStyle name="60% - 강조색3 35 2 2" xfId="12003" xr:uid="{00000000-0005-0000-0000-000067260000}"/>
    <cellStyle name="60% - 강조색3 35 3" xfId="12004" xr:uid="{00000000-0005-0000-0000-000068260000}"/>
    <cellStyle name="60% - 강조색3 35 4" xfId="12005" xr:uid="{00000000-0005-0000-0000-000069260000}"/>
    <cellStyle name="60% - 강조색3 35 5" xfId="12006" xr:uid="{00000000-0005-0000-0000-00006A260000}"/>
    <cellStyle name="60% - 강조색3 35 6" xfId="12007" xr:uid="{00000000-0005-0000-0000-00006B260000}"/>
    <cellStyle name="60% - 강조색3 35 7" xfId="12008" xr:uid="{00000000-0005-0000-0000-00006C260000}"/>
    <cellStyle name="60% - 강조색3 35 8" xfId="12009" xr:uid="{00000000-0005-0000-0000-00006D260000}"/>
    <cellStyle name="60% - 강조색3 35 9" xfId="12010" xr:uid="{00000000-0005-0000-0000-00006E260000}"/>
    <cellStyle name="60% - 강조색3 36" xfId="1287" xr:uid="{00000000-0005-0000-0000-00006F260000}"/>
    <cellStyle name="60% - 강조색3 36 10" xfId="12012" xr:uid="{00000000-0005-0000-0000-000070260000}"/>
    <cellStyle name="60% - 강조색3 36 11" xfId="12013" xr:uid="{00000000-0005-0000-0000-000071260000}"/>
    <cellStyle name="60% - 강조색3 36 12" xfId="12014" xr:uid="{00000000-0005-0000-0000-000072260000}"/>
    <cellStyle name="60% - 강조색3 36 13" xfId="12015" xr:uid="{00000000-0005-0000-0000-000073260000}"/>
    <cellStyle name="60% - 강조색3 36 14" xfId="12016" xr:uid="{00000000-0005-0000-0000-000074260000}"/>
    <cellStyle name="60% - 강조색3 36 15" xfId="12011" xr:uid="{00000000-0005-0000-0000-000075260000}"/>
    <cellStyle name="60% - 강조색3 36 16" xfId="27747" xr:uid="{00000000-0005-0000-0000-000076260000}"/>
    <cellStyle name="60% - 강조색3 36 2" xfId="1288" xr:uid="{00000000-0005-0000-0000-000077260000}"/>
    <cellStyle name="60% - 강조색3 36 2 2" xfId="12017" xr:uid="{00000000-0005-0000-0000-000078260000}"/>
    <cellStyle name="60% - 강조색3 36 3" xfId="12018" xr:uid="{00000000-0005-0000-0000-000079260000}"/>
    <cellStyle name="60% - 강조색3 36 4" xfId="12019" xr:uid="{00000000-0005-0000-0000-00007A260000}"/>
    <cellStyle name="60% - 강조색3 36 5" xfId="12020" xr:uid="{00000000-0005-0000-0000-00007B260000}"/>
    <cellStyle name="60% - 강조색3 36 6" xfId="12021" xr:uid="{00000000-0005-0000-0000-00007C260000}"/>
    <cellStyle name="60% - 강조색3 36 7" xfId="12022" xr:uid="{00000000-0005-0000-0000-00007D260000}"/>
    <cellStyle name="60% - 강조색3 36 8" xfId="12023" xr:uid="{00000000-0005-0000-0000-00007E260000}"/>
    <cellStyle name="60% - 강조색3 36 9" xfId="12024" xr:uid="{00000000-0005-0000-0000-00007F260000}"/>
    <cellStyle name="60% - 강조색3 37" xfId="1289" xr:uid="{00000000-0005-0000-0000-000080260000}"/>
    <cellStyle name="60% - 강조색3 37 10" xfId="12026" xr:uid="{00000000-0005-0000-0000-000081260000}"/>
    <cellStyle name="60% - 강조색3 37 11" xfId="12027" xr:uid="{00000000-0005-0000-0000-000082260000}"/>
    <cellStyle name="60% - 강조색3 37 12" xfId="12028" xr:uid="{00000000-0005-0000-0000-000083260000}"/>
    <cellStyle name="60% - 강조색3 37 13" xfId="12029" xr:uid="{00000000-0005-0000-0000-000084260000}"/>
    <cellStyle name="60% - 강조색3 37 14" xfId="12030" xr:uid="{00000000-0005-0000-0000-000085260000}"/>
    <cellStyle name="60% - 강조색3 37 15" xfId="12025" xr:uid="{00000000-0005-0000-0000-000086260000}"/>
    <cellStyle name="60% - 강조색3 37 16" xfId="27746" xr:uid="{00000000-0005-0000-0000-000087260000}"/>
    <cellStyle name="60% - 강조색3 37 2" xfId="1290" xr:uid="{00000000-0005-0000-0000-000088260000}"/>
    <cellStyle name="60% - 강조색3 37 2 2" xfId="12031" xr:uid="{00000000-0005-0000-0000-000089260000}"/>
    <cellStyle name="60% - 강조색3 37 3" xfId="12032" xr:uid="{00000000-0005-0000-0000-00008A260000}"/>
    <cellStyle name="60% - 강조색3 37 4" xfId="12033" xr:uid="{00000000-0005-0000-0000-00008B260000}"/>
    <cellStyle name="60% - 강조색3 37 5" xfId="12034" xr:uid="{00000000-0005-0000-0000-00008C260000}"/>
    <cellStyle name="60% - 강조색3 37 6" xfId="12035" xr:uid="{00000000-0005-0000-0000-00008D260000}"/>
    <cellStyle name="60% - 강조색3 37 7" xfId="12036" xr:uid="{00000000-0005-0000-0000-00008E260000}"/>
    <cellStyle name="60% - 강조색3 37 8" xfId="12037" xr:uid="{00000000-0005-0000-0000-00008F260000}"/>
    <cellStyle name="60% - 강조색3 37 9" xfId="12038" xr:uid="{00000000-0005-0000-0000-000090260000}"/>
    <cellStyle name="60% - 강조색3 38" xfId="1291" xr:uid="{00000000-0005-0000-0000-000091260000}"/>
    <cellStyle name="60% - 강조색3 38 10" xfId="12040" xr:uid="{00000000-0005-0000-0000-000092260000}"/>
    <cellStyle name="60% - 강조색3 38 11" xfId="12041" xr:uid="{00000000-0005-0000-0000-000093260000}"/>
    <cellStyle name="60% - 강조색3 38 12" xfId="12042" xr:uid="{00000000-0005-0000-0000-000094260000}"/>
    <cellStyle name="60% - 강조색3 38 13" xfId="12043" xr:uid="{00000000-0005-0000-0000-000095260000}"/>
    <cellStyle name="60% - 강조색3 38 14" xfId="12044" xr:uid="{00000000-0005-0000-0000-000096260000}"/>
    <cellStyle name="60% - 강조색3 38 15" xfId="12039" xr:uid="{00000000-0005-0000-0000-000097260000}"/>
    <cellStyle name="60% - 강조색3 38 16" xfId="27745" xr:uid="{00000000-0005-0000-0000-000098260000}"/>
    <cellStyle name="60% - 강조색3 38 2" xfId="1292" xr:uid="{00000000-0005-0000-0000-000099260000}"/>
    <cellStyle name="60% - 강조색3 38 2 2" xfId="12045" xr:uid="{00000000-0005-0000-0000-00009A260000}"/>
    <cellStyle name="60% - 강조색3 38 3" xfId="12046" xr:uid="{00000000-0005-0000-0000-00009B260000}"/>
    <cellStyle name="60% - 강조색3 38 4" xfId="12047" xr:uid="{00000000-0005-0000-0000-00009C260000}"/>
    <cellStyle name="60% - 강조색3 38 5" xfId="12048" xr:uid="{00000000-0005-0000-0000-00009D260000}"/>
    <cellStyle name="60% - 강조색3 38 6" xfId="12049" xr:uid="{00000000-0005-0000-0000-00009E260000}"/>
    <cellStyle name="60% - 강조색3 38 7" xfId="12050" xr:uid="{00000000-0005-0000-0000-00009F260000}"/>
    <cellStyle name="60% - 강조색3 38 8" xfId="12051" xr:uid="{00000000-0005-0000-0000-0000A0260000}"/>
    <cellStyle name="60% - 강조색3 38 9" xfId="12052" xr:uid="{00000000-0005-0000-0000-0000A1260000}"/>
    <cellStyle name="60% - 강조색3 39" xfId="1293" xr:uid="{00000000-0005-0000-0000-0000A2260000}"/>
    <cellStyle name="60% - 강조색3 39 10" xfId="12054" xr:uid="{00000000-0005-0000-0000-0000A3260000}"/>
    <cellStyle name="60% - 강조색3 39 11" xfId="12055" xr:uid="{00000000-0005-0000-0000-0000A4260000}"/>
    <cellStyle name="60% - 강조색3 39 12" xfId="12056" xr:uid="{00000000-0005-0000-0000-0000A5260000}"/>
    <cellStyle name="60% - 강조색3 39 13" xfId="12057" xr:uid="{00000000-0005-0000-0000-0000A6260000}"/>
    <cellStyle name="60% - 강조색3 39 14" xfId="12058" xr:uid="{00000000-0005-0000-0000-0000A7260000}"/>
    <cellStyle name="60% - 강조색3 39 15" xfId="12053" xr:uid="{00000000-0005-0000-0000-0000A8260000}"/>
    <cellStyle name="60% - 강조색3 39 16" xfId="27744" xr:uid="{00000000-0005-0000-0000-0000A9260000}"/>
    <cellStyle name="60% - 강조색3 39 2" xfId="1294" xr:uid="{00000000-0005-0000-0000-0000AA260000}"/>
    <cellStyle name="60% - 강조색3 39 2 2" xfId="12059" xr:uid="{00000000-0005-0000-0000-0000AB260000}"/>
    <cellStyle name="60% - 강조색3 39 3" xfId="12060" xr:uid="{00000000-0005-0000-0000-0000AC260000}"/>
    <cellStyle name="60% - 강조색3 39 4" xfId="12061" xr:uid="{00000000-0005-0000-0000-0000AD260000}"/>
    <cellStyle name="60% - 강조색3 39 5" xfId="12062" xr:uid="{00000000-0005-0000-0000-0000AE260000}"/>
    <cellStyle name="60% - 강조색3 39 6" xfId="12063" xr:uid="{00000000-0005-0000-0000-0000AF260000}"/>
    <cellStyle name="60% - 강조색3 39 7" xfId="12064" xr:uid="{00000000-0005-0000-0000-0000B0260000}"/>
    <cellStyle name="60% - 강조색3 39 8" xfId="12065" xr:uid="{00000000-0005-0000-0000-0000B1260000}"/>
    <cellStyle name="60% - 강조색3 39 9" xfId="12066" xr:uid="{00000000-0005-0000-0000-0000B2260000}"/>
    <cellStyle name="60% - 강조색3 4" xfId="1295" xr:uid="{00000000-0005-0000-0000-0000B3260000}"/>
    <cellStyle name="60% - 강조색3 4 10" xfId="12068" xr:uid="{00000000-0005-0000-0000-0000B4260000}"/>
    <cellStyle name="60% - 강조색3 4 11" xfId="12069" xr:uid="{00000000-0005-0000-0000-0000B5260000}"/>
    <cellStyle name="60% - 강조색3 4 12" xfId="12070" xr:uid="{00000000-0005-0000-0000-0000B6260000}"/>
    <cellStyle name="60% - 강조색3 4 13" xfId="12071" xr:uid="{00000000-0005-0000-0000-0000B7260000}"/>
    <cellStyle name="60% - 강조색3 4 14" xfId="12072" xr:uid="{00000000-0005-0000-0000-0000B8260000}"/>
    <cellStyle name="60% - 강조색3 4 15" xfId="12067" xr:uid="{00000000-0005-0000-0000-0000B9260000}"/>
    <cellStyle name="60% - 강조색3 4 16" xfId="27743" xr:uid="{00000000-0005-0000-0000-0000BA260000}"/>
    <cellStyle name="60% - 강조색3 4 17" xfId="27865" xr:uid="{00000000-0005-0000-0000-0000BB260000}"/>
    <cellStyle name="60% - 강조색3 4 2" xfId="1296" xr:uid="{00000000-0005-0000-0000-0000BC260000}"/>
    <cellStyle name="60% - 강조색3 4 2 2" xfId="12073" xr:uid="{00000000-0005-0000-0000-0000BD260000}"/>
    <cellStyle name="60% - 강조색3 4 3" xfId="12074" xr:uid="{00000000-0005-0000-0000-0000BE260000}"/>
    <cellStyle name="60% - 강조색3 4 4" xfId="12075" xr:uid="{00000000-0005-0000-0000-0000BF260000}"/>
    <cellStyle name="60% - 강조색3 4 5" xfId="12076" xr:uid="{00000000-0005-0000-0000-0000C0260000}"/>
    <cellStyle name="60% - 강조색3 4 6" xfId="12077" xr:uid="{00000000-0005-0000-0000-0000C1260000}"/>
    <cellStyle name="60% - 강조색3 4 7" xfId="12078" xr:uid="{00000000-0005-0000-0000-0000C2260000}"/>
    <cellStyle name="60% - 강조색3 4 8" xfId="12079" xr:uid="{00000000-0005-0000-0000-0000C3260000}"/>
    <cellStyle name="60% - 강조색3 4 9" xfId="12080" xr:uid="{00000000-0005-0000-0000-0000C4260000}"/>
    <cellStyle name="60% - 강조색3 40" xfId="1297" xr:uid="{00000000-0005-0000-0000-0000C5260000}"/>
    <cellStyle name="60% - 강조색3 40 10" xfId="12082" xr:uid="{00000000-0005-0000-0000-0000C6260000}"/>
    <cellStyle name="60% - 강조색3 40 11" xfId="12083" xr:uid="{00000000-0005-0000-0000-0000C7260000}"/>
    <cellStyle name="60% - 강조색3 40 12" xfId="12084" xr:uid="{00000000-0005-0000-0000-0000C8260000}"/>
    <cellStyle name="60% - 강조색3 40 13" xfId="12085" xr:uid="{00000000-0005-0000-0000-0000C9260000}"/>
    <cellStyle name="60% - 강조색3 40 14" xfId="12086" xr:uid="{00000000-0005-0000-0000-0000CA260000}"/>
    <cellStyle name="60% - 강조색3 40 15" xfId="12081" xr:uid="{00000000-0005-0000-0000-0000CB260000}"/>
    <cellStyle name="60% - 강조색3 40 16" xfId="27742" xr:uid="{00000000-0005-0000-0000-0000CC260000}"/>
    <cellStyle name="60% - 강조색3 40 2" xfId="1298" xr:uid="{00000000-0005-0000-0000-0000CD260000}"/>
    <cellStyle name="60% - 강조색3 40 2 2" xfId="12087" xr:uid="{00000000-0005-0000-0000-0000CE260000}"/>
    <cellStyle name="60% - 강조색3 40 3" xfId="12088" xr:uid="{00000000-0005-0000-0000-0000CF260000}"/>
    <cellStyle name="60% - 강조색3 40 4" xfId="12089" xr:uid="{00000000-0005-0000-0000-0000D0260000}"/>
    <cellStyle name="60% - 강조색3 40 5" xfId="12090" xr:uid="{00000000-0005-0000-0000-0000D1260000}"/>
    <cellStyle name="60% - 강조색3 40 6" xfId="12091" xr:uid="{00000000-0005-0000-0000-0000D2260000}"/>
    <cellStyle name="60% - 강조색3 40 7" xfId="12092" xr:uid="{00000000-0005-0000-0000-0000D3260000}"/>
    <cellStyle name="60% - 강조색3 40 8" xfId="12093" xr:uid="{00000000-0005-0000-0000-0000D4260000}"/>
    <cellStyle name="60% - 강조색3 40 9" xfId="12094" xr:uid="{00000000-0005-0000-0000-0000D5260000}"/>
    <cellStyle name="60% - 강조색3 41" xfId="1299" xr:uid="{00000000-0005-0000-0000-0000D6260000}"/>
    <cellStyle name="60% - 강조색3 41 10" xfId="12096" xr:uid="{00000000-0005-0000-0000-0000D7260000}"/>
    <cellStyle name="60% - 강조색3 41 11" xfId="12097" xr:uid="{00000000-0005-0000-0000-0000D8260000}"/>
    <cellStyle name="60% - 강조색3 41 12" xfId="12098" xr:uid="{00000000-0005-0000-0000-0000D9260000}"/>
    <cellStyle name="60% - 강조색3 41 13" xfId="12099" xr:uid="{00000000-0005-0000-0000-0000DA260000}"/>
    <cellStyle name="60% - 강조색3 41 14" xfId="12100" xr:uid="{00000000-0005-0000-0000-0000DB260000}"/>
    <cellStyle name="60% - 강조색3 41 15" xfId="12095" xr:uid="{00000000-0005-0000-0000-0000DC260000}"/>
    <cellStyle name="60% - 강조색3 41 16" xfId="27741" xr:uid="{00000000-0005-0000-0000-0000DD260000}"/>
    <cellStyle name="60% - 강조색3 41 2" xfId="1300" xr:uid="{00000000-0005-0000-0000-0000DE260000}"/>
    <cellStyle name="60% - 강조색3 41 2 2" xfId="12101" xr:uid="{00000000-0005-0000-0000-0000DF260000}"/>
    <cellStyle name="60% - 강조색3 41 3" xfId="12102" xr:uid="{00000000-0005-0000-0000-0000E0260000}"/>
    <cellStyle name="60% - 강조색3 41 4" xfId="12103" xr:uid="{00000000-0005-0000-0000-0000E1260000}"/>
    <cellStyle name="60% - 강조색3 41 5" xfId="12104" xr:uid="{00000000-0005-0000-0000-0000E2260000}"/>
    <cellStyle name="60% - 강조색3 41 6" xfId="12105" xr:uid="{00000000-0005-0000-0000-0000E3260000}"/>
    <cellStyle name="60% - 강조색3 41 7" xfId="12106" xr:uid="{00000000-0005-0000-0000-0000E4260000}"/>
    <cellStyle name="60% - 강조색3 41 8" xfId="12107" xr:uid="{00000000-0005-0000-0000-0000E5260000}"/>
    <cellStyle name="60% - 강조색3 41 9" xfId="12108" xr:uid="{00000000-0005-0000-0000-0000E6260000}"/>
    <cellStyle name="60% - 강조색3 42" xfId="1301" xr:uid="{00000000-0005-0000-0000-0000E7260000}"/>
    <cellStyle name="60% - 강조색3 42 10" xfId="12110" xr:uid="{00000000-0005-0000-0000-0000E8260000}"/>
    <cellStyle name="60% - 강조색3 42 11" xfId="12111" xr:uid="{00000000-0005-0000-0000-0000E9260000}"/>
    <cellStyle name="60% - 강조색3 42 12" xfId="12112" xr:uid="{00000000-0005-0000-0000-0000EA260000}"/>
    <cellStyle name="60% - 강조색3 42 13" xfId="12113" xr:uid="{00000000-0005-0000-0000-0000EB260000}"/>
    <cellStyle name="60% - 강조색3 42 14" xfId="12114" xr:uid="{00000000-0005-0000-0000-0000EC260000}"/>
    <cellStyle name="60% - 강조색3 42 15" xfId="12109" xr:uid="{00000000-0005-0000-0000-0000ED260000}"/>
    <cellStyle name="60% - 강조색3 42 16" xfId="27740" xr:uid="{00000000-0005-0000-0000-0000EE260000}"/>
    <cellStyle name="60% - 강조색3 42 2" xfId="1302" xr:uid="{00000000-0005-0000-0000-0000EF260000}"/>
    <cellStyle name="60% - 강조색3 42 2 2" xfId="12115" xr:uid="{00000000-0005-0000-0000-0000F0260000}"/>
    <cellStyle name="60% - 강조색3 42 3" xfId="12116" xr:uid="{00000000-0005-0000-0000-0000F1260000}"/>
    <cellStyle name="60% - 강조색3 42 4" xfId="12117" xr:uid="{00000000-0005-0000-0000-0000F2260000}"/>
    <cellStyle name="60% - 강조색3 42 5" xfId="12118" xr:uid="{00000000-0005-0000-0000-0000F3260000}"/>
    <cellStyle name="60% - 강조색3 42 6" xfId="12119" xr:uid="{00000000-0005-0000-0000-0000F4260000}"/>
    <cellStyle name="60% - 강조색3 42 7" xfId="12120" xr:uid="{00000000-0005-0000-0000-0000F5260000}"/>
    <cellStyle name="60% - 강조색3 42 8" xfId="12121" xr:uid="{00000000-0005-0000-0000-0000F6260000}"/>
    <cellStyle name="60% - 강조색3 42 9" xfId="12122" xr:uid="{00000000-0005-0000-0000-0000F7260000}"/>
    <cellStyle name="60% - 강조색3 43" xfId="1303" xr:uid="{00000000-0005-0000-0000-0000F8260000}"/>
    <cellStyle name="60% - 강조색3 43 10" xfId="12124" xr:uid="{00000000-0005-0000-0000-0000F9260000}"/>
    <cellStyle name="60% - 강조색3 43 11" xfId="12125" xr:uid="{00000000-0005-0000-0000-0000FA260000}"/>
    <cellStyle name="60% - 강조색3 43 12" xfId="12126" xr:uid="{00000000-0005-0000-0000-0000FB260000}"/>
    <cellStyle name="60% - 강조색3 43 13" xfId="12127" xr:uid="{00000000-0005-0000-0000-0000FC260000}"/>
    <cellStyle name="60% - 강조색3 43 14" xfId="12128" xr:uid="{00000000-0005-0000-0000-0000FD260000}"/>
    <cellStyle name="60% - 강조색3 43 15" xfId="12123" xr:uid="{00000000-0005-0000-0000-0000FE260000}"/>
    <cellStyle name="60% - 강조색3 43 16" xfId="27739" xr:uid="{00000000-0005-0000-0000-0000FF260000}"/>
    <cellStyle name="60% - 강조색3 43 2" xfId="1304" xr:uid="{00000000-0005-0000-0000-000000270000}"/>
    <cellStyle name="60% - 강조색3 43 2 2" xfId="12129" xr:uid="{00000000-0005-0000-0000-000001270000}"/>
    <cellStyle name="60% - 강조색3 43 3" xfId="12130" xr:uid="{00000000-0005-0000-0000-000002270000}"/>
    <cellStyle name="60% - 강조색3 43 4" xfId="12131" xr:uid="{00000000-0005-0000-0000-000003270000}"/>
    <cellStyle name="60% - 강조색3 43 5" xfId="12132" xr:uid="{00000000-0005-0000-0000-000004270000}"/>
    <cellStyle name="60% - 강조색3 43 6" xfId="12133" xr:uid="{00000000-0005-0000-0000-000005270000}"/>
    <cellStyle name="60% - 강조색3 43 7" xfId="12134" xr:uid="{00000000-0005-0000-0000-000006270000}"/>
    <cellStyle name="60% - 강조색3 43 8" xfId="12135" xr:uid="{00000000-0005-0000-0000-000007270000}"/>
    <cellStyle name="60% - 강조색3 43 9" xfId="12136" xr:uid="{00000000-0005-0000-0000-000008270000}"/>
    <cellStyle name="60% - 강조색3 44" xfId="1305" xr:uid="{00000000-0005-0000-0000-000009270000}"/>
    <cellStyle name="60% - 강조색3 44 2" xfId="12137" xr:uid="{00000000-0005-0000-0000-00000A270000}"/>
    <cellStyle name="60% - 강조색3 44 3" xfId="27738" xr:uid="{00000000-0005-0000-0000-00000B270000}"/>
    <cellStyle name="60% - 강조색3 45" xfId="1306" xr:uid="{00000000-0005-0000-0000-00000C270000}"/>
    <cellStyle name="60% - 강조색3 45 2" xfId="12138" xr:uid="{00000000-0005-0000-0000-00000D270000}"/>
    <cellStyle name="60% - 강조색3 45 3" xfId="27737" xr:uid="{00000000-0005-0000-0000-00000E270000}"/>
    <cellStyle name="60% - 강조색3 46" xfId="1230" xr:uid="{00000000-0005-0000-0000-00000F270000}"/>
    <cellStyle name="60% - 강조색3 47" xfId="11618" xr:uid="{00000000-0005-0000-0000-000010270000}"/>
    <cellStyle name="60% - 강조색3 48" xfId="27776" xr:uid="{00000000-0005-0000-0000-000011270000}"/>
    <cellStyle name="60% - 강조색3 5" xfId="1307" xr:uid="{00000000-0005-0000-0000-000012270000}"/>
    <cellStyle name="60% - 강조색3 5 10" xfId="12140" xr:uid="{00000000-0005-0000-0000-000013270000}"/>
    <cellStyle name="60% - 강조색3 5 11" xfId="12141" xr:uid="{00000000-0005-0000-0000-000014270000}"/>
    <cellStyle name="60% - 강조색3 5 12" xfId="12142" xr:uid="{00000000-0005-0000-0000-000015270000}"/>
    <cellStyle name="60% - 강조색3 5 13" xfId="12143" xr:uid="{00000000-0005-0000-0000-000016270000}"/>
    <cellStyle name="60% - 강조색3 5 14" xfId="12144" xr:uid="{00000000-0005-0000-0000-000017270000}"/>
    <cellStyle name="60% - 강조색3 5 15" xfId="12139" xr:uid="{00000000-0005-0000-0000-000018270000}"/>
    <cellStyle name="60% - 강조색3 5 16" xfId="27736" xr:uid="{00000000-0005-0000-0000-000019270000}"/>
    <cellStyle name="60% - 강조색3 5 2" xfId="1308" xr:uid="{00000000-0005-0000-0000-00001A270000}"/>
    <cellStyle name="60% - 강조색3 5 2 2" xfId="12145" xr:uid="{00000000-0005-0000-0000-00001B270000}"/>
    <cellStyle name="60% - 강조색3 5 3" xfId="12146" xr:uid="{00000000-0005-0000-0000-00001C270000}"/>
    <cellStyle name="60% - 강조색3 5 4" xfId="12147" xr:uid="{00000000-0005-0000-0000-00001D270000}"/>
    <cellStyle name="60% - 강조색3 5 5" xfId="12148" xr:uid="{00000000-0005-0000-0000-00001E270000}"/>
    <cellStyle name="60% - 강조색3 5 6" xfId="12149" xr:uid="{00000000-0005-0000-0000-00001F270000}"/>
    <cellStyle name="60% - 강조색3 5 7" xfId="12150" xr:uid="{00000000-0005-0000-0000-000020270000}"/>
    <cellStyle name="60% - 강조색3 5 8" xfId="12151" xr:uid="{00000000-0005-0000-0000-000021270000}"/>
    <cellStyle name="60% - 강조색3 5 9" xfId="12152" xr:uid="{00000000-0005-0000-0000-000022270000}"/>
    <cellStyle name="60% - 강조색3 6" xfId="1309" xr:uid="{00000000-0005-0000-0000-000023270000}"/>
    <cellStyle name="60% - 강조색3 6 10" xfId="12154" xr:uid="{00000000-0005-0000-0000-000024270000}"/>
    <cellStyle name="60% - 강조색3 6 11" xfId="12155" xr:uid="{00000000-0005-0000-0000-000025270000}"/>
    <cellStyle name="60% - 강조색3 6 12" xfId="12156" xr:uid="{00000000-0005-0000-0000-000026270000}"/>
    <cellStyle name="60% - 강조색3 6 13" xfId="12157" xr:uid="{00000000-0005-0000-0000-000027270000}"/>
    <cellStyle name="60% - 강조색3 6 14" xfId="12158" xr:uid="{00000000-0005-0000-0000-000028270000}"/>
    <cellStyle name="60% - 강조색3 6 15" xfId="12153" xr:uid="{00000000-0005-0000-0000-000029270000}"/>
    <cellStyle name="60% - 강조색3 6 16" xfId="27735" xr:uid="{00000000-0005-0000-0000-00002A270000}"/>
    <cellStyle name="60% - 강조색3 6 2" xfId="1310" xr:uid="{00000000-0005-0000-0000-00002B270000}"/>
    <cellStyle name="60% - 강조색3 6 2 2" xfId="12159" xr:uid="{00000000-0005-0000-0000-00002C270000}"/>
    <cellStyle name="60% - 강조색3 6 3" xfId="12160" xr:uid="{00000000-0005-0000-0000-00002D270000}"/>
    <cellStyle name="60% - 강조색3 6 4" xfId="12161" xr:uid="{00000000-0005-0000-0000-00002E270000}"/>
    <cellStyle name="60% - 강조색3 6 5" xfId="12162" xr:uid="{00000000-0005-0000-0000-00002F270000}"/>
    <cellStyle name="60% - 강조색3 6 6" xfId="12163" xr:uid="{00000000-0005-0000-0000-000030270000}"/>
    <cellStyle name="60% - 강조색3 6 7" xfId="12164" xr:uid="{00000000-0005-0000-0000-000031270000}"/>
    <cellStyle name="60% - 강조색3 6 8" xfId="12165" xr:uid="{00000000-0005-0000-0000-000032270000}"/>
    <cellStyle name="60% - 강조색3 6 9" xfId="12166" xr:uid="{00000000-0005-0000-0000-000033270000}"/>
    <cellStyle name="60% - 강조색3 7" xfId="1311" xr:uid="{00000000-0005-0000-0000-000034270000}"/>
    <cellStyle name="60% - 강조색3 7 10" xfId="12168" xr:uid="{00000000-0005-0000-0000-000035270000}"/>
    <cellStyle name="60% - 강조색3 7 11" xfId="12169" xr:uid="{00000000-0005-0000-0000-000036270000}"/>
    <cellStyle name="60% - 강조색3 7 12" xfId="12170" xr:uid="{00000000-0005-0000-0000-000037270000}"/>
    <cellStyle name="60% - 강조색3 7 13" xfId="12171" xr:uid="{00000000-0005-0000-0000-000038270000}"/>
    <cellStyle name="60% - 강조색3 7 14" xfId="12172" xr:uid="{00000000-0005-0000-0000-000039270000}"/>
    <cellStyle name="60% - 강조색3 7 15" xfId="12167" xr:uid="{00000000-0005-0000-0000-00003A270000}"/>
    <cellStyle name="60% - 강조색3 7 16" xfId="27734" xr:uid="{00000000-0005-0000-0000-00003B270000}"/>
    <cellStyle name="60% - 강조색3 7 2" xfId="1312" xr:uid="{00000000-0005-0000-0000-00003C270000}"/>
    <cellStyle name="60% - 강조색3 7 2 2" xfId="12173" xr:uid="{00000000-0005-0000-0000-00003D270000}"/>
    <cellStyle name="60% - 강조색3 7 3" xfId="12174" xr:uid="{00000000-0005-0000-0000-00003E270000}"/>
    <cellStyle name="60% - 강조색3 7 4" xfId="12175" xr:uid="{00000000-0005-0000-0000-00003F270000}"/>
    <cellStyle name="60% - 강조색3 7 5" xfId="12176" xr:uid="{00000000-0005-0000-0000-000040270000}"/>
    <cellStyle name="60% - 강조색3 7 6" xfId="12177" xr:uid="{00000000-0005-0000-0000-000041270000}"/>
    <cellStyle name="60% - 강조색3 7 7" xfId="12178" xr:uid="{00000000-0005-0000-0000-000042270000}"/>
    <cellStyle name="60% - 강조색3 7 8" xfId="12179" xr:uid="{00000000-0005-0000-0000-000043270000}"/>
    <cellStyle name="60% - 강조색3 7 9" xfId="12180" xr:uid="{00000000-0005-0000-0000-000044270000}"/>
    <cellStyle name="60% - 강조색3 8" xfId="1313" xr:uid="{00000000-0005-0000-0000-000045270000}"/>
    <cellStyle name="60% - 강조색3 8 10" xfId="12182" xr:uid="{00000000-0005-0000-0000-000046270000}"/>
    <cellStyle name="60% - 강조색3 8 11" xfId="12183" xr:uid="{00000000-0005-0000-0000-000047270000}"/>
    <cellStyle name="60% - 강조색3 8 12" xfId="12184" xr:uid="{00000000-0005-0000-0000-000048270000}"/>
    <cellStyle name="60% - 강조색3 8 13" xfId="12185" xr:uid="{00000000-0005-0000-0000-000049270000}"/>
    <cellStyle name="60% - 강조색3 8 14" xfId="12186" xr:uid="{00000000-0005-0000-0000-00004A270000}"/>
    <cellStyle name="60% - 강조색3 8 15" xfId="12181" xr:uid="{00000000-0005-0000-0000-00004B270000}"/>
    <cellStyle name="60% - 강조색3 8 16" xfId="27733" xr:uid="{00000000-0005-0000-0000-00004C270000}"/>
    <cellStyle name="60% - 강조색3 8 2" xfId="1314" xr:uid="{00000000-0005-0000-0000-00004D270000}"/>
    <cellStyle name="60% - 강조색3 8 2 2" xfId="12187" xr:uid="{00000000-0005-0000-0000-00004E270000}"/>
    <cellStyle name="60% - 강조색3 8 3" xfId="12188" xr:uid="{00000000-0005-0000-0000-00004F270000}"/>
    <cellStyle name="60% - 강조색3 8 4" xfId="12189" xr:uid="{00000000-0005-0000-0000-000050270000}"/>
    <cellStyle name="60% - 강조색3 8 5" xfId="12190" xr:uid="{00000000-0005-0000-0000-000051270000}"/>
    <cellStyle name="60% - 강조색3 8 6" xfId="12191" xr:uid="{00000000-0005-0000-0000-000052270000}"/>
    <cellStyle name="60% - 강조색3 8 7" xfId="12192" xr:uid="{00000000-0005-0000-0000-000053270000}"/>
    <cellStyle name="60% - 강조색3 8 8" xfId="12193" xr:uid="{00000000-0005-0000-0000-000054270000}"/>
    <cellStyle name="60% - 강조색3 8 9" xfId="12194" xr:uid="{00000000-0005-0000-0000-000055270000}"/>
    <cellStyle name="60% - 강조색3 9" xfId="1315" xr:uid="{00000000-0005-0000-0000-000056270000}"/>
    <cellStyle name="60% - 강조색3 9 10" xfId="12196" xr:uid="{00000000-0005-0000-0000-000057270000}"/>
    <cellStyle name="60% - 강조색3 9 11" xfId="12197" xr:uid="{00000000-0005-0000-0000-000058270000}"/>
    <cellStyle name="60% - 강조색3 9 12" xfId="12198" xr:uid="{00000000-0005-0000-0000-000059270000}"/>
    <cellStyle name="60% - 강조색3 9 13" xfId="12199" xr:uid="{00000000-0005-0000-0000-00005A270000}"/>
    <cellStyle name="60% - 강조색3 9 14" xfId="12200" xr:uid="{00000000-0005-0000-0000-00005B270000}"/>
    <cellStyle name="60% - 강조색3 9 15" xfId="12195" xr:uid="{00000000-0005-0000-0000-00005C270000}"/>
    <cellStyle name="60% - 강조색3 9 16" xfId="27732" xr:uid="{00000000-0005-0000-0000-00005D270000}"/>
    <cellStyle name="60% - 강조색3 9 2" xfId="1316" xr:uid="{00000000-0005-0000-0000-00005E270000}"/>
    <cellStyle name="60% - 강조색3 9 2 2" xfId="12201" xr:uid="{00000000-0005-0000-0000-00005F270000}"/>
    <cellStyle name="60% - 강조색3 9 3" xfId="12202" xr:uid="{00000000-0005-0000-0000-000060270000}"/>
    <cellStyle name="60% - 강조색3 9 4" xfId="12203" xr:uid="{00000000-0005-0000-0000-000061270000}"/>
    <cellStyle name="60% - 강조색3 9 5" xfId="12204" xr:uid="{00000000-0005-0000-0000-000062270000}"/>
    <cellStyle name="60% - 강조색3 9 6" xfId="12205" xr:uid="{00000000-0005-0000-0000-000063270000}"/>
    <cellStyle name="60% - 강조색3 9 7" xfId="12206" xr:uid="{00000000-0005-0000-0000-000064270000}"/>
    <cellStyle name="60% - 강조색3 9 8" xfId="12207" xr:uid="{00000000-0005-0000-0000-000065270000}"/>
    <cellStyle name="60% - 강조색3 9 9" xfId="12208" xr:uid="{00000000-0005-0000-0000-000066270000}"/>
    <cellStyle name="60% - 강조색4 10" xfId="1318" xr:uid="{00000000-0005-0000-0000-000067270000}"/>
    <cellStyle name="60% - 강조색4 10 10" xfId="12211" xr:uid="{00000000-0005-0000-0000-000068270000}"/>
    <cellStyle name="60% - 강조색4 10 11" xfId="12212" xr:uid="{00000000-0005-0000-0000-000069270000}"/>
    <cellStyle name="60% - 강조색4 10 12" xfId="12213" xr:uid="{00000000-0005-0000-0000-00006A270000}"/>
    <cellStyle name="60% - 강조색4 10 13" xfId="12214" xr:uid="{00000000-0005-0000-0000-00006B270000}"/>
    <cellStyle name="60% - 강조색4 10 14" xfId="12215" xr:uid="{00000000-0005-0000-0000-00006C270000}"/>
    <cellStyle name="60% - 강조색4 10 15" xfId="12210" xr:uid="{00000000-0005-0000-0000-00006D270000}"/>
    <cellStyle name="60% - 강조색4 10 16" xfId="27730" xr:uid="{00000000-0005-0000-0000-00006E270000}"/>
    <cellStyle name="60% - 강조색4 10 2" xfId="1319" xr:uid="{00000000-0005-0000-0000-00006F270000}"/>
    <cellStyle name="60% - 강조색4 10 2 2" xfId="12216" xr:uid="{00000000-0005-0000-0000-000070270000}"/>
    <cellStyle name="60% - 강조색4 10 3" xfId="12217" xr:uid="{00000000-0005-0000-0000-000071270000}"/>
    <cellStyle name="60% - 강조색4 10 4" xfId="12218" xr:uid="{00000000-0005-0000-0000-000072270000}"/>
    <cellStyle name="60% - 강조색4 10 5" xfId="12219" xr:uid="{00000000-0005-0000-0000-000073270000}"/>
    <cellStyle name="60% - 강조색4 10 6" xfId="12220" xr:uid="{00000000-0005-0000-0000-000074270000}"/>
    <cellStyle name="60% - 강조색4 10 7" xfId="12221" xr:uid="{00000000-0005-0000-0000-000075270000}"/>
    <cellStyle name="60% - 강조색4 10 8" xfId="12222" xr:uid="{00000000-0005-0000-0000-000076270000}"/>
    <cellStyle name="60% - 강조색4 10 9" xfId="12223" xr:uid="{00000000-0005-0000-0000-000077270000}"/>
    <cellStyle name="60% - 강조색4 11" xfId="1320" xr:uid="{00000000-0005-0000-0000-000078270000}"/>
    <cellStyle name="60% - 강조색4 11 10" xfId="12225" xr:uid="{00000000-0005-0000-0000-000079270000}"/>
    <cellStyle name="60% - 강조색4 11 11" xfId="12226" xr:uid="{00000000-0005-0000-0000-00007A270000}"/>
    <cellStyle name="60% - 강조색4 11 12" xfId="12227" xr:uid="{00000000-0005-0000-0000-00007B270000}"/>
    <cellStyle name="60% - 강조색4 11 13" xfId="12228" xr:uid="{00000000-0005-0000-0000-00007C270000}"/>
    <cellStyle name="60% - 강조색4 11 14" xfId="12229" xr:uid="{00000000-0005-0000-0000-00007D270000}"/>
    <cellStyle name="60% - 강조색4 11 15" xfId="12224" xr:uid="{00000000-0005-0000-0000-00007E270000}"/>
    <cellStyle name="60% - 강조색4 11 16" xfId="27729" xr:uid="{00000000-0005-0000-0000-00007F270000}"/>
    <cellStyle name="60% - 강조색4 11 2" xfId="1321" xr:uid="{00000000-0005-0000-0000-000080270000}"/>
    <cellStyle name="60% - 강조색4 11 2 2" xfId="12230" xr:uid="{00000000-0005-0000-0000-000081270000}"/>
    <cellStyle name="60% - 강조색4 11 3" xfId="12231" xr:uid="{00000000-0005-0000-0000-000082270000}"/>
    <cellStyle name="60% - 강조색4 11 4" xfId="12232" xr:uid="{00000000-0005-0000-0000-000083270000}"/>
    <cellStyle name="60% - 강조색4 11 5" xfId="12233" xr:uid="{00000000-0005-0000-0000-000084270000}"/>
    <cellStyle name="60% - 강조색4 11 6" xfId="12234" xr:uid="{00000000-0005-0000-0000-000085270000}"/>
    <cellStyle name="60% - 강조색4 11 7" xfId="12235" xr:uid="{00000000-0005-0000-0000-000086270000}"/>
    <cellStyle name="60% - 강조색4 11 8" xfId="12236" xr:uid="{00000000-0005-0000-0000-000087270000}"/>
    <cellStyle name="60% - 강조색4 11 9" xfId="12237" xr:uid="{00000000-0005-0000-0000-000088270000}"/>
    <cellStyle name="60% - 강조색4 12" xfId="1322" xr:uid="{00000000-0005-0000-0000-000089270000}"/>
    <cellStyle name="60% - 강조색4 12 10" xfId="12239" xr:uid="{00000000-0005-0000-0000-00008A270000}"/>
    <cellStyle name="60% - 강조색4 12 11" xfId="12240" xr:uid="{00000000-0005-0000-0000-00008B270000}"/>
    <cellStyle name="60% - 강조색4 12 12" xfId="12241" xr:uid="{00000000-0005-0000-0000-00008C270000}"/>
    <cellStyle name="60% - 강조색4 12 13" xfId="12242" xr:uid="{00000000-0005-0000-0000-00008D270000}"/>
    <cellStyle name="60% - 강조색4 12 14" xfId="12243" xr:uid="{00000000-0005-0000-0000-00008E270000}"/>
    <cellStyle name="60% - 강조색4 12 15" xfId="12238" xr:uid="{00000000-0005-0000-0000-00008F270000}"/>
    <cellStyle name="60% - 강조색4 12 16" xfId="27728" xr:uid="{00000000-0005-0000-0000-000090270000}"/>
    <cellStyle name="60% - 강조색4 12 2" xfId="1323" xr:uid="{00000000-0005-0000-0000-000091270000}"/>
    <cellStyle name="60% - 강조색4 12 2 2" xfId="12244" xr:uid="{00000000-0005-0000-0000-000092270000}"/>
    <cellStyle name="60% - 강조색4 12 3" xfId="12245" xr:uid="{00000000-0005-0000-0000-000093270000}"/>
    <cellStyle name="60% - 강조색4 12 4" xfId="12246" xr:uid="{00000000-0005-0000-0000-000094270000}"/>
    <cellStyle name="60% - 강조색4 12 5" xfId="12247" xr:uid="{00000000-0005-0000-0000-000095270000}"/>
    <cellStyle name="60% - 강조색4 12 6" xfId="12248" xr:uid="{00000000-0005-0000-0000-000096270000}"/>
    <cellStyle name="60% - 강조색4 12 7" xfId="12249" xr:uid="{00000000-0005-0000-0000-000097270000}"/>
    <cellStyle name="60% - 강조색4 12 8" xfId="12250" xr:uid="{00000000-0005-0000-0000-000098270000}"/>
    <cellStyle name="60% - 강조색4 12 9" xfId="12251" xr:uid="{00000000-0005-0000-0000-000099270000}"/>
    <cellStyle name="60% - 강조색4 13" xfId="1324" xr:uid="{00000000-0005-0000-0000-00009A270000}"/>
    <cellStyle name="60% - 강조색4 13 10" xfId="12253" xr:uid="{00000000-0005-0000-0000-00009B270000}"/>
    <cellStyle name="60% - 강조색4 13 11" xfId="12254" xr:uid="{00000000-0005-0000-0000-00009C270000}"/>
    <cellStyle name="60% - 강조색4 13 12" xfId="12255" xr:uid="{00000000-0005-0000-0000-00009D270000}"/>
    <cellStyle name="60% - 강조색4 13 13" xfId="12256" xr:uid="{00000000-0005-0000-0000-00009E270000}"/>
    <cellStyle name="60% - 강조색4 13 14" xfId="12257" xr:uid="{00000000-0005-0000-0000-00009F270000}"/>
    <cellStyle name="60% - 강조색4 13 15" xfId="12252" xr:uid="{00000000-0005-0000-0000-0000A0270000}"/>
    <cellStyle name="60% - 강조색4 13 16" xfId="27727" xr:uid="{00000000-0005-0000-0000-0000A1270000}"/>
    <cellStyle name="60% - 강조색4 13 2" xfId="1325" xr:uid="{00000000-0005-0000-0000-0000A2270000}"/>
    <cellStyle name="60% - 강조색4 13 2 2" xfId="12258" xr:uid="{00000000-0005-0000-0000-0000A3270000}"/>
    <cellStyle name="60% - 강조색4 13 3" xfId="12259" xr:uid="{00000000-0005-0000-0000-0000A4270000}"/>
    <cellStyle name="60% - 강조색4 13 4" xfId="12260" xr:uid="{00000000-0005-0000-0000-0000A5270000}"/>
    <cellStyle name="60% - 강조색4 13 5" xfId="12261" xr:uid="{00000000-0005-0000-0000-0000A6270000}"/>
    <cellStyle name="60% - 강조색4 13 6" xfId="12262" xr:uid="{00000000-0005-0000-0000-0000A7270000}"/>
    <cellStyle name="60% - 강조색4 13 7" xfId="12263" xr:uid="{00000000-0005-0000-0000-0000A8270000}"/>
    <cellStyle name="60% - 강조색4 13 8" xfId="12264" xr:uid="{00000000-0005-0000-0000-0000A9270000}"/>
    <cellStyle name="60% - 강조색4 13 9" xfId="12265" xr:uid="{00000000-0005-0000-0000-0000AA270000}"/>
    <cellStyle name="60% - 강조색4 14" xfId="1326" xr:uid="{00000000-0005-0000-0000-0000AB270000}"/>
    <cellStyle name="60% - 강조색4 14 10" xfId="12267" xr:uid="{00000000-0005-0000-0000-0000AC270000}"/>
    <cellStyle name="60% - 강조색4 14 11" xfId="12268" xr:uid="{00000000-0005-0000-0000-0000AD270000}"/>
    <cellStyle name="60% - 강조색4 14 12" xfId="12269" xr:uid="{00000000-0005-0000-0000-0000AE270000}"/>
    <cellStyle name="60% - 강조색4 14 13" xfId="12270" xr:uid="{00000000-0005-0000-0000-0000AF270000}"/>
    <cellStyle name="60% - 강조색4 14 14" xfId="12271" xr:uid="{00000000-0005-0000-0000-0000B0270000}"/>
    <cellStyle name="60% - 강조색4 14 15" xfId="12266" xr:uid="{00000000-0005-0000-0000-0000B1270000}"/>
    <cellStyle name="60% - 강조색4 14 16" xfId="27726" xr:uid="{00000000-0005-0000-0000-0000B2270000}"/>
    <cellStyle name="60% - 강조색4 14 2" xfId="1327" xr:uid="{00000000-0005-0000-0000-0000B3270000}"/>
    <cellStyle name="60% - 강조색4 14 2 2" xfId="12272" xr:uid="{00000000-0005-0000-0000-0000B4270000}"/>
    <cellStyle name="60% - 강조색4 14 3" xfId="12273" xr:uid="{00000000-0005-0000-0000-0000B5270000}"/>
    <cellStyle name="60% - 강조색4 14 4" xfId="12274" xr:uid="{00000000-0005-0000-0000-0000B6270000}"/>
    <cellStyle name="60% - 강조색4 14 5" xfId="12275" xr:uid="{00000000-0005-0000-0000-0000B7270000}"/>
    <cellStyle name="60% - 강조색4 14 6" xfId="12276" xr:uid="{00000000-0005-0000-0000-0000B8270000}"/>
    <cellStyle name="60% - 강조색4 14 7" xfId="12277" xr:uid="{00000000-0005-0000-0000-0000B9270000}"/>
    <cellStyle name="60% - 강조색4 14 8" xfId="12278" xr:uid="{00000000-0005-0000-0000-0000BA270000}"/>
    <cellStyle name="60% - 강조색4 14 9" xfId="12279" xr:uid="{00000000-0005-0000-0000-0000BB270000}"/>
    <cellStyle name="60% - 강조색4 15" xfId="1328" xr:uid="{00000000-0005-0000-0000-0000BC270000}"/>
    <cellStyle name="60% - 강조색4 15 10" xfId="12281" xr:uid="{00000000-0005-0000-0000-0000BD270000}"/>
    <cellStyle name="60% - 강조색4 15 11" xfId="12282" xr:uid="{00000000-0005-0000-0000-0000BE270000}"/>
    <cellStyle name="60% - 강조색4 15 12" xfId="12283" xr:uid="{00000000-0005-0000-0000-0000BF270000}"/>
    <cellStyle name="60% - 강조색4 15 13" xfId="12284" xr:uid="{00000000-0005-0000-0000-0000C0270000}"/>
    <cellStyle name="60% - 강조색4 15 14" xfId="12285" xr:uid="{00000000-0005-0000-0000-0000C1270000}"/>
    <cellStyle name="60% - 강조색4 15 15" xfId="12280" xr:uid="{00000000-0005-0000-0000-0000C2270000}"/>
    <cellStyle name="60% - 강조색4 15 16" xfId="27725" xr:uid="{00000000-0005-0000-0000-0000C3270000}"/>
    <cellStyle name="60% - 강조색4 15 2" xfId="1329" xr:uid="{00000000-0005-0000-0000-0000C4270000}"/>
    <cellStyle name="60% - 강조색4 15 2 2" xfId="12286" xr:uid="{00000000-0005-0000-0000-0000C5270000}"/>
    <cellStyle name="60% - 강조색4 15 3" xfId="12287" xr:uid="{00000000-0005-0000-0000-0000C6270000}"/>
    <cellStyle name="60% - 강조색4 15 4" xfId="12288" xr:uid="{00000000-0005-0000-0000-0000C7270000}"/>
    <cellStyle name="60% - 강조색4 15 5" xfId="12289" xr:uid="{00000000-0005-0000-0000-0000C8270000}"/>
    <cellStyle name="60% - 강조색4 15 6" xfId="12290" xr:uid="{00000000-0005-0000-0000-0000C9270000}"/>
    <cellStyle name="60% - 강조색4 15 7" xfId="12291" xr:uid="{00000000-0005-0000-0000-0000CA270000}"/>
    <cellStyle name="60% - 강조색4 15 8" xfId="12292" xr:uid="{00000000-0005-0000-0000-0000CB270000}"/>
    <cellStyle name="60% - 강조색4 15 9" xfId="12293" xr:uid="{00000000-0005-0000-0000-0000CC270000}"/>
    <cellStyle name="60% - 강조색4 16" xfId="1330" xr:uid="{00000000-0005-0000-0000-0000CD270000}"/>
    <cellStyle name="60% - 강조색4 16 10" xfId="12295" xr:uid="{00000000-0005-0000-0000-0000CE270000}"/>
    <cellStyle name="60% - 강조색4 16 11" xfId="12296" xr:uid="{00000000-0005-0000-0000-0000CF270000}"/>
    <cellStyle name="60% - 강조색4 16 12" xfId="12297" xr:uid="{00000000-0005-0000-0000-0000D0270000}"/>
    <cellStyle name="60% - 강조색4 16 13" xfId="12298" xr:uid="{00000000-0005-0000-0000-0000D1270000}"/>
    <cellStyle name="60% - 강조색4 16 14" xfId="12299" xr:uid="{00000000-0005-0000-0000-0000D2270000}"/>
    <cellStyle name="60% - 강조색4 16 15" xfId="12294" xr:uid="{00000000-0005-0000-0000-0000D3270000}"/>
    <cellStyle name="60% - 강조색4 16 16" xfId="27724" xr:uid="{00000000-0005-0000-0000-0000D4270000}"/>
    <cellStyle name="60% - 강조색4 16 2" xfId="1331" xr:uid="{00000000-0005-0000-0000-0000D5270000}"/>
    <cellStyle name="60% - 강조색4 16 2 2" xfId="12300" xr:uid="{00000000-0005-0000-0000-0000D6270000}"/>
    <cellStyle name="60% - 강조색4 16 3" xfId="12301" xr:uid="{00000000-0005-0000-0000-0000D7270000}"/>
    <cellStyle name="60% - 강조색4 16 4" xfId="12302" xr:uid="{00000000-0005-0000-0000-0000D8270000}"/>
    <cellStyle name="60% - 강조색4 16 5" xfId="12303" xr:uid="{00000000-0005-0000-0000-0000D9270000}"/>
    <cellStyle name="60% - 강조색4 16 6" xfId="12304" xr:uid="{00000000-0005-0000-0000-0000DA270000}"/>
    <cellStyle name="60% - 강조색4 16 7" xfId="12305" xr:uid="{00000000-0005-0000-0000-0000DB270000}"/>
    <cellStyle name="60% - 강조색4 16 8" xfId="12306" xr:uid="{00000000-0005-0000-0000-0000DC270000}"/>
    <cellStyle name="60% - 강조색4 16 9" xfId="12307" xr:uid="{00000000-0005-0000-0000-0000DD270000}"/>
    <cellStyle name="60% - 강조색4 17" xfId="1332" xr:uid="{00000000-0005-0000-0000-0000DE270000}"/>
    <cellStyle name="60% - 강조색4 17 10" xfId="12309" xr:uid="{00000000-0005-0000-0000-0000DF270000}"/>
    <cellStyle name="60% - 강조색4 17 11" xfId="12310" xr:uid="{00000000-0005-0000-0000-0000E0270000}"/>
    <cellStyle name="60% - 강조색4 17 12" xfId="12311" xr:uid="{00000000-0005-0000-0000-0000E1270000}"/>
    <cellStyle name="60% - 강조색4 17 13" xfId="12312" xr:uid="{00000000-0005-0000-0000-0000E2270000}"/>
    <cellStyle name="60% - 강조색4 17 14" xfId="12313" xr:uid="{00000000-0005-0000-0000-0000E3270000}"/>
    <cellStyle name="60% - 강조색4 17 15" xfId="12308" xr:uid="{00000000-0005-0000-0000-0000E4270000}"/>
    <cellStyle name="60% - 강조색4 17 16" xfId="27723" xr:uid="{00000000-0005-0000-0000-0000E5270000}"/>
    <cellStyle name="60% - 강조색4 17 2" xfId="1333" xr:uid="{00000000-0005-0000-0000-0000E6270000}"/>
    <cellStyle name="60% - 강조색4 17 2 2" xfId="12314" xr:uid="{00000000-0005-0000-0000-0000E7270000}"/>
    <cellStyle name="60% - 강조색4 17 3" xfId="12315" xr:uid="{00000000-0005-0000-0000-0000E8270000}"/>
    <cellStyle name="60% - 강조색4 17 4" xfId="12316" xr:uid="{00000000-0005-0000-0000-0000E9270000}"/>
    <cellStyle name="60% - 강조색4 17 5" xfId="12317" xr:uid="{00000000-0005-0000-0000-0000EA270000}"/>
    <cellStyle name="60% - 강조색4 17 6" xfId="12318" xr:uid="{00000000-0005-0000-0000-0000EB270000}"/>
    <cellStyle name="60% - 강조색4 17 7" xfId="12319" xr:uid="{00000000-0005-0000-0000-0000EC270000}"/>
    <cellStyle name="60% - 강조색4 17 8" xfId="12320" xr:uid="{00000000-0005-0000-0000-0000ED270000}"/>
    <cellStyle name="60% - 강조색4 17 9" xfId="12321" xr:uid="{00000000-0005-0000-0000-0000EE270000}"/>
    <cellStyle name="60% - 강조색4 18" xfId="1334" xr:uid="{00000000-0005-0000-0000-0000EF270000}"/>
    <cellStyle name="60% - 강조색4 18 10" xfId="12323" xr:uid="{00000000-0005-0000-0000-0000F0270000}"/>
    <cellStyle name="60% - 강조색4 18 11" xfId="12324" xr:uid="{00000000-0005-0000-0000-0000F1270000}"/>
    <cellStyle name="60% - 강조색4 18 12" xfId="12325" xr:uid="{00000000-0005-0000-0000-0000F2270000}"/>
    <cellStyle name="60% - 강조색4 18 13" xfId="12326" xr:uid="{00000000-0005-0000-0000-0000F3270000}"/>
    <cellStyle name="60% - 강조색4 18 14" xfId="12327" xr:uid="{00000000-0005-0000-0000-0000F4270000}"/>
    <cellStyle name="60% - 강조색4 18 15" xfId="12322" xr:uid="{00000000-0005-0000-0000-0000F5270000}"/>
    <cellStyle name="60% - 강조색4 18 16" xfId="27722" xr:uid="{00000000-0005-0000-0000-0000F6270000}"/>
    <cellStyle name="60% - 강조색4 18 2" xfId="1335" xr:uid="{00000000-0005-0000-0000-0000F7270000}"/>
    <cellStyle name="60% - 강조색4 18 2 2" xfId="12328" xr:uid="{00000000-0005-0000-0000-0000F8270000}"/>
    <cellStyle name="60% - 강조색4 18 3" xfId="12329" xr:uid="{00000000-0005-0000-0000-0000F9270000}"/>
    <cellStyle name="60% - 강조색4 18 4" xfId="12330" xr:uid="{00000000-0005-0000-0000-0000FA270000}"/>
    <cellStyle name="60% - 강조색4 18 5" xfId="12331" xr:uid="{00000000-0005-0000-0000-0000FB270000}"/>
    <cellStyle name="60% - 강조색4 18 6" xfId="12332" xr:uid="{00000000-0005-0000-0000-0000FC270000}"/>
    <cellStyle name="60% - 강조색4 18 7" xfId="12333" xr:uid="{00000000-0005-0000-0000-0000FD270000}"/>
    <cellStyle name="60% - 강조색4 18 8" xfId="12334" xr:uid="{00000000-0005-0000-0000-0000FE270000}"/>
    <cellStyle name="60% - 강조색4 18 9" xfId="12335" xr:uid="{00000000-0005-0000-0000-0000FF270000}"/>
    <cellStyle name="60% - 강조색4 19" xfId="1336" xr:uid="{00000000-0005-0000-0000-000000280000}"/>
    <cellStyle name="60% - 강조색4 19 10" xfId="12337" xr:uid="{00000000-0005-0000-0000-000001280000}"/>
    <cellStyle name="60% - 강조색4 19 11" xfId="12338" xr:uid="{00000000-0005-0000-0000-000002280000}"/>
    <cellStyle name="60% - 강조색4 19 12" xfId="12339" xr:uid="{00000000-0005-0000-0000-000003280000}"/>
    <cellStyle name="60% - 강조색4 19 13" xfId="12340" xr:uid="{00000000-0005-0000-0000-000004280000}"/>
    <cellStyle name="60% - 강조색4 19 14" xfId="12341" xr:uid="{00000000-0005-0000-0000-000005280000}"/>
    <cellStyle name="60% - 강조색4 19 15" xfId="12336" xr:uid="{00000000-0005-0000-0000-000006280000}"/>
    <cellStyle name="60% - 강조색4 19 16" xfId="27721" xr:uid="{00000000-0005-0000-0000-000007280000}"/>
    <cellStyle name="60% - 강조색4 19 2" xfId="1337" xr:uid="{00000000-0005-0000-0000-000008280000}"/>
    <cellStyle name="60% - 강조색4 19 2 2" xfId="12342" xr:uid="{00000000-0005-0000-0000-000009280000}"/>
    <cellStyle name="60% - 강조색4 19 3" xfId="12343" xr:uid="{00000000-0005-0000-0000-00000A280000}"/>
    <cellStyle name="60% - 강조색4 19 4" xfId="12344" xr:uid="{00000000-0005-0000-0000-00000B280000}"/>
    <cellStyle name="60% - 강조색4 19 5" xfId="12345" xr:uid="{00000000-0005-0000-0000-00000C280000}"/>
    <cellStyle name="60% - 강조색4 19 6" xfId="12346" xr:uid="{00000000-0005-0000-0000-00000D280000}"/>
    <cellStyle name="60% - 강조색4 19 7" xfId="12347" xr:uid="{00000000-0005-0000-0000-00000E280000}"/>
    <cellStyle name="60% - 강조색4 19 8" xfId="12348" xr:uid="{00000000-0005-0000-0000-00000F280000}"/>
    <cellStyle name="60% - 강조색4 19 9" xfId="12349" xr:uid="{00000000-0005-0000-0000-000010280000}"/>
    <cellStyle name="60% - 강조색4 2" xfId="1338" xr:uid="{00000000-0005-0000-0000-000011280000}"/>
    <cellStyle name="60% - 강조색4 2 10" xfId="12351" xr:uid="{00000000-0005-0000-0000-000012280000}"/>
    <cellStyle name="60% - 강조색4 2 11" xfId="12352" xr:uid="{00000000-0005-0000-0000-000013280000}"/>
    <cellStyle name="60% - 강조색4 2 12" xfId="12353" xr:uid="{00000000-0005-0000-0000-000014280000}"/>
    <cellStyle name="60% - 강조색4 2 13" xfId="12354" xr:uid="{00000000-0005-0000-0000-000015280000}"/>
    <cellStyle name="60% - 강조색4 2 14" xfId="12355" xr:uid="{00000000-0005-0000-0000-000016280000}"/>
    <cellStyle name="60% - 강조색4 2 15" xfId="12350" xr:uid="{00000000-0005-0000-0000-000017280000}"/>
    <cellStyle name="60% - 강조색4 2 16" xfId="27720" xr:uid="{00000000-0005-0000-0000-000018280000}"/>
    <cellStyle name="60% - 강조색4 2 17" xfId="27948" xr:uid="{00000000-0005-0000-0000-000019280000}"/>
    <cellStyle name="60% - 강조색4 2 2" xfId="1339" xr:uid="{00000000-0005-0000-0000-00001A280000}"/>
    <cellStyle name="60% - 강조색4 2 2 2" xfId="12356" xr:uid="{00000000-0005-0000-0000-00001B280000}"/>
    <cellStyle name="60% - 강조색4 2 3" xfId="12357" xr:uid="{00000000-0005-0000-0000-00001C280000}"/>
    <cellStyle name="60% - 강조색4 2 4" xfId="12358" xr:uid="{00000000-0005-0000-0000-00001D280000}"/>
    <cellStyle name="60% - 강조색4 2 5" xfId="12359" xr:uid="{00000000-0005-0000-0000-00001E280000}"/>
    <cellStyle name="60% - 강조색4 2 6" xfId="12360" xr:uid="{00000000-0005-0000-0000-00001F280000}"/>
    <cellStyle name="60% - 강조색4 2 7" xfId="12361" xr:uid="{00000000-0005-0000-0000-000020280000}"/>
    <cellStyle name="60% - 강조색4 2 8" xfId="12362" xr:uid="{00000000-0005-0000-0000-000021280000}"/>
    <cellStyle name="60% - 강조색4 2 9" xfId="12363" xr:uid="{00000000-0005-0000-0000-000022280000}"/>
    <cellStyle name="60% - 강조색4 20" xfId="1340" xr:uid="{00000000-0005-0000-0000-000023280000}"/>
    <cellStyle name="60% - 강조색4 20 10" xfId="12365" xr:uid="{00000000-0005-0000-0000-000024280000}"/>
    <cellStyle name="60% - 강조색4 20 11" xfId="12366" xr:uid="{00000000-0005-0000-0000-000025280000}"/>
    <cellStyle name="60% - 강조색4 20 12" xfId="12367" xr:uid="{00000000-0005-0000-0000-000026280000}"/>
    <cellStyle name="60% - 강조색4 20 13" xfId="12368" xr:uid="{00000000-0005-0000-0000-000027280000}"/>
    <cellStyle name="60% - 강조색4 20 14" xfId="12369" xr:uid="{00000000-0005-0000-0000-000028280000}"/>
    <cellStyle name="60% - 강조색4 20 15" xfId="12364" xr:uid="{00000000-0005-0000-0000-000029280000}"/>
    <cellStyle name="60% - 강조색4 20 16" xfId="27719" xr:uid="{00000000-0005-0000-0000-00002A280000}"/>
    <cellStyle name="60% - 강조색4 20 2" xfId="1341" xr:uid="{00000000-0005-0000-0000-00002B280000}"/>
    <cellStyle name="60% - 강조색4 20 2 2" xfId="12370" xr:uid="{00000000-0005-0000-0000-00002C280000}"/>
    <cellStyle name="60% - 강조색4 20 3" xfId="12371" xr:uid="{00000000-0005-0000-0000-00002D280000}"/>
    <cellStyle name="60% - 강조색4 20 4" xfId="12372" xr:uid="{00000000-0005-0000-0000-00002E280000}"/>
    <cellStyle name="60% - 강조색4 20 5" xfId="12373" xr:uid="{00000000-0005-0000-0000-00002F280000}"/>
    <cellStyle name="60% - 강조색4 20 6" xfId="12374" xr:uid="{00000000-0005-0000-0000-000030280000}"/>
    <cellStyle name="60% - 강조색4 20 7" xfId="12375" xr:uid="{00000000-0005-0000-0000-000031280000}"/>
    <cellStyle name="60% - 강조색4 20 8" xfId="12376" xr:uid="{00000000-0005-0000-0000-000032280000}"/>
    <cellStyle name="60% - 강조색4 20 9" xfId="12377" xr:uid="{00000000-0005-0000-0000-000033280000}"/>
    <cellStyle name="60% - 강조색4 21" xfId="1342" xr:uid="{00000000-0005-0000-0000-000034280000}"/>
    <cellStyle name="60% - 강조색4 21 10" xfId="12379" xr:uid="{00000000-0005-0000-0000-000035280000}"/>
    <cellStyle name="60% - 강조색4 21 11" xfId="12380" xr:uid="{00000000-0005-0000-0000-000036280000}"/>
    <cellStyle name="60% - 강조색4 21 12" xfId="12381" xr:uid="{00000000-0005-0000-0000-000037280000}"/>
    <cellStyle name="60% - 강조색4 21 13" xfId="12382" xr:uid="{00000000-0005-0000-0000-000038280000}"/>
    <cellStyle name="60% - 강조색4 21 14" xfId="12383" xr:uid="{00000000-0005-0000-0000-000039280000}"/>
    <cellStyle name="60% - 강조색4 21 15" xfId="12378" xr:uid="{00000000-0005-0000-0000-00003A280000}"/>
    <cellStyle name="60% - 강조색4 21 16" xfId="27718" xr:uid="{00000000-0005-0000-0000-00003B280000}"/>
    <cellStyle name="60% - 강조색4 21 2" xfId="1343" xr:uid="{00000000-0005-0000-0000-00003C280000}"/>
    <cellStyle name="60% - 강조색4 21 2 2" xfId="12384" xr:uid="{00000000-0005-0000-0000-00003D280000}"/>
    <cellStyle name="60% - 강조색4 21 3" xfId="12385" xr:uid="{00000000-0005-0000-0000-00003E280000}"/>
    <cellStyle name="60% - 강조색4 21 4" xfId="12386" xr:uid="{00000000-0005-0000-0000-00003F280000}"/>
    <cellStyle name="60% - 강조색4 21 5" xfId="12387" xr:uid="{00000000-0005-0000-0000-000040280000}"/>
    <cellStyle name="60% - 강조색4 21 6" xfId="12388" xr:uid="{00000000-0005-0000-0000-000041280000}"/>
    <cellStyle name="60% - 강조색4 21 7" xfId="12389" xr:uid="{00000000-0005-0000-0000-000042280000}"/>
    <cellStyle name="60% - 강조색4 21 8" xfId="12390" xr:uid="{00000000-0005-0000-0000-000043280000}"/>
    <cellStyle name="60% - 강조색4 21 9" xfId="12391" xr:uid="{00000000-0005-0000-0000-000044280000}"/>
    <cellStyle name="60% - 강조색4 22" xfId="1344" xr:uid="{00000000-0005-0000-0000-000045280000}"/>
    <cellStyle name="60% - 강조색4 22 10" xfId="12393" xr:uid="{00000000-0005-0000-0000-000046280000}"/>
    <cellStyle name="60% - 강조색4 22 11" xfId="12394" xr:uid="{00000000-0005-0000-0000-000047280000}"/>
    <cellStyle name="60% - 강조색4 22 12" xfId="12395" xr:uid="{00000000-0005-0000-0000-000048280000}"/>
    <cellStyle name="60% - 강조색4 22 13" xfId="12396" xr:uid="{00000000-0005-0000-0000-000049280000}"/>
    <cellStyle name="60% - 강조색4 22 14" xfId="12397" xr:uid="{00000000-0005-0000-0000-00004A280000}"/>
    <cellStyle name="60% - 강조색4 22 15" xfId="12392" xr:uid="{00000000-0005-0000-0000-00004B280000}"/>
    <cellStyle name="60% - 강조색4 22 16" xfId="27717" xr:uid="{00000000-0005-0000-0000-00004C280000}"/>
    <cellStyle name="60% - 강조색4 22 2" xfId="1345" xr:uid="{00000000-0005-0000-0000-00004D280000}"/>
    <cellStyle name="60% - 강조색4 22 2 2" xfId="12398" xr:uid="{00000000-0005-0000-0000-00004E280000}"/>
    <cellStyle name="60% - 강조색4 22 3" xfId="12399" xr:uid="{00000000-0005-0000-0000-00004F280000}"/>
    <cellStyle name="60% - 강조색4 22 4" xfId="12400" xr:uid="{00000000-0005-0000-0000-000050280000}"/>
    <cellStyle name="60% - 강조색4 22 5" xfId="12401" xr:uid="{00000000-0005-0000-0000-000051280000}"/>
    <cellStyle name="60% - 강조색4 22 6" xfId="12402" xr:uid="{00000000-0005-0000-0000-000052280000}"/>
    <cellStyle name="60% - 강조색4 22 7" xfId="12403" xr:uid="{00000000-0005-0000-0000-000053280000}"/>
    <cellStyle name="60% - 강조색4 22 8" xfId="12404" xr:uid="{00000000-0005-0000-0000-000054280000}"/>
    <cellStyle name="60% - 강조색4 22 9" xfId="12405" xr:uid="{00000000-0005-0000-0000-000055280000}"/>
    <cellStyle name="60% - 강조색4 23" xfId="1346" xr:uid="{00000000-0005-0000-0000-000056280000}"/>
    <cellStyle name="60% - 강조색4 23 10" xfId="12407" xr:uid="{00000000-0005-0000-0000-000057280000}"/>
    <cellStyle name="60% - 강조색4 23 11" xfId="12408" xr:uid="{00000000-0005-0000-0000-000058280000}"/>
    <cellStyle name="60% - 강조색4 23 12" xfId="12409" xr:uid="{00000000-0005-0000-0000-000059280000}"/>
    <cellStyle name="60% - 강조색4 23 13" xfId="12410" xr:uid="{00000000-0005-0000-0000-00005A280000}"/>
    <cellStyle name="60% - 강조색4 23 14" xfId="12411" xr:uid="{00000000-0005-0000-0000-00005B280000}"/>
    <cellStyle name="60% - 강조색4 23 15" xfId="12406" xr:uid="{00000000-0005-0000-0000-00005C280000}"/>
    <cellStyle name="60% - 강조색4 23 16" xfId="27716" xr:uid="{00000000-0005-0000-0000-00005D280000}"/>
    <cellStyle name="60% - 강조색4 23 2" xfId="1347" xr:uid="{00000000-0005-0000-0000-00005E280000}"/>
    <cellStyle name="60% - 강조색4 23 2 2" xfId="12412" xr:uid="{00000000-0005-0000-0000-00005F280000}"/>
    <cellStyle name="60% - 강조색4 23 3" xfId="12413" xr:uid="{00000000-0005-0000-0000-000060280000}"/>
    <cellStyle name="60% - 강조색4 23 4" xfId="12414" xr:uid="{00000000-0005-0000-0000-000061280000}"/>
    <cellStyle name="60% - 강조색4 23 5" xfId="12415" xr:uid="{00000000-0005-0000-0000-000062280000}"/>
    <cellStyle name="60% - 강조색4 23 6" xfId="12416" xr:uid="{00000000-0005-0000-0000-000063280000}"/>
    <cellStyle name="60% - 강조색4 23 7" xfId="12417" xr:uid="{00000000-0005-0000-0000-000064280000}"/>
    <cellStyle name="60% - 강조색4 23 8" xfId="12418" xr:uid="{00000000-0005-0000-0000-000065280000}"/>
    <cellStyle name="60% - 강조색4 23 9" xfId="12419" xr:uid="{00000000-0005-0000-0000-000066280000}"/>
    <cellStyle name="60% - 강조색4 24" xfId="1348" xr:uid="{00000000-0005-0000-0000-000067280000}"/>
    <cellStyle name="60% - 강조색4 24 10" xfId="12421" xr:uid="{00000000-0005-0000-0000-000068280000}"/>
    <cellStyle name="60% - 강조색4 24 11" xfId="12422" xr:uid="{00000000-0005-0000-0000-000069280000}"/>
    <cellStyle name="60% - 강조색4 24 12" xfId="12423" xr:uid="{00000000-0005-0000-0000-00006A280000}"/>
    <cellStyle name="60% - 강조색4 24 13" xfId="12424" xr:uid="{00000000-0005-0000-0000-00006B280000}"/>
    <cellStyle name="60% - 강조색4 24 14" xfId="12425" xr:uid="{00000000-0005-0000-0000-00006C280000}"/>
    <cellStyle name="60% - 강조색4 24 15" xfId="12420" xr:uid="{00000000-0005-0000-0000-00006D280000}"/>
    <cellStyle name="60% - 강조색4 24 16" xfId="27715" xr:uid="{00000000-0005-0000-0000-00006E280000}"/>
    <cellStyle name="60% - 강조색4 24 2" xfId="1349" xr:uid="{00000000-0005-0000-0000-00006F280000}"/>
    <cellStyle name="60% - 강조색4 24 2 2" xfId="12426" xr:uid="{00000000-0005-0000-0000-000070280000}"/>
    <cellStyle name="60% - 강조색4 24 3" xfId="12427" xr:uid="{00000000-0005-0000-0000-000071280000}"/>
    <cellStyle name="60% - 강조색4 24 4" xfId="12428" xr:uid="{00000000-0005-0000-0000-000072280000}"/>
    <cellStyle name="60% - 강조색4 24 5" xfId="12429" xr:uid="{00000000-0005-0000-0000-000073280000}"/>
    <cellStyle name="60% - 강조색4 24 6" xfId="12430" xr:uid="{00000000-0005-0000-0000-000074280000}"/>
    <cellStyle name="60% - 강조색4 24 7" xfId="12431" xr:uid="{00000000-0005-0000-0000-000075280000}"/>
    <cellStyle name="60% - 강조색4 24 8" xfId="12432" xr:uid="{00000000-0005-0000-0000-000076280000}"/>
    <cellStyle name="60% - 강조색4 24 9" xfId="12433" xr:uid="{00000000-0005-0000-0000-000077280000}"/>
    <cellStyle name="60% - 강조색4 25" xfId="1350" xr:uid="{00000000-0005-0000-0000-000078280000}"/>
    <cellStyle name="60% - 강조색4 25 10" xfId="12435" xr:uid="{00000000-0005-0000-0000-000079280000}"/>
    <cellStyle name="60% - 강조색4 25 11" xfId="12436" xr:uid="{00000000-0005-0000-0000-00007A280000}"/>
    <cellStyle name="60% - 강조색4 25 12" xfId="12437" xr:uid="{00000000-0005-0000-0000-00007B280000}"/>
    <cellStyle name="60% - 강조색4 25 13" xfId="12438" xr:uid="{00000000-0005-0000-0000-00007C280000}"/>
    <cellStyle name="60% - 강조색4 25 14" xfId="12439" xr:uid="{00000000-0005-0000-0000-00007D280000}"/>
    <cellStyle name="60% - 강조색4 25 15" xfId="12434" xr:uid="{00000000-0005-0000-0000-00007E280000}"/>
    <cellStyle name="60% - 강조색4 25 16" xfId="27714" xr:uid="{00000000-0005-0000-0000-00007F280000}"/>
    <cellStyle name="60% - 강조색4 25 2" xfId="1351" xr:uid="{00000000-0005-0000-0000-000080280000}"/>
    <cellStyle name="60% - 강조색4 25 2 2" xfId="12440" xr:uid="{00000000-0005-0000-0000-000081280000}"/>
    <cellStyle name="60% - 강조색4 25 3" xfId="12441" xr:uid="{00000000-0005-0000-0000-000082280000}"/>
    <cellStyle name="60% - 강조색4 25 4" xfId="12442" xr:uid="{00000000-0005-0000-0000-000083280000}"/>
    <cellStyle name="60% - 강조색4 25 5" xfId="12443" xr:uid="{00000000-0005-0000-0000-000084280000}"/>
    <cellStyle name="60% - 강조색4 25 6" xfId="12444" xr:uid="{00000000-0005-0000-0000-000085280000}"/>
    <cellStyle name="60% - 강조색4 25 7" xfId="12445" xr:uid="{00000000-0005-0000-0000-000086280000}"/>
    <cellStyle name="60% - 강조색4 25 8" xfId="12446" xr:uid="{00000000-0005-0000-0000-000087280000}"/>
    <cellStyle name="60% - 강조색4 25 9" xfId="12447" xr:uid="{00000000-0005-0000-0000-000088280000}"/>
    <cellStyle name="60% - 강조색4 26" xfId="1352" xr:uid="{00000000-0005-0000-0000-000089280000}"/>
    <cellStyle name="60% - 강조색4 26 10" xfId="12449" xr:uid="{00000000-0005-0000-0000-00008A280000}"/>
    <cellStyle name="60% - 강조색4 26 11" xfId="12450" xr:uid="{00000000-0005-0000-0000-00008B280000}"/>
    <cellStyle name="60% - 강조색4 26 12" xfId="12451" xr:uid="{00000000-0005-0000-0000-00008C280000}"/>
    <cellStyle name="60% - 강조색4 26 13" xfId="12452" xr:uid="{00000000-0005-0000-0000-00008D280000}"/>
    <cellStyle name="60% - 강조색4 26 14" xfId="12453" xr:uid="{00000000-0005-0000-0000-00008E280000}"/>
    <cellStyle name="60% - 강조색4 26 15" xfId="12448" xr:uid="{00000000-0005-0000-0000-00008F280000}"/>
    <cellStyle name="60% - 강조색4 26 16" xfId="27713" xr:uid="{00000000-0005-0000-0000-000090280000}"/>
    <cellStyle name="60% - 강조색4 26 2" xfId="1353" xr:uid="{00000000-0005-0000-0000-000091280000}"/>
    <cellStyle name="60% - 강조색4 26 2 2" xfId="12454" xr:uid="{00000000-0005-0000-0000-000092280000}"/>
    <cellStyle name="60% - 강조색4 26 3" xfId="12455" xr:uid="{00000000-0005-0000-0000-000093280000}"/>
    <cellStyle name="60% - 강조색4 26 4" xfId="12456" xr:uid="{00000000-0005-0000-0000-000094280000}"/>
    <cellStyle name="60% - 강조색4 26 5" xfId="12457" xr:uid="{00000000-0005-0000-0000-000095280000}"/>
    <cellStyle name="60% - 강조색4 26 6" xfId="12458" xr:uid="{00000000-0005-0000-0000-000096280000}"/>
    <cellStyle name="60% - 강조색4 26 7" xfId="12459" xr:uid="{00000000-0005-0000-0000-000097280000}"/>
    <cellStyle name="60% - 강조색4 26 8" xfId="12460" xr:uid="{00000000-0005-0000-0000-000098280000}"/>
    <cellStyle name="60% - 강조색4 26 9" xfId="12461" xr:uid="{00000000-0005-0000-0000-000099280000}"/>
    <cellStyle name="60% - 강조색4 27" xfId="1354" xr:uid="{00000000-0005-0000-0000-00009A280000}"/>
    <cellStyle name="60% - 강조색4 27 10" xfId="12463" xr:uid="{00000000-0005-0000-0000-00009B280000}"/>
    <cellStyle name="60% - 강조색4 27 11" xfId="12464" xr:uid="{00000000-0005-0000-0000-00009C280000}"/>
    <cellStyle name="60% - 강조색4 27 12" xfId="12465" xr:uid="{00000000-0005-0000-0000-00009D280000}"/>
    <cellStyle name="60% - 강조색4 27 13" xfId="12466" xr:uid="{00000000-0005-0000-0000-00009E280000}"/>
    <cellStyle name="60% - 강조색4 27 14" xfId="12467" xr:uid="{00000000-0005-0000-0000-00009F280000}"/>
    <cellStyle name="60% - 강조색4 27 15" xfId="12462" xr:uid="{00000000-0005-0000-0000-0000A0280000}"/>
    <cellStyle name="60% - 강조색4 27 16" xfId="27712" xr:uid="{00000000-0005-0000-0000-0000A1280000}"/>
    <cellStyle name="60% - 강조색4 27 2" xfId="1355" xr:uid="{00000000-0005-0000-0000-0000A2280000}"/>
    <cellStyle name="60% - 강조색4 27 2 2" xfId="12468" xr:uid="{00000000-0005-0000-0000-0000A3280000}"/>
    <cellStyle name="60% - 강조색4 27 3" xfId="12469" xr:uid="{00000000-0005-0000-0000-0000A4280000}"/>
    <cellStyle name="60% - 강조색4 27 4" xfId="12470" xr:uid="{00000000-0005-0000-0000-0000A5280000}"/>
    <cellStyle name="60% - 강조색4 27 5" xfId="12471" xr:uid="{00000000-0005-0000-0000-0000A6280000}"/>
    <cellStyle name="60% - 강조색4 27 6" xfId="12472" xr:uid="{00000000-0005-0000-0000-0000A7280000}"/>
    <cellStyle name="60% - 강조색4 27 7" xfId="12473" xr:uid="{00000000-0005-0000-0000-0000A8280000}"/>
    <cellStyle name="60% - 강조색4 27 8" xfId="12474" xr:uid="{00000000-0005-0000-0000-0000A9280000}"/>
    <cellStyle name="60% - 강조색4 27 9" xfId="12475" xr:uid="{00000000-0005-0000-0000-0000AA280000}"/>
    <cellStyle name="60% - 강조색4 28" xfId="1356" xr:uid="{00000000-0005-0000-0000-0000AB280000}"/>
    <cellStyle name="60% - 강조색4 28 10" xfId="12477" xr:uid="{00000000-0005-0000-0000-0000AC280000}"/>
    <cellStyle name="60% - 강조색4 28 11" xfId="12478" xr:uid="{00000000-0005-0000-0000-0000AD280000}"/>
    <cellStyle name="60% - 강조색4 28 12" xfId="12479" xr:uid="{00000000-0005-0000-0000-0000AE280000}"/>
    <cellStyle name="60% - 강조색4 28 13" xfId="12480" xr:uid="{00000000-0005-0000-0000-0000AF280000}"/>
    <cellStyle name="60% - 강조색4 28 14" xfId="12481" xr:uid="{00000000-0005-0000-0000-0000B0280000}"/>
    <cellStyle name="60% - 강조색4 28 15" xfId="12476" xr:uid="{00000000-0005-0000-0000-0000B1280000}"/>
    <cellStyle name="60% - 강조색4 28 16" xfId="27711" xr:uid="{00000000-0005-0000-0000-0000B2280000}"/>
    <cellStyle name="60% - 강조색4 28 2" xfId="1357" xr:uid="{00000000-0005-0000-0000-0000B3280000}"/>
    <cellStyle name="60% - 강조색4 28 2 2" xfId="12482" xr:uid="{00000000-0005-0000-0000-0000B4280000}"/>
    <cellStyle name="60% - 강조색4 28 3" xfId="12483" xr:uid="{00000000-0005-0000-0000-0000B5280000}"/>
    <cellStyle name="60% - 강조색4 28 4" xfId="12484" xr:uid="{00000000-0005-0000-0000-0000B6280000}"/>
    <cellStyle name="60% - 강조색4 28 5" xfId="12485" xr:uid="{00000000-0005-0000-0000-0000B7280000}"/>
    <cellStyle name="60% - 강조색4 28 6" xfId="12486" xr:uid="{00000000-0005-0000-0000-0000B8280000}"/>
    <cellStyle name="60% - 강조색4 28 7" xfId="12487" xr:uid="{00000000-0005-0000-0000-0000B9280000}"/>
    <cellStyle name="60% - 강조색4 28 8" xfId="12488" xr:uid="{00000000-0005-0000-0000-0000BA280000}"/>
    <cellStyle name="60% - 강조색4 28 9" xfId="12489" xr:uid="{00000000-0005-0000-0000-0000BB280000}"/>
    <cellStyle name="60% - 강조색4 29" xfId="1358" xr:uid="{00000000-0005-0000-0000-0000BC280000}"/>
    <cellStyle name="60% - 강조색4 29 10" xfId="12491" xr:uid="{00000000-0005-0000-0000-0000BD280000}"/>
    <cellStyle name="60% - 강조색4 29 11" xfId="12492" xr:uid="{00000000-0005-0000-0000-0000BE280000}"/>
    <cellStyle name="60% - 강조색4 29 12" xfId="12493" xr:uid="{00000000-0005-0000-0000-0000BF280000}"/>
    <cellStyle name="60% - 강조색4 29 13" xfId="12494" xr:uid="{00000000-0005-0000-0000-0000C0280000}"/>
    <cellStyle name="60% - 강조색4 29 14" xfId="12495" xr:uid="{00000000-0005-0000-0000-0000C1280000}"/>
    <cellStyle name="60% - 강조색4 29 15" xfId="12490" xr:uid="{00000000-0005-0000-0000-0000C2280000}"/>
    <cellStyle name="60% - 강조색4 29 16" xfId="27710" xr:uid="{00000000-0005-0000-0000-0000C3280000}"/>
    <cellStyle name="60% - 강조색4 29 2" xfId="1359" xr:uid="{00000000-0005-0000-0000-0000C4280000}"/>
    <cellStyle name="60% - 강조색4 29 2 2" xfId="12496" xr:uid="{00000000-0005-0000-0000-0000C5280000}"/>
    <cellStyle name="60% - 강조색4 29 3" xfId="12497" xr:uid="{00000000-0005-0000-0000-0000C6280000}"/>
    <cellStyle name="60% - 강조색4 29 4" xfId="12498" xr:uid="{00000000-0005-0000-0000-0000C7280000}"/>
    <cellStyle name="60% - 강조색4 29 5" xfId="12499" xr:uid="{00000000-0005-0000-0000-0000C8280000}"/>
    <cellStyle name="60% - 강조색4 29 6" xfId="12500" xr:uid="{00000000-0005-0000-0000-0000C9280000}"/>
    <cellStyle name="60% - 강조색4 29 7" xfId="12501" xr:uid="{00000000-0005-0000-0000-0000CA280000}"/>
    <cellStyle name="60% - 강조색4 29 8" xfId="12502" xr:uid="{00000000-0005-0000-0000-0000CB280000}"/>
    <cellStyle name="60% - 강조색4 29 9" xfId="12503" xr:uid="{00000000-0005-0000-0000-0000CC280000}"/>
    <cellStyle name="60% - 강조색4 3" xfId="1360" xr:uid="{00000000-0005-0000-0000-0000CD280000}"/>
    <cellStyle name="60% - 강조색4 3 10" xfId="12505" xr:uid="{00000000-0005-0000-0000-0000CE280000}"/>
    <cellStyle name="60% - 강조색4 3 11" xfId="12506" xr:uid="{00000000-0005-0000-0000-0000CF280000}"/>
    <cellStyle name="60% - 강조색4 3 12" xfId="12507" xr:uid="{00000000-0005-0000-0000-0000D0280000}"/>
    <cellStyle name="60% - 강조색4 3 13" xfId="12508" xr:uid="{00000000-0005-0000-0000-0000D1280000}"/>
    <cellStyle name="60% - 강조색4 3 14" xfId="12509" xr:uid="{00000000-0005-0000-0000-0000D2280000}"/>
    <cellStyle name="60% - 강조색4 3 15" xfId="12504" xr:uid="{00000000-0005-0000-0000-0000D3280000}"/>
    <cellStyle name="60% - 강조색4 3 16" xfId="27709" xr:uid="{00000000-0005-0000-0000-0000D4280000}"/>
    <cellStyle name="60% - 강조색4 3 17" xfId="28204" xr:uid="{00000000-0005-0000-0000-0000D5280000}"/>
    <cellStyle name="60% - 강조색4 3 2" xfId="1361" xr:uid="{00000000-0005-0000-0000-0000D6280000}"/>
    <cellStyle name="60% - 강조색4 3 2 2" xfId="12510" xr:uid="{00000000-0005-0000-0000-0000D7280000}"/>
    <cellStyle name="60% - 강조색4 3 3" xfId="12511" xr:uid="{00000000-0005-0000-0000-0000D8280000}"/>
    <cellStyle name="60% - 강조색4 3 4" xfId="12512" xr:uid="{00000000-0005-0000-0000-0000D9280000}"/>
    <cellStyle name="60% - 강조색4 3 5" xfId="12513" xr:uid="{00000000-0005-0000-0000-0000DA280000}"/>
    <cellStyle name="60% - 강조색4 3 6" xfId="12514" xr:uid="{00000000-0005-0000-0000-0000DB280000}"/>
    <cellStyle name="60% - 강조색4 3 7" xfId="12515" xr:uid="{00000000-0005-0000-0000-0000DC280000}"/>
    <cellStyle name="60% - 강조색4 3 8" xfId="12516" xr:uid="{00000000-0005-0000-0000-0000DD280000}"/>
    <cellStyle name="60% - 강조색4 3 9" xfId="12517" xr:uid="{00000000-0005-0000-0000-0000DE280000}"/>
    <cellStyle name="60% - 강조색4 30" xfId="1362" xr:uid="{00000000-0005-0000-0000-0000DF280000}"/>
    <cellStyle name="60% - 강조색4 30 10" xfId="12519" xr:uid="{00000000-0005-0000-0000-0000E0280000}"/>
    <cellStyle name="60% - 강조색4 30 11" xfId="12520" xr:uid="{00000000-0005-0000-0000-0000E1280000}"/>
    <cellStyle name="60% - 강조색4 30 12" xfId="12521" xr:uid="{00000000-0005-0000-0000-0000E2280000}"/>
    <cellStyle name="60% - 강조색4 30 13" xfId="12522" xr:uid="{00000000-0005-0000-0000-0000E3280000}"/>
    <cellStyle name="60% - 강조색4 30 14" xfId="12523" xr:uid="{00000000-0005-0000-0000-0000E4280000}"/>
    <cellStyle name="60% - 강조색4 30 15" xfId="12518" xr:uid="{00000000-0005-0000-0000-0000E5280000}"/>
    <cellStyle name="60% - 강조색4 30 16" xfId="27708" xr:uid="{00000000-0005-0000-0000-0000E6280000}"/>
    <cellStyle name="60% - 강조색4 30 2" xfId="1363" xr:uid="{00000000-0005-0000-0000-0000E7280000}"/>
    <cellStyle name="60% - 강조색4 30 2 2" xfId="12524" xr:uid="{00000000-0005-0000-0000-0000E8280000}"/>
    <cellStyle name="60% - 강조색4 30 3" xfId="12525" xr:uid="{00000000-0005-0000-0000-0000E9280000}"/>
    <cellStyle name="60% - 강조색4 30 4" xfId="12526" xr:uid="{00000000-0005-0000-0000-0000EA280000}"/>
    <cellStyle name="60% - 강조색4 30 5" xfId="12527" xr:uid="{00000000-0005-0000-0000-0000EB280000}"/>
    <cellStyle name="60% - 강조색4 30 6" xfId="12528" xr:uid="{00000000-0005-0000-0000-0000EC280000}"/>
    <cellStyle name="60% - 강조색4 30 7" xfId="12529" xr:uid="{00000000-0005-0000-0000-0000ED280000}"/>
    <cellStyle name="60% - 강조색4 30 8" xfId="12530" xr:uid="{00000000-0005-0000-0000-0000EE280000}"/>
    <cellStyle name="60% - 강조색4 30 9" xfId="12531" xr:uid="{00000000-0005-0000-0000-0000EF280000}"/>
    <cellStyle name="60% - 강조색4 31" xfId="1364" xr:uid="{00000000-0005-0000-0000-0000F0280000}"/>
    <cellStyle name="60% - 강조색4 31 10" xfId="12533" xr:uid="{00000000-0005-0000-0000-0000F1280000}"/>
    <cellStyle name="60% - 강조색4 31 11" xfId="12534" xr:uid="{00000000-0005-0000-0000-0000F2280000}"/>
    <cellStyle name="60% - 강조색4 31 12" xfId="12535" xr:uid="{00000000-0005-0000-0000-0000F3280000}"/>
    <cellStyle name="60% - 강조색4 31 13" xfId="12536" xr:uid="{00000000-0005-0000-0000-0000F4280000}"/>
    <cellStyle name="60% - 강조색4 31 14" xfId="12537" xr:uid="{00000000-0005-0000-0000-0000F5280000}"/>
    <cellStyle name="60% - 강조색4 31 15" xfId="12532" xr:uid="{00000000-0005-0000-0000-0000F6280000}"/>
    <cellStyle name="60% - 강조색4 31 16" xfId="27707" xr:uid="{00000000-0005-0000-0000-0000F7280000}"/>
    <cellStyle name="60% - 강조색4 31 2" xfId="1365" xr:uid="{00000000-0005-0000-0000-0000F8280000}"/>
    <cellStyle name="60% - 강조색4 31 2 2" xfId="12538" xr:uid="{00000000-0005-0000-0000-0000F9280000}"/>
    <cellStyle name="60% - 강조색4 31 3" xfId="12539" xr:uid="{00000000-0005-0000-0000-0000FA280000}"/>
    <cellStyle name="60% - 강조색4 31 4" xfId="12540" xr:uid="{00000000-0005-0000-0000-0000FB280000}"/>
    <cellStyle name="60% - 강조색4 31 5" xfId="12541" xr:uid="{00000000-0005-0000-0000-0000FC280000}"/>
    <cellStyle name="60% - 강조색4 31 6" xfId="12542" xr:uid="{00000000-0005-0000-0000-0000FD280000}"/>
    <cellStyle name="60% - 강조색4 31 7" xfId="12543" xr:uid="{00000000-0005-0000-0000-0000FE280000}"/>
    <cellStyle name="60% - 강조색4 31 8" xfId="12544" xr:uid="{00000000-0005-0000-0000-0000FF280000}"/>
    <cellStyle name="60% - 강조색4 31 9" xfId="12545" xr:uid="{00000000-0005-0000-0000-000000290000}"/>
    <cellStyle name="60% - 강조색4 32" xfId="1366" xr:uid="{00000000-0005-0000-0000-000001290000}"/>
    <cellStyle name="60% - 강조색4 32 10" xfId="12547" xr:uid="{00000000-0005-0000-0000-000002290000}"/>
    <cellStyle name="60% - 강조색4 32 11" xfId="12548" xr:uid="{00000000-0005-0000-0000-000003290000}"/>
    <cellStyle name="60% - 강조색4 32 12" xfId="12549" xr:uid="{00000000-0005-0000-0000-000004290000}"/>
    <cellStyle name="60% - 강조색4 32 13" xfId="12550" xr:uid="{00000000-0005-0000-0000-000005290000}"/>
    <cellStyle name="60% - 강조색4 32 14" xfId="12551" xr:uid="{00000000-0005-0000-0000-000006290000}"/>
    <cellStyle name="60% - 강조색4 32 15" xfId="12546" xr:uid="{00000000-0005-0000-0000-000007290000}"/>
    <cellStyle name="60% - 강조색4 32 16" xfId="27706" xr:uid="{00000000-0005-0000-0000-000008290000}"/>
    <cellStyle name="60% - 강조색4 32 2" xfId="1367" xr:uid="{00000000-0005-0000-0000-000009290000}"/>
    <cellStyle name="60% - 강조색4 32 2 2" xfId="12552" xr:uid="{00000000-0005-0000-0000-00000A290000}"/>
    <cellStyle name="60% - 강조색4 32 3" xfId="12553" xr:uid="{00000000-0005-0000-0000-00000B290000}"/>
    <cellStyle name="60% - 강조색4 32 4" xfId="12554" xr:uid="{00000000-0005-0000-0000-00000C290000}"/>
    <cellStyle name="60% - 강조색4 32 5" xfId="12555" xr:uid="{00000000-0005-0000-0000-00000D290000}"/>
    <cellStyle name="60% - 강조색4 32 6" xfId="12556" xr:uid="{00000000-0005-0000-0000-00000E290000}"/>
    <cellStyle name="60% - 강조색4 32 7" xfId="12557" xr:uid="{00000000-0005-0000-0000-00000F290000}"/>
    <cellStyle name="60% - 강조색4 32 8" xfId="12558" xr:uid="{00000000-0005-0000-0000-000010290000}"/>
    <cellStyle name="60% - 강조색4 32 9" xfId="12559" xr:uid="{00000000-0005-0000-0000-000011290000}"/>
    <cellStyle name="60% - 강조색4 33" xfId="1368" xr:uid="{00000000-0005-0000-0000-000012290000}"/>
    <cellStyle name="60% - 강조색4 33 10" xfId="12561" xr:uid="{00000000-0005-0000-0000-000013290000}"/>
    <cellStyle name="60% - 강조색4 33 11" xfId="12562" xr:uid="{00000000-0005-0000-0000-000014290000}"/>
    <cellStyle name="60% - 강조색4 33 12" xfId="12563" xr:uid="{00000000-0005-0000-0000-000015290000}"/>
    <cellStyle name="60% - 강조색4 33 13" xfId="12564" xr:uid="{00000000-0005-0000-0000-000016290000}"/>
    <cellStyle name="60% - 강조색4 33 14" xfId="12565" xr:uid="{00000000-0005-0000-0000-000017290000}"/>
    <cellStyle name="60% - 강조색4 33 15" xfId="12560" xr:uid="{00000000-0005-0000-0000-000018290000}"/>
    <cellStyle name="60% - 강조색4 33 16" xfId="27705" xr:uid="{00000000-0005-0000-0000-000019290000}"/>
    <cellStyle name="60% - 강조색4 33 2" xfId="1369" xr:uid="{00000000-0005-0000-0000-00001A290000}"/>
    <cellStyle name="60% - 강조색4 33 2 2" xfId="12566" xr:uid="{00000000-0005-0000-0000-00001B290000}"/>
    <cellStyle name="60% - 강조색4 33 3" xfId="12567" xr:uid="{00000000-0005-0000-0000-00001C290000}"/>
    <cellStyle name="60% - 강조색4 33 4" xfId="12568" xr:uid="{00000000-0005-0000-0000-00001D290000}"/>
    <cellStyle name="60% - 강조색4 33 5" xfId="12569" xr:uid="{00000000-0005-0000-0000-00001E290000}"/>
    <cellStyle name="60% - 강조색4 33 6" xfId="12570" xr:uid="{00000000-0005-0000-0000-00001F290000}"/>
    <cellStyle name="60% - 강조색4 33 7" xfId="12571" xr:uid="{00000000-0005-0000-0000-000020290000}"/>
    <cellStyle name="60% - 강조색4 33 8" xfId="12572" xr:uid="{00000000-0005-0000-0000-000021290000}"/>
    <cellStyle name="60% - 강조색4 33 9" xfId="12573" xr:uid="{00000000-0005-0000-0000-000022290000}"/>
    <cellStyle name="60% - 강조색4 34" xfId="1370" xr:uid="{00000000-0005-0000-0000-000023290000}"/>
    <cellStyle name="60% - 강조색4 34 10" xfId="12575" xr:uid="{00000000-0005-0000-0000-000024290000}"/>
    <cellStyle name="60% - 강조색4 34 11" xfId="12576" xr:uid="{00000000-0005-0000-0000-000025290000}"/>
    <cellStyle name="60% - 강조색4 34 12" xfId="12577" xr:uid="{00000000-0005-0000-0000-000026290000}"/>
    <cellStyle name="60% - 강조색4 34 13" xfId="12578" xr:uid="{00000000-0005-0000-0000-000027290000}"/>
    <cellStyle name="60% - 강조색4 34 14" xfId="12579" xr:uid="{00000000-0005-0000-0000-000028290000}"/>
    <cellStyle name="60% - 강조색4 34 15" xfId="12574" xr:uid="{00000000-0005-0000-0000-000029290000}"/>
    <cellStyle name="60% - 강조색4 34 16" xfId="27704" xr:uid="{00000000-0005-0000-0000-00002A290000}"/>
    <cellStyle name="60% - 강조색4 34 2" xfId="1371" xr:uid="{00000000-0005-0000-0000-00002B290000}"/>
    <cellStyle name="60% - 강조색4 34 2 2" xfId="12580" xr:uid="{00000000-0005-0000-0000-00002C290000}"/>
    <cellStyle name="60% - 강조색4 34 3" xfId="12581" xr:uid="{00000000-0005-0000-0000-00002D290000}"/>
    <cellStyle name="60% - 강조색4 34 4" xfId="12582" xr:uid="{00000000-0005-0000-0000-00002E290000}"/>
    <cellStyle name="60% - 강조색4 34 5" xfId="12583" xr:uid="{00000000-0005-0000-0000-00002F290000}"/>
    <cellStyle name="60% - 강조색4 34 6" xfId="12584" xr:uid="{00000000-0005-0000-0000-000030290000}"/>
    <cellStyle name="60% - 강조색4 34 7" xfId="12585" xr:uid="{00000000-0005-0000-0000-000031290000}"/>
    <cellStyle name="60% - 강조색4 34 8" xfId="12586" xr:uid="{00000000-0005-0000-0000-000032290000}"/>
    <cellStyle name="60% - 강조색4 34 9" xfId="12587" xr:uid="{00000000-0005-0000-0000-000033290000}"/>
    <cellStyle name="60% - 강조색4 35" xfId="1372" xr:uid="{00000000-0005-0000-0000-000034290000}"/>
    <cellStyle name="60% - 강조색4 35 10" xfId="12589" xr:uid="{00000000-0005-0000-0000-000035290000}"/>
    <cellStyle name="60% - 강조색4 35 11" xfId="12590" xr:uid="{00000000-0005-0000-0000-000036290000}"/>
    <cellStyle name="60% - 강조색4 35 12" xfId="12591" xr:uid="{00000000-0005-0000-0000-000037290000}"/>
    <cellStyle name="60% - 강조색4 35 13" xfId="12592" xr:uid="{00000000-0005-0000-0000-000038290000}"/>
    <cellStyle name="60% - 강조색4 35 14" xfId="12593" xr:uid="{00000000-0005-0000-0000-000039290000}"/>
    <cellStyle name="60% - 강조색4 35 15" xfId="12588" xr:uid="{00000000-0005-0000-0000-00003A290000}"/>
    <cellStyle name="60% - 강조색4 35 16" xfId="27703" xr:uid="{00000000-0005-0000-0000-00003B290000}"/>
    <cellStyle name="60% - 강조색4 35 2" xfId="1373" xr:uid="{00000000-0005-0000-0000-00003C290000}"/>
    <cellStyle name="60% - 강조색4 35 2 2" xfId="12594" xr:uid="{00000000-0005-0000-0000-00003D290000}"/>
    <cellStyle name="60% - 강조색4 35 3" xfId="12595" xr:uid="{00000000-0005-0000-0000-00003E290000}"/>
    <cellStyle name="60% - 강조색4 35 4" xfId="12596" xr:uid="{00000000-0005-0000-0000-00003F290000}"/>
    <cellStyle name="60% - 강조색4 35 5" xfId="12597" xr:uid="{00000000-0005-0000-0000-000040290000}"/>
    <cellStyle name="60% - 강조색4 35 6" xfId="12598" xr:uid="{00000000-0005-0000-0000-000041290000}"/>
    <cellStyle name="60% - 강조색4 35 7" xfId="12599" xr:uid="{00000000-0005-0000-0000-000042290000}"/>
    <cellStyle name="60% - 강조색4 35 8" xfId="12600" xr:uid="{00000000-0005-0000-0000-000043290000}"/>
    <cellStyle name="60% - 강조색4 35 9" xfId="12601" xr:uid="{00000000-0005-0000-0000-000044290000}"/>
    <cellStyle name="60% - 강조색4 36" xfId="1374" xr:uid="{00000000-0005-0000-0000-000045290000}"/>
    <cellStyle name="60% - 강조색4 36 10" xfId="12603" xr:uid="{00000000-0005-0000-0000-000046290000}"/>
    <cellStyle name="60% - 강조색4 36 11" xfId="12604" xr:uid="{00000000-0005-0000-0000-000047290000}"/>
    <cellStyle name="60% - 강조색4 36 12" xfId="12605" xr:uid="{00000000-0005-0000-0000-000048290000}"/>
    <cellStyle name="60% - 강조색4 36 13" xfId="12606" xr:uid="{00000000-0005-0000-0000-000049290000}"/>
    <cellStyle name="60% - 강조색4 36 14" xfId="12607" xr:uid="{00000000-0005-0000-0000-00004A290000}"/>
    <cellStyle name="60% - 강조색4 36 15" xfId="12602" xr:uid="{00000000-0005-0000-0000-00004B290000}"/>
    <cellStyle name="60% - 강조색4 36 16" xfId="27702" xr:uid="{00000000-0005-0000-0000-00004C290000}"/>
    <cellStyle name="60% - 강조색4 36 2" xfId="1375" xr:uid="{00000000-0005-0000-0000-00004D290000}"/>
    <cellStyle name="60% - 강조색4 36 2 2" xfId="12608" xr:uid="{00000000-0005-0000-0000-00004E290000}"/>
    <cellStyle name="60% - 강조색4 36 3" xfId="12609" xr:uid="{00000000-0005-0000-0000-00004F290000}"/>
    <cellStyle name="60% - 강조색4 36 4" xfId="12610" xr:uid="{00000000-0005-0000-0000-000050290000}"/>
    <cellStyle name="60% - 강조색4 36 5" xfId="12611" xr:uid="{00000000-0005-0000-0000-000051290000}"/>
    <cellStyle name="60% - 강조색4 36 6" xfId="12612" xr:uid="{00000000-0005-0000-0000-000052290000}"/>
    <cellStyle name="60% - 강조색4 36 7" xfId="12613" xr:uid="{00000000-0005-0000-0000-000053290000}"/>
    <cellStyle name="60% - 강조색4 36 8" xfId="12614" xr:uid="{00000000-0005-0000-0000-000054290000}"/>
    <cellStyle name="60% - 강조색4 36 9" xfId="12615" xr:uid="{00000000-0005-0000-0000-000055290000}"/>
    <cellStyle name="60% - 강조색4 37" xfId="1376" xr:uid="{00000000-0005-0000-0000-000056290000}"/>
    <cellStyle name="60% - 강조색4 37 10" xfId="12617" xr:uid="{00000000-0005-0000-0000-000057290000}"/>
    <cellStyle name="60% - 강조색4 37 11" xfId="12618" xr:uid="{00000000-0005-0000-0000-000058290000}"/>
    <cellStyle name="60% - 강조색4 37 12" xfId="12619" xr:uid="{00000000-0005-0000-0000-000059290000}"/>
    <cellStyle name="60% - 강조색4 37 13" xfId="12620" xr:uid="{00000000-0005-0000-0000-00005A290000}"/>
    <cellStyle name="60% - 강조색4 37 14" xfId="12621" xr:uid="{00000000-0005-0000-0000-00005B290000}"/>
    <cellStyle name="60% - 강조색4 37 15" xfId="12616" xr:uid="{00000000-0005-0000-0000-00005C290000}"/>
    <cellStyle name="60% - 강조색4 37 16" xfId="27701" xr:uid="{00000000-0005-0000-0000-00005D290000}"/>
    <cellStyle name="60% - 강조색4 37 2" xfId="1377" xr:uid="{00000000-0005-0000-0000-00005E290000}"/>
    <cellStyle name="60% - 강조색4 37 2 2" xfId="12622" xr:uid="{00000000-0005-0000-0000-00005F290000}"/>
    <cellStyle name="60% - 강조색4 37 3" xfId="12623" xr:uid="{00000000-0005-0000-0000-000060290000}"/>
    <cellStyle name="60% - 강조색4 37 4" xfId="12624" xr:uid="{00000000-0005-0000-0000-000061290000}"/>
    <cellStyle name="60% - 강조색4 37 5" xfId="12625" xr:uid="{00000000-0005-0000-0000-000062290000}"/>
    <cellStyle name="60% - 강조색4 37 6" xfId="12626" xr:uid="{00000000-0005-0000-0000-000063290000}"/>
    <cellStyle name="60% - 강조색4 37 7" xfId="12627" xr:uid="{00000000-0005-0000-0000-000064290000}"/>
    <cellStyle name="60% - 강조색4 37 8" xfId="12628" xr:uid="{00000000-0005-0000-0000-000065290000}"/>
    <cellStyle name="60% - 강조색4 37 9" xfId="12629" xr:uid="{00000000-0005-0000-0000-000066290000}"/>
    <cellStyle name="60% - 강조색4 38" xfId="1378" xr:uid="{00000000-0005-0000-0000-000067290000}"/>
    <cellStyle name="60% - 강조색4 38 10" xfId="12631" xr:uid="{00000000-0005-0000-0000-000068290000}"/>
    <cellStyle name="60% - 강조색4 38 11" xfId="12632" xr:uid="{00000000-0005-0000-0000-000069290000}"/>
    <cellStyle name="60% - 강조색4 38 12" xfId="12633" xr:uid="{00000000-0005-0000-0000-00006A290000}"/>
    <cellStyle name="60% - 강조색4 38 13" xfId="12634" xr:uid="{00000000-0005-0000-0000-00006B290000}"/>
    <cellStyle name="60% - 강조색4 38 14" xfId="12635" xr:uid="{00000000-0005-0000-0000-00006C290000}"/>
    <cellStyle name="60% - 강조색4 38 15" xfId="12630" xr:uid="{00000000-0005-0000-0000-00006D290000}"/>
    <cellStyle name="60% - 강조색4 38 16" xfId="27700" xr:uid="{00000000-0005-0000-0000-00006E290000}"/>
    <cellStyle name="60% - 강조색4 38 2" xfId="1379" xr:uid="{00000000-0005-0000-0000-00006F290000}"/>
    <cellStyle name="60% - 강조색4 38 2 2" xfId="12636" xr:uid="{00000000-0005-0000-0000-000070290000}"/>
    <cellStyle name="60% - 강조색4 38 3" xfId="12637" xr:uid="{00000000-0005-0000-0000-000071290000}"/>
    <cellStyle name="60% - 강조색4 38 4" xfId="12638" xr:uid="{00000000-0005-0000-0000-000072290000}"/>
    <cellStyle name="60% - 강조색4 38 5" xfId="12639" xr:uid="{00000000-0005-0000-0000-000073290000}"/>
    <cellStyle name="60% - 강조색4 38 6" xfId="12640" xr:uid="{00000000-0005-0000-0000-000074290000}"/>
    <cellStyle name="60% - 강조색4 38 7" xfId="12641" xr:uid="{00000000-0005-0000-0000-000075290000}"/>
    <cellStyle name="60% - 강조색4 38 8" xfId="12642" xr:uid="{00000000-0005-0000-0000-000076290000}"/>
    <cellStyle name="60% - 강조색4 38 9" xfId="12643" xr:uid="{00000000-0005-0000-0000-000077290000}"/>
    <cellStyle name="60% - 강조색4 39" xfId="1380" xr:uid="{00000000-0005-0000-0000-000078290000}"/>
    <cellStyle name="60% - 강조색4 39 10" xfId="12645" xr:uid="{00000000-0005-0000-0000-000079290000}"/>
    <cellStyle name="60% - 강조색4 39 11" xfId="12646" xr:uid="{00000000-0005-0000-0000-00007A290000}"/>
    <cellStyle name="60% - 강조색4 39 12" xfId="12647" xr:uid="{00000000-0005-0000-0000-00007B290000}"/>
    <cellStyle name="60% - 강조색4 39 13" xfId="12648" xr:uid="{00000000-0005-0000-0000-00007C290000}"/>
    <cellStyle name="60% - 강조색4 39 14" xfId="12649" xr:uid="{00000000-0005-0000-0000-00007D290000}"/>
    <cellStyle name="60% - 강조색4 39 15" xfId="12644" xr:uid="{00000000-0005-0000-0000-00007E290000}"/>
    <cellStyle name="60% - 강조색4 39 16" xfId="27699" xr:uid="{00000000-0005-0000-0000-00007F290000}"/>
    <cellStyle name="60% - 강조색4 39 2" xfId="1381" xr:uid="{00000000-0005-0000-0000-000080290000}"/>
    <cellStyle name="60% - 강조색4 39 2 2" xfId="12650" xr:uid="{00000000-0005-0000-0000-000081290000}"/>
    <cellStyle name="60% - 강조색4 39 3" xfId="12651" xr:uid="{00000000-0005-0000-0000-000082290000}"/>
    <cellStyle name="60% - 강조색4 39 4" xfId="12652" xr:uid="{00000000-0005-0000-0000-000083290000}"/>
    <cellStyle name="60% - 강조색4 39 5" xfId="12653" xr:uid="{00000000-0005-0000-0000-000084290000}"/>
    <cellStyle name="60% - 강조색4 39 6" xfId="12654" xr:uid="{00000000-0005-0000-0000-000085290000}"/>
    <cellStyle name="60% - 강조색4 39 7" xfId="12655" xr:uid="{00000000-0005-0000-0000-000086290000}"/>
    <cellStyle name="60% - 강조색4 39 8" xfId="12656" xr:uid="{00000000-0005-0000-0000-000087290000}"/>
    <cellStyle name="60% - 강조색4 39 9" xfId="12657" xr:uid="{00000000-0005-0000-0000-000088290000}"/>
    <cellStyle name="60% - 강조색4 4" xfId="1382" xr:uid="{00000000-0005-0000-0000-000089290000}"/>
    <cellStyle name="60% - 강조색4 4 10" xfId="12659" xr:uid="{00000000-0005-0000-0000-00008A290000}"/>
    <cellStyle name="60% - 강조색4 4 11" xfId="12660" xr:uid="{00000000-0005-0000-0000-00008B290000}"/>
    <cellStyle name="60% - 강조색4 4 12" xfId="12661" xr:uid="{00000000-0005-0000-0000-00008C290000}"/>
    <cellStyle name="60% - 강조색4 4 13" xfId="12662" xr:uid="{00000000-0005-0000-0000-00008D290000}"/>
    <cellStyle name="60% - 강조색4 4 14" xfId="12663" xr:uid="{00000000-0005-0000-0000-00008E290000}"/>
    <cellStyle name="60% - 강조색4 4 15" xfId="12658" xr:uid="{00000000-0005-0000-0000-00008F290000}"/>
    <cellStyle name="60% - 강조색4 4 16" xfId="27698" xr:uid="{00000000-0005-0000-0000-000090290000}"/>
    <cellStyle name="60% - 강조색4 4 17" xfId="27866" xr:uid="{00000000-0005-0000-0000-000091290000}"/>
    <cellStyle name="60% - 강조색4 4 2" xfId="1383" xr:uid="{00000000-0005-0000-0000-000092290000}"/>
    <cellStyle name="60% - 강조색4 4 2 2" xfId="12664" xr:uid="{00000000-0005-0000-0000-000093290000}"/>
    <cellStyle name="60% - 강조색4 4 3" xfId="12665" xr:uid="{00000000-0005-0000-0000-000094290000}"/>
    <cellStyle name="60% - 강조색4 4 4" xfId="12666" xr:uid="{00000000-0005-0000-0000-000095290000}"/>
    <cellStyle name="60% - 강조색4 4 5" xfId="12667" xr:uid="{00000000-0005-0000-0000-000096290000}"/>
    <cellStyle name="60% - 강조색4 4 6" xfId="12668" xr:uid="{00000000-0005-0000-0000-000097290000}"/>
    <cellStyle name="60% - 강조색4 4 7" xfId="12669" xr:uid="{00000000-0005-0000-0000-000098290000}"/>
    <cellStyle name="60% - 강조색4 4 8" xfId="12670" xr:uid="{00000000-0005-0000-0000-000099290000}"/>
    <cellStyle name="60% - 강조색4 4 9" xfId="12671" xr:uid="{00000000-0005-0000-0000-00009A290000}"/>
    <cellStyle name="60% - 강조색4 40" xfId="1384" xr:uid="{00000000-0005-0000-0000-00009B290000}"/>
    <cellStyle name="60% - 강조색4 40 10" xfId="12673" xr:uid="{00000000-0005-0000-0000-00009C290000}"/>
    <cellStyle name="60% - 강조색4 40 11" xfId="12674" xr:uid="{00000000-0005-0000-0000-00009D290000}"/>
    <cellStyle name="60% - 강조색4 40 12" xfId="12675" xr:uid="{00000000-0005-0000-0000-00009E290000}"/>
    <cellStyle name="60% - 강조색4 40 13" xfId="12676" xr:uid="{00000000-0005-0000-0000-00009F290000}"/>
    <cellStyle name="60% - 강조색4 40 14" xfId="12677" xr:uid="{00000000-0005-0000-0000-0000A0290000}"/>
    <cellStyle name="60% - 강조색4 40 15" xfId="12672" xr:uid="{00000000-0005-0000-0000-0000A1290000}"/>
    <cellStyle name="60% - 강조색4 40 16" xfId="27697" xr:uid="{00000000-0005-0000-0000-0000A2290000}"/>
    <cellStyle name="60% - 강조색4 40 2" xfId="1385" xr:uid="{00000000-0005-0000-0000-0000A3290000}"/>
    <cellStyle name="60% - 강조색4 40 2 2" xfId="12678" xr:uid="{00000000-0005-0000-0000-0000A4290000}"/>
    <cellStyle name="60% - 강조색4 40 3" xfId="12679" xr:uid="{00000000-0005-0000-0000-0000A5290000}"/>
    <cellStyle name="60% - 강조색4 40 4" xfId="12680" xr:uid="{00000000-0005-0000-0000-0000A6290000}"/>
    <cellStyle name="60% - 강조색4 40 5" xfId="12681" xr:uid="{00000000-0005-0000-0000-0000A7290000}"/>
    <cellStyle name="60% - 강조색4 40 6" xfId="12682" xr:uid="{00000000-0005-0000-0000-0000A8290000}"/>
    <cellStyle name="60% - 강조색4 40 7" xfId="12683" xr:uid="{00000000-0005-0000-0000-0000A9290000}"/>
    <cellStyle name="60% - 강조색4 40 8" xfId="12684" xr:uid="{00000000-0005-0000-0000-0000AA290000}"/>
    <cellStyle name="60% - 강조색4 40 9" xfId="12685" xr:uid="{00000000-0005-0000-0000-0000AB290000}"/>
    <cellStyle name="60% - 강조색4 41" xfId="1386" xr:uid="{00000000-0005-0000-0000-0000AC290000}"/>
    <cellStyle name="60% - 강조색4 41 10" xfId="12687" xr:uid="{00000000-0005-0000-0000-0000AD290000}"/>
    <cellStyle name="60% - 강조색4 41 11" xfId="12688" xr:uid="{00000000-0005-0000-0000-0000AE290000}"/>
    <cellStyle name="60% - 강조색4 41 12" xfId="12689" xr:uid="{00000000-0005-0000-0000-0000AF290000}"/>
    <cellStyle name="60% - 강조색4 41 13" xfId="12690" xr:uid="{00000000-0005-0000-0000-0000B0290000}"/>
    <cellStyle name="60% - 강조색4 41 14" xfId="12691" xr:uid="{00000000-0005-0000-0000-0000B1290000}"/>
    <cellStyle name="60% - 강조색4 41 15" xfId="12686" xr:uid="{00000000-0005-0000-0000-0000B2290000}"/>
    <cellStyle name="60% - 강조색4 41 16" xfId="27696" xr:uid="{00000000-0005-0000-0000-0000B3290000}"/>
    <cellStyle name="60% - 강조색4 41 2" xfId="1387" xr:uid="{00000000-0005-0000-0000-0000B4290000}"/>
    <cellStyle name="60% - 강조색4 41 2 2" xfId="12692" xr:uid="{00000000-0005-0000-0000-0000B5290000}"/>
    <cellStyle name="60% - 강조색4 41 3" xfId="12693" xr:uid="{00000000-0005-0000-0000-0000B6290000}"/>
    <cellStyle name="60% - 강조색4 41 4" xfId="12694" xr:uid="{00000000-0005-0000-0000-0000B7290000}"/>
    <cellStyle name="60% - 강조색4 41 5" xfId="12695" xr:uid="{00000000-0005-0000-0000-0000B8290000}"/>
    <cellStyle name="60% - 강조색4 41 6" xfId="12696" xr:uid="{00000000-0005-0000-0000-0000B9290000}"/>
    <cellStyle name="60% - 강조색4 41 7" xfId="12697" xr:uid="{00000000-0005-0000-0000-0000BA290000}"/>
    <cellStyle name="60% - 강조색4 41 8" xfId="12698" xr:uid="{00000000-0005-0000-0000-0000BB290000}"/>
    <cellStyle name="60% - 강조색4 41 9" xfId="12699" xr:uid="{00000000-0005-0000-0000-0000BC290000}"/>
    <cellStyle name="60% - 강조색4 42" xfId="1388" xr:uid="{00000000-0005-0000-0000-0000BD290000}"/>
    <cellStyle name="60% - 강조색4 42 10" xfId="12701" xr:uid="{00000000-0005-0000-0000-0000BE290000}"/>
    <cellStyle name="60% - 강조색4 42 11" xfId="12702" xr:uid="{00000000-0005-0000-0000-0000BF290000}"/>
    <cellStyle name="60% - 강조색4 42 12" xfId="12703" xr:uid="{00000000-0005-0000-0000-0000C0290000}"/>
    <cellStyle name="60% - 강조색4 42 13" xfId="12704" xr:uid="{00000000-0005-0000-0000-0000C1290000}"/>
    <cellStyle name="60% - 강조색4 42 14" xfId="12705" xr:uid="{00000000-0005-0000-0000-0000C2290000}"/>
    <cellStyle name="60% - 강조색4 42 15" xfId="12700" xr:uid="{00000000-0005-0000-0000-0000C3290000}"/>
    <cellStyle name="60% - 강조색4 42 16" xfId="27695" xr:uid="{00000000-0005-0000-0000-0000C4290000}"/>
    <cellStyle name="60% - 강조색4 42 2" xfId="1389" xr:uid="{00000000-0005-0000-0000-0000C5290000}"/>
    <cellStyle name="60% - 강조색4 42 2 2" xfId="12706" xr:uid="{00000000-0005-0000-0000-0000C6290000}"/>
    <cellStyle name="60% - 강조색4 42 3" xfId="12707" xr:uid="{00000000-0005-0000-0000-0000C7290000}"/>
    <cellStyle name="60% - 강조색4 42 4" xfId="12708" xr:uid="{00000000-0005-0000-0000-0000C8290000}"/>
    <cellStyle name="60% - 강조색4 42 5" xfId="12709" xr:uid="{00000000-0005-0000-0000-0000C9290000}"/>
    <cellStyle name="60% - 강조색4 42 6" xfId="12710" xr:uid="{00000000-0005-0000-0000-0000CA290000}"/>
    <cellStyle name="60% - 강조색4 42 7" xfId="12711" xr:uid="{00000000-0005-0000-0000-0000CB290000}"/>
    <cellStyle name="60% - 강조색4 42 8" xfId="12712" xr:uid="{00000000-0005-0000-0000-0000CC290000}"/>
    <cellStyle name="60% - 강조색4 42 9" xfId="12713" xr:uid="{00000000-0005-0000-0000-0000CD290000}"/>
    <cellStyle name="60% - 강조색4 43" xfId="1390" xr:uid="{00000000-0005-0000-0000-0000CE290000}"/>
    <cellStyle name="60% - 강조색4 43 10" xfId="12715" xr:uid="{00000000-0005-0000-0000-0000CF290000}"/>
    <cellStyle name="60% - 강조색4 43 11" xfId="12716" xr:uid="{00000000-0005-0000-0000-0000D0290000}"/>
    <cellStyle name="60% - 강조색4 43 12" xfId="12717" xr:uid="{00000000-0005-0000-0000-0000D1290000}"/>
    <cellStyle name="60% - 강조색4 43 13" xfId="12718" xr:uid="{00000000-0005-0000-0000-0000D2290000}"/>
    <cellStyle name="60% - 강조색4 43 14" xfId="12719" xr:uid="{00000000-0005-0000-0000-0000D3290000}"/>
    <cellStyle name="60% - 강조색4 43 15" xfId="12714" xr:uid="{00000000-0005-0000-0000-0000D4290000}"/>
    <cellStyle name="60% - 강조색4 43 16" xfId="27694" xr:uid="{00000000-0005-0000-0000-0000D5290000}"/>
    <cellStyle name="60% - 강조색4 43 2" xfId="1391" xr:uid="{00000000-0005-0000-0000-0000D6290000}"/>
    <cellStyle name="60% - 강조색4 43 2 2" xfId="12720" xr:uid="{00000000-0005-0000-0000-0000D7290000}"/>
    <cellStyle name="60% - 강조색4 43 3" xfId="12721" xr:uid="{00000000-0005-0000-0000-0000D8290000}"/>
    <cellStyle name="60% - 강조색4 43 4" xfId="12722" xr:uid="{00000000-0005-0000-0000-0000D9290000}"/>
    <cellStyle name="60% - 강조색4 43 5" xfId="12723" xr:uid="{00000000-0005-0000-0000-0000DA290000}"/>
    <cellStyle name="60% - 강조색4 43 6" xfId="12724" xr:uid="{00000000-0005-0000-0000-0000DB290000}"/>
    <cellStyle name="60% - 강조색4 43 7" xfId="12725" xr:uid="{00000000-0005-0000-0000-0000DC290000}"/>
    <cellStyle name="60% - 강조색4 43 8" xfId="12726" xr:uid="{00000000-0005-0000-0000-0000DD290000}"/>
    <cellStyle name="60% - 강조색4 43 9" xfId="12727" xr:uid="{00000000-0005-0000-0000-0000DE290000}"/>
    <cellStyle name="60% - 강조색4 44" xfId="1392" xr:uid="{00000000-0005-0000-0000-0000DF290000}"/>
    <cellStyle name="60% - 강조색4 44 2" xfId="12728" xr:uid="{00000000-0005-0000-0000-0000E0290000}"/>
    <cellStyle name="60% - 강조색4 44 3" xfId="27693" xr:uid="{00000000-0005-0000-0000-0000E1290000}"/>
    <cellStyle name="60% - 강조색4 45" xfId="1393" xr:uid="{00000000-0005-0000-0000-0000E2290000}"/>
    <cellStyle name="60% - 강조색4 45 2" xfId="12729" xr:uid="{00000000-0005-0000-0000-0000E3290000}"/>
    <cellStyle name="60% - 강조색4 45 3" xfId="27692" xr:uid="{00000000-0005-0000-0000-0000E4290000}"/>
    <cellStyle name="60% - 강조색4 46" xfId="1317" xr:uid="{00000000-0005-0000-0000-0000E5290000}"/>
    <cellStyle name="60% - 강조색4 47" xfId="12209" xr:uid="{00000000-0005-0000-0000-0000E6290000}"/>
    <cellStyle name="60% - 강조색4 48" xfId="27731" xr:uid="{00000000-0005-0000-0000-0000E7290000}"/>
    <cellStyle name="60% - 강조색4 5" xfId="1394" xr:uid="{00000000-0005-0000-0000-0000E8290000}"/>
    <cellStyle name="60% - 강조색4 5 10" xfId="12731" xr:uid="{00000000-0005-0000-0000-0000E9290000}"/>
    <cellStyle name="60% - 강조색4 5 11" xfId="12732" xr:uid="{00000000-0005-0000-0000-0000EA290000}"/>
    <cellStyle name="60% - 강조색4 5 12" xfId="12733" xr:uid="{00000000-0005-0000-0000-0000EB290000}"/>
    <cellStyle name="60% - 강조색4 5 13" xfId="12734" xr:uid="{00000000-0005-0000-0000-0000EC290000}"/>
    <cellStyle name="60% - 강조색4 5 14" xfId="12735" xr:uid="{00000000-0005-0000-0000-0000ED290000}"/>
    <cellStyle name="60% - 강조색4 5 15" xfId="12730" xr:uid="{00000000-0005-0000-0000-0000EE290000}"/>
    <cellStyle name="60% - 강조색4 5 16" xfId="27691" xr:uid="{00000000-0005-0000-0000-0000EF290000}"/>
    <cellStyle name="60% - 강조색4 5 2" xfId="1395" xr:uid="{00000000-0005-0000-0000-0000F0290000}"/>
    <cellStyle name="60% - 강조색4 5 2 2" xfId="12736" xr:uid="{00000000-0005-0000-0000-0000F1290000}"/>
    <cellStyle name="60% - 강조색4 5 3" xfId="12737" xr:uid="{00000000-0005-0000-0000-0000F2290000}"/>
    <cellStyle name="60% - 강조색4 5 4" xfId="12738" xr:uid="{00000000-0005-0000-0000-0000F3290000}"/>
    <cellStyle name="60% - 강조색4 5 5" xfId="12739" xr:uid="{00000000-0005-0000-0000-0000F4290000}"/>
    <cellStyle name="60% - 강조색4 5 6" xfId="12740" xr:uid="{00000000-0005-0000-0000-0000F5290000}"/>
    <cellStyle name="60% - 강조색4 5 7" xfId="12741" xr:uid="{00000000-0005-0000-0000-0000F6290000}"/>
    <cellStyle name="60% - 강조색4 5 8" xfId="12742" xr:uid="{00000000-0005-0000-0000-0000F7290000}"/>
    <cellStyle name="60% - 강조색4 5 9" xfId="12743" xr:uid="{00000000-0005-0000-0000-0000F8290000}"/>
    <cellStyle name="60% - 강조색4 6" xfId="1396" xr:uid="{00000000-0005-0000-0000-0000F9290000}"/>
    <cellStyle name="60% - 강조색4 6 10" xfId="12745" xr:uid="{00000000-0005-0000-0000-0000FA290000}"/>
    <cellStyle name="60% - 강조색4 6 11" xfId="12746" xr:uid="{00000000-0005-0000-0000-0000FB290000}"/>
    <cellStyle name="60% - 강조색4 6 12" xfId="12747" xr:uid="{00000000-0005-0000-0000-0000FC290000}"/>
    <cellStyle name="60% - 강조색4 6 13" xfId="12748" xr:uid="{00000000-0005-0000-0000-0000FD290000}"/>
    <cellStyle name="60% - 강조색4 6 14" xfId="12749" xr:uid="{00000000-0005-0000-0000-0000FE290000}"/>
    <cellStyle name="60% - 강조색4 6 15" xfId="12744" xr:uid="{00000000-0005-0000-0000-0000FF290000}"/>
    <cellStyle name="60% - 강조색4 6 16" xfId="27690" xr:uid="{00000000-0005-0000-0000-0000002A0000}"/>
    <cellStyle name="60% - 강조색4 6 2" xfId="1397" xr:uid="{00000000-0005-0000-0000-0000012A0000}"/>
    <cellStyle name="60% - 강조색4 6 2 2" xfId="12750" xr:uid="{00000000-0005-0000-0000-0000022A0000}"/>
    <cellStyle name="60% - 강조색4 6 3" xfId="12751" xr:uid="{00000000-0005-0000-0000-0000032A0000}"/>
    <cellStyle name="60% - 강조색4 6 4" xfId="12752" xr:uid="{00000000-0005-0000-0000-0000042A0000}"/>
    <cellStyle name="60% - 강조색4 6 5" xfId="12753" xr:uid="{00000000-0005-0000-0000-0000052A0000}"/>
    <cellStyle name="60% - 강조색4 6 6" xfId="12754" xr:uid="{00000000-0005-0000-0000-0000062A0000}"/>
    <cellStyle name="60% - 강조색4 6 7" xfId="12755" xr:uid="{00000000-0005-0000-0000-0000072A0000}"/>
    <cellStyle name="60% - 강조색4 6 8" xfId="12756" xr:uid="{00000000-0005-0000-0000-0000082A0000}"/>
    <cellStyle name="60% - 강조색4 6 9" xfId="12757" xr:uid="{00000000-0005-0000-0000-0000092A0000}"/>
    <cellStyle name="60% - 강조색4 7" xfId="1398" xr:uid="{00000000-0005-0000-0000-00000A2A0000}"/>
    <cellStyle name="60% - 강조색4 7 10" xfId="12759" xr:uid="{00000000-0005-0000-0000-00000B2A0000}"/>
    <cellStyle name="60% - 강조색4 7 11" xfId="12760" xr:uid="{00000000-0005-0000-0000-00000C2A0000}"/>
    <cellStyle name="60% - 강조색4 7 12" xfId="12761" xr:uid="{00000000-0005-0000-0000-00000D2A0000}"/>
    <cellStyle name="60% - 강조색4 7 13" xfId="12762" xr:uid="{00000000-0005-0000-0000-00000E2A0000}"/>
    <cellStyle name="60% - 강조색4 7 14" xfId="12763" xr:uid="{00000000-0005-0000-0000-00000F2A0000}"/>
    <cellStyle name="60% - 강조색4 7 15" xfId="12758" xr:uid="{00000000-0005-0000-0000-0000102A0000}"/>
    <cellStyle name="60% - 강조색4 7 16" xfId="27689" xr:uid="{00000000-0005-0000-0000-0000112A0000}"/>
    <cellStyle name="60% - 강조색4 7 2" xfId="1399" xr:uid="{00000000-0005-0000-0000-0000122A0000}"/>
    <cellStyle name="60% - 강조색4 7 2 2" xfId="12764" xr:uid="{00000000-0005-0000-0000-0000132A0000}"/>
    <cellStyle name="60% - 강조색4 7 3" xfId="12765" xr:uid="{00000000-0005-0000-0000-0000142A0000}"/>
    <cellStyle name="60% - 강조색4 7 4" xfId="12766" xr:uid="{00000000-0005-0000-0000-0000152A0000}"/>
    <cellStyle name="60% - 강조색4 7 5" xfId="12767" xr:uid="{00000000-0005-0000-0000-0000162A0000}"/>
    <cellStyle name="60% - 강조색4 7 6" xfId="12768" xr:uid="{00000000-0005-0000-0000-0000172A0000}"/>
    <cellStyle name="60% - 강조색4 7 7" xfId="12769" xr:uid="{00000000-0005-0000-0000-0000182A0000}"/>
    <cellStyle name="60% - 강조색4 7 8" xfId="12770" xr:uid="{00000000-0005-0000-0000-0000192A0000}"/>
    <cellStyle name="60% - 강조색4 7 9" xfId="12771" xr:uid="{00000000-0005-0000-0000-00001A2A0000}"/>
    <cellStyle name="60% - 강조색4 8" xfId="1400" xr:uid="{00000000-0005-0000-0000-00001B2A0000}"/>
    <cellStyle name="60% - 강조색4 8 10" xfId="12773" xr:uid="{00000000-0005-0000-0000-00001C2A0000}"/>
    <cellStyle name="60% - 강조색4 8 11" xfId="12774" xr:uid="{00000000-0005-0000-0000-00001D2A0000}"/>
    <cellStyle name="60% - 강조색4 8 12" xfId="12775" xr:uid="{00000000-0005-0000-0000-00001E2A0000}"/>
    <cellStyle name="60% - 강조색4 8 13" xfId="12776" xr:uid="{00000000-0005-0000-0000-00001F2A0000}"/>
    <cellStyle name="60% - 강조색4 8 14" xfId="12777" xr:uid="{00000000-0005-0000-0000-0000202A0000}"/>
    <cellStyle name="60% - 강조색4 8 15" xfId="12772" xr:uid="{00000000-0005-0000-0000-0000212A0000}"/>
    <cellStyle name="60% - 강조색4 8 16" xfId="27688" xr:uid="{00000000-0005-0000-0000-0000222A0000}"/>
    <cellStyle name="60% - 강조색4 8 2" xfId="1401" xr:uid="{00000000-0005-0000-0000-0000232A0000}"/>
    <cellStyle name="60% - 강조색4 8 2 2" xfId="12778" xr:uid="{00000000-0005-0000-0000-0000242A0000}"/>
    <cellStyle name="60% - 강조색4 8 3" xfId="12779" xr:uid="{00000000-0005-0000-0000-0000252A0000}"/>
    <cellStyle name="60% - 강조색4 8 4" xfId="12780" xr:uid="{00000000-0005-0000-0000-0000262A0000}"/>
    <cellStyle name="60% - 강조색4 8 5" xfId="12781" xr:uid="{00000000-0005-0000-0000-0000272A0000}"/>
    <cellStyle name="60% - 강조색4 8 6" xfId="12782" xr:uid="{00000000-0005-0000-0000-0000282A0000}"/>
    <cellStyle name="60% - 강조색4 8 7" xfId="12783" xr:uid="{00000000-0005-0000-0000-0000292A0000}"/>
    <cellStyle name="60% - 강조색4 8 8" xfId="12784" xr:uid="{00000000-0005-0000-0000-00002A2A0000}"/>
    <cellStyle name="60% - 강조색4 8 9" xfId="12785" xr:uid="{00000000-0005-0000-0000-00002B2A0000}"/>
    <cellStyle name="60% - 강조색4 9" xfId="1402" xr:uid="{00000000-0005-0000-0000-00002C2A0000}"/>
    <cellStyle name="60% - 강조색4 9 10" xfId="12787" xr:uid="{00000000-0005-0000-0000-00002D2A0000}"/>
    <cellStyle name="60% - 강조색4 9 11" xfId="12788" xr:uid="{00000000-0005-0000-0000-00002E2A0000}"/>
    <cellStyle name="60% - 강조색4 9 12" xfId="12789" xr:uid="{00000000-0005-0000-0000-00002F2A0000}"/>
    <cellStyle name="60% - 강조색4 9 13" xfId="12790" xr:uid="{00000000-0005-0000-0000-0000302A0000}"/>
    <cellStyle name="60% - 강조색4 9 14" xfId="12791" xr:uid="{00000000-0005-0000-0000-0000312A0000}"/>
    <cellStyle name="60% - 강조색4 9 15" xfId="12786" xr:uid="{00000000-0005-0000-0000-0000322A0000}"/>
    <cellStyle name="60% - 강조색4 9 16" xfId="27687" xr:uid="{00000000-0005-0000-0000-0000332A0000}"/>
    <cellStyle name="60% - 강조색4 9 2" xfId="1403" xr:uid="{00000000-0005-0000-0000-0000342A0000}"/>
    <cellStyle name="60% - 강조색4 9 2 2" xfId="12792" xr:uid="{00000000-0005-0000-0000-0000352A0000}"/>
    <cellStyle name="60% - 강조색4 9 3" xfId="12793" xr:uid="{00000000-0005-0000-0000-0000362A0000}"/>
    <cellStyle name="60% - 강조색4 9 4" xfId="12794" xr:uid="{00000000-0005-0000-0000-0000372A0000}"/>
    <cellStyle name="60% - 강조색4 9 5" xfId="12795" xr:uid="{00000000-0005-0000-0000-0000382A0000}"/>
    <cellStyle name="60% - 강조색4 9 6" xfId="12796" xr:uid="{00000000-0005-0000-0000-0000392A0000}"/>
    <cellStyle name="60% - 강조색4 9 7" xfId="12797" xr:uid="{00000000-0005-0000-0000-00003A2A0000}"/>
    <cellStyle name="60% - 강조색4 9 8" xfId="12798" xr:uid="{00000000-0005-0000-0000-00003B2A0000}"/>
    <cellStyle name="60% - 강조색4 9 9" xfId="12799" xr:uid="{00000000-0005-0000-0000-00003C2A0000}"/>
    <cellStyle name="60% - 강조색5 10" xfId="1405" xr:uid="{00000000-0005-0000-0000-00003D2A0000}"/>
    <cellStyle name="60% - 강조색5 10 10" xfId="12802" xr:uid="{00000000-0005-0000-0000-00003E2A0000}"/>
    <cellStyle name="60% - 강조색5 10 11" xfId="12803" xr:uid="{00000000-0005-0000-0000-00003F2A0000}"/>
    <cellStyle name="60% - 강조색5 10 12" xfId="12804" xr:uid="{00000000-0005-0000-0000-0000402A0000}"/>
    <cellStyle name="60% - 강조색5 10 13" xfId="12805" xr:uid="{00000000-0005-0000-0000-0000412A0000}"/>
    <cellStyle name="60% - 강조색5 10 14" xfId="12806" xr:uid="{00000000-0005-0000-0000-0000422A0000}"/>
    <cellStyle name="60% - 강조색5 10 15" xfId="12801" xr:uid="{00000000-0005-0000-0000-0000432A0000}"/>
    <cellStyle name="60% - 강조색5 10 2" xfId="1406" xr:uid="{00000000-0005-0000-0000-0000442A0000}"/>
    <cellStyle name="60% - 강조색5 10 2 2" xfId="12807" xr:uid="{00000000-0005-0000-0000-0000452A0000}"/>
    <cellStyle name="60% - 강조색5 10 3" xfId="12808" xr:uid="{00000000-0005-0000-0000-0000462A0000}"/>
    <cellStyle name="60% - 강조색5 10 4" xfId="12809" xr:uid="{00000000-0005-0000-0000-0000472A0000}"/>
    <cellStyle name="60% - 강조색5 10 5" xfId="12810" xr:uid="{00000000-0005-0000-0000-0000482A0000}"/>
    <cellStyle name="60% - 강조색5 10 6" xfId="12811" xr:uid="{00000000-0005-0000-0000-0000492A0000}"/>
    <cellStyle name="60% - 강조색5 10 7" xfId="12812" xr:uid="{00000000-0005-0000-0000-00004A2A0000}"/>
    <cellStyle name="60% - 강조색5 10 8" xfId="12813" xr:uid="{00000000-0005-0000-0000-00004B2A0000}"/>
    <cellStyle name="60% - 강조색5 10 9" xfId="12814" xr:uid="{00000000-0005-0000-0000-00004C2A0000}"/>
    <cellStyle name="60% - 강조색5 11" xfId="1407" xr:uid="{00000000-0005-0000-0000-00004D2A0000}"/>
    <cellStyle name="60% - 강조색5 11 10" xfId="12816" xr:uid="{00000000-0005-0000-0000-00004E2A0000}"/>
    <cellStyle name="60% - 강조색5 11 11" xfId="12817" xr:uid="{00000000-0005-0000-0000-00004F2A0000}"/>
    <cellStyle name="60% - 강조색5 11 12" xfId="12818" xr:uid="{00000000-0005-0000-0000-0000502A0000}"/>
    <cellStyle name="60% - 강조색5 11 13" xfId="12819" xr:uid="{00000000-0005-0000-0000-0000512A0000}"/>
    <cellStyle name="60% - 강조색5 11 14" xfId="12820" xr:uid="{00000000-0005-0000-0000-0000522A0000}"/>
    <cellStyle name="60% - 강조색5 11 15" xfId="12815" xr:uid="{00000000-0005-0000-0000-0000532A0000}"/>
    <cellStyle name="60% - 강조색5 11 2" xfId="1408" xr:uid="{00000000-0005-0000-0000-0000542A0000}"/>
    <cellStyle name="60% - 강조색5 11 2 2" xfId="12821" xr:uid="{00000000-0005-0000-0000-0000552A0000}"/>
    <cellStyle name="60% - 강조색5 11 3" xfId="12822" xr:uid="{00000000-0005-0000-0000-0000562A0000}"/>
    <cellStyle name="60% - 강조색5 11 4" xfId="12823" xr:uid="{00000000-0005-0000-0000-0000572A0000}"/>
    <cellStyle name="60% - 강조색5 11 5" xfId="12824" xr:uid="{00000000-0005-0000-0000-0000582A0000}"/>
    <cellStyle name="60% - 강조색5 11 6" xfId="12825" xr:uid="{00000000-0005-0000-0000-0000592A0000}"/>
    <cellStyle name="60% - 강조색5 11 7" xfId="12826" xr:uid="{00000000-0005-0000-0000-00005A2A0000}"/>
    <cellStyle name="60% - 강조색5 11 8" xfId="12827" xr:uid="{00000000-0005-0000-0000-00005B2A0000}"/>
    <cellStyle name="60% - 강조색5 11 9" xfId="12828" xr:uid="{00000000-0005-0000-0000-00005C2A0000}"/>
    <cellStyle name="60% - 강조색5 12" xfId="1409" xr:uid="{00000000-0005-0000-0000-00005D2A0000}"/>
    <cellStyle name="60% - 강조색5 12 10" xfId="12830" xr:uid="{00000000-0005-0000-0000-00005E2A0000}"/>
    <cellStyle name="60% - 강조색5 12 11" xfId="12831" xr:uid="{00000000-0005-0000-0000-00005F2A0000}"/>
    <cellStyle name="60% - 강조색5 12 12" xfId="12832" xr:uid="{00000000-0005-0000-0000-0000602A0000}"/>
    <cellStyle name="60% - 강조색5 12 13" xfId="12833" xr:uid="{00000000-0005-0000-0000-0000612A0000}"/>
    <cellStyle name="60% - 강조색5 12 14" xfId="12834" xr:uid="{00000000-0005-0000-0000-0000622A0000}"/>
    <cellStyle name="60% - 강조색5 12 15" xfId="12829" xr:uid="{00000000-0005-0000-0000-0000632A0000}"/>
    <cellStyle name="60% - 강조색5 12 2" xfId="1410" xr:uid="{00000000-0005-0000-0000-0000642A0000}"/>
    <cellStyle name="60% - 강조색5 12 2 2" xfId="12835" xr:uid="{00000000-0005-0000-0000-0000652A0000}"/>
    <cellStyle name="60% - 강조색5 12 3" xfId="12836" xr:uid="{00000000-0005-0000-0000-0000662A0000}"/>
    <cellStyle name="60% - 강조색5 12 4" xfId="12837" xr:uid="{00000000-0005-0000-0000-0000672A0000}"/>
    <cellStyle name="60% - 강조색5 12 5" xfId="12838" xr:uid="{00000000-0005-0000-0000-0000682A0000}"/>
    <cellStyle name="60% - 강조색5 12 6" xfId="12839" xr:uid="{00000000-0005-0000-0000-0000692A0000}"/>
    <cellStyle name="60% - 강조색5 12 7" xfId="12840" xr:uid="{00000000-0005-0000-0000-00006A2A0000}"/>
    <cellStyle name="60% - 강조색5 12 8" xfId="12841" xr:uid="{00000000-0005-0000-0000-00006B2A0000}"/>
    <cellStyle name="60% - 강조색5 12 9" xfId="12842" xr:uid="{00000000-0005-0000-0000-00006C2A0000}"/>
    <cellStyle name="60% - 강조색5 13" xfId="1411" xr:uid="{00000000-0005-0000-0000-00006D2A0000}"/>
    <cellStyle name="60% - 강조색5 13 10" xfId="12844" xr:uid="{00000000-0005-0000-0000-00006E2A0000}"/>
    <cellStyle name="60% - 강조색5 13 11" xfId="12845" xr:uid="{00000000-0005-0000-0000-00006F2A0000}"/>
    <cellStyle name="60% - 강조색5 13 12" xfId="12846" xr:uid="{00000000-0005-0000-0000-0000702A0000}"/>
    <cellStyle name="60% - 강조색5 13 13" xfId="12847" xr:uid="{00000000-0005-0000-0000-0000712A0000}"/>
    <cellStyle name="60% - 강조색5 13 14" xfId="12848" xr:uid="{00000000-0005-0000-0000-0000722A0000}"/>
    <cellStyle name="60% - 강조색5 13 15" xfId="12843" xr:uid="{00000000-0005-0000-0000-0000732A0000}"/>
    <cellStyle name="60% - 강조색5 13 2" xfId="1412" xr:uid="{00000000-0005-0000-0000-0000742A0000}"/>
    <cellStyle name="60% - 강조색5 13 2 2" xfId="12849" xr:uid="{00000000-0005-0000-0000-0000752A0000}"/>
    <cellStyle name="60% - 강조색5 13 3" xfId="12850" xr:uid="{00000000-0005-0000-0000-0000762A0000}"/>
    <cellStyle name="60% - 강조색5 13 4" xfId="12851" xr:uid="{00000000-0005-0000-0000-0000772A0000}"/>
    <cellStyle name="60% - 강조색5 13 5" xfId="12852" xr:uid="{00000000-0005-0000-0000-0000782A0000}"/>
    <cellStyle name="60% - 강조색5 13 6" xfId="12853" xr:uid="{00000000-0005-0000-0000-0000792A0000}"/>
    <cellStyle name="60% - 강조색5 13 7" xfId="12854" xr:uid="{00000000-0005-0000-0000-00007A2A0000}"/>
    <cellStyle name="60% - 강조색5 13 8" xfId="12855" xr:uid="{00000000-0005-0000-0000-00007B2A0000}"/>
    <cellStyle name="60% - 강조색5 13 9" xfId="12856" xr:uid="{00000000-0005-0000-0000-00007C2A0000}"/>
    <cellStyle name="60% - 강조색5 14" xfId="1413" xr:uid="{00000000-0005-0000-0000-00007D2A0000}"/>
    <cellStyle name="60% - 강조색5 14 10" xfId="12858" xr:uid="{00000000-0005-0000-0000-00007E2A0000}"/>
    <cellStyle name="60% - 강조색5 14 11" xfId="12859" xr:uid="{00000000-0005-0000-0000-00007F2A0000}"/>
    <cellStyle name="60% - 강조색5 14 12" xfId="12860" xr:uid="{00000000-0005-0000-0000-0000802A0000}"/>
    <cellStyle name="60% - 강조색5 14 13" xfId="12861" xr:uid="{00000000-0005-0000-0000-0000812A0000}"/>
    <cellStyle name="60% - 강조색5 14 14" xfId="12862" xr:uid="{00000000-0005-0000-0000-0000822A0000}"/>
    <cellStyle name="60% - 강조색5 14 15" xfId="12857" xr:uid="{00000000-0005-0000-0000-0000832A0000}"/>
    <cellStyle name="60% - 강조색5 14 2" xfId="1414" xr:uid="{00000000-0005-0000-0000-0000842A0000}"/>
    <cellStyle name="60% - 강조색5 14 2 2" xfId="12863" xr:uid="{00000000-0005-0000-0000-0000852A0000}"/>
    <cellStyle name="60% - 강조색5 14 3" xfId="12864" xr:uid="{00000000-0005-0000-0000-0000862A0000}"/>
    <cellStyle name="60% - 강조색5 14 4" xfId="12865" xr:uid="{00000000-0005-0000-0000-0000872A0000}"/>
    <cellStyle name="60% - 강조색5 14 5" xfId="12866" xr:uid="{00000000-0005-0000-0000-0000882A0000}"/>
    <cellStyle name="60% - 강조색5 14 6" xfId="12867" xr:uid="{00000000-0005-0000-0000-0000892A0000}"/>
    <cellStyle name="60% - 강조색5 14 7" xfId="12868" xr:uid="{00000000-0005-0000-0000-00008A2A0000}"/>
    <cellStyle name="60% - 강조색5 14 8" xfId="12869" xr:uid="{00000000-0005-0000-0000-00008B2A0000}"/>
    <cellStyle name="60% - 강조색5 14 9" xfId="12870" xr:uid="{00000000-0005-0000-0000-00008C2A0000}"/>
    <cellStyle name="60% - 강조색5 15" xfId="1415" xr:uid="{00000000-0005-0000-0000-00008D2A0000}"/>
    <cellStyle name="60% - 강조색5 15 10" xfId="12872" xr:uid="{00000000-0005-0000-0000-00008E2A0000}"/>
    <cellStyle name="60% - 강조색5 15 11" xfId="12873" xr:uid="{00000000-0005-0000-0000-00008F2A0000}"/>
    <cellStyle name="60% - 강조색5 15 12" xfId="12874" xr:uid="{00000000-0005-0000-0000-0000902A0000}"/>
    <cellStyle name="60% - 강조색5 15 13" xfId="12875" xr:uid="{00000000-0005-0000-0000-0000912A0000}"/>
    <cellStyle name="60% - 강조색5 15 14" xfId="12876" xr:uid="{00000000-0005-0000-0000-0000922A0000}"/>
    <cellStyle name="60% - 강조색5 15 15" xfId="12871" xr:uid="{00000000-0005-0000-0000-0000932A0000}"/>
    <cellStyle name="60% - 강조색5 15 2" xfId="1416" xr:uid="{00000000-0005-0000-0000-0000942A0000}"/>
    <cellStyle name="60% - 강조색5 15 2 2" xfId="12877" xr:uid="{00000000-0005-0000-0000-0000952A0000}"/>
    <cellStyle name="60% - 강조색5 15 3" xfId="12878" xr:uid="{00000000-0005-0000-0000-0000962A0000}"/>
    <cellStyle name="60% - 강조색5 15 4" xfId="12879" xr:uid="{00000000-0005-0000-0000-0000972A0000}"/>
    <cellStyle name="60% - 강조색5 15 5" xfId="12880" xr:uid="{00000000-0005-0000-0000-0000982A0000}"/>
    <cellStyle name="60% - 강조색5 15 6" xfId="12881" xr:uid="{00000000-0005-0000-0000-0000992A0000}"/>
    <cellStyle name="60% - 강조색5 15 7" xfId="12882" xr:uid="{00000000-0005-0000-0000-00009A2A0000}"/>
    <cellStyle name="60% - 강조색5 15 8" xfId="12883" xr:uid="{00000000-0005-0000-0000-00009B2A0000}"/>
    <cellStyle name="60% - 강조색5 15 9" xfId="12884" xr:uid="{00000000-0005-0000-0000-00009C2A0000}"/>
    <cellStyle name="60% - 강조색5 16" xfId="1417" xr:uid="{00000000-0005-0000-0000-00009D2A0000}"/>
    <cellStyle name="60% - 강조색5 16 10" xfId="12886" xr:uid="{00000000-0005-0000-0000-00009E2A0000}"/>
    <cellStyle name="60% - 강조색5 16 11" xfId="12887" xr:uid="{00000000-0005-0000-0000-00009F2A0000}"/>
    <cellStyle name="60% - 강조색5 16 12" xfId="12888" xr:uid="{00000000-0005-0000-0000-0000A02A0000}"/>
    <cellStyle name="60% - 강조색5 16 13" xfId="12889" xr:uid="{00000000-0005-0000-0000-0000A12A0000}"/>
    <cellStyle name="60% - 강조색5 16 14" xfId="12890" xr:uid="{00000000-0005-0000-0000-0000A22A0000}"/>
    <cellStyle name="60% - 강조색5 16 15" xfId="12885" xr:uid="{00000000-0005-0000-0000-0000A32A0000}"/>
    <cellStyle name="60% - 강조색5 16 2" xfId="1418" xr:uid="{00000000-0005-0000-0000-0000A42A0000}"/>
    <cellStyle name="60% - 강조색5 16 2 2" xfId="12891" xr:uid="{00000000-0005-0000-0000-0000A52A0000}"/>
    <cellStyle name="60% - 강조색5 16 3" xfId="12892" xr:uid="{00000000-0005-0000-0000-0000A62A0000}"/>
    <cellStyle name="60% - 강조색5 16 4" xfId="12893" xr:uid="{00000000-0005-0000-0000-0000A72A0000}"/>
    <cellStyle name="60% - 강조색5 16 5" xfId="12894" xr:uid="{00000000-0005-0000-0000-0000A82A0000}"/>
    <cellStyle name="60% - 강조색5 16 6" xfId="12895" xr:uid="{00000000-0005-0000-0000-0000A92A0000}"/>
    <cellStyle name="60% - 강조색5 16 7" xfId="12896" xr:uid="{00000000-0005-0000-0000-0000AA2A0000}"/>
    <cellStyle name="60% - 강조색5 16 8" xfId="12897" xr:uid="{00000000-0005-0000-0000-0000AB2A0000}"/>
    <cellStyle name="60% - 강조색5 16 9" xfId="12898" xr:uid="{00000000-0005-0000-0000-0000AC2A0000}"/>
    <cellStyle name="60% - 강조색5 17" xfId="1419" xr:uid="{00000000-0005-0000-0000-0000AD2A0000}"/>
    <cellStyle name="60% - 강조색5 17 10" xfId="12900" xr:uid="{00000000-0005-0000-0000-0000AE2A0000}"/>
    <cellStyle name="60% - 강조색5 17 11" xfId="12901" xr:uid="{00000000-0005-0000-0000-0000AF2A0000}"/>
    <cellStyle name="60% - 강조색5 17 12" xfId="12902" xr:uid="{00000000-0005-0000-0000-0000B02A0000}"/>
    <cellStyle name="60% - 강조색5 17 13" xfId="12903" xr:uid="{00000000-0005-0000-0000-0000B12A0000}"/>
    <cellStyle name="60% - 강조색5 17 14" xfId="12904" xr:uid="{00000000-0005-0000-0000-0000B22A0000}"/>
    <cellStyle name="60% - 강조색5 17 15" xfId="12899" xr:uid="{00000000-0005-0000-0000-0000B32A0000}"/>
    <cellStyle name="60% - 강조색5 17 2" xfId="1420" xr:uid="{00000000-0005-0000-0000-0000B42A0000}"/>
    <cellStyle name="60% - 강조색5 17 2 2" xfId="12905" xr:uid="{00000000-0005-0000-0000-0000B52A0000}"/>
    <cellStyle name="60% - 강조색5 17 3" xfId="12906" xr:uid="{00000000-0005-0000-0000-0000B62A0000}"/>
    <cellStyle name="60% - 강조색5 17 4" xfId="12907" xr:uid="{00000000-0005-0000-0000-0000B72A0000}"/>
    <cellStyle name="60% - 강조색5 17 5" xfId="12908" xr:uid="{00000000-0005-0000-0000-0000B82A0000}"/>
    <cellStyle name="60% - 강조색5 17 6" xfId="12909" xr:uid="{00000000-0005-0000-0000-0000B92A0000}"/>
    <cellStyle name="60% - 강조색5 17 7" xfId="12910" xr:uid="{00000000-0005-0000-0000-0000BA2A0000}"/>
    <cellStyle name="60% - 강조색5 17 8" xfId="12911" xr:uid="{00000000-0005-0000-0000-0000BB2A0000}"/>
    <cellStyle name="60% - 강조색5 17 9" xfId="12912" xr:uid="{00000000-0005-0000-0000-0000BC2A0000}"/>
    <cellStyle name="60% - 강조색5 18" xfId="1421" xr:uid="{00000000-0005-0000-0000-0000BD2A0000}"/>
    <cellStyle name="60% - 강조색5 18 10" xfId="12914" xr:uid="{00000000-0005-0000-0000-0000BE2A0000}"/>
    <cellStyle name="60% - 강조색5 18 11" xfId="12915" xr:uid="{00000000-0005-0000-0000-0000BF2A0000}"/>
    <cellStyle name="60% - 강조색5 18 12" xfId="12916" xr:uid="{00000000-0005-0000-0000-0000C02A0000}"/>
    <cellStyle name="60% - 강조색5 18 13" xfId="12917" xr:uid="{00000000-0005-0000-0000-0000C12A0000}"/>
    <cellStyle name="60% - 강조색5 18 14" xfId="12918" xr:uid="{00000000-0005-0000-0000-0000C22A0000}"/>
    <cellStyle name="60% - 강조색5 18 15" xfId="12913" xr:uid="{00000000-0005-0000-0000-0000C32A0000}"/>
    <cellStyle name="60% - 강조색5 18 2" xfId="1422" xr:uid="{00000000-0005-0000-0000-0000C42A0000}"/>
    <cellStyle name="60% - 강조색5 18 2 2" xfId="12919" xr:uid="{00000000-0005-0000-0000-0000C52A0000}"/>
    <cellStyle name="60% - 강조색5 18 3" xfId="12920" xr:uid="{00000000-0005-0000-0000-0000C62A0000}"/>
    <cellStyle name="60% - 강조색5 18 4" xfId="12921" xr:uid="{00000000-0005-0000-0000-0000C72A0000}"/>
    <cellStyle name="60% - 강조색5 18 5" xfId="12922" xr:uid="{00000000-0005-0000-0000-0000C82A0000}"/>
    <cellStyle name="60% - 강조색5 18 6" xfId="12923" xr:uid="{00000000-0005-0000-0000-0000C92A0000}"/>
    <cellStyle name="60% - 강조색5 18 7" xfId="12924" xr:uid="{00000000-0005-0000-0000-0000CA2A0000}"/>
    <cellStyle name="60% - 강조색5 18 8" xfId="12925" xr:uid="{00000000-0005-0000-0000-0000CB2A0000}"/>
    <cellStyle name="60% - 강조색5 18 9" xfId="12926" xr:uid="{00000000-0005-0000-0000-0000CC2A0000}"/>
    <cellStyle name="60% - 강조색5 19" xfId="1423" xr:uid="{00000000-0005-0000-0000-0000CD2A0000}"/>
    <cellStyle name="60% - 강조색5 19 10" xfId="12928" xr:uid="{00000000-0005-0000-0000-0000CE2A0000}"/>
    <cellStyle name="60% - 강조색5 19 11" xfId="12929" xr:uid="{00000000-0005-0000-0000-0000CF2A0000}"/>
    <cellStyle name="60% - 강조색5 19 12" xfId="12930" xr:uid="{00000000-0005-0000-0000-0000D02A0000}"/>
    <cellStyle name="60% - 강조색5 19 13" xfId="12931" xr:uid="{00000000-0005-0000-0000-0000D12A0000}"/>
    <cellStyle name="60% - 강조색5 19 14" xfId="12932" xr:uid="{00000000-0005-0000-0000-0000D22A0000}"/>
    <cellStyle name="60% - 강조색5 19 15" xfId="12927" xr:uid="{00000000-0005-0000-0000-0000D32A0000}"/>
    <cellStyle name="60% - 강조색5 19 2" xfId="1424" xr:uid="{00000000-0005-0000-0000-0000D42A0000}"/>
    <cellStyle name="60% - 강조색5 19 2 2" xfId="12933" xr:uid="{00000000-0005-0000-0000-0000D52A0000}"/>
    <cellStyle name="60% - 강조색5 19 3" xfId="12934" xr:uid="{00000000-0005-0000-0000-0000D62A0000}"/>
    <cellStyle name="60% - 강조색5 19 4" xfId="12935" xr:uid="{00000000-0005-0000-0000-0000D72A0000}"/>
    <cellStyle name="60% - 강조색5 19 5" xfId="12936" xr:uid="{00000000-0005-0000-0000-0000D82A0000}"/>
    <cellStyle name="60% - 강조색5 19 6" xfId="12937" xr:uid="{00000000-0005-0000-0000-0000D92A0000}"/>
    <cellStyle name="60% - 강조색5 19 7" xfId="12938" xr:uid="{00000000-0005-0000-0000-0000DA2A0000}"/>
    <cellStyle name="60% - 강조색5 19 8" xfId="12939" xr:uid="{00000000-0005-0000-0000-0000DB2A0000}"/>
    <cellStyle name="60% - 강조색5 19 9" xfId="12940" xr:uid="{00000000-0005-0000-0000-0000DC2A0000}"/>
    <cellStyle name="60% - 강조색5 2" xfId="1425" xr:uid="{00000000-0005-0000-0000-0000DD2A0000}"/>
    <cellStyle name="60% - 강조색5 2 10" xfId="12942" xr:uid="{00000000-0005-0000-0000-0000DE2A0000}"/>
    <cellStyle name="60% - 강조색5 2 11" xfId="12943" xr:uid="{00000000-0005-0000-0000-0000DF2A0000}"/>
    <cellStyle name="60% - 강조색5 2 12" xfId="12944" xr:uid="{00000000-0005-0000-0000-0000E02A0000}"/>
    <cellStyle name="60% - 강조색5 2 13" xfId="12945" xr:uid="{00000000-0005-0000-0000-0000E12A0000}"/>
    <cellStyle name="60% - 강조색5 2 14" xfId="12946" xr:uid="{00000000-0005-0000-0000-0000E22A0000}"/>
    <cellStyle name="60% - 강조색5 2 15" xfId="12941" xr:uid="{00000000-0005-0000-0000-0000E32A0000}"/>
    <cellStyle name="60% - 강조색5 2 16" xfId="27949" xr:uid="{00000000-0005-0000-0000-0000E42A0000}"/>
    <cellStyle name="60% - 강조색5 2 2" xfId="1426" xr:uid="{00000000-0005-0000-0000-0000E52A0000}"/>
    <cellStyle name="60% - 강조색5 2 2 2" xfId="12947" xr:uid="{00000000-0005-0000-0000-0000E62A0000}"/>
    <cellStyle name="60% - 강조색5 2 3" xfId="12948" xr:uid="{00000000-0005-0000-0000-0000E72A0000}"/>
    <cellStyle name="60% - 강조색5 2 4" xfId="12949" xr:uid="{00000000-0005-0000-0000-0000E82A0000}"/>
    <cellStyle name="60% - 강조색5 2 5" xfId="12950" xr:uid="{00000000-0005-0000-0000-0000E92A0000}"/>
    <cellStyle name="60% - 강조색5 2 6" xfId="12951" xr:uid="{00000000-0005-0000-0000-0000EA2A0000}"/>
    <cellStyle name="60% - 강조색5 2 7" xfId="12952" xr:uid="{00000000-0005-0000-0000-0000EB2A0000}"/>
    <cellStyle name="60% - 강조색5 2 8" xfId="12953" xr:uid="{00000000-0005-0000-0000-0000EC2A0000}"/>
    <cellStyle name="60% - 강조색5 2 9" xfId="12954" xr:uid="{00000000-0005-0000-0000-0000ED2A0000}"/>
    <cellStyle name="60% - 강조색5 20" xfId="1427" xr:uid="{00000000-0005-0000-0000-0000EE2A0000}"/>
    <cellStyle name="60% - 강조색5 20 10" xfId="12956" xr:uid="{00000000-0005-0000-0000-0000EF2A0000}"/>
    <cellStyle name="60% - 강조색5 20 11" xfId="12957" xr:uid="{00000000-0005-0000-0000-0000F02A0000}"/>
    <cellStyle name="60% - 강조색5 20 12" xfId="12958" xr:uid="{00000000-0005-0000-0000-0000F12A0000}"/>
    <cellStyle name="60% - 강조색5 20 13" xfId="12959" xr:uid="{00000000-0005-0000-0000-0000F22A0000}"/>
    <cellStyle name="60% - 강조색5 20 14" xfId="12960" xr:uid="{00000000-0005-0000-0000-0000F32A0000}"/>
    <cellStyle name="60% - 강조색5 20 15" xfId="12955" xr:uid="{00000000-0005-0000-0000-0000F42A0000}"/>
    <cellStyle name="60% - 강조색5 20 2" xfId="1428" xr:uid="{00000000-0005-0000-0000-0000F52A0000}"/>
    <cellStyle name="60% - 강조색5 20 2 2" xfId="12961" xr:uid="{00000000-0005-0000-0000-0000F62A0000}"/>
    <cellStyle name="60% - 강조색5 20 3" xfId="12962" xr:uid="{00000000-0005-0000-0000-0000F72A0000}"/>
    <cellStyle name="60% - 강조색5 20 4" xfId="12963" xr:uid="{00000000-0005-0000-0000-0000F82A0000}"/>
    <cellStyle name="60% - 강조색5 20 5" xfId="12964" xr:uid="{00000000-0005-0000-0000-0000F92A0000}"/>
    <cellStyle name="60% - 강조색5 20 6" xfId="12965" xr:uid="{00000000-0005-0000-0000-0000FA2A0000}"/>
    <cellStyle name="60% - 강조색5 20 7" xfId="12966" xr:uid="{00000000-0005-0000-0000-0000FB2A0000}"/>
    <cellStyle name="60% - 강조색5 20 8" xfId="12967" xr:uid="{00000000-0005-0000-0000-0000FC2A0000}"/>
    <cellStyle name="60% - 강조색5 20 9" xfId="12968" xr:uid="{00000000-0005-0000-0000-0000FD2A0000}"/>
    <cellStyle name="60% - 강조색5 21" xfId="1429" xr:uid="{00000000-0005-0000-0000-0000FE2A0000}"/>
    <cellStyle name="60% - 강조색5 21 10" xfId="12970" xr:uid="{00000000-0005-0000-0000-0000FF2A0000}"/>
    <cellStyle name="60% - 강조색5 21 11" xfId="12971" xr:uid="{00000000-0005-0000-0000-0000002B0000}"/>
    <cellStyle name="60% - 강조색5 21 12" xfId="12972" xr:uid="{00000000-0005-0000-0000-0000012B0000}"/>
    <cellStyle name="60% - 강조색5 21 13" xfId="12973" xr:uid="{00000000-0005-0000-0000-0000022B0000}"/>
    <cellStyle name="60% - 강조색5 21 14" xfId="12974" xr:uid="{00000000-0005-0000-0000-0000032B0000}"/>
    <cellStyle name="60% - 강조색5 21 15" xfId="12969" xr:uid="{00000000-0005-0000-0000-0000042B0000}"/>
    <cellStyle name="60% - 강조색5 21 2" xfId="1430" xr:uid="{00000000-0005-0000-0000-0000052B0000}"/>
    <cellStyle name="60% - 강조색5 21 2 2" xfId="12975" xr:uid="{00000000-0005-0000-0000-0000062B0000}"/>
    <cellStyle name="60% - 강조색5 21 3" xfId="12976" xr:uid="{00000000-0005-0000-0000-0000072B0000}"/>
    <cellStyle name="60% - 강조색5 21 4" xfId="12977" xr:uid="{00000000-0005-0000-0000-0000082B0000}"/>
    <cellStyle name="60% - 강조색5 21 5" xfId="12978" xr:uid="{00000000-0005-0000-0000-0000092B0000}"/>
    <cellStyle name="60% - 강조색5 21 6" xfId="12979" xr:uid="{00000000-0005-0000-0000-00000A2B0000}"/>
    <cellStyle name="60% - 강조색5 21 7" xfId="12980" xr:uid="{00000000-0005-0000-0000-00000B2B0000}"/>
    <cellStyle name="60% - 강조색5 21 8" xfId="12981" xr:uid="{00000000-0005-0000-0000-00000C2B0000}"/>
    <cellStyle name="60% - 강조색5 21 9" xfId="12982" xr:uid="{00000000-0005-0000-0000-00000D2B0000}"/>
    <cellStyle name="60% - 강조색5 22" xfId="1431" xr:uid="{00000000-0005-0000-0000-00000E2B0000}"/>
    <cellStyle name="60% - 강조색5 22 10" xfId="12984" xr:uid="{00000000-0005-0000-0000-00000F2B0000}"/>
    <cellStyle name="60% - 강조색5 22 11" xfId="12985" xr:uid="{00000000-0005-0000-0000-0000102B0000}"/>
    <cellStyle name="60% - 강조색5 22 12" xfId="12986" xr:uid="{00000000-0005-0000-0000-0000112B0000}"/>
    <cellStyle name="60% - 강조색5 22 13" xfId="12987" xr:uid="{00000000-0005-0000-0000-0000122B0000}"/>
    <cellStyle name="60% - 강조색5 22 14" xfId="12988" xr:uid="{00000000-0005-0000-0000-0000132B0000}"/>
    <cellStyle name="60% - 강조색5 22 15" xfId="12983" xr:uid="{00000000-0005-0000-0000-0000142B0000}"/>
    <cellStyle name="60% - 강조색5 22 2" xfId="1432" xr:uid="{00000000-0005-0000-0000-0000152B0000}"/>
    <cellStyle name="60% - 강조색5 22 2 2" xfId="12989" xr:uid="{00000000-0005-0000-0000-0000162B0000}"/>
    <cellStyle name="60% - 강조색5 22 3" xfId="12990" xr:uid="{00000000-0005-0000-0000-0000172B0000}"/>
    <cellStyle name="60% - 강조색5 22 4" xfId="12991" xr:uid="{00000000-0005-0000-0000-0000182B0000}"/>
    <cellStyle name="60% - 강조색5 22 5" xfId="12992" xr:uid="{00000000-0005-0000-0000-0000192B0000}"/>
    <cellStyle name="60% - 강조색5 22 6" xfId="12993" xr:uid="{00000000-0005-0000-0000-00001A2B0000}"/>
    <cellStyle name="60% - 강조색5 22 7" xfId="12994" xr:uid="{00000000-0005-0000-0000-00001B2B0000}"/>
    <cellStyle name="60% - 강조색5 22 8" xfId="12995" xr:uid="{00000000-0005-0000-0000-00001C2B0000}"/>
    <cellStyle name="60% - 강조색5 22 9" xfId="12996" xr:uid="{00000000-0005-0000-0000-00001D2B0000}"/>
    <cellStyle name="60% - 강조색5 23" xfId="1433" xr:uid="{00000000-0005-0000-0000-00001E2B0000}"/>
    <cellStyle name="60% - 강조색5 23 10" xfId="12998" xr:uid="{00000000-0005-0000-0000-00001F2B0000}"/>
    <cellStyle name="60% - 강조색5 23 11" xfId="12999" xr:uid="{00000000-0005-0000-0000-0000202B0000}"/>
    <cellStyle name="60% - 강조색5 23 12" xfId="13000" xr:uid="{00000000-0005-0000-0000-0000212B0000}"/>
    <cellStyle name="60% - 강조색5 23 13" xfId="13001" xr:uid="{00000000-0005-0000-0000-0000222B0000}"/>
    <cellStyle name="60% - 강조색5 23 14" xfId="13002" xr:uid="{00000000-0005-0000-0000-0000232B0000}"/>
    <cellStyle name="60% - 강조색5 23 15" xfId="12997" xr:uid="{00000000-0005-0000-0000-0000242B0000}"/>
    <cellStyle name="60% - 강조색5 23 2" xfId="1434" xr:uid="{00000000-0005-0000-0000-0000252B0000}"/>
    <cellStyle name="60% - 강조색5 23 2 2" xfId="13003" xr:uid="{00000000-0005-0000-0000-0000262B0000}"/>
    <cellStyle name="60% - 강조색5 23 3" xfId="13004" xr:uid="{00000000-0005-0000-0000-0000272B0000}"/>
    <cellStyle name="60% - 강조색5 23 4" xfId="13005" xr:uid="{00000000-0005-0000-0000-0000282B0000}"/>
    <cellStyle name="60% - 강조색5 23 5" xfId="13006" xr:uid="{00000000-0005-0000-0000-0000292B0000}"/>
    <cellStyle name="60% - 강조색5 23 6" xfId="13007" xr:uid="{00000000-0005-0000-0000-00002A2B0000}"/>
    <cellStyle name="60% - 강조색5 23 7" xfId="13008" xr:uid="{00000000-0005-0000-0000-00002B2B0000}"/>
    <cellStyle name="60% - 강조색5 23 8" xfId="13009" xr:uid="{00000000-0005-0000-0000-00002C2B0000}"/>
    <cellStyle name="60% - 강조색5 23 9" xfId="13010" xr:uid="{00000000-0005-0000-0000-00002D2B0000}"/>
    <cellStyle name="60% - 강조색5 24" xfId="1435" xr:uid="{00000000-0005-0000-0000-00002E2B0000}"/>
    <cellStyle name="60% - 강조색5 24 10" xfId="13012" xr:uid="{00000000-0005-0000-0000-00002F2B0000}"/>
    <cellStyle name="60% - 강조색5 24 11" xfId="13013" xr:uid="{00000000-0005-0000-0000-0000302B0000}"/>
    <cellStyle name="60% - 강조색5 24 12" xfId="13014" xr:uid="{00000000-0005-0000-0000-0000312B0000}"/>
    <cellStyle name="60% - 강조색5 24 13" xfId="13015" xr:uid="{00000000-0005-0000-0000-0000322B0000}"/>
    <cellStyle name="60% - 강조색5 24 14" xfId="13016" xr:uid="{00000000-0005-0000-0000-0000332B0000}"/>
    <cellStyle name="60% - 강조색5 24 15" xfId="13011" xr:uid="{00000000-0005-0000-0000-0000342B0000}"/>
    <cellStyle name="60% - 강조색5 24 2" xfId="1436" xr:uid="{00000000-0005-0000-0000-0000352B0000}"/>
    <cellStyle name="60% - 강조색5 24 2 2" xfId="13017" xr:uid="{00000000-0005-0000-0000-0000362B0000}"/>
    <cellStyle name="60% - 강조색5 24 3" xfId="13018" xr:uid="{00000000-0005-0000-0000-0000372B0000}"/>
    <cellStyle name="60% - 강조색5 24 4" xfId="13019" xr:uid="{00000000-0005-0000-0000-0000382B0000}"/>
    <cellStyle name="60% - 강조색5 24 5" xfId="13020" xr:uid="{00000000-0005-0000-0000-0000392B0000}"/>
    <cellStyle name="60% - 강조색5 24 6" xfId="13021" xr:uid="{00000000-0005-0000-0000-00003A2B0000}"/>
    <cellStyle name="60% - 강조색5 24 7" xfId="13022" xr:uid="{00000000-0005-0000-0000-00003B2B0000}"/>
    <cellStyle name="60% - 강조색5 24 8" xfId="13023" xr:uid="{00000000-0005-0000-0000-00003C2B0000}"/>
    <cellStyle name="60% - 강조색5 24 9" xfId="13024" xr:uid="{00000000-0005-0000-0000-00003D2B0000}"/>
    <cellStyle name="60% - 강조색5 25" xfId="1437" xr:uid="{00000000-0005-0000-0000-00003E2B0000}"/>
    <cellStyle name="60% - 강조색5 25 10" xfId="13026" xr:uid="{00000000-0005-0000-0000-00003F2B0000}"/>
    <cellStyle name="60% - 강조색5 25 11" xfId="13027" xr:uid="{00000000-0005-0000-0000-0000402B0000}"/>
    <cellStyle name="60% - 강조색5 25 12" xfId="13028" xr:uid="{00000000-0005-0000-0000-0000412B0000}"/>
    <cellStyle name="60% - 강조색5 25 13" xfId="13029" xr:uid="{00000000-0005-0000-0000-0000422B0000}"/>
    <cellStyle name="60% - 강조색5 25 14" xfId="13030" xr:uid="{00000000-0005-0000-0000-0000432B0000}"/>
    <cellStyle name="60% - 강조색5 25 15" xfId="13025" xr:uid="{00000000-0005-0000-0000-0000442B0000}"/>
    <cellStyle name="60% - 강조색5 25 2" xfId="1438" xr:uid="{00000000-0005-0000-0000-0000452B0000}"/>
    <cellStyle name="60% - 강조색5 25 2 2" xfId="13031" xr:uid="{00000000-0005-0000-0000-0000462B0000}"/>
    <cellStyle name="60% - 강조색5 25 3" xfId="13032" xr:uid="{00000000-0005-0000-0000-0000472B0000}"/>
    <cellStyle name="60% - 강조색5 25 4" xfId="13033" xr:uid="{00000000-0005-0000-0000-0000482B0000}"/>
    <cellStyle name="60% - 강조색5 25 5" xfId="13034" xr:uid="{00000000-0005-0000-0000-0000492B0000}"/>
    <cellStyle name="60% - 강조색5 25 6" xfId="13035" xr:uid="{00000000-0005-0000-0000-00004A2B0000}"/>
    <cellStyle name="60% - 강조색5 25 7" xfId="13036" xr:uid="{00000000-0005-0000-0000-00004B2B0000}"/>
    <cellStyle name="60% - 강조색5 25 8" xfId="13037" xr:uid="{00000000-0005-0000-0000-00004C2B0000}"/>
    <cellStyle name="60% - 강조색5 25 9" xfId="13038" xr:uid="{00000000-0005-0000-0000-00004D2B0000}"/>
    <cellStyle name="60% - 강조색5 26" xfId="1439" xr:uid="{00000000-0005-0000-0000-00004E2B0000}"/>
    <cellStyle name="60% - 강조색5 26 10" xfId="13040" xr:uid="{00000000-0005-0000-0000-00004F2B0000}"/>
    <cellStyle name="60% - 강조색5 26 11" xfId="13041" xr:uid="{00000000-0005-0000-0000-0000502B0000}"/>
    <cellStyle name="60% - 강조색5 26 12" xfId="13042" xr:uid="{00000000-0005-0000-0000-0000512B0000}"/>
    <cellStyle name="60% - 강조색5 26 13" xfId="13043" xr:uid="{00000000-0005-0000-0000-0000522B0000}"/>
    <cellStyle name="60% - 강조색5 26 14" xfId="13044" xr:uid="{00000000-0005-0000-0000-0000532B0000}"/>
    <cellStyle name="60% - 강조색5 26 15" xfId="13039" xr:uid="{00000000-0005-0000-0000-0000542B0000}"/>
    <cellStyle name="60% - 강조색5 26 2" xfId="1440" xr:uid="{00000000-0005-0000-0000-0000552B0000}"/>
    <cellStyle name="60% - 강조색5 26 2 2" xfId="13045" xr:uid="{00000000-0005-0000-0000-0000562B0000}"/>
    <cellStyle name="60% - 강조색5 26 3" xfId="13046" xr:uid="{00000000-0005-0000-0000-0000572B0000}"/>
    <cellStyle name="60% - 강조색5 26 4" xfId="13047" xr:uid="{00000000-0005-0000-0000-0000582B0000}"/>
    <cellStyle name="60% - 강조색5 26 5" xfId="13048" xr:uid="{00000000-0005-0000-0000-0000592B0000}"/>
    <cellStyle name="60% - 강조색5 26 6" xfId="13049" xr:uid="{00000000-0005-0000-0000-00005A2B0000}"/>
    <cellStyle name="60% - 강조색5 26 7" xfId="13050" xr:uid="{00000000-0005-0000-0000-00005B2B0000}"/>
    <cellStyle name="60% - 강조색5 26 8" xfId="13051" xr:uid="{00000000-0005-0000-0000-00005C2B0000}"/>
    <cellStyle name="60% - 강조색5 26 9" xfId="13052" xr:uid="{00000000-0005-0000-0000-00005D2B0000}"/>
    <cellStyle name="60% - 강조색5 27" xfId="1441" xr:uid="{00000000-0005-0000-0000-00005E2B0000}"/>
    <cellStyle name="60% - 강조색5 27 10" xfId="13054" xr:uid="{00000000-0005-0000-0000-00005F2B0000}"/>
    <cellStyle name="60% - 강조색5 27 11" xfId="13055" xr:uid="{00000000-0005-0000-0000-0000602B0000}"/>
    <cellStyle name="60% - 강조색5 27 12" xfId="13056" xr:uid="{00000000-0005-0000-0000-0000612B0000}"/>
    <cellStyle name="60% - 강조색5 27 13" xfId="13057" xr:uid="{00000000-0005-0000-0000-0000622B0000}"/>
    <cellStyle name="60% - 강조색5 27 14" xfId="13058" xr:uid="{00000000-0005-0000-0000-0000632B0000}"/>
    <cellStyle name="60% - 강조색5 27 15" xfId="13053" xr:uid="{00000000-0005-0000-0000-0000642B0000}"/>
    <cellStyle name="60% - 강조색5 27 2" xfId="1442" xr:uid="{00000000-0005-0000-0000-0000652B0000}"/>
    <cellStyle name="60% - 강조색5 27 2 2" xfId="13059" xr:uid="{00000000-0005-0000-0000-0000662B0000}"/>
    <cellStyle name="60% - 강조색5 27 3" xfId="13060" xr:uid="{00000000-0005-0000-0000-0000672B0000}"/>
    <cellStyle name="60% - 강조색5 27 4" xfId="13061" xr:uid="{00000000-0005-0000-0000-0000682B0000}"/>
    <cellStyle name="60% - 강조색5 27 5" xfId="13062" xr:uid="{00000000-0005-0000-0000-0000692B0000}"/>
    <cellStyle name="60% - 강조색5 27 6" xfId="13063" xr:uid="{00000000-0005-0000-0000-00006A2B0000}"/>
    <cellStyle name="60% - 강조색5 27 7" xfId="13064" xr:uid="{00000000-0005-0000-0000-00006B2B0000}"/>
    <cellStyle name="60% - 강조색5 27 8" xfId="13065" xr:uid="{00000000-0005-0000-0000-00006C2B0000}"/>
    <cellStyle name="60% - 강조색5 27 9" xfId="13066" xr:uid="{00000000-0005-0000-0000-00006D2B0000}"/>
    <cellStyle name="60% - 강조색5 28" xfId="1443" xr:uid="{00000000-0005-0000-0000-00006E2B0000}"/>
    <cellStyle name="60% - 강조색5 28 10" xfId="13068" xr:uid="{00000000-0005-0000-0000-00006F2B0000}"/>
    <cellStyle name="60% - 강조색5 28 11" xfId="13069" xr:uid="{00000000-0005-0000-0000-0000702B0000}"/>
    <cellStyle name="60% - 강조색5 28 12" xfId="13070" xr:uid="{00000000-0005-0000-0000-0000712B0000}"/>
    <cellStyle name="60% - 강조색5 28 13" xfId="13071" xr:uid="{00000000-0005-0000-0000-0000722B0000}"/>
    <cellStyle name="60% - 강조색5 28 14" xfId="13072" xr:uid="{00000000-0005-0000-0000-0000732B0000}"/>
    <cellStyle name="60% - 강조색5 28 15" xfId="13067" xr:uid="{00000000-0005-0000-0000-0000742B0000}"/>
    <cellStyle name="60% - 강조색5 28 2" xfId="1444" xr:uid="{00000000-0005-0000-0000-0000752B0000}"/>
    <cellStyle name="60% - 강조색5 28 2 2" xfId="13073" xr:uid="{00000000-0005-0000-0000-0000762B0000}"/>
    <cellStyle name="60% - 강조색5 28 3" xfId="13074" xr:uid="{00000000-0005-0000-0000-0000772B0000}"/>
    <cellStyle name="60% - 강조색5 28 4" xfId="13075" xr:uid="{00000000-0005-0000-0000-0000782B0000}"/>
    <cellStyle name="60% - 강조색5 28 5" xfId="13076" xr:uid="{00000000-0005-0000-0000-0000792B0000}"/>
    <cellStyle name="60% - 강조색5 28 6" xfId="13077" xr:uid="{00000000-0005-0000-0000-00007A2B0000}"/>
    <cellStyle name="60% - 강조색5 28 7" xfId="13078" xr:uid="{00000000-0005-0000-0000-00007B2B0000}"/>
    <cellStyle name="60% - 강조색5 28 8" xfId="13079" xr:uid="{00000000-0005-0000-0000-00007C2B0000}"/>
    <cellStyle name="60% - 강조색5 28 9" xfId="13080" xr:uid="{00000000-0005-0000-0000-00007D2B0000}"/>
    <cellStyle name="60% - 강조색5 29" xfId="1445" xr:uid="{00000000-0005-0000-0000-00007E2B0000}"/>
    <cellStyle name="60% - 강조색5 29 10" xfId="13082" xr:uid="{00000000-0005-0000-0000-00007F2B0000}"/>
    <cellStyle name="60% - 강조색5 29 11" xfId="13083" xr:uid="{00000000-0005-0000-0000-0000802B0000}"/>
    <cellStyle name="60% - 강조색5 29 12" xfId="13084" xr:uid="{00000000-0005-0000-0000-0000812B0000}"/>
    <cellStyle name="60% - 강조색5 29 13" xfId="13085" xr:uid="{00000000-0005-0000-0000-0000822B0000}"/>
    <cellStyle name="60% - 강조색5 29 14" xfId="13086" xr:uid="{00000000-0005-0000-0000-0000832B0000}"/>
    <cellStyle name="60% - 강조색5 29 15" xfId="13081" xr:uid="{00000000-0005-0000-0000-0000842B0000}"/>
    <cellStyle name="60% - 강조색5 29 2" xfId="1446" xr:uid="{00000000-0005-0000-0000-0000852B0000}"/>
    <cellStyle name="60% - 강조색5 29 2 2" xfId="13087" xr:uid="{00000000-0005-0000-0000-0000862B0000}"/>
    <cellStyle name="60% - 강조색5 29 3" xfId="13088" xr:uid="{00000000-0005-0000-0000-0000872B0000}"/>
    <cellStyle name="60% - 강조색5 29 4" xfId="13089" xr:uid="{00000000-0005-0000-0000-0000882B0000}"/>
    <cellStyle name="60% - 강조색5 29 5" xfId="13090" xr:uid="{00000000-0005-0000-0000-0000892B0000}"/>
    <cellStyle name="60% - 강조색5 29 6" xfId="13091" xr:uid="{00000000-0005-0000-0000-00008A2B0000}"/>
    <cellStyle name="60% - 강조색5 29 7" xfId="13092" xr:uid="{00000000-0005-0000-0000-00008B2B0000}"/>
    <cellStyle name="60% - 강조색5 29 8" xfId="13093" xr:uid="{00000000-0005-0000-0000-00008C2B0000}"/>
    <cellStyle name="60% - 강조색5 29 9" xfId="13094" xr:uid="{00000000-0005-0000-0000-00008D2B0000}"/>
    <cellStyle name="60% - 강조색5 3" xfId="1447" xr:uid="{00000000-0005-0000-0000-00008E2B0000}"/>
    <cellStyle name="60% - 강조색5 3 10" xfId="13096" xr:uid="{00000000-0005-0000-0000-00008F2B0000}"/>
    <cellStyle name="60% - 강조색5 3 11" xfId="13097" xr:uid="{00000000-0005-0000-0000-0000902B0000}"/>
    <cellStyle name="60% - 강조색5 3 12" xfId="13098" xr:uid="{00000000-0005-0000-0000-0000912B0000}"/>
    <cellStyle name="60% - 강조색5 3 13" xfId="13099" xr:uid="{00000000-0005-0000-0000-0000922B0000}"/>
    <cellStyle name="60% - 강조색5 3 14" xfId="13100" xr:uid="{00000000-0005-0000-0000-0000932B0000}"/>
    <cellStyle name="60% - 강조색5 3 15" xfId="13095" xr:uid="{00000000-0005-0000-0000-0000942B0000}"/>
    <cellStyle name="60% - 강조색5 3 16" xfId="28205" xr:uid="{00000000-0005-0000-0000-0000952B0000}"/>
    <cellStyle name="60% - 강조색5 3 2" xfId="1448" xr:uid="{00000000-0005-0000-0000-0000962B0000}"/>
    <cellStyle name="60% - 강조색5 3 2 2" xfId="13101" xr:uid="{00000000-0005-0000-0000-0000972B0000}"/>
    <cellStyle name="60% - 강조색5 3 3" xfId="13102" xr:uid="{00000000-0005-0000-0000-0000982B0000}"/>
    <cellStyle name="60% - 강조색5 3 4" xfId="13103" xr:uid="{00000000-0005-0000-0000-0000992B0000}"/>
    <cellStyle name="60% - 강조색5 3 5" xfId="13104" xr:uid="{00000000-0005-0000-0000-00009A2B0000}"/>
    <cellStyle name="60% - 강조색5 3 6" xfId="13105" xr:uid="{00000000-0005-0000-0000-00009B2B0000}"/>
    <cellStyle name="60% - 강조색5 3 7" xfId="13106" xr:uid="{00000000-0005-0000-0000-00009C2B0000}"/>
    <cellStyle name="60% - 강조색5 3 8" xfId="13107" xr:uid="{00000000-0005-0000-0000-00009D2B0000}"/>
    <cellStyle name="60% - 강조색5 3 9" xfId="13108" xr:uid="{00000000-0005-0000-0000-00009E2B0000}"/>
    <cellStyle name="60% - 강조색5 30" xfId="1449" xr:uid="{00000000-0005-0000-0000-00009F2B0000}"/>
    <cellStyle name="60% - 강조색5 30 10" xfId="13110" xr:uid="{00000000-0005-0000-0000-0000A02B0000}"/>
    <cellStyle name="60% - 강조색5 30 11" xfId="13111" xr:uid="{00000000-0005-0000-0000-0000A12B0000}"/>
    <cellStyle name="60% - 강조색5 30 12" xfId="13112" xr:uid="{00000000-0005-0000-0000-0000A22B0000}"/>
    <cellStyle name="60% - 강조색5 30 13" xfId="13113" xr:uid="{00000000-0005-0000-0000-0000A32B0000}"/>
    <cellStyle name="60% - 강조색5 30 14" xfId="13114" xr:uid="{00000000-0005-0000-0000-0000A42B0000}"/>
    <cellStyle name="60% - 강조색5 30 15" xfId="13109" xr:uid="{00000000-0005-0000-0000-0000A52B0000}"/>
    <cellStyle name="60% - 강조색5 30 2" xfId="1450" xr:uid="{00000000-0005-0000-0000-0000A62B0000}"/>
    <cellStyle name="60% - 강조색5 30 2 2" xfId="13115" xr:uid="{00000000-0005-0000-0000-0000A72B0000}"/>
    <cellStyle name="60% - 강조색5 30 3" xfId="13116" xr:uid="{00000000-0005-0000-0000-0000A82B0000}"/>
    <cellStyle name="60% - 강조색5 30 4" xfId="13117" xr:uid="{00000000-0005-0000-0000-0000A92B0000}"/>
    <cellStyle name="60% - 강조색5 30 5" xfId="13118" xr:uid="{00000000-0005-0000-0000-0000AA2B0000}"/>
    <cellStyle name="60% - 강조색5 30 6" xfId="13119" xr:uid="{00000000-0005-0000-0000-0000AB2B0000}"/>
    <cellStyle name="60% - 강조색5 30 7" xfId="13120" xr:uid="{00000000-0005-0000-0000-0000AC2B0000}"/>
    <cellStyle name="60% - 강조색5 30 8" xfId="13121" xr:uid="{00000000-0005-0000-0000-0000AD2B0000}"/>
    <cellStyle name="60% - 강조색5 30 9" xfId="13122" xr:uid="{00000000-0005-0000-0000-0000AE2B0000}"/>
    <cellStyle name="60% - 강조색5 31" xfId="1451" xr:uid="{00000000-0005-0000-0000-0000AF2B0000}"/>
    <cellStyle name="60% - 강조색5 31 10" xfId="13124" xr:uid="{00000000-0005-0000-0000-0000B02B0000}"/>
    <cellStyle name="60% - 강조색5 31 11" xfId="13125" xr:uid="{00000000-0005-0000-0000-0000B12B0000}"/>
    <cellStyle name="60% - 강조색5 31 12" xfId="13126" xr:uid="{00000000-0005-0000-0000-0000B22B0000}"/>
    <cellStyle name="60% - 강조색5 31 13" xfId="13127" xr:uid="{00000000-0005-0000-0000-0000B32B0000}"/>
    <cellStyle name="60% - 강조색5 31 14" xfId="13128" xr:uid="{00000000-0005-0000-0000-0000B42B0000}"/>
    <cellStyle name="60% - 강조색5 31 15" xfId="13123" xr:uid="{00000000-0005-0000-0000-0000B52B0000}"/>
    <cellStyle name="60% - 강조색5 31 2" xfId="1452" xr:uid="{00000000-0005-0000-0000-0000B62B0000}"/>
    <cellStyle name="60% - 강조색5 31 2 2" xfId="13129" xr:uid="{00000000-0005-0000-0000-0000B72B0000}"/>
    <cellStyle name="60% - 강조색5 31 3" xfId="13130" xr:uid="{00000000-0005-0000-0000-0000B82B0000}"/>
    <cellStyle name="60% - 강조색5 31 4" xfId="13131" xr:uid="{00000000-0005-0000-0000-0000B92B0000}"/>
    <cellStyle name="60% - 강조색5 31 5" xfId="13132" xr:uid="{00000000-0005-0000-0000-0000BA2B0000}"/>
    <cellStyle name="60% - 강조색5 31 6" xfId="13133" xr:uid="{00000000-0005-0000-0000-0000BB2B0000}"/>
    <cellStyle name="60% - 강조색5 31 7" xfId="13134" xr:uid="{00000000-0005-0000-0000-0000BC2B0000}"/>
    <cellStyle name="60% - 강조색5 31 8" xfId="13135" xr:uid="{00000000-0005-0000-0000-0000BD2B0000}"/>
    <cellStyle name="60% - 강조색5 31 9" xfId="13136" xr:uid="{00000000-0005-0000-0000-0000BE2B0000}"/>
    <cellStyle name="60% - 강조색5 32" xfId="1453" xr:uid="{00000000-0005-0000-0000-0000BF2B0000}"/>
    <cellStyle name="60% - 강조색5 32 10" xfId="13138" xr:uid="{00000000-0005-0000-0000-0000C02B0000}"/>
    <cellStyle name="60% - 강조색5 32 11" xfId="13139" xr:uid="{00000000-0005-0000-0000-0000C12B0000}"/>
    <cellStyle name="60% - 강조색5 32 12" xfId="13140" xr:uid="{00000000-0005-0000-0000-0000C22B0000}"/>
    <cellStyle name="60% - 강조색5 32 13" xfId="13141" xr:uid="{00000000-0005-0000-0000-0000C32B0000}"/>
    <cellStyle name="60% - 강조색5 32 14" xfId="13142" xr:uid="{00000000-0005-0000-0000-0000C42B0000}"/>
    <cellStyle name="60% - 강조색5 32 15" xfId="13137" xr:uid="{00000000-0005-0000-0000-0000C52B0000}"/>
    <cellStyle name="60% - 강조색5 32 2" xfId="1454" xr:uid="{00000000-0005-0000-0000-0000C62B0000}"/>
    <cellStyle name="60% - 강조색5 32 2 2" xfId="13143" xr:uid="{00000000-0005-0000-0000-0000C72B0000}"/>
    <cellStyle name="60% - 강조색5 32 3" xfId="13144" xr:uid="{00000000-0005-0000-0000-0000C82B0000}"/>
    <cellStyle name="60% - 강조색5 32 4" xfId="13145" xr:uid="{00000000-0005-0000-0000-0000C92B0000}"/>
    <cellStyle name="60% - 강조색5 32 5" xfId="13146" xr:uid="{00000000-0005-0000-0000-0000CA2B0000}"/>
    <cellStyle name="60% - 강조색5 32 6" xfId="13147" xr:uid="{00000000-0005-0000-0000-0000CB2B0000}"/>
    <cellStyle name="60% - 강조색5 32 7" xfId="13148" xr:uid="{00000000-0005-0000-0000-0000CC2B0000}"/>
    <cellStyle name="60% - 강조색5 32 8" xfId="13149" xr:uid="{00000000-0005-0000-0000-0000CD2B0000}"/>
    <cellStyle name="60% - 강조색5 32 9" xfId="13150" xr:uid="{00000000-0005-0000-0000-0000CE2B0000}"/>
    <cellStyle name="60% - 강조색5 33" xfId="1455" xr:uid="{00000000-0005-0000-0000-0000CF2B0000}"/>
    <cellStyle name="60% - 강조색5 33 10" xfId="13152" xr:uid="{00000000-0005-0000-0000-0000D02B0000}"/>
    <cellStyle name="60% - 강조색5 33 11" xfId="13153" xr:uid="{00000000-0005-0000-0000-0000D12B0000}"/>
    <cellStyle name="60% - 강조색5 33 12" xfId="13154" xr:uid="{00000000-0005-0000-0000-0000D22B0000}"/>
    <cellStyle name="60% - 강조색5 33 13" xfId="13155" xr:uid="{00000000-0005-0000-0000-0000D32B0000}"/>
    <cellStyle name="60% - 강조색5 33 14" xfId="13156" xr:uid="{00000000-0005-0000-0000-0000D42B0000}"/>
    <cellStyle name="60% - 강조색5 33 15" xfId="13151" xr:uid="{00000000-0005-0000-0000-0000D52B0000}"/>
    <cellStyle name="60% - 강조색5 33 2" xfId="1456" xr:uid="{00000000-0005-0000-0000-0000D62B0000}"/>
    <cellStyle name="60% - 강조색5 33 2 2" xfId="13157" xr:uid="{00000000-0005-0000-0000-0000D72B0000}"/>
    <cellStyle name="60% - 강조색5 33 3" xfId="13158" xr:uid="{00000000-0005-0000-0000-0000D82B0000}"/>
    <cellStyle name="60% - 강조색5 33 4" xfId="13159" xr:uid="{00000000-0005-0000-0000-0000D92B0000}"/>
    <cellStyle name="60% - 강조색5 33 5" xfId="13160" xr:uid="{00000000-0005-0000-0000-0000DA2B0000}"/>
    <cellStyle name="60% - 강조색5 33 6" xfId="13161" xr:uid="{00000000-0005-0000-0000-0000DB2B0000}"/>
    <cellStyle name="60% - 강조색5 33 7" xfId="13162" xr:uid="{00000000-0005-0000-0000-0000DC2B0000}"/>
    <cellStyle name="60% - 강조색5 33 8" xfId="13163" xr:uid="{00000000-0005-0000-0000-0000DD2B0000}"/>
    <cellStyle name="60% - 강조색5 33 9" xfId="13164" xr:uid="{00000000-0005-0000-0000-0000DE2B0000}"/>
    <cellStyle name="60% - 강조색5 34" xfId="1457" xr:uid="{00000000-0005-0000-0000-0000DF2B0000}"/>
    <cellStyle name="60% - 강조색5 34 10" xfId="13166" xr:uid="{00000000-0005-0000-0000-0000E02B0000}"/>
    <cellStyle name="60% - 강조색5 34 11" xfId="13167" xr:uid="{00000000-0005-0000-0000-0000E12B0000}"/>
    <cellStyle name="60% - 강조색5 34 12" xfId="13168" xr:uid="{00000000-0005-0000-0000-0000E22B0000}"/>
    <cellStyle name="60% - 강조색5 34 13" xfId="13169" xr:uid="{00000000-0005-0000-0000-0000E32B0000}"/>
    <cellStyle name="60% - 강조색5 34 14" xfId="13170" xr:uid="{00000000-0005-0000-0000-0000E42B0000}"/>
    <cellStyle name="60% - 강조색5 34 15" xfId="13165" xr:uid="{00000000-0005-0000-0000-0000E52B0000}"/>
    <cellStyle name="60% - 강조색5 34 2" xfId="1458" xr:uid="{00000000-0005-0000-0000-0000E62B0000}"/>
    <cellStyle name="60% - 강조색5 34 2 2" xfId="13171" xr:uid="{00000000-0005-0000-0000-0000E72B0000}"/>
    <cellStyle name="60% - 강조색5 34 3" xfId="13172" xr:uid="{00000000-0005-0000-0000-0000E82B0000}"/>
    <cellStyle name="60% - 강조색5 34 4" xfId="13173" xr:uid="{00000000-0005-0000-0000-0000E92B0000}"/>
    <cellStyle name="60% - 강조색5 34 5" xfId="13174" xr:uid="{00000000-0005-0000-0000-0000EA2B0000}"/>
    <cellStyle name="60% - 강조색5 34 6" xfId="13175" xr:uid="{00000000-0005-0000-0000-0000EB2B0000}"/>
    <cellStyle name="60% - 강조색5 34 7" xfId="13176" xr:uid="{00000000-0005-0000-0000-0000EC2B0000}"/>
    <cellStyle name="60% - 강조색5 34 8" xfId="13177" xr:uid="{00000000-0005-0000-0000-0000ED2B0000}"/>
    <cellStyle name="60% - 강조색5 34 9" xfId="13178" xr:uid="{00000000-0005-0000-0000-0000EE2B0000}"/>
    <cellStyle name="60% - 강조색5 35" xfId="1459" xr:uid="{00000000-0005-0000-0000-0000EF2B0000}"/>
    <cellStyle name="60% - 강조색5 35 10" xfId="13180" xr:uid="{00000000-0005-0000-0000-0000F02B0000}"/>
    <cellStyle name="60% - 강조색5 35 11" xfId="13181" xr:uid="{00000000-0005-0000-0000-0000F12B0000}"/>
    <cellStyle name="60% - 강조색5 35 12" xfId="13182" xr:uid="{00000000-0005-0000-0000-0000F22B0000}"/>
    <cellStyle name="60% - 강조색5 35 13" xfId="13183" xr:uid="{00000000-0005-0000-0000-0000F32B0000}"/>
    <cellStyle name="60% - 강조색5 35 14" xfId="13184" xr:uid="{00000000-0005-0000-0000-0000F42B0000}"/>
    <cellStyle name="60% - 강조색5 35 15" xfId="13179" xr:uid="{00000000-0005-0000-0000-0000F52B0000}"/>
    <cellStyle name="60% - 강조색5 35 2" xfId="1460" xr:uid="{00000000-0005-0000-0000-0000F62B0000}"/>
    <cellStyle name="60% - 강조색5 35 2 2" xfId="13185" xr:uid="{00000000-0005-0000-0000-0000F72B0000}"/>
    <cellStyle name="60% - 강조색5 35 3" xfId="13186" xr:uid="{00000000-0005-0000-0000-0000F82B0000}"/>
    <cellStyle name="60% - 강조색5 35 4" xfId="13187" xr:uid="{00000000-0005-0000-0000-0000F92B0000}"/>
    <cellStyle name="60% - 강조색5 35 5" xfId="13188" xr:uid="{00000000-0005-0000-0000-0000FA2B0000}"/>
    <cellStyle name="60% - 강조색5 35 6" xfId="13189" xr:uid="{00000000-0005-0000-0000-0000FB2B0000}"/>
    <cellStyle name="60% - 강조색5 35 7" xfId="13190" xr:uid="{00000000-0005-0000-0000-0000FC2B0000}"/>
    <cellStyle name="60% - 강조색5 35 8" xfId="13191" xr:uid="{00000000-0005-0000-0000-0000FD2B0000}"/>
    <cellStyle name="60% - 강조색5 35 9" xfId="13192" xr:uid="{00000000-0005-0000-0000-0000FE2B0000}"/>
    <cellStyle name="60% - 강조색5 36" xfId="1461" xr:uid="{00000000-0005-0000-0000-0000FF2B0000}"/>
    <cellStyle name="60% - 강조색5 36 10" xfId="13194" xr:uid="{00000000-0005-0000-0000-0000002C0000}"/>
    <cellStyle name="60% - 강조색5 36 11" xfId="13195" xr:uid="{00000000-0005-0000-0000-0000012C0000}"/>
    <cellStyle name="60% - 강조색5 36 12" xfId="13196" xr:uid="{00000000-0005-0000-0000-0000022C0000}"/>
    <cellStyle name="60% - 강조색5 36 13" xfId="13197" xr:uid="{00000000-0005-0000-0000-0000032C0000}"/>
    <cellStyle name="60% - 강조색5 36 14" xfId="13198" xr:uid="{00000000-0005-0000-0000-0000042C0000}"/>
    <cellStyle name="60% - 강조색5 36 15" xfId="13193" xr:uid="{00000000-0005-0000-0000-0000052C0000}"/>
    <cellStyle name="60% - 강조색5 36 2" xfId="1462" xr:uid="{00000000-0005-0000-0000-0000062C0000}"/>
    <cellStyle name="60% - 강조색5 36 2 2" xfId="13199" xr:uid="{00000000-0005-0000-0000-0000072C0000}"/>
    <cellStyle name="60% - 강조색5 36 3" xfId="13200" xr:uid="{00000000-0005-0000-0000-0000082C0000}"/>
    <cellStyle name="60% - 강조색5 36 4" xfId="13201" xr:uid="{00000000-0005-0000-0000-0000092C0000}"/>
    <cellStyle name="60% - 강조색5 36 5" xfId="13202" xr:uid="{00000000-0005-0000-0000-00000A2C0000}"/>
    <cellStyle name="60% - 강조색5 36 6" xfId="13203" xr:uid="{00000000-0005-0000-0000-00000B2C0000}"/>
    <cellStyle name="60% - 강조색5 36 7" xfId="13204" xr:uid="{00000000-0005-0000-0000-00000C2C0000}"/>
    <cellStyle name="60% - 강조색5 36 8" xfId="13205" xr:uid="{00000000-0005-0000-0000-00000D2C0000}"/>
    <cellStyle name="60% - 강조색5 36 9" xfId="13206" xr:uid="{00000000-0005-0000-0000-00000E2C0000}"/>
    <cellStyle name="60% - 강조색5 37" xfId="1463" xr:uid="{00000000-0005-0000-0000-00000F2C0000}"/>
    <cellStyle name="60% - 강조색5 37 10" xfId="13208" xr:uid="{00000000-0005-0000-0000-0000102C0000}"/>
    <cellStyle name="60% - 강조색5 37 11" xfId="13209" xr:uid="{00000000-0005-0000-0000-0000112C0000}"/>
    <cellStyle name="60% - 강조색5 37 12" xfId="13210" xr:uid="{00000000-0005-0000-0000-0000122C0000}"/>
    <cellStyle name="60% - 강조색5 37 13" xfId="13211" xr:uid="{00000000-0005-0000-0000-0000132C0000}"/>
    <cellStyle name="60% - 강조색5 37 14" xfId="13212" xr:uid="{00000000-0005-0000-0000-0000142C0000}"/>
    <cellStyle name="60% - 강조색5 37 15" xfId="13207" xr:uid="{00000000-0005-0000-0000-0000152C0000}"/>
    <cellStyle name="60% - 강조색5 37 2" xfId="1464" xr:uid="{00000000-0005-0000-0000-0000162C0000}"/>
    <cellStyle name="60% - 강조색5 37 2 2" xfId="13213" xr:uid="{00000000-0005-0000-0000-0000172C0000}"/>
    <cellStyle name="60% - 강조색5 37 3" xfId="13214" xr:uid="{00000000-0005-0000-0000-0000182C0000}"/>
    <cellStyle name="60% - 강조색5 37 4" xfId="13215" xr:uid="{00000000-0005-0000-0000-0000192C0000}"/>
    <cellStyle name="60% - 강조색5 37 5" xfId="13216" xr:uid="{00000000-0005-0000-0000-00001A2C0000}"/>
    <cellStyle name="60% - 강조색5 37 6" xfId="13217" xr:uid="{00000000-0005-0000-0000-00001B2C0000}"/>
    <cellStyle name="60% - 강조색5 37 7" xfId="13218" xr:uid="{00000000-0005-0000-0000-00001C2C0000}"/>
    <cellStyle name="60% - 강조색5 37 8" xfId="13219" xr:uid="{00000000-0005-0000-0000-00001D2C0000}"/>
    <cellStyle name="60% - 강조색5 37 9" xfId="13220" xr:uid="{00000000-0005-0000-0000-00001E2C0000}"/>
    <cellStyle name="60% - 강조색5 38" xfId="1465" xr:uid="{00000000-0005-0000-0000-00001F2C0000}"/>
    <cellStyle name="60% - 강조색5 38 10" xfId="13222" xr:uid="{00000000-0005-0000-0000-0000202C0000}"/>
    <cellStyle name="60% - 강조색5 38 11" xfId="13223" xr:uid="{00000000-0005-0000-0000-0000212C0000}"/>
    <cellStyle name="60% - 강조색5 38 12" xfId="13224" xr:uid="{00000000-0005-0000-0000-0000222C0000}"/>
    <cellStyle name="60% - 강조색5 38 13" xfId="13225" xr:uid="{00000000-0005-0000-0000-0000232C0000}"/>
    <cellStyle name="60% - 강조색5 38 14" xfId="13226" xr:uid="{00000000-0005-0000-0000-0000242C0000}"/>
    <cellStyle name="60% - 강조색5 38 15" xfId="13221" xr:uid="{00000000-0005-0000-0000-0000252C0000}"/>
    <cellStyle name="60% - 강조색5 38 2" xfId="1466" xr:uid="{00000000-0005-0000-0000-0000262C0000}"/>
    <cellStyle name="60% - 강조색5 38 2 2" xfId="13227" xr:uid="{00000000-0005-0000-0000-0000272C0000}"/>
    <cellStyle name="60% - 강조색5 38 3" xfId="13228" xr:uid="{00000000-0005-0000-0000-0000282C0000}"/>
    <cellStyle name="60% - 강조색5 38 4" xfId="13229" xr:uid="{00000000-0005-0000-0000-0000292C0000}"/>
    <cellStyle name="60% - 강조색5 38 5" xfId="13230" xr:uid="{00000000-0005-0000-0000-00002A2C0000}"/>
    <cellStyle name="60% - 강조색5 38 6" xfId="13231" xr:uid="{00000000-0005-0000-0000-00002B2C0000}"/>
    <cellStyle name="60% - 강조색5 38 7" xfId="13232" xr:uid="{00000000-0005-0000-0000-00002C2C0000}"/>
    <cellStyle name="60% - 강조색5 38 8" xfId="13233" xr:uid="{00000000-0005-0000-0000-00002D2C0000}"/>
    <cellStyle name="60% - 강조색5 38 9" xfId="13234" xr:uid="{00000000-0005-0000-0000-00002E2C0000}"/>
    <cellStyle name="60% - 강조색5 39" xfId="1467" xr:uid="{00000000-0005-0000-0000-00002F2C0000}"/>
    <cellStyle name="60% - 강조색5 39 10" xfId="13236" xr:uid="{00000000-0005-0000-0000-0000302C0000}"/>
    <cellStyle name="60% - 강조색5 39 11" xfId="13237" xr:uid="{00000000-0005-0000-0000-0000312C0000}"/>
    <cellStyle name="60% - 강조색5 39 12" xfId="13238" xr:uid="{00000000-0005-0000-0000-0000322C0000}"/>
    <cellStyle name="60% - 강조색5 39 13" xfId="13239" xr:uid="{00000000-0005-0000-0000-0000332C0000}"/>
    <cellStyle name="60% - 강조색5 39 14" xfId="13240" xr:uid="{00000000-0005-0000-0000-0000342C0000}"/>
    <cellStyle name="60% - 강조색5 39 15" xfId="13235" xr:uid="{00000000-0005-0000-0000-0000352C0000}"/>
    <cellStyle name="60% - 강조색5 39 2" xfId="1468" xr:uid="{00000000-0005-0000-0000-0000362C0000}"/>
    <cellStyle name="60% - 강조색5 39 2 2" xfId="13241" xr:uid="{00000000-0005-0000-0000-0000372C0000}"/>
    <cellStyle name="60% - 강조색5 39 3" xfId="13242" xr:uid="{00000000-0005-0000-0000-0000382C0000}"/>
    <cellStyle name="60% - 강조색5 39 4" xfId="13243" xr:uid="{00000000-0005-0000-0000-0000392C0000}"/>
    <cellStyle name="60% - 강조색5 39 5" xfId="13244" xr:uid="{00000000-0005-0000-0000-00003A2C0000}"/>
    <cellStyle name="60% - 강조색5 39 6" xfId="13245" xr:uid="{00000000-0005-0000-0000-00003B2C0000}"/>
    <cellStyle name="60% - 강조색5 39 7" xfId="13246" xr:uid="{00000000-0005-0000-0000-00003C2C0000}"/>
    <cellStyle name="60% - 강조색5 39 8" xfId="13247" xr:uid="{00000000-0005-0000-0000-00003D2C0000}"/>
    <cellStyle name="60% - 강조색5 39 9" xfId="13248" xr:uid="{00000000-0005-0000-0000-00003E2C0000}"/>
    <cellStyle name="60% - 강조색5 4" xfId="1469" xr:uid="{00000000-0005-0000-0000-00003F2C0000}"/>
    <cellStyle name="60% - 강조색5 4 10" xfId="13250" xr:uid="{00000000-0005-0000-0000-0000402C0000}"/>
    <cellStyle name="60% - 강조색5 4 11" xfId="13251" xr:uid="{00000000-0005-0000-0000-0000412C0000}"/>
    <cellStyle name="60% - 강조색5 4 12" xfId="13252" xr:uid="{00000000-0005-0000-0000-0000422C0000}"/>
    <cellStyle name="60% - 강조색5 4 13" xfId="13253" xr:uid="{00000000-0005-0000-0000-0000432C0000}"/>
    <cellStyle name="60% - 강조색5 4 14" xfId="13254" xr:uid="{00000000-0005-0000-0000-0000442C0000}"/>
    <cellStyle name="60% - 강조색5 4 15" xfId="13249" xr:uid="{00000000-0005-0000-0000-0000452C0000}"/>
    <cellStyle name="60% - 강조색5 4 16" xfId="27867" xr:uid="{00000000-0005-0000-0000-0000462C0000}"/>
    <cellStyle name="60% - 강조색5 4 2" xfId="1470" xr:uid="{00000000-0005-0000-0000-0000472C0000}"/>
    <cellStyle name="60% - 강조색5 4 2 2" xfId="13255" xr:uid="{00000000-0005-0000-0000-0000482C0000}"/>
    <cellStyle name="60% - 강조색5 4 3" xfId="13256" xr:uid="{00000000-0005-0000-0000-0000492C0000}"/>
    <cellStyle name="60% - 강조색5 4 4" xfId="13257" xr:uid="{00000000-0005-0000-0000-00004A2C0000}"/>
    <cellStyle name="60% - 강조색5 4 5" xfId="13258" xr:uid="{00000000-0005-0000-0000-00004B2C0000}"/>
    <cellStyle name="60% - 강조색5 4 6" xfId="13259" xr:uid="{00000000-0005-0000-0000-00004C2C0000}"/>
    <cellStyle name="60% - 강조색5 4 7" xfId="13260" xr:uid="{00000000-0005-0000-0000-00004D2C0000}"/>
    <cellStyle name="60% - 강조색5 4 8" xfId="13261" xr:uid="{00000000-0005-0000-0000-00004E2C0000}"/>
    <cellStyle name="60% - 강조색5 4 9" xfId="13262" xr:uid="{00000000-0005-0000-0000-00004F2C0000}"/>
    <cellStyle name="60% - 강조색5 40" xfId="1471" xr:uid="{00000000-0005-0000-0000-0000502C0000}"/>
    <cellStyle name="60% - 강조색5 40 10" xfId="13264" xr:uid="{00000000-0005-0000-0000-0000512C0000}"/>
    <cellStyle name="60% - 강조색5 40 11" xfId="13265" xr:uid="{00000000-0005-0000-0000-0000522C0000}"/>
    <cellStyle name="60% - 강조색5 40 12" xfId="13266" xr:uid="{00000000-0005-0000-0000-0000532C0000}"/>
    <cellStyle name="60% - 강조색5 40 13" xfId="13267" xr:uid="{00000000-0005-0000-0000-0000542C0000}"/>
    <cellStyle name="60% - 강조색5 40 14" xfId="13268" xr:uid="{00000000-0005-0000-0000-0000552C0000}"/>
    <cellStyle name="60% - 강조색5 40 15" xfId="13263" xr:uid="{00000000-0005-0000-0000-0000562C0000}"/>
    <cellStyle name="60% - 강조색5 40 2" xfId="1472" xr:uid="{00000000-0005-0000-0000-0000572C0000}"/>
    <cellStyle name="60% - 강조색5 40 2 2" xfId="13269" xr:uid="{00000000-0005-0000-0000-0000582C0000}"/>
    <cellStyle name="60% - 강조색5 40 3" xfId="13270" xr:uid="{00000000-0005-0000-0000-0000592C0000}"/>
    <cellStyle name="60% - 강조색5 40 4" xfId="13271" xr:uid="{00000000-0005-0000-0000-00005A2C0000}"/>
    <cellStyle name="60% - 강조색5 40 5" xfId="13272" xr:uid="{00000000-0005-0000-0000-00005B2C0000}"/>
    <cellStyle name="60% - 강조색5 40 6" xfId="13273" xr:uid="{00000000-0005-0000-0000-00005C2C0000}"/>
    <cellStyle name="60% - 강조색5 40 7" xfId="13274" xr:uid="{00000000-0005-0000-0000-00005D2C0000}"/>
    <cellStyle name="60% - 강조색5 40 8" xfId="13275" xr:uid="{00000000-0005-0000-0000-00005E2C0000}"/>
    <cellStyle name="60% - 강조색5 40 9" xfId="13276" xr:uid="{00000000-0005-0000-0000-00005F2C0000}"/>
    <cellStyle name="60% - 강조색5 41" xfId="1473" xr:uid="{00000000-0005-0000-0000-0000602C0000}"/>
    <cellStyle name="60% - 강조색5 41 10" xfId="13278" xr:uid="{00000000-0005-0000-0000-0000612C0000}"/>
    <cellStyle name="60% - 강조색5 41 11" xfId="13279" xr:uid="{00000000-0005-0000-0000-0000622C0000}"/>
    <cellStyle name="60% - 강조색5 41 12" xfId="13280" xr:uid="{00000000-0005-0000-0000-0000632C0000}"/>
    <cellStyle name="60% - 강조색5 41 13" xfId="13281" xr:uid="{00000000-0005-0000-0000-0000642C0000}"/>
    <cellStyle name="60% - 강조색5 41 14" xfId="13282" xr:uid="{00000000-0005-0000-0000-0000652C0000}"/>
    <cellStyle name="60% - 강조색5 41 15" xfId="13277" xr:uid="{00000000-0005-0000-0000-0000662C0000}"/>
    <cellStyle name="60% - 강조색5 41 2" xfId="1474" xr:uid="{00000000-0005-0000-0000-0000672C0000}"/>
    <cellStyle name="60% - 강조색5 41 2 2" xfId="13283" xr:uid="{00000000-0005-0000-0000-0000682C0000}"/>
    <cellStyle name="60% - 강조색5 41 3" xfId="13284" xr:uid="{00000000-0005-0000-0000-0000692C0000}"/>
    <cellStyle name="60% - 강조색5 41 4" xfId="13285" xr:uid="{00000000-0005-0000-0000-00006A2C0000}"/>
    <cellStyle name="60% - 강조색5 41 5" xfId="13286" xr:uid="{00000000-0005-0000-0000-00006B2C0000}"/>
    <cellStyle name="60% - 강조색5 41 6" xfId="13287" xr:uid="{00000000-0005-0000-0000-00006C2C0000}"/>
    <cellStyle name="60% - 강조색5 41 7" xfId="13288" xr:uid="{00000000-0005-0000-0000-00006D2C0000}"/>
    <cellStyle name="60% - 강조색5 41 8" xfId="13289" xr:uid="{00000000-0005-0000-0000-00006E2C0000}"/>
    <cellStyle name="60% - 강조색5 41 9" xfId="13290" xr:uid="{00000000-0005-0000-0000-00006F2C0000}"/>
    <cellStyle name="60% - 강조색5 42" xfId="1475" xr:uid="{00000000-0005-0000-0000-0000702C0000}"/>
    <cellStyle name="60% - 강조색5 42 10" xfId="13292" xr:uid="{00000000-0005-0000-0000-0000712C0000}"/>
    <cellStyle name="60% - 강조색5 42 11" xfId="13293" xr:uid="{00000000-0005-0000-0000-0000722C0000}"/>
    <cellStyle name="60% - 강조색5 42 12" xfId="13294" xr:uid="{00000000-0005-0000-0000-0000732C0000}"/>
    <cellStyle name="60% - 강조색5 42 13" xfId="13295" xr:uid="{00000000-0005-0000-0000-0000742C0000}"/>
    <cellStyle name="60% - 강조색5 42 14" xfId="13296" xr:uid="{00000000-0005-0000-0000-0000752C0000}"/>
    <cellStyle name="60% - 강조색5 42 15" xfId="13291" xr:uid="{00000000-0005-0000-0000-0000762C0000}"/>
    <cellStyle name="60% - 강조색5 42 2" xfId="1476" xr:uid="{00000000-0005-0000-0000-0000772C0000}"/>
    <cellStyle name="60% - 강조색5 42 2 2" xfId="13297" xr:uid="{00000000-0005-0000-0000-0000782C0000}"/>
    <cellStyle name="60% - 강조색5 42 3" xfId="13298" xr:uid="{00000000-0005-0000-0000-0000792C0000}"/>
    <cellStyle name="60% - 강조색5 42 4" xfId="13299" xr:uid="{00000000-0005-0000-0000-00007A2C0000}"/>
    <cellStyle name="60% - 강조색5 42 5" xfId="13300" xr:uid="{00000000-0005-0000-0000-00007B2C0000}"/>
    <cellStyle name="60% - 강조색5 42 6" xfId="13301" xr:uid="{00000000-0005-0000-0000-00007C2C0000}"/>
    <cellStyle name="60% - 강조색5 42 7" xfId="13302" xr:uid="{00000000-0005-0000-0000-00007D2C0000}"/>
    <cellStyle name="60% - 강조색5 42 8" xfId="13303" xr:uid="{00000000-0005-0000-0000-00007E2C0000}"/>
    <cellStyle name="60% - 강조색5 42 9" xfId="13304" xr:uid="{00000000-0005-0000-0000-00007F2C0000}"/>
    <cellStyle name="60% - 강조색5 43" xfId="1477" xr:uid="{00000000-0005-0000-0000-0000802C0000}"/>
    <cellStyle name="60% - 강조색5 43 10" xfId="13306" xr:uid="{00000000-0005-0000-0000-0000812C0000}"/>
    <cellStyle name="60% - 강조색5 43 11" xfId="13307" xr:uid="{00000000-0005-0000-0000-0000822C0000}"/>
    <cellStyle name="60% - 강조색5 43 12" xfId="13308" xr:uid="{00000000-0005-0000-0000-0000832C0000}"/>
    <cellStyle name="60% - 강조색5 43 13" xfId="13309" xr:uid="{00000000-0005-0000-0000-0000842C0000}"/>
    <cellStyle name="60% - 강조색5 43 14" xfId="13310" xr:uid="{00000000-0005-0000-0000-0000852C0000}"/>
    <cellStyle name="60% - 강조색5 43 15" xfId="13305" xr:uid="{00000000-0005-0000-0000-0000862C0000}"/>
    <cellStyle name="60% - 강조색5 43 2" xfId="1478" xr:uid="{00000000-0005-0000-0000-0000872C0000}"/>
    <cellStyle name="60% - 강조색5 43 2 2" xfId="13311" xr:uid="{00000000-0005-0000-0000-0000882C0000}"/>
    <cellStyle name="60% - 강조색5 43 3" xfId="13312" xr:uid="{00000000-0005-0000-0000-0000892C0000}"/>
    <cellStyle name="60% - 강조색5 43 4" xfId="13313" xr:uid="{00000000-0005-0000-0000-00008A2C0000}"/>
    <cellStyle name="60% - 강조색5 43 5" xfId="13314" xr:uid="{00000000-0005-0000-0000-00008B2C0000}"/>
    <cellStyle name="60% - 강조색5 43 6" xfId="13315" xr:uid="{00000000-0005-0000-0000-00008C2C0000}"/>
    <cellStyle name="60% - 강조색5 43 7" xfId="13316" xr:uid="{00000000-0005-0000-0000-00008D2C0000}"/>
    <cellStyle name="60% - 강조색5 43 8" xfId="13317" xr:uid="{00000000-0005-0000-0000-00008E2C0000}"/>
    <cellStyle name="60% - 강조색5 43 9" xfId="13318" xr:uid="{00000000-0005-0000-0000-00008F2C0000}"/>
    <cellStyle name="60% - 강조색5 44" xfId="1479" xr:uid="{00000000-0005-0000-0000-0000902C0000}"/>
    <cellStyle name="60% - 강조색5 44 2" xfId="13319" xr:uid="{00000000-0005-0000-0000-0000912C0000}"/>
    <cellStyle name="60% - 강조색5 45" xfId="1480" xr:uid="{00000000-0005-0000-0000-0000922C0000}"/>
    <cellStyle name="60% - 강조색5 45 2" xfId="13320" xr:uid="{00000000-0005-0000-0000-0000932C0000}"/>
    <cellStyle name="60% - 강조색5 46" xfId="1404" xr:uid="{00000000-0005-0000-0000-0000942C0000}"/>
    <cellStyle name="60% - 강조색5 47" xfId="12800" xr:uid="{00000000-0005-0000-0000-0000952C0000}"/>
    <cellStyle name="60% - 강조색5 5" xfId="1481" xr:uid="{00000000-0005-0000-0000-0000962C0000}"/>
    <cellStyle name="60% - 강조색5 5 10" xfId="13322" xr:uid="{00000000-0005-0000-0000-0000972C0000}"/>
    <cellStyle name="60% - 강조색5 5 11" xfId="13323" xr:uid="{00000000-0005-0000-0000-0000982C0000}"/>
    <cellStyle name="60% - 강조색5 5 12" xfId="13324" xr:uid="{00000000-0005-0000-0000-0000992C0000}"/>
    <cellStyle name="60% - 강조색5 5 13" xfId="13325" xr:uid="{00000000-0005-0000-0000-00009A2C0000}"/>
    <cellStyle name="60% - 강조색5 5 14" xfId="13326" xr:uid="{00000000-0005-0000-0000-00009B2C0000}"/>
    <cellStyle name="60% - 강조색5 5 15" xfId="13321" xr:uid="{00000000-0005-0000-0000-00009C2C0000}"/>
    <cellStyle name="60% - 강조색5 5 2" xfId="1482" xr:uid="{00000000-0005-0000-0000-00009D2C0000}"/>
    <cellStyle name="60% - 강조색5 5 2 2" xfId="13327" xr:uid="{00000000-0005-0000-0000-00009E2C0000}"/>
    <cellStyle name="60% - 강조색5 5 3" xfId="13328" xr:uid="{00000000-0005-0000-0000-00009F2C0000}"/>
    <cellStyle name="60% - 강조색5 5 4" xfId="13329" xr:uid="{00000000-0005-0000-0000-0000A02C0000}"/>
    <cellStyle name="60% - 강조색5 5 5" xfId="13330" xr:uid="{00000000-0005-0000-0000-0000A12C0000}"/>
    <cellStyle name="60% - 강조색5 5 6" xfId="13331" xr:uid="{00000000-0005-0000-0000-0000A22C0000}"/>
    <cellStyle name="60% - 강조색5 5 7" xfId="13332" xr:uid="{00000000-0005-0000-0000-0000A32C0000}"/>
    <cellStyle name="60% - 강조색5 5 8" xfId="13333" xr:uid="{00000000-0005-0000-0000-0000A42C0000}"/>
    <cellStyle name="60% - 강조색5 5 9" xfId="13334" xr:uid="{00000000-0005-0000-0000-0000A52C0000}"/>
    <cellStyle name="60% - 강조색5 6" xfId="1483" xr:uid="{00000000-0005-0000-0000-0000A62C0000}"/>
    <cellStyle name="60% - 강조색5 6 10" xfId="13336" xr:uid="{00000000-0005-0000-0000-0000A72C0000}"/>
    <cellStyle name="60% - 강조색5 6 11" xfId="13337" xr:uid="{00000000-0005-0000-0000-0000A82C0000}"/>
    <cellStyle name="60% - 강조색5 6 12" xfId="13338" xr:uid="{00000000-0005-0000-0000-0000A92C0000}"/>
    <cellStyle name="60% - 강조색5 6 13" xfId="13339" xr:uid="{00000000-0005-0000-0000-0000AA2C0000}"/>
    <cellStyle name="60% - 강조색5 6 14" xfId="13340" xr:uid="{00000000-0005-0000-0000-0000AB2C0000}"/>
    <cellStyle name="60% - 강조색5 6 15" xfId="13335" xr:uid="{00000000-0005-0000-0000-0000AC2C0000}"/>
    <cellStyle name="60% - 강조색5 6 2" xfId="1484" xr:uid="{00000000-0005-0000-0000-0000AD2C0000}"/>
    <cellStyle name="60% - 강조색5 6 2 2" xfId="13341" xr:uid="{00000000-0005-0000-0000-0000AE2C0000}"/>
    <cellStyle name="60% - 강조색5 6 3" xfId="13342" xr:uid="{00000000-0005-0000-0000-0000AF2C0000}"/>
    <cellStyle name="60% - 강조색5 6 4" xfId="13343" xr:uid="{00000000-0005-0000-0000-0000B02C0000}"/>
    <cellStyle name="60% - 강조색5 6 5" xfId="13344" xr:uid="{00000000-0005-0000-0000-0000B12C0000}"/>
    <cellStyle name="60% - 강조색5 6 6" xfId="13345" xr:uid="{00000000-0005-0000-0000-0000B22C0000}"/>
    <cellStyle name="60% - 강조색5 6 7" xfId="13346" xr:uid="{00000000-0005-0000-0000-0000B32C0000}"/>
    <cellStyle name="60% - 강조색5 6 8" xfId="13347" xr:uid="{00000000-0005-0000-0000-0000B42C0000}"/>
    <cellStyle name="60% - 강조색5 6 9" xfId="13348" xr:uid="{00000000-0005-0000-0000-0000B52C0000}"/>
    <cellStyle name="60% - 강조색5 7" xfId="1485" xr:uid="{00000000-0005-0000-0000-0000B62C0000}"/>
    <cellStyle name="60% - 강조색5 7 10" xfId="13350" xr:uid="{00000000-0005-0000-0000-0000B72C0000}"/>
    <cellStyle name="60% - 강조색5 7 11" xfId="13351" xr:uid="{00000000-0005-0000-0000-0000B82C0000}"/>
    <cellStyle name="60% - 강조색5 7 12" xfId="13352" xr:uid="{00000000-0005-0000-0000-0000B92C0000}"/>
    <cellStyle name="60% - 강조색5 7 13" xfId="13353" xr:uid="{00000000-0005-0000-0000-0000BA2C0000}"/>
    <cellStyle name="60% - 강조색5 7 14" xfId="13354" xr:uid="{00000000-0005-0000-0000-0000BB2C0000}"/>
    <cellStyle name="60% - 강조색5 7 15" xfId="13349" xr:uid="{00000000-0005-0000-0000-0000BC2C0000}"/>
    <cellStyle name="60% - 강조색5 7 2" xfId="1486" xr:uid="{00000000-0005-0000-0000-0000BD2C0000}"/>
    <cellStyle name="60% - 강조색5 7 2 2" xfId="13355" xr:uid="{00000000-0005-0000-0000-0000BE2C0000}"/>
    <cellStyle name="60% - 강조색5 7 3" xfId="13356" xr:uid="{00000000-0005-0000-0000-0000BF2C0000}"/>
    <cellStyle name="60% - 강조색5 7 4" xfId="13357" xr:uid="{00000000-0005-0000-0000-0000C02C0000}"/>
    <cellStyle name="60% - 강조색5 7 5" xfId="13358" xr:uid="{00000000-0005-0000-0000-0000C12C0000}"/>
    <cellStyle name="60% - 강조색5 7 6" xfId="13359" xr:uid="{00000000-0005-0000-0000-0000C22C0000}"/>
    <cellStyle name="60% - 강조색5 7 7" xfId="13360" xr:uid="{00000000-0005-0000-0000-0000C32C0000}"/>
    <cellStyle name="60% - 강조색5 7 8" xfId="13361" xr:uid="{00000000-0005-0000-0000-0000C42C0000}"/>
    <cellStyle name="60% - 강조색5 7 9" xfId="13362" xr:uid="{00000000-0005-0000-0000-0000C52C0000}"/>
    <cellStyle name="60% - 강조색5 8" xfId="1487" xr:uid="{00000000-0005-0000-0000-0000C62C0000}"/>
    <cellStyle name="60% - 강조색5 8 10" xfId="13364" xr:uid="{00000000-0005-0000-0000-0000C72C0000}"/>
    <cellStyle name="60% - 강조색5 8 11" xfId="13365" xr:uid="{00000000-0005-0000-0000-0000C82C0000}"/>
    <cellStyle name="60% - 강조색5 8 12" xfId="13366" xr:uid="{00000000-0005-0000-0000-0000C92C0000}"/>
    <cellStyle name="60% - 강조색5 8 13" xfId="13367" xr:uid="{00000000-0005-0000-0000-0000CA2C0000}"/>
    <cellStyle name="60% - 강조색5 8 14" xfId="13368" xr:uid="{00000000-0005-0000-0000-0000CB2C0000}"/>
    <cellStyle name="60% - 강조색5 8 15" xfId="13363" xr:uid="{00000000-0005-0000-0000-0000CC2C0000}"/>
    <cellStyle name="60% - 강조색5 8 2" xfId="1488" xr:uid="{00000000-0005-0000-0000-0000CD2C0000}"/>
    <cellStyle name="60% - 강조색5 8 2 2" xfId="13369" xr:uid="{00000000-0005-0000-0000-0000CE2C0000}"/>
    <cellStyle name="60% - 강조색5 8 3" xfId="13370" xr:uid="{00000000-0005-0000-0000-0000CF2C0000}"/>
    <cellStyle name="60% - 강조색5 8 4" xfId="13371" xr:uid="{00000000-0005-0000-0000-0000D02C0000}"/>
    <cellStyle name="60% - 강조색5 8 5" xfId="13372" xr:uid="{00000000-0005-0000-0000-0000D12C0000}"/>
    <cellStyle name="60% - 강조색5 8 6" xfId="13373" xr:uid="{00000000-0005-0000-0000-0000D22C0000}"/>
    <cellStyle name="60% - 강조색5 8 7" xfId="13374" xr:uid="{00000000-0005-0000-0000-0000D32C0000}"/>
    <cellStyle name="60% - 강조색5 8 8" xfId="13375" xr:uid="{00000000-0005-0000-0000-0000D42C0000}"/>
    <cellStyle name="60% - 강조색5 8 9" xfId="13376" xr:uid="{00000000-0005-0000-0000-0000D52C0000}"/>
    <cellStyle name="60% - 강조색5 9" xfId="1489" xr:uid="{00000000-0005-0000-0000-0000D62C0000}"/>
    <cellStyle name="60% - 강조색5 9 10" xfId="13378" xr:uid="{00000000-0005-0000-0000-0000D72C0000}"/>
    <cellStyle name="60% - 강조색5 9 11" xfId="13379" xr:uid="{00000000-0005-0000-0000-0000D82C0000}"/>
    <cellStyle name="60% - 강조색5 9 12" xfId="13380" xr:uid="{00000000-0005-0000-0000-0000D92C0000}"/>
    <cellStyle name="60% - 강조색5 9 13" xfId="13381" xr:uid="{00000000-0005-0000-0000-0000DA2C0000}"/>
    <cellStyle name="60% - 강조색5 9 14" xfId="13382" xr:uid="{00000000-0005-0000-0000-0000DB2C0000}"/>
    <cellStyle name="60% - 강조색5 9 15" xfId="13377" xr:uid="{00000000-0005-0000-0000-0000DC2C0000}"/>
    <cellStyle name="60% - 강조색5 9 2" xfId="1490" xr:uid="{00000000-0005-0000-0000-0000DD2C0000}"/>
    <cellStyle name="60% - 강조색5 9 2 2" xfId="13383" xr:uid="{00000000-0005-0000-0000-0000DE2C0000}"/>
    <cellStyle name="60% - 강조색5 9 3" xfId="13384" xr:uid="{00000000-0005-0000-0000-0000DF2C0000}"/>
    <cellStyle name="60% - 강조색5 9 4" xfId="13385" xr:uid="{00000000-0005-0000-0000-0000E02C0000}"/>
    <cellStyle name="60% - 강조색5 9 5" xfId="13386" xr:uid="{00000000-0005-0000-0000-0000E12C0000}"/>
    <cellStyle name="60% - 강조색5 9 6" xfId="13387" xr:uid="{00000000-0005-0000-0000-0000E22C0000}"/>
    <cellStyle name="60% - 강조색5 9 7" xfId="13388" xr:uid="{00000000-0005-0000-0000-0000E32C0000}"/>
    <cellStyle name="60% - 강조색5 9 8" xfId="13389" xr:uid="{00000000-0005-0000-0000-0000E42C0000}"/>
    <cellStyle name="60% - 강조색5 9 9" xfId="13390" xr:uid="{00000000-0005-0000-0000-0000E52C0000}"/>
    <cellStyle name="60% - 강조색6 10" xfId="1492" xr:uid="{00000000-0005-0000-0000-0000E62C0000}"/>
    <cellStyle name="60% - 강조색6 10 10" xfId="13393" xr:uid="{00000000-0005-0000-0000-0000E72C0000}"/>
    <cellStyle name="60% - 강조색6 10 11" xfId="13394" xr:uid="{00000000-0005-0000-0000-0000E82C0000}"/>
    <cellStyle name="60% - 강조색6 10 12" xfId="13395" xr:uid="{00000000-0005-0000-0000-0000E92C0000}"/>
    <cellStyle name="60% - 강조색6 10 13" xfId="13396" xr:uid="{00000000-0005-0000-0000-0000EA2C0000}"/>
    <cellStyle name="60% - 강조색6 10 14" xfId="13397" xr:uid="{00000000-0005-0000-0000-0000EB2C0000}"/>
    <cellStyle name="60% - 강조색6 10 15" xfId="13392" xr:uid="{00000000-0005-0000-0000-0000EC2C0000}"/>
    <cellStyle name="60% - 강조색6 10 16" xfId="27685" xr:uid="{00000000-0005-0000-0000-0000ED2C0000}"/>
    <cellStyle name="60% - 강조색6 10 2" xfId="1493" xr:uid="{00000000-0005-0000-0000-0000EE2C0000}"/>
    <cellStyle name="60% - 강조색6 10 2 2" xfId="13398" xr:uid="{00000000-0005-0000-0000-0000EF2C0000}"/>
    <cellStyle name="60% - 강조색6 10 3" xfId="13399" xr:uid="{00000000-0005-0000-0000-0000F02C0000}"/>
    <cellStyle name="60% - 강조색6 10 4" xfId="13400" xr:uid="{00000000-0005-0000-0000-0000F12C0000}"/>
    <cellStyle name="60% - 강조색6 10 5" xfId="13401" xr:uid="{00000000-0005-0000-0000-0000F22C0000}"/>
    <cellStyle name="60% - 강조색6 10 6" xfId="13402" xr:uid="{00000000-0005-0000-0000-0000F32C0000}"/>
    <cellStyle name="60% - 강조색6 10 7" xfId="13403" xr:uid="{00000000-0005-0000-0000-0000F42C0000}"/>
    <cellStyle name="60% - 강조색6 10 8" xfId="13404" xr:uid="{00000000-0005-0000-0000-0000F52C0000}"/>
    <cellStyle name="60% - 강조색6 10 9" xfId="13405" xr:uid="{00000000-0005-0000-0000-0000F62C0000}"/>
    <cellStyle name="60% - 강조색6 11" xfId="1494" xr:uid="{00000000-0005-0000-0000-0000F72C0000}"/>
    <cellStyle name="60% - 강조색6 11 10" xfId="13407" xr:uid="{00000000-0005-0000-0000-0000F82C0000}"/>
    <cellStyle name="60% - 강조색6 11 11" xfId="13408" xr:uid="{00000000-0005-0000-0000-0000F92C0000}"/>
    <cellStyle name="60% - 강조색6 11 12" xfId="13409" xr:uid="{00000000-0005-0000-0000-0000FA2C0000}"/>
    <cellStyle name="60% - 강조색6 11 13" xfId="13410" xr:uid="{00000000-0005-0000-0000-0000FB2C0000}"/>
    <cellStyle name="60% - 강조색6 11 14" xfId="13411" xr:uid="{00000000-0005-0000-0000-0000FC2C0000}"/>
    <cellStyle name="60% - 강조색6 11 15" xfId="13406" xr:uid="{00000000-0005-0000-0000-0000FD2C0000}"/>
    <cellStyle name="60% - 강조색6 11 16" xfId="27684" xr:uid="{00000000-0005-0000-0000-0000FE2C0000}"/>
    <cellStyle name="60% - 강조색6 11 2" xfId="1495" xr:uid="{00000000-0005-0000-0000-0000FF2C0000}"/>
    <cellStyle name="60% - 강조색6 11 2 2" xfId="13412" xr:uid="{00000000-0005-0000-0000-0000002D0000}"/>
    <cellStyle name="60% - 강조색6 11 3" xfId="13413" xr:uid="{00000000-0005-0000-0000-0000012D0000}"/>
    <cellStyle name="60% - 강조색6 11 4" xfId="13414" xr:uid="{00000000-0005-0000-0000-0000022D0000}"/>
    <cellStyle name="60% - 강조색6 11 5" xfId="13415" xr:uid="{00000000-0005-0000-0000-0000032D0000}"/>
    <cellStyle name="60% - 강조색6 11 6" xfId="13416" xr:uid="{00000000-0005-0000-0000-0000042D0000}"/>
    <cellStyle name="60% - 강조색6 11 7" xfId="13417" xr:uid="{00000000-0005-0000-0000-0000052D0000}"/>
    <cellStyle name="60% - 강조색6 11 8" xfId="13418" xr:uid="{00000000-0005-0000-0000-0000062D0000}"/>
    <cellStyle name="60% - 강조색6 11 9" xfId="13419" xr:uid="{00000000-0005-0000-0000-0000072D0000}"/>
    <cellStyle name="60% - 강조색6 12" xfId="1496" xr:uid="{00000000-0005-0000-0000-0000082D0000}"/>
    <cellStyle name="60% - 강조색6 12 10" xfId="13421" xr:uid="{00000000-0005-0000-0000-0000092D0000}"/>
    <cellStyle name="60% - 강조색6 12 11" xfId="13422" xr:uid="{00000000-0005-0000-0000-00000A2D0000}"/>
    <cellStyle name="60% - 강조색6 12 12" xfId="13423" xr:uid="{00000000-0005-0000-0000-00000B2D0000}"/>
    <cellStyle name="60% - 강조색6 12 13" xfId="13424" xr:uid="{00000000-0005-0000-0000-00000C2D0000}"/>
    <cellStyle name="60% - 강조색6 12 14" xfId="13425" xr:uid="{00000000-0005-0000-0000-00000D2D0000}"/>
    <cellStyle name="60% - 강조색6 12 15" xfId="13420" xr:uid="{00000000-0005-0000-0000-00000E2D0000}"/>
    <cellStyle name="60% - 강조색6 12 16" xfId="27683" xr:uid="{00000000-0005-0000-0000-00000F2D0000}"/>
    <cellStyle name="60% - 강조색6 12 2" xfId="1497" xr:uid="{00000000-0005-0000-0000-0000102D0000}"/>
    <cellStyle name="60% - 강조색6 12 2 2" xfId="13426" xr:uid="{00000000-0005-0000-0000-0000112D0000}"/>
    <cellStyle name="60% - 강조색6 12 3" xfId="13427" xr:uid="{00000000-0005-0000-0000-0000122D0000}"/>
    <cellStyle name="60% - 강조색6 12 4" xfId="13428" xr:uid="{00000000-0005-0000-0000-0000132D0000}"/>
    <cellStyle name="60% - 강조색6 12 5" xfId="13429" xr:uid="{00000000-0005-0000-0000-0000142D0000}"/>
    <cellStyle name="60% - 강조색6 12 6" xfId="13430" xr:uid="{00000000-0005-0000-0000-0000152D0000}"/>
    <cellStyle name="60% - 강조색6 12 7" xfId="13431" xr:uid="{00000000-0005-0000-0000-0000162D0000}"/>
    <cellStyle name="60% - 강조색6 12 8" xfId="13432" xr:uid="{00000000-0005-0000-0000-0000172D0000}"/>
    <cellStyle name="60% - 강조색6 12 9" xfId="13433" xr:uid="{00000000-0005-0000-0000-0000182D0000}"/>
    <cellStyle name="60% - 강조색6 13" xfId="1498" xr:uid="{00000000-0005-0000-0000-0000192D0000}"/>
    <cellStyle name="60% - 강조색6 13 10" xfId="13435" xr:uid="{00000000-0005-0000-0000-00001A2D0000}"/>
    <cellStyle name="60% - 강조색6 13 11" xfId="13436" xr:uid="{00000000-0005-0000-0000-00001B2D0000}"/>
    <cellStyle name="60% - 강조색6 13 12" xfId="13437" xr:uid="{00000000-0005-0000-0000-00001C2D0000}"/>
    <cellStyle name="60% - 강조색6 13 13" xfId="13438" xr:uid="{00000000-0005-0000-0000-00001D2D0000}"/>
    <cellStyle name="60% - 강조색6 13 14" xfId="13439" xr:uid="{00000000-0005-0000-0000-00001E2D0000}"/>
    <cellStyle name="60% - 강조색6 13 15" xfId="13434" xr:uid="{00000000-0005-0000-0000-00001F2D0000}"/>
    <cellStyle name="60% - 강조색6 13 16" xfId="27682" xr:uid="{00000000-0005-0000-0000-0000202D0000}"/>
    <cellStyle name="60% - 강조색6 13 2" xfId="1499" xr:uid="{00000000-0005-0000-0000-0000212D0000}"/>
    <cellStyle name="60% - 강조색6 13 2 2" xfId="13440" xr:uid="{00000000-0005-0000-0000-0000222D0000}"/>
    <cellStyle name="60% - 강조색6 13 3" xfId="13441" xr:uid="{00000000-0005-0000-0000-0000232D0000}"/>
    <cellStyle name="60% - 강조색6 13 4" xfId="13442" xr:uid="{00000000-0005-0000-0000-0000242D0000}"/>
    <cellStyle name="60% - 강조색6 13 5" xfId="13443" xr:uid="{00000000-0005-0000-0000-0000252D0000}"/>
    <cellStyle name="60% - 강조색6 13 6" xfId="13444" xr:uid="{00000000-0005-0000-0000-0000262D0000}"/>
    <cellStyle name="60% - 강조색6 13 7" xfId="13445" xr:uid="{00000000-0005-0000-0000-0000272D0000}"/>
    <cellStyle name="60% - 강조색6 13 8" xfId="13446" xr:uid="{00000000-0005-0000-0000-0000282D0000}"/>
    <cellStyle name="60% - 강조색6 13 9" xfId="13447" xr:uid="{00000000-0005-0000-0000-0000292D0000}"/>
    <cellStyle name="60% - 강조색6 14" xfId="1500" xr:uid="{00000000-0005-0000-0000-00002A2D0000}"/>
    <cellStyle name="60% - 강조색6 14 10" xfId="13449" xr:uid="{00000000-0005-0000-0000-00002B2D0000}"/>
    <cellStyle name="60% - 강조색6 14 11" xfId="13450" xr:uid="{00000000-0005-0000-0000-00002C2D0000}"/>
    <cellStyle name="60% - 강조색6 14 12" xfId="13451" xr:uid="{00000000-0005-0000-0000-00002D2D0000}"/>
    <cellStyle name="60% - 강조색6 14 13" xfId="13452" xr:uid="{00000000-0005-0000-0000-00002E2D0000}"/>
    <cellStyle name="60% - 강조색6 14 14" xfId="13453" xr:uid="{00000000-0005-0000-0000-00002F2D0000}"/>
    <cellStyle name="60% - 강조색6 14 15" xfId="13448" xr:uid="{00000000-0005-0000-0000-0000302D0000}"/>
    <cellStyle name="60% - 강조색6 14 16" xfId="27681" xr:uid="{00000000-0005-0000-0000-0000312D0000}"/>
    <cellStyle name="60% - 강조색6 14 2" xfId="1501" xr:uid="{00000000-0005-0000-0000-0000322D0000}"/>
    <cellStyle name="60% - 강조색6 14 2 2" xfId="13454" xr:uid="{00000000-0005-0000-0000-0000332D0000}"/>
    <cellStyle name="60% - 강조색6 14 3" xfId="13455" xr:uid="{00000000-0005-0000-0000-0000342D0000}"/>
    <cellStyle name="60% - 강조색6 14 4" xfId="13456" xr:uid="{00000000-0005-0000-0000-0000352D0000}"/>
    <cellStyle name="60% - 강조색6 14 5" xfId="13457" xr:uid="{00000000-0005-0000-0000-0000362D0000}"/>
    <cellStyle name="60% - 강조색6 14 6" xfId="13458" xr:uid="{00000000-0005-0000-0000-0000372D0000}"/>
    <cellStyle name="60% - 강조색6 14 7" xfId="13459" xr:uid="{00000000-0005-0000-0000-0000382D0000}"/>
    <cellStyle name="60% - 강조색6 14 8" xfId="13460" xr:uid="{00000000-0005-0000-0000-0000392D0000}"/>
    <cellStyle name="60% - 강조색6 14 9" xfId="13461" xr:uid="{00000000-0005-0000-0000-00003A2D0000}"/>
    <cellStyle name="60% - 강조색6 15" xfId="1502" xr:uid="{00000000-0005-0000-0000-00003B2D0000}"/>
    <cellStyle name="60% - 강조색6 15 10" xfId="13463" xr:uid="{00000000-0005-0000-0000-00003C2D0000}"/>
    <cellStyle name="60% - 강조색6 15 11" xfId="13464" xr:uid="{00000000-0005-0000-0000-00003D2D0000}"/>
    <cellStyle name="60% - 강조색6 15 12" xfId="13465" xr:uid="{00000000-0005-0000-0000-00003E2D0000}"/>
    <cellStyle name="60% - 강조색6 15 13" xfId="13466" xr:uid="{00000000-0005-0000-0000-00003F2D0000}"/>
    <cellStyle name="60% - 강조색6 15 14" xfId="13467" xr:uid="{00000000-0005-0000-0000-0000402D0000}"/>
    <cellStyle name="60% - 강조색6 15 15" xfId="13462" xr:uid="{00000000-0005-0000-0000-0000412D0000}"/>
    <cellStyle name="60% - 강조색6 15 16" xfId="27680" xr:uid="{00000000-0005-0000-0000-0000422D0000}"/>
    <cellStyle name="60% - 강조색6 15 2" xfId="1503" xr:uid="{00000000-0005-0000-0000-0000432D0000}"/>
    <cellStyle name="60% - 강조색6 15 2 2" xfId="13468" xr:uid="{00000000-0005-0000-0000-0000442D0000}"/>
    <cellStyle name="60% - 강조색6 15 3" xfId="13469" xr:uid="{00000000-0005-0000-0000-0000452D0000}"/>
    <cellStyle name="60% - 강조색6 15 4" xfId="13470" xr:uid="{00000000-0005-0000-0000-0000462D0000}"/>
    <cellStyle name="60% - 강조색6 15 5" xfId="13471" xr:uid="{00000000-0005-0000-0000-0000472D0000}"/>
    <cellStyle name="60% - 강조색6 15 6" xfId="13472" xr:uid="{00000000-0005-0000-0000-0000482D0000}"/>
    <cellStyle name="60% - 강조색6 15 7" xfId="13473" xr:uid="{00000000-0005-0000-0000-0000492D0000}"/>
    <cellStyle name="60% - 강조색6 15 8" xfId="13474" xr:uid="{00000000-0005-0000-0000-00004A2D0000}"/>
    <cellStyle name="60% - 강조색6 15 9" xfId="13475" xr:uid="{00000000-0005-0000-0000-00004B2D0000}"/>
    <cellStyle name="60% - 강조색6 16" xfId="1504" xr:uid="{00000000-0005-0000-0000-00004C2D0000}"/>
    <cellStyle name="60% - 강조색6 16 10" xfId="13477" xr:uid="{00000000-0005-0000-0000-00004D2D0000}"/>
    <cellStyle name="60% - 강조색6 16 11" xfId="13478" xr:uid="{00000000-0005-0000-0000-00004E2D0000}"/>
    <cellStyle name="60% - 강조색6 16 12" xfId="13479" xr:uid="{00000000-0005-0000-0000-00004F2D0000}"/>
    <cellStyle name="60% - 강조색6 16 13" xfId="13480" xr:uid="{00000000-0005-0000-0000-0000502D0000}"/>
    <cellStyle name="60% - 강조색6 16 14" xfId="13481" xr:uid="{00000000-0005-0000-0000-0000512D0000}"/>
    <cellStyle name="60% - 강조색6 16 15" xfId="13476" xr:uid="{00000000-0005-0000-0000-0000522D0000}"/>
    <cellStyle name="60% - 강조색6 16 16" xfId="27679" xr:uid="{00000000-0005-0000-0000-0000532D0000}"/>
    <cellStyle name="60% - 강조색6 16 2" xfId="1505" xr:uid="{00000000-0005-0000-0000-0000542D0000}"/>
    <cellStyle name="60% - 강조색6 16 2 2" xfId="13482" xr:uid="{00000000-0005-0000-0000-0000552D0000}"/>
    <cellStyle name="60% - 강조색6 16 3" xfId="13483" xr:uid="{00000000-0005-0000-0000-0000562D0000}"/>
    <cellStyle name="60% - 강조색6 16 4" xfId="13484" xr:uid="{00000000-0005-0000-0000-0000572D0000}"/>
    <cellStyle name="60% - 강조색6 16 5" xfId="13485" xr:uid="{00000000-0005-0000-0000-0000582D0000}"/>
    <cellStyle name="60% - 강조색6 16 6" xfId="13486" xr:uid="{00000000-0005-0000-0000-0000592D0000}"/>
    <cellStyle name="60% - 강조색6 16 7" xfId="13487" xr:uid="{00000000-0005-0000-0000-00005A2D0000}"/>
    <cellStyle name="60% - 강조색6 16 8" xfId="13488" xr:uid="{00000000-0005-0000-0000-00005B2D0000}"/>
    <cellStyle name="60% - 강조색6 16 9" xfId="13489" xr:uid="{00000000-0005-0000-0000-00005C2D0000}"/>
    <cellStyle name="60% - 강조색6 17" xfId="1506" xr:uid="{00000000-0005-0000-0000-00005D2D0000}"/>
    <cellStyle name="60% - 강조색6 17 10" xfId="13491" xr:uid="{00000000-0005-0000-0000-00005E2D0000}"/>
    <cellStyle name="60% - 강조색6 17 11" xfId="13492" xr:uid="{00000000-0005-0000-0000-00005F2D0000}"/>
    <cellStyle name="60% - 강조색6 17 12" xfId="13493" xr:uid="{00000000-0005-0000-0000-0000602D0000}"/>
    <cellStyle name="60% - 강조색6 17 13" xfId="13494" xr:uid="{00000000-0005-0000-0000-0000612D0000}"/>
    <cellStyle name="60% - 강조색6 17 14" xfId="13495" xr:uid="{00000000-0005-0000-0000-0000622D0000}"/>
    <cellStyle name="60% - 강조색6 17 15" xfId="13490" xr:uid="{00000000-0005-0000-0000-0000632D0000}"/>
    <cellStyle name="60% - 강조색6 17 16" xfId="27678" xr:uid="{00000000-0005-0000-0000-0000642D0000}"/>
    <cellStyle name="60% - 강조색6 17 2" xfId="1507" xr:uid="{00000000-0005-0000-0000-0000652D0000}"/>
    <cellStyle name="60% - 강조색6 17 2 2" xfId="13496" xr:uid="{00000000-0005-0000-0000-0000662D0000}"/>
    <cellStyle name="60% - 강조색6 17 3" xfId="13497" xr:uid="{00000000-0005-0000-0000-0000672D0000}"/>
    <cellStyle name="60% - 강조색6 17 4" xfId="13498" xr:uid="{00000000-0005-0000-0000-0000682D0000}"/>
    <cellStyle name="60% - 강조색6 17 5" xfId="13499" xr:uid="{00000000-0005-0000-0000-0000692D0000}"/>
    <cellStyle name="60% - 강조색6 17 6" xfId="13500" xr:uid="{00000000-0005-0000-0000-00006A2D0000}"/>
    <cellStyle name="60% - 강조색6 17 7" xfId="13501" xr:uid="{00000000-0005-0000-0000-00006B2D0000}"/>
    <cellStyle name="60% - 강조색6 17 8" xfId="13502" xr:uid="{00000000-0005-0000-0000-00006C2D0000}"/>
    <cellStyle name="60% - 강조색6 17 9" xfId="13503" xr:uid="{00000000-0005-0000-0000-00006D2D0000}"/>
    <cellStyle name="60% - 강조색6 18" xfId="1508" xr:uid="{00000000-0005-0000-0000-00006E2D0000}"/>
    <cellStyle name="60% - 강조색6 18 10" xfId="13505" xr:uid="{00000000-0005-0000-0000-00006F2D0000}"/>
    <cellStyle name="60% - 강조색6 18 11" xfId="13506" xr:uid="{00000000-0005-0000-0000-0000702D0000}"/>
    <cellStyle name="60% - 강조색6 18 12" xfId="13507" xr:uid="{00000000-0005-0000-0000-0000712D0000}"/>
    <cellStyle name="60% - 강조색6 18 13" xfId="13508" xr:uid="{00000000-0005-0000-0000-0000722D0000}"/>
    <cellStyle name="60% - 강조색6 18 14" xfId="13509" xr:uid="{00000000-0005-0000-0000-0000732D0000}"/>
    <cellStyle name="60% - 강조색6 18 15" xfId="13504" xr:uid="{00000000-0005-0000-0000-0000742D0000}"/>
    <cellStyle name="60% - 강조색6 18 16" xfId="27677" xr:uid="{00000000-0005-0000-0000-0000752D0000}"/>
    <cellStyle name="60% - 강조색6 18 2" xfId="1509" xr:uid="{00000000-0005-0000-0000-0000762D0000}"/>
    <cellStyle name="60% - 강조색6 18 2 2" xfId="13510" xr:uid="{00000000-0005-0000-0000-0000772D0000}"/>
    <cellStyle name="60% - 강조색6 18 3" xfId="13511" xr:uid="{00000000-0005-0000-0000-0000782D0000}"/>
    <cellStyle name="60% - 강조색6 18 4" xfId="13512" xr:uid="{00000000-0005-0000-0000-0000792D0000}"/>
    <cellStyle name="60% - 강조색6 18 5" xfId="13513" xr:uid="{00000000-0005-0000-0000-00007A2D0000}"/>
    <cellStyle name="60% - 강조색6 18 6" xfId="13514" xr:uid="{00000000-0005-0000-0000-00007B2D0000}"/>
    <cellStyle name="60% - 강조색6 18 7" xfId="13515" xr:uid="{00000000-0005-0000-0000-00007C2D0000}"/>
    <cellStyle name="60% - 강조색6 18 8" xfId="13516" xr:uid="{00000000-0005-0000-0000-00007D2D0000}"/>
    <cellStyle name="60% - 강조색6 18 9" xfId="13517" xr:uid="{00000000-0005-0000-0000-00007E2D0000}"/>
    <cellStyle name="60% - 강조색6 19" xfId="1510" xr:uid="{00000000-0005-0000-0000-00007F2D0000}"/>
    <cellStyle name="60% - 강조색6 19 10" xfId="13519" xr:uid="{00000000-0005-0000-0000-0000802D0000}"/>
    <cellStyle name="60% - 강조색6 19 11" xfId="13520" xr:uid="{00000000-0005-0000-0000-0000812D0000}"/>
    <cellStyle name="60% - 강조색6 19 12" xfId="13521" xr:uid="{00000000-0005-0000-0000-0000822D0000}"/>
    <cellStyle name="60% - 강조색6 19 13" xfId="13522" xr:uid="{00000000-0005-0000-0000-0000832D0000}"/>
    <cellStyle name="60% - 강조색6 19 14" xfId="13523" xr:uid="{00000000-0005-0000-0000-0000842D0000}"/>
    <cellStyle name="60% - 강조색6 19 15" xfId="13518" xr:uid="{00000000-0005-0000-0000-0000852D0000}"/>
    <cellStyle name="60% - 강조색6 19 16" xfId="27676" xr:uid="{00000000-0005-0000-0000-0000862D0000}"/>
    <cellStyle name="60% - 강조색6 19 2" xfId="1511" xr:uid="{00000000-0005-0000-0000-0000872D0000}"/>
    <cellStyle name="60% - 강조색6 19 2 2" xfId="13524" xr:uid="{00000000-0005-0000-0000-0000882D0000}"/>
    <cellStyle name="60% - 강조색6 19 3" xfId="13525" xr:uid="{00000000-0005-0000-0000-0000892D0000}"/>
    <cellStyle name="60% - 강조색6 19 4" xfId="13526" xr:uid="{00000000-0005-0000-0000-00008A2D0000}"/>
    <cellStyle name="60% - 강조색6 19 5" xfId="13527" xr:uid="{00000000-0005-0000-0000-00008B2D0000}"/>
    <cellStyle name="60% - 강조색6 19 6" xfId="13528" xr:uid="{00000000-0005-0000-0000-00008C2D0000}"/>
    <cellStyle name="60% - 강조색6 19 7" xfId="13529" xr:uid="{00000000-0005-0000-0000-00008D2D0000}"/>
    <cellStyle name="60% - 강조색6 19 8" xfId="13530" xr:uid="{00000000-0005-0000-0000-00008E2D0000}"/>
    <cellStyle name="60% - 강조색6 19 9" xfId="13531" xr:uid="{00000000-0005-0000-0000-00008F2D0000}"/>
    <cellStyle name="60% - 강조색6 2" xfId="1512" xr:uid="{00000000-0005-0000-0000-0000902D0000}"/>
    <cellStyle name="60% - 강조색6 2 10" xfId="13533" xr:uid="{00000000-0005-0000-0000-0000912D0000}"/>
    <cellStyle name="60% - 강조색6 2 11" xfId="13534" xr:uid="{00000000-0005-0000-0000-0000922D0000}"/>
    <cellStyle name="60% - 강조색6 2 12" xfId="13535" xr:uid="{00000000-0005-0000-0000-0000932D0000}"/>
    <cellStyle name="60% - 강조색6 2 13" xfId="13536" xr:uid="{00000000-0005-0000-0000-0000942D0000}"/>
    <cellStyle name="60% - 강조색6 2 14" xfId="13537" xr:uid="{00000000-0005-0000-0000-0000952D0000}"/>
    <cellStyle name="60% - 강조색6 2 15" xfId="13532" xr:uid="{00000000-0005-0000-0000-0000962D0000}"/>
    <cellStyle name="60% - 강조색6 2 16" xfId="27675" xr:uid="{00000000-0005-0000-0000-0000972D0000}"/>
    <cellStyle name="60% - 강조색6 2 17" xfId="27950" xr:uid="{00000000-0005-0000-0000-0000982D0000}"/>
    <cellStyle name="60% - 강조색6 2 2" xfId="1513" xr:uid="{00000000-0005-0000-0000-0000992D0000}"/>
    <cellStyle name="60% - 강조색6 2 2 2" xfId="13538" xr:uid="{00000000-0005-0000-0000-00009A2D0000}"/>
    <cellStyle name="60% - 강조색6 2 3" xfId="13539" xr:uid="{00000000-0005-0000-0000-00009B2D0000}"/>
    <cellStyle name="60% - 강조색6 2 4" xfId="13540" xr:uid="{00000000-0005-0000-0000-00009C2D0000}"/>
    <cellStyle name="60% - 강조색6 2 5" xfId="13541" xr:uid="{00000000-0005-0000-0000-00009D2D0000}"/>
    <cellStyle name="60% - 강조색6 2 6" xfId="13542" xr:uid="{00000000-0005-0000-0000-00009E2D0000}"/>
    <cellStyle name="60% - 강조색6 2 7" xfId="13543" xr:uid="{00000000-0005-0000-0000-00009F2D0000}"/>
    <cellStyle name="60% - 강조색6 2 8" xfId="13544" xr:uid="{00000000-0005-0000-0000-0000A02D0000}"/>
    <cellStyle name="60% - 강조색6 2 9" xfId="13545" xr:uid="{00000000-0005-0000-0000-0000A12D0000}"/>
    <cellStyle name="60% - 강조색6 20" xfId="1514" xr:uid="{00000000-0005-0000-0000-0000A22D0000}"/>
    <cellStyle name="60% - 강조색6 20 10" xfId="13547" xr:uid="{00000000-0005-0000-0000-0000A32D0000}"/>
    <cellStyle name="60% - 강조색6 20 11" xfId="13548" xr:uid="{00000000-0005-0000-0000-0000A42D0000}"/>
    <cellStyle name="60% - 강조색6 20 12" xfId="13549" xr:uid="{00000000-0005-0000-0000-0000A52D0000}"/>
    <cellStyle name="60% - 강조색6 20 13" xfId="13550" xr:uid="{00000000-0005-0000-0000-0000A62D0000}"/>
    <cellStyle name="60% - 강조색6 20 14" xfId="13551" xr:uid="{00000000-0005-0000-0000-0000A72D0000}"/>
    <cellStyle name="60% - 강조색6 20 15" xfId="13546" xr:uid="{00000000-0005-0000-0000-0000A82D0000}"/>
    <cellStyle name="60% - 강조색6 20 16" xfId="27674" xr:uid="{00000000-0005-0000-0000-0000A92D0000}"/>
    <cellStyle name="60% - 강조색6 20 2" xfId="1515" xr:uid="{00000000-0005-0000-0000-0000AA2D0000}"/>
    <cellStyle name="60% - 강조색6 20 2 2" xfId="13552" xr:uid="{00000000-0005-0000-0000-0000AB2D0000}"/>
    <cellStyle name="60% - 강조색6 20 3" xfId="13553" xr:uid="{00000000-0005-0000-0000-0000AC2D0000}"/>
    <cellStyle name="60% - 강조색6 20 4" xfId="13554" xr:uid="{00000000-0005-0000-0000-0000AD2D0000}"/>
    <cellStyle name="60% - 강조색6 20 5" xfId="13555" xr:uid="{00000000-0005-0000-0000-0000AE2D0000}"/>
    <cellStyle name="60% - 강조색6 20 6" xfId="13556" xr:uid="{00000000-0005-0000-0000-0000AF2D0000}"/>
    <cellStyle name="60% - 강조색6 20 7" xfId="13557" xr:uid="{00000000-0005-0000-0000-0000B02D0000}"/>
    <cellStyle name="60% - 강조색6 20 8" xfId="13558" xr:uid="{00000000-0005-0000-0000-0000B12D0000}"/>
    <cellStyle name="60% - 강조색6 20 9" xfId="13559" xr:uid="{00000000-0005-0000-0000-0000B22D0000}"/>
    <cellStyle name="60% - 강조색6 21" xfId="1516" xr:uid="{00000000-0005-0000-0000-0000B32D0000}"/>
    <cellStyle name="60% - 강조색6 21 10" xfId="13561" xr:uid="{00000000-0005-0000-0000-0000B42D0000}"/>
    <cellStyle name="60% - 강조색6 21 11" xfId="13562" xr:uid="{00000000-0005-0000-0000-0000B52D0000}"/>
    <cellStyle name="60% - 강조색6 21 12" xfId="13563" xr:uid="{00000000-0005-0000-0000-0000B62D0000}"/>
    <cellStyle name="60% - 강조색6 21 13" xfId="13564" xr:uid="{00000000-0005-0000-0000-0000B72D0000}"/>
    <cellStyle name="60% - 강조색6 21 14" xfId="13565" xr:uid="{00000000-0005-0000-0000-0000B82D0000}"/>
    <cellStyle name="60% - 강조색6 21 15" xfId="13560" xr:uid="{00000000-0005-0000-0000-0000B92D0000}"/>
    <cellStyle name="60% - 강조색6 21 16" xfId="27673" xr:uid="{00000000-0005-0000-0000-0000BA2D0000}"/>
    <cellStyle name="60% - 강조색6 21 2" xfId="1517" xr:uid="{00000000-0005-0000-0000-0000BB2D0000}"/>
    <cellStyle name="60% - 강조색6 21 2 2" xfId="13566" xr:uid="{00000000-0005-0000-0000-0000BC2D0000}"/>
    <cellStyle name="60% - 강조색6 21 3" xfId="13567" xr:uid="{00000000-0005-0000-0000-0000BD2D0000}"/>
    <cellStyle name="60% - 강조색6 21 4" xfId="13568" xr:uid="{00000000-0005-0000-0000-0000BE2D0000}"/>
    <cellStyle name="60% - 강조색6 21 5" xfId="13569" xr:uid="{00000000-0005-0000-0000-0000BF2D0000}"/>
    <cellStyle name="60% - 강조색6 21 6" xfId="13570" xr:uid="{00000000-0005-0000-0000-0000C02D0000}"/>
    <cellStyle name="60% - 강조색6 21 7" xfId="13571" xr:uid="{00000000-0005-0000-0000-0000C12D0000}"/>
    <cellStyle name="60% - 강조색6 21 8" xfId="13572" xr:uid="{00000000-0005-0000-0000-0000C22D0000}"/>
    <cellStyle name="60% - 강조색6 21 9" xfId="13573" xr:uid="{00000000-0005-0000-0000-0000C32D0000}"/>
    <cellStyle name="60% - 강조색6 22" xfId="1518" xr:uid="{00000000-0005-0000-0000-0000C42D0000}"/>
    <cellStyle name="60% - 강조색6 22 10" xfId="13575" xr:uid="{00000000-0005-0000-0000-0000C52D0000}"/>
    <cellStyle name="60% - 강조색6 22 11" xfId="13576" xr:uid="{00000000-0005-0000-0000-0000C62D0000}"/>
    <cellStyle name="60% - 강조색6 22 12" xfId="13577" xr:uid="{00000000-0005-0000-0000-0000C72D0000}"/>
    <cellStyle name="60% - 강조색6 22 13" xfId="13578" xr:uid="{00000000-0005-0000-0000-0000C82D0000}"/>
    <cellStyle name="60% - 강조색6 22 14" xfId="13579" xr:uid="{00000000-0005-0000-0000-0000C92D0000}"/>
    <cellStyle name="60% - 강조색6 22 15" xfId="13574" xr:uid="{00000000-0005-0000-0000-0000CA2D0000}"/>
    <cellStyle name="60% - 강조색6 22 16" xfId="27672" xr:uid="{00000000-0005-0000-0000-0000CB2D0000}"/>
    <cellStyle name="60% - 강조색6 22 2" xfId="1519" xr:uid="{00000000-0005-0000-0000-0000CC2D0000}"/>
    <cellStyle name="60% - 강조색6 22 2 2" xfId="13580" xr:uid="{00000000-0005-0000-0000-0000CD2D0000}"/>
    <cellStyle name="60% - 강조색6 22 3" xfId="13581" xr:uid="{00000000-0005-0000-0000-0000CE2D0000}"/>
    <cellStyle name="60% - 강조색6 22 4" xfId="13582" xr:uid="{00000000-0005-0000-0000-0000CF2D0000}"/>
    <cellStyle name="60% - 강조색6 22 5" xfId="13583" xr:uid="{00000000-0005-0000-0000-0000D02D0000}"/>
    <cellStyle name="60% - 강조색6 22 6" xfId="13584" xr:uid="{00000000-0005-0000-0000-0000D12D0000}"/>
    <cellStyle name="60% - 강조색6 22 7" xfId="13585" xr:uid="{00000000-0005-0000-0000-0000D22D0000}"/>
    <cellStyle name="60% - 강조색6 22 8" xfId="13586" xr:uid="{00000000-0005-0000-0000-0000D32D0000}"/>
    <cellStyle name="60% - 강조색6 22 9" xfId="13587" xr:uid="{00000000-0005-0000-0000-0000D42D0000}"/>
    <cellStyle name="60% - 강조색6 23" xfId="1520" xr:uid="{00000000-0005-0000-0000-0000D52D0000}"/>
    <cellStyle name="60% - 강조색6 23 10" xfId="13589" xr:uid="{00000000-0005-0000-0000-0000D62D0000}"/>
    <cellStyle name="60% - 강조색6 23 11" xfId="13590" xr:uid="{00000000-0005-0000-0000-0000D72D0000}"/>
    <cellStyle name="60% - 강조색6 23 12" xfId="13591" xr:uid="{00000000-0005-0000-0000-0000D82D0000}"/>
    <cellStyle name="60% - 강조색6 23 13" xfId="13592" xr:uid="{00000000-0005-0000-0000-0000D92D0000}"/>
    <cellStyle name="60% - 강조색6 23 14" xfId="13593" xr:uid="{00000000-0005-0000-0000-0000DA2D0000}"/>
    <cellStyle name="60% - 강조색6 23 15" xfId="13588" xr:uid="{00000000-0005-0000-0000-0000DB2D0000}"/>
    <cellStyle name="60% - 강조색6 23 16" xfId="27671" xr:uid="{00000000-0005-0000-0000-0000DC2D0000}"/>
    <cellStyle name="60% - 강조색6 23 2" xfId="1521" xr:uid="{00000000-0005-0000-0000-0000DD2D0000}"/>
    <cellStyle name="60% - 강조색6 23 2 2" xfId="13594" xr:uid="{00000000-0005-0000-0000-0000DE2D0000}"/>
    <cellStyle name="60% - 강조색6 23 3" xfId="13595" xr:uid="{00000000-0005-0000-0000-0000DF2D0000}"/>
    <cellStyle name="60% - 강조색6 23 4" xfId="13596" xr:uid="{00000000-0005-0000-0000-0000E02D0000}"/>
    <cellStyle name="60% - 강조색6 23 5" xfId="13597" xr:uid="{00000000-0005-0000-0000-0000E12D0000}"/>
    <cellStyle name="60% - 강조색6 23 6" xfId="13598" xr:uid="{00000000-0005-0000-0000-0000E22D0000}"/>
    <cellStyle name="60% - 강조색6 23 7" xfId="13599" xr:uid="{00000000-0005-0000-0000-0000E32D0000}"/>
    <cellStyle name="60% - 강조색6 23 8" xfId="13600" xr:uid="{00000000-0005-0000-0000-0000E42D0000}"/>
    <cellStyle name="60% - 강조색6 23 9" xfId="13601" xr:uid="{00000000-0005-0000-0000-0000E52D0000}"/>
    <cellStyle name="60% - 강조색6 24" xfId="1522" xr:uid="{00000000-0005-0000-0000-0000E62D0000}"/>
    <cellStyle name="60% - 강조색6 24 10" xfId="13603" xr:uid="{00000000-0005-0000-0000-0000E72D0000}"/>
    <cellStyle name="60% - 강조색6 24 11" xfId="13604" xr:uid="{00000000-0005-0000-0000-0000E82D0000}"/>
    <cellStyle name="60% - 강조색6 24 12" xfId="13605" xr:uid="{00000000-0005-0000-0000-0000E92D0000}"/>
    <cellStyle name="60% - 강조색6 24 13" xfId="13606" xr:uid="{00000000-0005-0000-0000-0000EA2D0000}"/>
    <cellStyle name="60% - 강조색6 24 14" xfId="13607" xr:uid="{00000000-0005-0000-0000-0000EB2D0000}"/>
    <cellStyle name="60% - 강조색6 24 15" xfId="13602" xr:uid="{00000000-0005-0000-0000-0000EC2D0000}"/>
    <cellStyle name="60% - 강조색6 24 16" xfId="27670" xr:uid="{00000000-0005-0000-0000-0000ED2D0000}"/>
    <cellStyle name="60% - 강조색6 24 2" xfId="1523" xr:uid="{00000000-0005-0000-0000-0000EE2D0000}"/>
    <cellStyle name="60% - 강조색6 24 2 2" xfId="13608" xr:uid="{00000000-0005-0000-0000-0000EF2D0000}"/>
    <cellStyle name="60% - 강조색6 24 3" xfId="13609" xr:uid="{00000000-0005-0000-0000-0000F02D0000}"/>
    <cellStyle name="60% - 강조색6 24 4" xfId="13610" xr:uid="{00000000-0005-0000-0000-0000F12D0000}"/>
    <cellStyle name="60% - 강조색6 24 5" xfId="13611" xr:uid="{00000000-0005-0000-0000-0000F22D0000}"/>
    <cellStyle name="60% - 강조색6 24 6" xfId="13612" xr:uid="{00000000-0005-0000-0000-0000F32D0000}"/>
    <cellStyle name="60% - 강조색6 24 7" xfId="13613" xr:uid="{00000000-0005-0000-0000-0000F42D0000}"/>
    <cellStyle name="60% - 강조색6 24 8" xfId="13614" xr:uid="{00000000-0005-0000-0000-0000F52D0000}"/>
    <cellStyle name="60% - 강조색6 24 9" xfId="13615" xr:uid="{00000000-0005-0000-0000-0000F62D0000}"/>
    <cellStyle name="60% - 강조색6 25" xfId="1524" xr:uid="{00000000-0005-0000-0000-0000F72D0000}"/>
    <cellStyle name="60% - 강조색6 25 10" xfId="13617" xr:uid="{00000000-0005-0000-0000-0000F82D0000}"/>
    <cellStyle name="60% - 강조색6 25 11" xfId="13618" xr:uid="{00000000-0005-0000-0000-0000F92D0000}"/>
    <cellStyle name="60% - 강조색6 25 12" xfId="13619" xr:uid="{00000000-0005-0000-0000-0000FA2D0000}"/>
    <cellStyle name="60% - 강조색6 25 13" xfId="13620" xr:uid="{00000000-0005-0000-0000-0000FB2D0000}"/>
    <cellStyle name="60% - 강조색6 25 14" xfId="13621" xr:uid="{00000000-0005-0000-0000-0000FC2D0000}"/>
    <cellStyle name="60% - 강조색6 25 15" xfId="13616" xr:uid="{00000000-0005-0000-0000-0000FD2D0000}"/>
    <cellStyle name="60% - 강조색6 25 16" xfId="27669" xr:uid="{00000000-0005-0000-0000-0000FE2D0000}"/>
    <cellStyle name="60% - 강조색6 25 2" xfId="1525" xr:uid="{00000000-0005-0000-0000-0000FF2D0000}"/>
    <cellStyle name="60% - 강조색6 25 2 2" xfId="13622" xr:uid="{00000000-0005-0000-0000-0000002E0000}"/>
    <cellStyle name="60% - 강조색6 25 3" xfId="13623" xr:uid="{00000000-0005-0000-0000-0000012E0000}"/>
    <cellStyle name="60% - 강조색6 25 4" xfId="13624" xr:uid="{00000000-0005-0000-0000-0000022E0000}"/>
    <cellStyle name="60% - 강조색6 25 5" xfId="13625" xr:uid="{00000000-0005-0000-0000-0000032E0000}"/>
    <cellStyle name="60% - 강조색6 25 6" xfId="13626" xr:uid="{00000000-0005-0000-0000-0000042E0000}"/>
    <cellStyle name="60% - 강조색6 25 7" xfId="13627" xr:uid="{00000000-0005-0000-0000-0000052E0000}"/>
    <cellStyle name="60% - 강조색6 25 8" xfId="13628" xr:uid="{00000000-0005-0000-0000-0000062E0000}"/>
    <cellStyle name="60% - 강조색6 25 9" xfId="13629" xr:uid="{00000000-0005-0000-0000-0000072E0000}"/>
    <cellStyle name="60% - 강조색6 26" xfId="1526" xr:uid="{00000000-0005-0000-0000-0000082E0000}"/>
    <cellStyle name="60% - 강조색6 26 10" xfId="13631" xr:uid="{00000000-0005-0000-0000-0000092E0000}"/>
    <cellStyle name="60% - 강조색6 26 11" xfId="13632" xr:uid="{00000000-0005-0000-0000-00000A2E0000}"/>
    <cellStyle name="60% - 강조색6 26 12" xfId="13633" xr:uid="{00000000-0005-0000-0000-00000B2E0000}"/>
    <cellStyle name="60% - 강조색6 26 13" xfId="13634" xr:uid="{00000000-0005-0000-0000-00000C2E0000}"/>
    <cellStyle name="60% - 강조색6 26 14" xfId="13635" xr:uid="{00000000-0005-0000-0000-00000D2E0000}"/>
    <cellStyle name="60% - 강조색6 26 15" xfId="13630" xr:uid="{00000000-0005-0000-0000-00000E2E0000}"/>
    <cellStyle name="60% - 강조색6 26 16" xfId="27668" xr:uid="{00000000-0005-0000-0000-00000F2E0000}"/>
    <cellStyle name="60% - 강조색6 26 2" xfId="1527" xr:uid="{00000000-0005-0000-0000-0000102E0000}"/>
    <cellStyle name="60% - 강조색6 26 2 2" xfId="13636" xr:uid="{00000000-0005-0000-0000-0000112E0000}"/>
    <cellStyle name="60% - 강조색6 26 3" xfId="13637" xr:uid="{00000000-0005-0000-0000-0000122E0000}"/>
    <cellStyle name="60% - 강조색6 26 4" xfId="13638" xr:uid="{00000000-0005-0000-0000-0000132E0000}"/>
    <cellStyle name="60% - 강조색6 26 5" xfId="13639" xr:uid="{00000000-0005-0000-0000-0000142E0000}"/>
    <cellStyle name="60% - 강조색6 26 6" xfId="13640" xr:uid="{00000000-0005-0000-0000-0000152E0000}"/>
    <cellStyle name="60% - 강조색6 26 7" xfId="13641" xr:uid="{00000000-0005-0000-0000-0000162E0000}"/>
    <cellStyle name="60% - 강조색6 26 8" xfId="13642" xr:uid="{00000000-0005-0000-0000-0000172E0000}"/>
    <cellStyle name="60% - 강조색6 26 9" xfId="13643" xr:uid="{00000000-0005-0000-0000-0000182E0000}"/>
    <cellStyle name="60% - 강조색6 27" xfId="1528" xr:uid="{00000000-0005-0000-0000-0000192E0000}"/>
    <cellStyle name="60% - 강조색6 27 10" xfId="13645" xr:uid="{00000000-0005-0000-0000-00001A2E0000}"/>
    <cellStyle name="60% - 강조색6 27 11" xfId="13646" xr:uid="{00000000-0005-0000-0000-00001B2E0000}"/>
    <cellStyle name="60% - 강조색6 27 12" xfId="13647" xr:uid="{00000000-0005-0000-0000-00001C2E0000}"/>
    <cellStyle name="60% - 강조색6 27 13" xfId="13648" xr:uid="{00000000-0005-0000-0000-00001D2E0000}"/>
    <cellStyle name="60% - 강조색6 27 14" xfId="13649" xr:uid="{00000000-0005-0000-0000-00001E2E0000}"/>
    <cellStyle name="60% - 강조색6 27 15" xfId="13644" xr:uid="{00000000-0005-0000-0000-00001F2E0000}"/>
    <cellStyle name="60% - 강조색6 27 16" xfId="27667" xr:uid="{00000000-0005-0000-0000-0000202E0000}"/>
    <cellStyle name="60% - 강조색6 27 2" xfId="1529" xr:uid="{00000000-0005-0000-0000-0000212E0000}"/>
    <cellStyle name="60% - 강조색6 27 2 2" xfId="13650" xr:uid="{00000000-0005-0000-0000-0000222E0000}"/>
    <cellStyle name="60% - 강조색6 27 3" xfId="13651" xr:uid="{00000000-0005-0000-0000-0000232E0000}"/>
    <cellStyle name="60% - 강조색6 27 4" xfId="13652" xr:uid="{00000000-0005-0000-0000-0000242E0000}"/>
    <cellStyle name="60% - 강조색6 27 5" xfId="13653" xr:uid="{00000000-0005-0000-0000-0000252E0000}"/>
    <cellStyle name="60% - 강조색6 27 6" xfId="13654" xr:uid="{00000000-0005-0000-0000-0000262E0000}"/>
    <cellStyle name="60% - 강조색6 27 7" xfId="13655" xr:uid="{00000000-0005-0000-0000-0000272E0000}"/>
    <cellStyle name="60% - 강조색6 27 8" xfId="13656" xr:uid="{00000000-0005-0000-0000-0000282E0000}"/>
    <cellStyle name="60% - 강조색6 27 9" xfId="13657" xr:uid="{00000000-0005-0000-0000-0000292E0000}"/>
    <cellStyle name="60% - 강조색6 28" xfId="1530" xr:uid="{00000000-0005-0000-0000-00002A2E0000}"/>
    <cellStyle name="60% - 강조색6 28 10" xfId="13659" xr:uid="{00000000-0005-0000-0000-00002B2E0000}"/>
    <cellStyle name="60% - 강조색6 28 11" xfId="13660" xr:uid="{00000000-0005-0000-0000-00002C2E0000}"/>
    <cellStyle name="60% - 강조색6 28 12" xfId="13661" xr:uid="{00000000-0005-0000-0000-00002D2E0000}"/>
    <cellStyle name="60% - 강조색6 28 13" xfId="13662" xr:uid="{00000000-0005-0000-0000-00002E2E0000}"/>
    <cellStyle name="60% - 강조색6 28 14" xfId="13663" xr:uid="{00000000-0005-0000-0000-00002F2E0000}"/>
    <cellStyle name="60% - 강조색6 28 15" xfId="13658" xr:uid="{00000000-0005-0000-0000-0000302E0000}"/>
    <cellStyle name="60% - 강조색6 28 16" xfId="27666" xr:uid="{00000000-0005-0000-0000-0000312E0000}"/>
    <cellStyle name="60% - 강조색6 28 2" xfId="1531" xr:uid="{00000000-0005-0000-0000-0000322E0000}"/>
    <cellStyle name="60% - 강조색6 28 2 2" xfId="13664" xr:uid="{00000000-0005-0000-0000-0000332E0000}"/>
    <cellStyle name="60% - 강조색6 28 3" xfId="13665" xr:uid="{00000000-0005-0000-0000-0000342E0000}"/>
    <cellStyle name="60% - 강조색6 28 4" xfId="13666" xr:uid="{00000000-0005-0000-0000-0000352E0000}"/>
    <cellStyle name="60% - 강조색6 28 5" xfId="13667" xr:uid="{00000000-0005-0000-0000-0000362E0000}"/>
    <cellStyle name="60% - 강조색6 28 6" xfId="13668" xr:uid="{00000000-0005-0000-0000-0000372E0000}"/>
    <cellStyle name="60% - 강조색6 28 7" xfId="13669" xr:uid="{00000000-0005-0000-0000-0000382E0000}"/>
    <cellStyle name="60% - 강조색6 28 8" xfId="13670" xr:uid="{00000000-0005-0000-0000-0000392E0000}"/>
    <cellStyle name="60% - 강조색6 28 9" xfId="13671" xr:uid="{00000000-0005-0000-0000-00003A2E0000}"/>
    <cellStyle name="60% - 강조색6 29" xfId="1532" xr:uid="{00000000-0005-0000-0000-00003B2E0000}"/>
    <cellStyle name="60% - 강조색6 29 10" xfId="13673" xr:uid="{00000000-0005-0000-0000-00003C2E0000}"/>
    <cellStyle name="60% - 강조색6 29 11" xfId="13674" xr:uid="{00000000-0005-0000-0000-00003D2E0000}"/>
    <cellStyle name="60% - 강조색6 29 12" xfId="13675" xr:uid="{00000000-0005-0000-0000-00003E2E0000}"/>
    <cellStyle name="60% - 강조색6 29 13" xfId="13676" xr:uid="{00000000-0005-0000-0000-00003F2E0000}"/>
    <cellStyle name="60% - 강조색6 29 14" xfId="13677" xr:uid="{00000000-0005-0000-0000-0000402E0000}"/>
    <cellStyle name="60% - 강조색6 29 15" xfId="13672" xr:uid="{00000000-0005-0000-0000-0000412E0000}"/>
    <cellStyle name="60% - 강조색6 29 16" xfId="27665" xr:uid="{00000000-0005-0000-0000-0000422E0000}"/>
    <cellStyle name="60% - 강조색6 29 2" xfId="1533" xr:uid="{00000000-0005-0000-0000-0000432E0000}"/>
    <cellStyle name="60% - 강조색6 29 2 2" xfId="13678" xr:uid="{00000000-0005-0000-0000-0000442E0000}"/>
    <cellStyle name="60% - 강조색6 29 3" xfId="13679" xr:uid="{00000000-0005-0000-0000-0000452E0000}"/>
    <cellStyle name="60% - 강조색6 29 4" xfId="13680" xr:uid="{00000000-0005-0000-0000-0000462E0000}"/>
    <cellStyle name="60% - 강조색6 29 5" xfId="13681" xr:uid="{00000000-0005-0000-0000-0000472E0000}"/>
    <cellStyle name="60% - 강조색6 29 6" xfId="13682" xr:uid="{00000000-0005-0000-0000-0000482E0000}"/>
    <cellStyle name="60% - 강조색6 29 7" xfId="13683" xr:uid="{00000000-0005-0000-0000-0000492E0000}"/>
    <cellStyle name="60% - 강조색6 29 8" xfId="13684" xr:uid="{00000000-0005-0000-0000-00004A2E0000}"/>
    <cellStyle name="60% - 강조색6 29 9" xfId="13685" xr:uid="{00000000-0005-0000-0000-00004B2E0000}"/>
    <cellStyle name="60% - 강조색6 3" xfId="1534" xr:uid="{00000000-0005-0000-0000-00004C2E0000}"/>
    <cellStyle name="60% - 강조색6 3 10" xfId="13687" xr:uid="{00000000-0005-0000-0000-00004D2E0000}"/>
    <cellStyle name="60% - 강조색6 3 11" xfId="13688" xr:uid="{00000000-0005-0000-0000-00004E2E0000}"/>
    <cellStyle name="60% - 강조색6 3 12" xfId="13689" xr:uid="{00000000-0005-0000-0000-00004F2E0000}"/>
    <cellStyle name="60% - 강조색6 3 13" xfId="13690" xr:uid="{00000000-0005-0000-0000-0000502E0000}"/>
    <cellStyle name="60% - 강조색6 3 14" xfId="13691" xr:uid="{00000000-0005-0000-0000-0000512E0000}"/>
    <cellStyle name="60% - 강조색6 3 15" xfId="13686" xr:uid="{00000000-0005-0000-0000-0000522E0000}"/>
    <cellStyle name="60% - 강조색6 3 16" xfId="27664" xr:uid="{00000000-0005-0000-0000-0000532E0000}"/>
    <cellStyle name="60% - 강조색6 3 17" xfId="28206" xr:uid="{00000000-0005-0000-0000-0000542E0000}"/>
    <cellStyle name="60% - 강조색6 3 2" xfId="1535" xr:uid="{00000000-0005-0000-0000-0000552E0000}"/>
    <cellStyle name="60% - 강조색6 3 2 2" xfId="13692" xr:uid="{00000000-0005-0000-0000-0000562E0000}"/>
    <cellStyle name="60% - 강조색6 3 3" xfId="13693" xr:uid="{00000000-0005-0000-0000-0000572E0000}"/>
    <cellStyle name="60% - 강조색6 3 4" xfId="13694" xr:uid="{00000000-0005-0000-0000-0000582E0000}"/>
    <cellStyle name="60% - 강조색6 3 5" xfId="13695" xr:uid="{00000000-0005-0000-0000-0000592E0000}"/>
    <cellStyle name="60% - 강조색6 3 6" xfId="13696" xr:uid="{00000000-0005-0000-0000-00005A2E0000}"/>
    <cellStyle name="60% - 강조색6 3 7" xfId="13697" xr:uid="{00000000-0005-0000-0000-00005B2E0000}"/>
    <cellStyle name="60% - 강조색6 3 8" xfId="13698" xr:uid="{00000000-0005-0000-0000-00005C2E0000}"/>
    <cellStyle name="60% - 강조색6 3 9" xfId="13699" xr:uid="{00000000-0005-0000-0000-00005D2E0000}"/>
    <cellStyle name="60% - 강조색6 30" xfId="1536" xr:uid="{00000000-0005-0000-0000-00005E2E0000}"/>
    <cellStyle name="60% - 강조색6 30 10" xfId="13701" xr:uid="{00000000-0005-0000-0000-00005F2E0000}"/>
    <cellStyle name="60% - 강조색6 30 11" xfId="13702" xr:uid="{00000000-0005-0000-0000-0000602E0000}"/>
    <cellStyle name="60% - 강조색6 30 12" xfId="13703" xr:uid="{00000000-0005-0000-0000-0000612E0000}"/>
    <cellStyle name="60% - 강조색6 30 13" xfId="13704" xr:uid="{00000000-0005-0000-0000-0000622E0000}"/>
    <cellStyle name="60% - 강조색6 30 14" xfId="13705" xr:uid="{00000000-0005-0000-0000-0000632E0000}"/>
    <cellStyle name="60% - 강조색6 30 15" xfId="13700" xr:uid="{00000000-0005-0000-0000-0000642E0000}"/>
    <cellStyle name="60% - 강조색6 30 16" xfId="27663" xr:uid="{00000000-0005-0000-0000-0000652E0000}"/>
    <cellStyle name="60% - 강조색6 30 2" xfId="1537" xr:uid="{00000000-0005-0000-0000-0000662E0000}"/>
    <cellStyle name="60% - 강조색6 30 2 2" xfId="13706" xr:uid="{00000000-0005-0000-0000-0000672E0000}"/>
    <cellStyle name="60% - 강조색6 30 3" xfId="13707" xr:uid="{00000000-0005-0000-0000-0000682E0000}"/>
    <cellStyle name="60% - 강조색6 30 4" xfId="13708" xr:uid="{00000000-0005-0000-0000-0000692E0000}"/>
    <cellStyle name="60% - 강조색6 30 5" xfId="13709" xr:uid="{00000000-0005-0000-0000-00006A2E0000}"/>
    <cellStyle name="60% - 강조색6 30 6" xfId="13710" xr:uid="{00000000-0005-0000-0000-00006B2E0000}"/>
    <cellStyle name="60% - 강조색6 30 7" xfId="13711" xr:uid="{00000000-0005-0000-0000-00006C2E0000}"/>
    <cellStyle name="60% - 강조색6 30 8" xfId="13712" xr:uid="{00000000-0005-0000-0000-00006D2E0000}"/>
    <cellStyle name="60% - 강조색6 30 9" xfId="13713" xr:uid="{00000000-0005-0000-0000-00006E2E0000}"/>
    <cellStyle name="60% - 강조색6 31" xfId="1538" xr:uid="{00000000-0005-0000-0000-00006F2E0000}"/>
    <cellStyle name="60% - 강조색6 31 10" xfId="13715" xr:uid="{00000000-0005-0000-0000-0000702E0000}"/>
    <cellStyle name="60% - 강조색6 31 11" xfId="13716" xr:uid="{00000000-0005-0000-0000-0000712E0000}"/>
    <cellStyle name="60% - 강조색6 31 12" xfId="13717" xr:uid="{00000000-0005-0000-0000-0000722E0000}"/>
    <cellStyle name="60% - 강조색6 31 13" xfId="13718" xr:uid="{00000000-0005-0000-0000-0000732E0000}"/>
    <cellStyle name="60% - 강조색6 31 14" xfId="13719" xr:uid="{00000000-0005-0000-0000-0000742E0000}"/>
    <cellStyle name="60% - 강조색6 31 15" xfId="13714" xr:uid="{00000000-0005-0000-0000-0000752E0000}"/>
    <cellStyle name="60% - 강조색6 31 16" xfId="27662" xr:uid="{00000000-0005-0000-0000-0000762E0000}"/>
    <cellStyle name="60% - 강조색6 31 2" xfId="1539" xr:uid="{00000000-0005-0000-0000-0000772E0000}"/>
    <cellStyle name="60% - 강조색6 31 2 2" xfId="13720" xr:uid="{00000000-0005-0000-0000-0000782E0000}"/>
    <cellStyle name="60% - 강조색6 31 3" xfId="13721" xr:uid="{00000000-0005-0000-0000-0000792E0000}"/>
    <cellStyle name="60% - 강조색6 31 4" xfId="13722" xr:uid="{00000000-0005-0000-0000-00007A2E0000}"/>
    <cellStyle name="60% - 강조색6 31 5" xfId="13723" xr:uid="{00000000-0005-0000-0000-00007B2E0000}"/>
    <cellStyle name="60% - 강조색6 31 6" xfId="13724" xr:uid="{00000000-0005-0000-0000-00007C2E0000}"/>
    <cellStyle name="60% - 강조색6 31 7" xfId="13725" xr:uid="{00000000-0005-0000-0000-00007D2E0000}"/>
    <cellStyle name="60% - 강조색6 31 8" xfId="13726" xr:uid="{00000000-0005-0000-0000-00007E2E0000}"/>
    <cellStyle name="60% - 강조색6 31 9" xfId="13727" xr:uid="{00000000-0005-0000-0000-00007F2E0000}"/>
    <cellStyle name="60% - 강조색6 32" xfId="1540" xr:uid="{00000000-0005-0000-0000-0000802E0000}"/>
    <cellStyle name="60% - 강조색6 32 10" xfId="13729" xr:uid="{00000000-0005-0000-0000-0000812E0000}"/>
    <cellStyle name="60% - 강조색6 32 11" xfId="13730" xr:uid="{00000000-0005-0000-0000-0000822E0000}"/>
    <cellStyle name="60% - 강조색6 32 12" xfId="13731" xr:uid="{00000000-0005-0000-0000-0000832E0000}"/>
    <cellStyle name="60% - 강조색6 32 13" xfId="13732" xr:uid="{00000000-0005-0000-0000-0000842E0000}"/>
    <cellStyle name="60% - 강조색6 32 14" xfId="13733" xr:uid="{00000000-0005-0000-0000-0000852E0000}"/>
    <cellStyle name="60% - 강조색6 32 15" xfId="13728" xr:uid="{00000000-0005-0000-0000-0000862E0000}"/>
    <cellStyle name="60% - 강조색6 32 16" xfId="27661" xr:uid="{00000000-0005-0000-0000-0000872E0000}"/>
    <cellStyle name="60% - 강조색6 32 2" xfId="1541" xr:uid="{00000000-0005-0000-0000-0000882E0000}"/>
    <cellStyle name="60% - 강조색6 32 2 2" xfId="13734" xr:uid="{00000000-0005-0000-0000-0000892E0000}"/>
    <cellStyle name="60% - 강조색6 32 3" xfId="13735" xr:uid="{00000000-0005-0000-0000-00008A2E0000}"/>
    <cellStyle name="60% - 강조색6 32 4" xfId="13736" xr:uid="{00000000-0005-0000-0000-00008B2E0000}"/>
    <cellStyle name="60% - 강조색6 32 5" xfId="13737" xr:uid="{00000000-0005-0000-0000-00008C2E0000}"/>
    <cellStyle name="60% - 강조색6 32 6" xfId="13738" xr:uid="{00000000-0005-0000-0000-00008D2E0000}"/>
    <cellStyle name="60% - 강조색6 32 7" xfId="13739" xr:uid="{00000000-0005-0000-0000-00008E2E0000}"/>
    <cellStyle name="60% - 강조색6 32 8" xfId="13740" xr:uid="{00000000-0005-0000-0000-00008F2E0000}"/>
    <cellStyle name="60% - 강조색6 32 9" xfId="13741" xr:uid="{00000000-0005-0000-0000-0000902E0000}"/>
    <cellStyle name="60% - 강조색6 33" xfId="1542" xr:uid="{00000000-0005-0000-0000-0000912E0000}"/>
    <cellStyle name="60% - 강조색6 33 10" xfId="13743" xr:uid="{00000000-0005-0000-0000-0000922E0000}"/>
    <cellStyle name="60% - 강조색6 33 11" xfId="13744" xr:uid="{00000000-0005-0000-0000-0000932E0000}"/>
    <cellStyle name="60% - 강조색6 33 12" xfId="13745" xr:uid="{00000000-0005-0000-0000-0000942E0000}"/>
    <cellStyle name="60% - 강조색6 33 13" xfId="13746" xr:uid="{00000000-0005-0000-0000-0000952E0000}"/>
    <cellStyle name="60% - 강조색6 33 14" xfId="13747" xr:uid="{00000000-0005-0000-0000-0000962E0000}"/>
    <cellStyle name="60% - 강조색6 33 15" xfId="13742" xr:uid="{00000000-0005-0000-0000-0000972E0000}"/>
    <cellStyle name="60% - 강조색6 33 16" xfId="27660" xr:uid="{00000000-0005-0000-0000-0000982E0000}"/>
    <cellStyle name="60% - 강조색6 33 2" xfId="1543" xr:uid="{00000000-0005-0000-0000-0000992E0000}"/>
    <cellStyle name="60% - 강조색6 33 2 2" xfId="13748" xr:uid="{00000000-0005-0000-0000-00009A2E0000}"/>
    <cellStyle name="60% - 강조색6 33 3" xfId="13749" xr:uid="{00000000-0005-0000-0000-00009B2E0000}"/>
    <cellStyle name="60% - 강조색6 33 4" xfId="13750" xr:uid="{00000000-0005-0000-0000-00009C2E0000}"/>
    <cellStyle name="60% - 강조색6 33 5" xfId="13751" xr:uid="{00000000-0005-0000-0000-00009D2E0000}"/>
    <cellStyle name="60% - 강조색6 33 6" xfId="13752" xr:uid="{00000000-0005-0000-0000-00009E2E0000}"/>
    <cellStyle name="60% - 강조색6 33 7" xfId="13753" xr:uid="{00000000-0005-0000-0000-00009F2E0000}"/>
    <cellStyle name="60% - 강조색6 33 8" xfId="13754" xr:uid="{00000000-0005-0000-0000-0000A02E0000}"/>
    <cellStyle name="60% - 강조색6 33 9" xfId="13755" xr:uid="{00000000-0005-0000-0000-0000A12E0000}"/>
    <cellStyle name="60% - 강조색6 34" xfId="1544" xr:uid="{00000000-0005-0000-0000-0000A22E0000}"/>
    <cellStyle name="60% - 강조색6 34 10" xfId="13757" xr:uid="{00000000-0005-0000-0000-0000A32E0000}"/>
    <cellStyle name="60% - 강조색6 34 11" xfId="13758" xr:uid="{00000000-0005-0000-0000-0000A42E0000}"/>
    <cellStyle name="60% - 강조색6 34 12" xfId="13759" xr:uid="{00000000-0005-0000-0000-0000A52E0000}"/>
    <cellStyle name="60% - 강조색6 34 13" xfId="13760" xr:uid="{00000000-0005-0000-0000-0000A62E0000}"/>
    <cellStyle name="60% - 강조색6 34 14" xfId="13761" xr:uid="{00000000-0005-0000-0000-0000A72E0000}"/>
    <cellStyle name="60% - 강조색6 34 15" xfId="13756" xr:uid="{00000000-0005-0000-0000-0000A82E0000}"/>
    <cellStyle name="60% - 강조색6 34 16" xfId="27659" xr:uid="{00000000-0005-0000-0000-0000A92E0000}"/>
    <cellStyle name="60% - 강조색6 34 2" xfId="1545" xr:uid="{00000000-0005-0000-0000-0000AA2E0000}"/>
    <cellStyle name="60% - 강조색6 34 2 2" xfId="13762" xr:uid="{00000000-0005-0000-0000-0000AB2E0000}"/>
    <cellStyle name="60% - 강조색6 34 3" xfId="13763" xr:uid="{00000000-0005-0000-0000-0000AC2E0000}"/>
    <cellStyle name="60% - 강조색6 34 4" xfId="13764" xr:uid="{00000000-0005-0000-0000-0000AD2E0000}"/>
    <cellStyle name="60% - 강조색6 34 5" xfId="13765" xr:uid="{00000000-0005-0000-0000-0000AE2E0000}"/>
    <cellStyle name="60% - 강조색6 34 6" xfId="13766" xr:uid="{00000000-0005-0000-0000-0000AF2E0000}"/>
    <cellStyle name="60% - 강조색6 34 7" xfId="13767" xr:uid="{00000000-0005-0000-0000-0000B02E0000}"/>
    <cellStyle name="60% - 강조색6 34 8" xfId="13768" xr:uid="{00000000-0005-0000-0000-0000B12E0000}"/>
    <cellStyle name="60% - 강조색6 34 9" xfId="13769" xr:uid="{00000000-0005-0000-0000-0000B22E0000}"/>
    <cellStyle name="60% - 강조색6 35" xfId="1546" xr:uid="{00000000-0005-0000-0000-0000B32E0000}"/>
    <cellStyle name="60% - 강조색6 35 10" xfId="13771" xr:uid="{00000000-0005-0000-0000-0000B42E0000}"/>
    <cellStyle name="60% - 강조색6 35 11" xfId="13772" xr:uid="{00000000-0005-0000-0000-0000B52E0000}"/>
    <cellStyle name="60% - 강조색6 35 12" xfId="13773" xr:uid="{00000000-0005-0000-0000-0000B62E0000}"/>
    <cellStyle name="60% - 강조색6 35 13" xfId="13774" xr:uid="{00000000-0005-0000-0000-0000B72E0000}"/>
    <cellStyle name="60% - 강조색6 35 14" xfId="13775" xr:uid="{00000000-0005-0000-0000-0000B82E0000}"/>
    <cellStyle name="60% - 강조색6 35 15" xfId="13770" xr:uid="{00000000-0005-0000-0000-0000B92E0000}"/>
    <cellStyle name="60% - 강조색6 35 16" xfId="27658" xr:uid="{00000000-0005-0000-0000-0000BA2E0000}"/>
    <cellStyle name="60% - 강조색6 35 2" xfId="1547" xr:uid="{00000000-0005-0000-0000-0000BB2E0000}"/>
    <cellStyle name="60% - 강조색6 35 2 2" xfId="13776" xr:uid="{00000000-0005-0000-0000-0000BC2E0000}"/>
    <cellStyle name="60% - 강조색6 35 3" xfId="13777" xr:uid="{00000000-0005-0000-0000-0000BD2E0000}"/>
    <cellStyle name="60% - 강조색6 35 4" xfId="13778" xr:uid="{00000000-0005-0000-0000-0000BE2E0000}"/>
    <cellStyle name="60% - 강조색6 35 5" xfId="13779" xr:uid="{00000000-0005-0000-0000-0000BF2E0000}"/>
    <cellStyle name="60% - 강조색6 35 6" xfId="13780" xr:uid="{00000000-0005-0000-0000-0000C02E0000}"/>
    <cellStyle name="60% - 강조색6 35 7" xfId="13781" xr:uid="{00000000-0005-0000-0000-0000C12E0000}"/>
    <cellStyle name="60% - 강조색6 35 8" xfId="13782" xr:uid="{00000000-0005-0000-0000-0000C22E0000}"/>
    <cellStyle name="60% - 강조색6 35 9" xfId="13783" xr:uid="{00000000-0005-0000-0000-0000C32E0000}"/>
    <cellStyle name="60% - 강조색6 36" xfId="1548" xr:uid="{00000000-0005-0000-0000-0000C42E0000}"/>
    <cellStyle name="60% - 강조색6 36 10" xfId="13785" xr:uid="{00000000-0005-0000-0000-0000C52E0000}"/>
    <cellStyle name="60% - 강조색6 36 11" xfId="13786" xr:uid="{00000000-0005-0000-0000-0000C62E0000}"/>
    <cellStyle name="60% - 강조색6 36 12" xfId="13787" xr:uid="{00000000-0005-0000-0000-0000C72E0000}"/>
    <cellStyle name="60% - 강조색6 36 13" xfId="13788" xr:uid="{00000000-0005-0000-0000-0000C82E0000}"/>
    <cellStyle name="60% - 강조색6 36 14" xfId="13789" xr:uid="{00000000-0005-0000-0000-0000C92E0000}"/>
    <cellStyle name="60% - 강조색6 36 15" xfId="13784" xr:uid="{00000000-0005-0000-0000-0000CA2E0000}"/>
    <cellStyle name="60% - 강조색6 36 16" xfId="27657" xr:uid="{00000000-0005-0000-0000-0000CB2E0000}"/>
    <cellStyle name="60% - 강조색6 36 2" xfId="1549" xr:uid="{00000000-0005-0000-0000-0000CC2E0000}"/>
    <cellStyle name="60% - 강조색6 36 2 2" xfId="13790" xr:uid="{00000000-0005-0000-0000-0000CD2E0000}"/>
    <cellStyle name="60% - 강조색6 36 3" xfId="13791" xr:uid="{00000000-0005-0000-0000-0000CE2E0000}"/>
    <cellStyle name="60% - 강조색6 36 4" xfId="13792" xr:uid="{00000000-0005-0000-0000-0000CF2E0000}"/>
    <cellStyle name="60% - 강조색6 36 5" xfId="13793" xr:uid="{00000000-0005-0000-0000-0000D02E0000}"/>
    <cellStyle name="60% - 강조색6 36 6" xfId="13794" xr:uid="{00000000-0005-0000-0000-0000D12E0000}"/>
    <cellStyle name="60% - 강조색6 36 7" xfId="13795" xr:uid="{00000000-0005-0000-0000-0000D22E0000}"/>
    <cellStyle name="60% - 강조색6 36 8" xfId="13796" xr:uid="{00000000-0005-0000-0000-0000D32E0000}"/>
    <cellStyle name="60% - 강조색6 36 9" xfId="13797" xr:uid="{00000000-0005-0000-0000-0000D42E0000}"/>
    <cellStyle name="60% - 강조색6 37" xfId="1550" xr:uid="{00000000-0005-0000-0000-0000D52E0000}"/>
    <cellStyle name="60% - 강조색6 37 10" xfId="13799" xr:uid="{00000000-0005-0000-0000-0000D62E0000}"/>
    <cellStyle name="60% - 강조색6 37 11" xfId="13800" xr:uid="{00000000-0005-0000-0000-0000D72E0000}"/>
    <cellStyle name="60% - 강조색6 37 12" xfId="13801" xr:uid="{00000000-0005-0000-0000-0000D82E0000}"/>
    <cellStyle name="60% - 강조색6 37 13" xfId="13802" xr:uid="{00000000-0005-0000-0000-0000D92E0000}"/>
    <cellStyle name="60% - 강조색6 37 14" xfId="13803" xr:uid="{00000000-0005-0000-0000-0000DA2E0000}"/>
    <cellStyle name="60% - 강조색6 37 15" xfId="13798" xr:uid="{00000000-0005-0000-0000-0000DB2E0000}"/>
    <cellStyle name="60% - 강조색6 37 16" xfId="27656" xr:uid="{00000000-0005-0000-0000-0000DC2E0000}"/>
    <cellStyle name="60% - 강조색6 37 2" xfId="1551" xr:uid="{00000000-0005-0000-0000-0000DD2E0000}"/>
    <cellStyle name="60% - 강조색6 37 2 2" xfId="13804" xr:uid="{00000000-0005-0000-0000-0000DE2E0000}"/>
    <cellStyle name="60% - 강조색6 37 3" xfId="13805" xr:uid="{00000000-0005-0000-0000-0000DF2E0000}"/>
    <cellStyle name="60% - 강조색6 37 4" xfId="13806" xr:uid="{00000000-0005-0000-0000-0000E02E0000}"/>
    <cellStyle name="60% - 강조색6 37 5" xfId="13807" xr:uid="{00000000-0005-0000-0000-0000E12E0000}"/>
    <cellStyle name="60% - 강조색6 37 6" xfId="13808" xr:uid="{00000000-0005-0000-0000-0000E22E0000}"/>
    <cellStyle name="60% - 강조색6 37 7" xfId="13809" xr:uid="{00000000-0005-0000-0000-0000E32E0000}"/>
    <cellStyle name="60% - 강조색6 37 8" xfId="13810" xr:uid="{00000000-0005-0000-0000-0000E42E0000}"/>
    <cellStyle name="60% - 강조색6 37 9" xfId="13811" xr:uid="{00000000-0005-0000-0000-0000E52E0000}"/>
    <cellStyle name="60% - 강조색6 38" xfId="1552" xr:uid="{00000000-0005-0000-0000-0000E62E0000}"/>
    <cellStyle name="60% - 강조색6 38 10" xfId="13813" xr:uid="{00000000-0005-0000-0000-0000E72E0000}"/>
    <cellStyle name="60% - 강조색6 38 11" xfId="13814" xr:uid="{00000000-0005-0000-0000-0000E82E0000}"/>
    <cellStyle name="60% - 강조색6 38 12" xfId="13815" xr:uid="{00000000-0005-0000-0000-0000E92E0000}"/>
    <cellStyle name="60% - 강조색6 38 13" xfId="13816" xr:uid="{00000000-0005-0000-0000-0000EA2E0000}"/>
    <cellStyle name="60% - 강조색6 38 14" xfId="13817" xr:uid="{00000000-0005-0000-0000-0000EB2E0000}"/>
    <cellStyle name="60% - 강조색6 38 15" xfId="13812" xr:uid="{00000000-0005-0000-0000-0000EC2E0000}"/>
    <cellStyle name="60% - 강조색6 38 16" xfId="27655" xr:uid="{00000000-0005-0000-0000-0000ED2E0000}"/>
    <cellStyle name="60% - 강조색6 38 2" xfId="1553" xr:uid="{00000000-0005-0000-0000-0000EE2E0000}"/>
    <cellStyle name="60% - 강조색6 38 2 2" xfId="13818" xr:uid="{00000000-0005-0000-0000-0000EF2E0000}"/>
    <cellStyle name="60% - 강조색6 38 3" xfId="13819" xr:uid="{00000000-0005-0000-0000-0000F02E0000}"/>
    <cellStyle name="60% - 강조색6 38 4" xfId="13820" xr:uid="{00000000-0005-0000-0000-0000F12E0000}"/>
    <cellStyle name="60% - 강조색6 38 5" xfId="13821" xr:uid="{00000000-0005-0000-0000-0000F22E0000}"/>
    <cellStyle name="60% - 강조색6 38 6" xfId="13822" xr:uid="{00000000-0005-0000-0000-0000F32E0000}"/>
    <cellStyle name="60% - 강조색6 38 7" xfId="13823" xr:uid="{00000000-0005-0000-0000-0000F42E0000}"/>
    <cellStyle name="60% - 강조색6 38 8" xfId="13824" xr:uid="{00000000-0005-0000-0000-0000F52E0000}"/>
    <cellStyle name="60% - 강조색6 38 9" xfId="13825" xr:uid="{00000000-0005-0000-0000-0000F62E0000}"/>
    <cellStyle name="60% - 강조색6 39" xfId="1554" xr:uid="{00000000-0005-0000-0000-0000F72E0000}"/>
    <cellStyle name="60% - 강조색6 39 10" xfId="13827" xr:uid="{00000000-0005-0000-0000-0000F82E0000}"/>
    <cellStyle name="60% - 강조색6 39 11" xfId="13828" xr:uid="{00000000-0005-0000-0000-0000F92E0000}"/>
    <cellStyle name="60% - 강조색6 39 12" xfId="13829" xr:uid="{00000000-0005-0000-0000-0000FA2E0000}"/>
    <cellStyle name="60% - 강조색6 39 13" xfId="13830" xr:uid="{00000000-0005-0000-0000-0000FB2E0000}"/>
    <cellStyle name="60% - 강조색6 39 14" xfId="13831" xr:uid="{00000000-0005-0000-0000-0000FC2E0000}"/>
    <cellStyle name="60% - 강조색6 39 15" xfId="13826" xr:uid="{00000000-0005-0000-0000-0000FD2E0000}"/>
    <cellStyle name="60% - 강조색6 39 16" xfId="27654" xr:uid="{00000000-0005-0000-0000-0000FE2E0000}"/>
    <cellStyle name="60% - 강조색6 39 2" xfId="1555" xr:uid="{00000000-0005-0000-0000-0000FF2E0000}"/>
    <cellStyle name="60% - 강조색6 39 2 2" xfId="13832" xr:uid="{00000000-0005-0000-0000-0000002F0000}"/>
    <cellStyle name="60% - 강조색6 39 3" xfId="13833" xr:uid="{00000000-0005-0000-0000-0000012F0000}"/>
    <cellStyle name="60% - 강조색6 39 4" xfId="13834" xr:uid="{00000000-0005-0000-0000-0000022F0000}"/>
    <cellStyle name="60% - 강조색6 39 5" xfId="13835" xr:uid="{00000000-0005-0000-0000-0000032F0000}"/>
    <cellStyle name="60% - 강조색6 39 6" xfId="13836" xr:uid="{00000000-0005-0000-0000-0000042F0000}"/>
    <cellStyle name="60% - 강조색6 39 7" xfId="13837" xr:uid="{00000000-0005-0000-0000-0000052F0000}"/>
    <cellStyle name="60% - 강조색6 39 8" xfId="13838" xr:uid="{00000000-0005-0000-0000-0000062F0000}"/>
    <cellStyle name="60% - 강조색6 39 9" xfId="13839" xr:uid="{00000000-0005-0000-0000-0000072F0000}"/>
    <cellStyle name="60% - 강조색6 4" xfId="1556" xr:uid="{00000000-0005-0000-0000-0000082F0000}"/>
    <cellStyle name="60% - 강조색6 4 10" xfId="13841" xr:uid="{00000000-0005-0000-0000-0000092F0000}"/>
    <cellStyle name="60% - 강조색6 4 11" xfId="13842" xr:uid="{00000000-0005-0000-0000-00000A2F0000}"/>
    <cellStyle name="60% - 강조색6 4 12" xfId="13843" xr:uid="{00000000-0005-0000-0000-00000B2F0000}"/>
    <cellStyle name="60% - 강조색6 4 13" xfId="13844" xr:uid="{00000000-0005-0000-0000-00000C2F0000}"/>
    <cellStyle name="60% - 강조색6 4 14" xfId="13845" xr:uid="{00000000-0005-0000-0000-00000D2F0000}"/>
    <cellStyle name="60% - 강조색6 4 15" xfId="13840" xr:uid="{00000000-0005-0000-0000-00000E2F0000}"/>
    <cellStyle name="60% - 강조색6 4 16" xfId="27653" xr:uid="{00000000-0005-0000-0000-00000F2F0000}"/>
    <cellStyle name="60% - 강조색6 4 17" xfId="27868" xr:uid="{00000000-0005-0000-0000-0000102F0000}"/>
    <cellStyle name="60% - 강조색6 4 2" xfId="1557" xr:uid="{00000000-0005-0000-0000-0000112F0000}"/>
    <cellStyle name="60% - 강조색6 4 2 2" xfId="13846" xr:uid="{00000000-0005-0000-0000-0000122F0000}"/>
    <cellStyle name="60% - 강조색6 4 3" xfId="13847" xr:uid="{00000000-0005-0000-0000-0000132F0000}"/>
    <cellStyle name="60% - 강조색6 4 4" xfId="13848" xr:uid="{00000000-0005-0000-0000-0000142F0000}"/>
    <cellStyle name="60% - 강조색6 4 5" xfId="13849" xr:uid="{00000000-0005-0000-0000-0000152F0000}"/>
    <cellStyle name="60% - 강조색6 4 6" xfId="13850" xr:uid="{00000000-0005-0000-0000-0000162F0000}"/>
    <cellStyle name="60% - 강조색6 4 7" xfId="13851" xr:uid="{00000000-0005-0000-0000-0000172F0000}"/>
    <cellStyle name="60% - 강조색6 4 8" xfId="13852" xr:uid="{00000000-0005-0000-0000-0000182F0000}"/>
    <cellStyle name="60% - 강조색6 4 9" xfId="13853" xr:uid="{00000000-0005-0000-0000-0000192F0000}"/>
    <cellStyle name="60% - 강조색6 40" xfId="1558" xr:uid="{00000000-0005-0000-0000-00001A2F0000}"/>
    <cellStyle name="60% - 강조색6 40 10" xfId="13855" xr:uid="{00000000-0005-0000-0000-00001B2F0000}"/>
    <cellStyle name="60% - 강조색6 40 11" xfId="13856" xr:uid="{00000000-0005-0000-0000-00001C2F0000}"/>
    <cellStyle name="60% - 강조색6 40 12" xfId="13857" xr:uid="{00000000-0005-0000-0000-00001D2F0000}"/>
    <cellStyle name="60% - 강조색6 40 13" xfId="13858" xr:uid="{00000000-0005-0000-0000-00001E2F0000}"/>
    <cellStyle name="60% - 강조색6 40 14" xfId="13859" xr:uid="{00000000-0005-0000-0000-00001F2F0000}"/>
    <cellStyle name="60% - 강조색6 40 15" xfId="13854" xr:uid="{00000000-0005-0000-0000-0000202F0000}"/>
    <cellStyle name="60% - 강조색6 40 16" xfId="27652" xr:uid="{00000000-0005-0000-0000-0000212F0000}"/>
    <cellStyle name="60% - 강조색6 40 2" xfId="1559" xr:uid="{00000000-0005-0000-0000-0000222F0000}"/>
    <cellStyle name="60% - 강조색6 40 2 2" xfId="13860" xr:uid="{00000000-0005-0000-0000-0000232F0000}"/>
    <cellStyle name="60% - 강조색6 40 3" xfId="13861" xr:uid="{00000000-0005-0000-0000-0000242F0000}"/>
    <cellStyle name="60% - 강조색6 40 4" xfId="13862" xr:uid="{00000000-0005-0000-0000-0000252F0000}"/>
    <cellStyle name="60% - 강조색6 40 5" xfId="13863" xr:uid="{00000000-0005-0000-0000-0000262F0000}"/>
    <cellStyle name="60% - 강조색6 40 6" xfId="13864" xr:uid="{00000000-0005-0000-0000-0000272F0000}"/>
    <cellStyle name="60% - 강조색6 40 7" xfId="13865" xr:uid="{00000000-0005-0000-0000-0000282F0000}"/>
    <cellStyle name="60% - 강조색6 40 8" xfId="13866" xr:uid="{00000000-0005-0000-0000-0000292F0000}"/>
    <cellStyle name="60% - 강조색6 40 9" xfId="13867" xr:uid="{00000000-0005-0000-0000-00002A2F0000}"/>
    <cellStyle name="60% - 강조색6 41" xfId="1560" xr:uid="{00000000-0005-0000-0000-00002B2F0000}"/>
    <cellStyle name="60% - 강조색6 41 10" xfId="13869" xr:uid="{00000000-0005-0000-0000-00002C2F0000}"/>
    <cellStyle name="60% - 강조색6 41 11" xfId="13870" xr:uid="{00000000-0005-0000-0000-00002D2F0000}"/>
    <cellStyle name="60% - 강조색6 41 12" xfId="13871" xr:uid="{00000000-0005-0000-0000-00002E2F0000}"/>
    <cellStyle name="60% - 강조색6 41 13" xfId="13872" xr:uid="{00000000-0005-0000-0000-00002F2F0000}"/>
    <cellStyle name="60% - 강조색6 41 14" xfId="13873" xr:uid="{00000000-0005-0000-0000-0000302F0000}"/>
    <cellStyle name="60% - 강조색6 41 15" xfId="13868" xr:uid="{00000000-0005-0000-0000-0000312F0000}"/>
    <cellStyle name="60% - 강조색6 41 16" xfId="27651" xr:uid="{00000000-0005-0000-0000-0000322F0000}"/>
    <cellStyle name="60% - 강조색6 41 2" xfId="1561" xr:uid="{00000000-0005-0000-0000-0000332F0000}"/>
    <cellStyle name="60% - 강조색6 41 2 2" xfId="13874" xr:uid="{00000000-0005-0000-0000-0000342F0000}"/>
    <cellStyle name="60% - 강조색6 41 3" xfId="13875" xr:uid="{00000000-0005-0000-0000-0000352F0000}"/>
    <cellStyle name="60% - 강조색6 41 4" xfId="13876" xr:uid="{00000000-0005-0000-0000-0000362F0000}"/>
    <cellStyle name="60% - 강조색6 41 5" xfId="13877" xr:uid="{00000000-0005-0000-0000-0000372F0000}"/>
    <cellStyle name="60% - 강조색6 41 6" xfId="13878" xr:uid="{00000000-0005-0000-0000-0000382F0000}"/>
    <cellStyle name="60% - 강조색6 41 7" xfId="13879" xr:uid="{00000000-0005-0000-0000-0000392F0000}"/>
    <cellStyle name="60% - 강조색6 41 8" xfId="13880" xr:uid="{00000000-0005-0000-0000-00003A2F0000}"/>
    <cellStyle name="60% - 강조색6 41 9" xfId="13881" xr:uid="{00000000-0005-0000-0000-00003B2F0000}"/>
    <cellStyle name="60% - 강조색6 42" xfId="1562" xr:uid="{00000000-0005-0000-0000-00003C2F0000}"/>
    <cellStyle name="60% - 강조색6 42 10" xfId="13883" xr:uid="{00000000-0005-0000-0000-00003D2F0000}"/>
    <cellStyle name="60% - 강조색6 42 11" xfId="13884" xr:uid="{00000000-0005-0000-0000-00003E2F0000}"/>
    <cellStyle name="60% - 강조색6 42 12" xfId="13885" xr:uid="{00000000-0005-0000-0000-00003F2F0000}"/>
    <cellStyle name="60% - 강조색6 42 13" xfId="13886" xr:uid="{00000000-0005-0000-0000-0000402F0000}"/>
    <cellStyle name="60% - 강조색6 42 14" xfId="13887" xr:uid="{00000000-0005-0000-0000-0000412F0000}"/>
    <cellStyle name="60% - 강조색6 42 15" xfId="13882" xr:uid="{00000000-0005-0000-0000-0000422F0000}"/>
    <cellStyle name="60% - 강조색6 42 16" xfId="27650" xr:uid="{00000000-0005-0000-0000-0000432F0000}"/>
    <cellStyle name="60% - 강조색6 42 2" xfId="1563" xr:uid="{00000000-0005-0000-0000-0000442F0000}"/>
    <cellStyle name="60% - 강조색6 42 2 2" xfId="13888" xr:uid="{00000000-0005-0000-0000-0000452F0000}"/>
    <cellStyle name="60% - 강조색6 42 3" xfId="13889" xr:uid="{00000000-0005-0000-0000-0000462F0000}"/>
    <cellStyle name="60% - 강조색6 42 4" xfId="13890" xr:uid="{00000000-0005-0000-0000-0000472F0000}"/>
    <cellStyle name="60% - 강조색6 42 5" xfId="13891" xr:uid="{00000000-0005-0000-0000-0000482F0000}"/>
    <cellStyle name="60% - 강조색6 42 6" xfId="13892" xr:uid="{00000000-0005-0000-0000-0000492F0000}"/>
    <cellStyle name="60% - 강조색6 42 7" xfId="13893" xr:uid="{00000000-0005-0000-0000-00004A2F0000}"/>
    <cellStyle name="60% - 강조색6 42 8" xfId="13894" xr:uid="{00000000-0005-0000-0000-00004B2F0000}"/>
    <cellStyle name="60% - 강조색6 42 9" xfId="13895" xr:uid="{00000000-0005-0000-0000-00004C2F0000}"/>
    <cellStyle name="60% - 강조색6 43" xfId="1564" xr:uid="{00000000-0005-0000-0000-00004D2F0000}"/>
    <cellStyle name="60% - 강조색6 43 10" xfId="13897" xr:uid="{00000000-0005-0000-0000-00004E2F0000}"/>
    <cellStyle name="60% - 강조색6 43 11" xfId="13898" xr:uid="{00000000-0005-0000-0000-00004F2F0000}"/>
    <cellStyle name="60% - 강조색6 43 12" xfId="13899" xr:uid="{00000000-0005-0000-0000-0000502F0000}"/>
    <cellStyle name="60% - 강조색6 43 13" xfId="13900" xr:uid="{00000000-0005-0000-0000-0000512F0000}"/>
    <cellStyle name="60% - 강조색6 43 14" xfId="13901" xr:uid="{00000000-0005-0000-0000-0000522F0000}"/>
    <cellStyle name="60% - 강조색6 43 15" xfId="13896" xr:uid="{00000000-0005-0000-0000-0000532F0000}"/>
    <cellStyle name="60% - 강조색6 43 16" xfId="27649" xr:uid="{00000000-0005-0000-0000-0000542F0000}"/>
    <cellStyle name="60% - 강조색6 43 2" xfId="1565" xr:uid="{00000000-0005-0000-0000-0000552F0000}"/>
    <cellStyle name="60% - 강조색6 43 2 2" xfId="13902" xr:uid="{00000000-0005-0000-0000-0000562F0000}"/>
    <cellStyle name="60% - 강조색6 43 3" xfId="13903" xr:uid="{00000000-0005-0000-0000-0000572F0000}"/>
    <cellStyle name="60% - 강조색6 43 4" xfId="13904" xr:uid="{00000000-0005-0000-0000-0000582F0000}"/>
    <cellStyle name="60% - 강조색6 43 5" xfId="13905" xr:uid="{00000000-0005-0000-0000-0000592F0000}"/>
    <cellStyle name="60% - 강조색6 43 6" xfId="13906" xr:uid="{00000000-0005-0000-0000-00005A2F0000}"/>
    <cellStyle name="60% - 강조색6 43 7" xfId="13907" xr:uid="{00000000-0005-0000-0000-00005B2F0000}"/>
    <cellStyle name="60% - 강조색6 43 8" xfId="13908" xr:uid="{00000000-0005-0000-0000-00005C2F0000}"/>
    <cellStyle name="60% - 강조색6 43 9" xfId="13909" xr:uid="{00000000-0005-0000-0000-00005D2F0000}"/>
    <cellStyle name="60% - 강조색6 44" xfId="1566" xr:uid="{00000000-0005-0000-0000-00005E2F0000}"/>
    <cellStyle name="60% - 강조색6 44 2" xfId="13910" xr:uid="{00000000-0005-0000-0000-00005F2F0000}"/>
    <cellStyle name="60% - 강조색6 44 3" xfId="27648" xr:uid="{00000000-0005-0000-0000-0000602F0000}"/>
    <cellStyle name="60% - 강조색6 45" xfId="1567" xr:uid="{00000000-0005-0000-0000-0000612F0000}"/>
    <cellStyle name="60% - 강조색6 45 2" xfId="13911" xr:uid="{00000000-0005-0000-0000-0000622F0000}"/>
    <cellStyle name="60% - 강조색6 45 3" xfId="27647" xr:uid="{00000000-0005-0000-0000-0000632F0000}"/>
    <cellStyle name="60% - 강조색6 46" xfId="1491" xr:uid="{00000000-0005-0000-0000-0000642F0000}"/>
    <cellStyle name="60% - 강조색6 47" xfId="13391" xr:uid="{00000000-0005-0000-0000-0000652F0000}"/>
    <cellStyle name="60% - 강조색6 48" xfId="27686" xr:uid="{00000000-0005-0000-0000-0000662F0000}"/>
    <cellStyle name="60% - 강조색6 5" xfId="1568" xr:uid="{00000000-0005-0000-0000-0000672F0000}"/>
    <cellStyle name="60% - 강조색6 5 10" xfId="13913" xr:uid="{00000000-0005-0000-0000-0000682F0000}"/>
    <cellStyle name="60% - 강조색6 5 11" xfId="13914" xr:uid="{00000000-0005-0000-0000-0000692F0000}"/>
    <cellStyle name="60% - 강조색6 5 12" xfId="13915" xr:uid="{00000000-0005-0000-0000-00006A2F0000}"/>
    <cellStyle name="60% - 강조색6 5 13" xfId="13916" xr:uid="{00000000-0005-0000-0000-00006B2F0000}"/>
    <cellStyle name="60% - 강조색6 5 14" xfId="13917" xr:uid="{00000000-0005-0000-0000-00006C2F0000}"/>
    <cellStyle name="60% - 강조색6 5 15" xfId="13912" xr:uid="{00000000-0005-0000-0000-00006D2F0000}"/>
    <cellStyle name="60% - 강조색6 5 16" xfId="27646" xr:uid="{00000000-0005-0000-0000-00006E2F0000}"/>
    <cellStyle name="60% - 강조색6 5 2" xfId="1569" xr:uid="{00000000-0005-0000-0000-00006F2F0000}"/>
    <cellStyle name="60% - 강조색6 5 2 2" xfId="13918" xr:uid="{00000000-0005-0000-0000-0000702F0000}"/>
    <cellStyle name="60% - 강조색6 5 3" xfId="13919" xr:uid="{00000000-0005-0000-0000-0000712F0000}"/>
    <cellStyle name="60% - 강조색6 5 4" xfId="13920" xr:uid="{00000000-0005-0000-0000-0000722F0000}"/>
    <cellStyle name="60% - 강조색6 5 5" xfId="13921" xr:uid="{00000000-0005-0000-0000-0000732F0000}"/>
    <cellStyle name="60% - 강조색6 5 6" xfId="13922" xr:uid="{00000000-0005-0000-0000-0000742F0000}"/>
    <cellStyle name="60% - 강조색6 5 7" xfId="13923" xr:uid="{00000000-0005-0000-0000-0000752F0000}"/>
    <cellStyle name="60% - 강조색6 5 8" xfId="13924" xr:uid="{00000000-0005-0000-0000-0000762F0000}"/>
    <cellStyle name="60% - 강조색6 5 9" xfId="13925" xr:uid="{00000000-0005-0000-0000-0000772F0000}"/>
    <cellStyle name="60% - 강조색6 6" xfId="1570" xr:uid="{00000000-0005-0000-0000-0000782F0000}"/>
    <cellStyle name="60% - 강조색6 6 10" xfId="13927" xr:uid="{00000000-0005-0000-0000-0000792F0000}"/>
    <cellStyle name="60% - 강조색6 6 11" xfId="13928" xr:uid="{00000000-0005-0000-0000-00007A2F0000}"/>
    <cellStyle name="60% - 강조색6 6 12" xfId="13929" xr:uid="{00000000-0005-0000-0000-00007B2F0000}"/>
    <cellStyle name="60% - 강조색6 6 13" xfId="13930" xr:uid="{00000000-0005-0000-0000-00007C2F0000}"/>
    <cellStyle name="60% - 강조색6 6 14" xfId="13931" xr:uid="{00000000-0005-0000-0000-00007D2F0000}"/>
    <cellStyle name="60% - 강조색6 6 15" xfId="13926" xr:uid="{00000000-0005-0000-0000-00007E2F0000}"/>
    <cellStyle name="60% - 강조색6 6 16" xfId="27645" xr:uid="{00000000-0005-0000-0000-00007F2F0000}"/>
    <cellStyle name="60% - 강조색6 6 2" xfId="1571" xr:uid="{00000000-0005-0000-0000-0000802F0000}"/>
    <cellStyle name="60% - 강조색6 6 2 2" xfId="13932" xr:uid="{00000000-0005-0000-0000-0000812F0000}"/>
    <cellStyle name="60% - 강조색6 6 3" xfId="13933" xr:uid="{00000000-0005-0000-0000-0000822F0000}"/>
    <cellStyle name="60% - 강조색6 6 4" xfId="13934" xr:uid="{00000000-0005-0000-0000-0000832F0000}"/>
    <cellStyle name="60% - 강조색6 6 5" xfId="13935" xr:uid="{00000000-0005-0000-0000-0000842F0000}"/>
    <cellStyle name="60% - 강조색6 6 6" xfId="13936" xr:uid="{00000000-0005-0000-0000-0000852F0000}"/>
    <cellStyle name="60% - 강조색6 6 7" xfId="13937" xr:uid="{00000000-0005-0000-0000-0000862F0000}"/>
    <cellStyle name="60% - 강조색6 6 8" xfId="13938" xr:uid="{00000000-0005-0000-0000-0000872F0000}"/>
    <cellStyle name="60% - 강조색6 6 9" xfId="13939" xr:uid="{00000000-0005-0000-0000-0000882F0000}"/>
    <cellStyle name="60% - 강조색6 7" xfId="1572" xr:uid="{00000000-0005-0000-0000-0000892F0000}"/>
    <cellStyle name="60% - 강조색6 7 10" xfId="13941" xr:uid="{00000000-0005-0000-0000-00008A2F0000}"/>
    <cellStyle name="60% - 강조색6 7 11" xfId="13942" xr:uid="{00000000-0005-0000-0000-00008B2F0000}"/>
    <cellStyle name="60% - 강조색6 7 12" xfId="13943" xr:uid="{00000000-0005-0000-0000-00008C2F0000}"/>
    <cellStyle name="60% - 강조색6 7 13" xfId="13944" xr:uid="{00000000-0005-0000-0000-00008D2F0000}"/>
    <cellStyle name="60% - 강조색6 7 14" xfId="13945" xr:uid="{00000000-0005-0000-0000-00008E2F0000}"/>
    <cellStyle name="60% - 강조색6 7 15" xfId="13940" xr:uid="{00000000-0005-0000-0000-00008F2F0000}"/>
    <cellStyle name="60% - 강조색6 7 16" xfId="27644" xr:uid="{00000000-0005-0000-0000-0000902F0000}"/>
    <cellStyle name="60% - 강조색6 7 2" xfId="1573" xr:uid="{00000000-0005-0000-0000-0000912F0000}"/>
    <cellStyle name="60% - 강조색6 7 2 2" xfId="13946" xr:uid="{00000000-0005-0000-0000-0000922F0000}"/>
    <cellStyle name="60% - 강조색6 7 3" xfId="13947" xr:uid="{00000000-0005-0000-0000-0000932F0000}"/>
    <cellStyle name="60% - 강조색6 7 4" xfId="13948" xr:uid="{00000000-0005-0000-0000-0000942F0000}"/>
    <cellStyle name="60% - 강조색6 7 5" xfId="13949" xr:uid="{00000000-0005-0000-0000-0000952F0000}"/>
    <cellStyle name="60% - 강조색6 7 6" xfId="13950" xr:uid="{00000000-0005-0000-0000-0000962F0000}"/>
    <cellStyle name="60% - 강조색6 7 7" xfId="13951" xr:uid="{00000000-0005-0000-0000-0000972F0000}"/>
    <cellStyle name="60% - 강조색6 7 8" xfId="13952" xr:uid="{00000000-0005-0000-0000-0000982F0000}"/>
    <cellStyle name="60% - 강조색6 7 9" xfId="13953" xr:uid="{00000000-0005-0000-0000-0000992F0000}"/>
    <cellStyle name="60% - 강조색6 8" xfId="1574" xr:uid="{00000000-0005-0000-0000-00009A2F0000}"/>
    <cellStyle name="60% - 강조색6 8 10" xfId="13955" xr:uid="{00000000-0005-0000-0000-00009B2F0000}"/>
    <cellStyle name="60% - 강조색6 8 11" xfId="13956" xr:uid="{00000000-0005-0000-0000-00009C2F0000}"/>
    <cellStyle name="60% - 강조색6 8 12" xfId="13957" xr:uid="{00000000-0005-0000-0000-00009D2F0000}"/>
    <cellStyle name="60% - 강조색6 8 13" xfId="13958" xr:uid="{00000000-0005-0000-0000-00009E2F0000}"/>
    <cellStyle name="60% - 강조색6 8 14" xfId="13959" xr:uid="{00000000-0005-0000-0000-00009F2F0000}"/>
    <cellStyle name="60% - 강조색6 8 15" xfId="13954" xr:uid="{00000000-0005-0000-0000-0000A02F0000}"/>
    <cellStyle name="60% - 강조색6 8 16" xfId="27643" xr:uid="{00000000-0005-0000-0000-0000A12F0000}"/>
    <cellStyle name="60% - 강조색6 8 2" xfId="1575" xr:uid="{00000000-0005-0000-0000-0000A22F0000}"/>
    <cellStyle name="60% - 강조색6 8 2 2" xfId="13960" xr:uid="{00000000-0005-0000-0000-0000A32F0000}"/>
    <cellStyle name="60% - 강조색6 8 3" xfId="13961" xr:uid="{00000000-0005-0000-0000-0000A42F0000}"/>
    <cellStyle name="60% - 강조색6 8 4" xfId="13962" xr:uid="{00000000-0005-0000-0000-0000A52F0000}"/>
    <cellStyle name="60% - 강조색6 8 5" xfId="13963" xr:uid="{00000000-0005-0000-0000-0000A62F0000}"/>
    <cellStyle name="60% - 강조색6 8 6" xfId="13964" xr:uid="{00000000-0005-0000-0000-0000A72F0000}"/>
    <cellStyle name="60% - 강조색6 8 7" xfId="13965" xr:uid="{00000000-0005-0000-0000-0000A82F0000}"/>
    <cellStyle name="60% - 강조색6 8 8" xfId="13966" xr:uid="{00000000-0005-0000-0000-0000A92F0000}"/>
    <cellStyle name="60% - 강조색6 8 9" xfId="13967" xr:uid="{00000000-0005-0000-0000-0000AA2F0000}"/>
    <cellStyle name="60% - 강조색6 9" xfId="1576" xr:uid="{00000000-0005-0000-0000-0000AB2F0000}"/>
    <cellStyle name="60% - 강조색6 9 10" xfId="13969" xr:uid="{00000000-0005-0000-0000-0000AC2F0000}"/>
    <cellStyle name="60% - 강조색6 9 11" xfId="13970" xr:uid="{00000000-0005-0000-0000-0000AD2F0000}"/>
    <cellStyle name="60% - 강조색6 9 12" xfId="13971" xr:uid="{00000000-0005-0000-0000-0000AE2F0000}"/>
    <cellStyle name="60% - 강조색6 9 13" xfId="13972" xr:uid="{00000000-0005-0000-0000-0000AF2F0000}"/>
    <cellStyle name="60% - 강조색6 9 14" xfId="13973" xr:uid="{00000000-0005-0000-0000-0000B02F0000}"/>
    <cellStyle name="60% - 강조색6 9 15" xfId="13968" xr:uid="{00000000-0005-0000-0000-0000B12F0000}"/>
    <cellStyle name="60% - 강조색6 9 16" xfId="27642" xr:uid="{00000000-0005-0000-0000-0000B22F0000}"/>
    <cellStyle name="60% - 강조색6 9 2" xfId="1577" xr:uid="{00000000-0005-0000-0000-0000B32F0000}"/>
    <cellStyle name="60% - 강조색6 9 2 2" xfId="13974" xr:uid="{00000000-0005-0000-0000-0000B42F0000}"/>
    <cellStyle name="60% - 강조색6 9 3" xfId="13975" xr:uid="{00000000-0005-0000-0000-0000B52F0000}"/>
    <cellStyle name="60% - 강조색6 9 4" xfId="13976" xr:uid="{00000000-0005-0000-0000-0000B62F0000}"/>
    <cellStyle name="60% - 강조색6 9 5" xfId="13977" xr:uid="{00000000-0005-0000-0000-0000B72F0000}"/>
    <cellStyle name="60% - 강조색6 9 6" xfId="13978" xr:uid="{00000000-0005-0000-0000-0000B82F0000}"/>
    <cellStyle name="60% - 강조색6 9 7" xfId="13979" xr:uid="{00000000-0005-0000-0000-0000B92F0000}"/>
    <cellStyle name="60% - 강조색6 9 8" xfId="13980" xr:uid="{00000000-0005-0000-0000-0000BA2F0000}"/>
    <cellStyle name="60% - 강조색6 9 9" xfId="13981" xr:uid="{00000000-0005-0000-0000-0000BB2F0000}"/>
    <cellStyle name="Accent1" xfId="27525" xr:uid="{00000000-0005-0000-0000-0000BC2F0000}"/>
    <cellStyle name="Accent2" xfId="27524" xr:uid="{00000000-0005-0000-0000-0000BD2F0000}"/>
    <cellStyle name="Accent3" xfId="27523" xr:uid="{00000000-0005-0000-0000-0000BE2F0000}"/>
    <cellStyle name="Accent4" xfId="27522" xr:uid="{00000000-0005-0000-0000-0000BF2F0000}"/>
    <cellStyle name="Accent5" xfId="27521" xr:uid="{00000000-0005-0000-0000-0000C02F0000}"/>
    <cellStyle name="Accent6" xfId="27520" xr:uid="{00000000-0005-0000-0000-0000C12F0000}"/>
    <cellStyle name="ÅëÈ­ [0]_### DA LIST ### (2) " xfId="28160" xr:uid="{00000000-0005-0000-0000-0000C22F0000}"/>
    <cellStyle name="AeE­ [0]_°e¾aLIST " xfId="28161" xr:uid="{00000000-0005-0000-0000-0000C32F0000}"/>
    <cellStyle name="ÅëÈ­_### DA LIST ### (2) " xfId="28162" xr:uid="{00000000-0005-0000-0000-0000C42F0000}"/>
    <cellStyle name="AeE­_°e¾aLIST " xfId="28163" xr:uid="{00000000-0005-0000-0000-0000C52F0000}"/>
    <cellStyle name="Æû¼¾æ®" xfId="28164" xr:uid="{00000000-0005-0000-0000-0000C62F0000}"/>
    <cellStyle name="ÄÞ¸¶ [0]_### DA LIST ### (2) " xfId="28165" xr:uid="{00000000-0005-0000-0000-0000C72F0000}"/>
    <cellStyle name="AÞ¸¶ [0]_°e¾aLIST " xfId="28166" xr:uid="{00000000-0005-0000-0000-0000C82F0000}"/>
    <cellStyle name="ÄÞ¸¶_### DA LIST ### (2) " xfId="28167" xr:uid="{00000000-0005-0000-0000-0000C92F0000}"/>
    <cellStyle name="AÞ¸¶_°e¾aLIST " xfId="28168" xr:uid="{00000000-0005-0000-0000-0000CA2F0000}"/>
    <cellStyle name="Àú¸®¼ö" xfId="28169" xr:uid="{00000000-0005-0000-0000-0000CB2F0000}"/>
    <cellStyle name="Àú¸®¼ö0" xfId="28170" xr:uid="{00000000-0005-0000-0000-0000CC2F0000}"/>
    <cellStyle name="Bad" xfId="27519" xr:uid="{00000000-0005-0000-0000-0000CD2F0000}"/>
    <cellStyle name="Ç¥ÁØ_¿µ¾÷ÇöÈ² " xfId="28171" xr:uid="{00000000-0005-0000-0000-0000CE2F0000}"/>
    <cellStyle name="C￥AØ_±a¾E3¿u" xfId="28172" xr:uid="{00000000-0005-0000-0000-0000CF2F0000}"/>
    <cellStyle name="Ç¥ÁØ_±â¾È3¿ù" xfId="28173" xr:uid="{00000000-0005-0000-0000-0000D02F0000}"/>
    <cellStyle name="C￥AØ_¹°·uºn¿e2" xfId="28174" xr:uid="{00000000-0005-0000-0000-0000D12F0000}"/>
    <cellStyle name="Calculation" xfId="27518" xr:uid="{00000000-0005-0000-0000-0000D22F0000}"/>
    <cellStyle name="Calculation 2" xfId="28271" xr:uid="{00000000-0005-0000-0000-0000D32F0000}"/>
    <cellStyle name="category" xfId="27895" xr:uid="{00000000-0005-0000-0000-0000D42F0000}"/>
    <cellStyle name="Check Cell" xfId="27517" xr:uid="{00000000-0005-0000-0000-0000D52F0000}"/>
    <cellStyle name="Check Cell 2" xfId="28259" xr:uid="{00000000-0005-0000-0000-0000D62F0000}"/>
    <cellStyle name="Check Cell 3" xfId="28263" xr:uid="{00000000-0005-0000-0000-0000D72F0000}"/>
    <cellStyle name="Çõ»ê" xfId="28175" xr:uid="{00000000-0005-0000-0000-0000D82F0000}"/>
    <cellStyle name="Çõ»ê 2" xfId="28257" xr:uid="{00000000-0005-0000-0000-0000D92F0000}"/>
    <cellStyle name="Comma" xfId="28176" xr:uid="{00000000-0005-0000-0000-0000DA2F0000}"/>
    <cellStyle name="Comma [0]_ SG&amp;A Bridge " xfId="27896" xr:uid="{00000000-0005-0000-0000-0000DB2F0000}"/>
    <cellStyle name="Comma_ SG&amp;A Bridge " xfId="27897" xr:uid="{00000000-0005-0000-0000-0000DC2F0000}"/>
    <cellStyle name="Currency" xfId="28177" xr:uid="{00000000-0005-0000-0000-0000DD2F0000}"/>
    <cellStyle name="Currency [0]_ SG&amp;A Bridge " xfId="27898" xr:uid="{00000000-0005-0000-0000-0000DE2F0000}"/>
    <cellStyle name="Currency_ SG&amp;A Bridge " xfId="27899" xr:uid="{00000000-0005-0000-0000-0000DF2F0000}"/>
    <cellStyle name="Date" xfId="28178" xr:uid="{00000000-0005-0000-0000-0000E02F0000}"/>
    <cellStyle name="È­æó±âè£" xfId="28179" xr:uid="{00000000-0005-0000-0000-0000E12F0000}"/>
    <cellStyle name="È­æó±âè£0" xfId="28180" xr:uid="{00000000-0005-0000-0000-0000E22F0000}"/>
    <cellStyle name="Explanatory Text" xfId="27516" xr:uid="{00000000-0005-0000-0000-0000E32F0000}"/>
    <cellStyle name="Fixed" xfId="28181" xr:uid="{00000000-0005-0000-0000-0000E42F0000}"/>
    <cellStyle name="Good" xfId="27515" xr:uid="{00000000-0005-0000-0000-0000E52F0000}"/>
    <cellStyle name="Grey" xfId="27900" xr:uid="{00000000-0005-0000-0000-0000E62F0000}"/>
    <cellStyle name="HEADER" xfId="27901" xr:uid="{00000000-0005-0000-0000-0000E72F0000}"/>
    <cellStyle name="Header1" xfId="27902" xr:uid="{00000000-0005-0000-0000-0000E82F0000}"/>
    <cellStyle name="Header1 2" xfId="28182" xr:uid="{00000000-0005-0000-0000-0000E92F0000}"/>
    <cellStyle name="Header2" xfId="27903" xr:uid="{00000000-0005-0000-0000-0000EA2F0000}"/>
    <cellStyle name="Header2 2" xfId="28183" xr:uid="{00000000-0005-0000-0000-0000EB2F0000}"/>
    <cellStyle name="Header2 2 2" xfId="28239" xr:uid="{00000000-0005-0000-0000-0000EC2F0000}"/>
    <cellStyle name="Header2 3" xfId="28237" xr:uid="{00000000-0005-0000-0000-0000ED2F0000}"/>
    <cellStyle name="Heading 1" xfId="27514" xr:uid="{00000000-0005-0000-0000-0000EE2F0000}"/>
    <cellStyle name="Heading 2" xfId="27513" xr:uid="{00000000-0005-0000-0000-0000EF2F0000}"/>
    <cellStyle name="Heading 3" xfId="27512" xr:uid="{00000000-0005-0000-0000-0000F02F0000}"/>
    <cellStyle name="Heading 3 2" xfId="28270" xr:uid="{00000000-0005-0000-0000-0000F12F0000}"/>
    <cellStyle name="Heading 4" xfId="27511" xr:uid="{00000000-0005-0000-0000-0000F22F0000}"/>
    <cellStyle name="Heading1" xfId="28184" xr:uid="{00000000-0005-0000-0000-0000F32F0000}"/>
    <cellStyle name="Heading2" xfId="28185" xr:uid="{00000000-0005-0000-0000-0000F42F0000}"/>
    <cellStyle name="Input" xfId="27510" xr:uid="{00000000-0005-0000-0000-0000F52F0000}"/>
    <cellStyle name="Input [yellow]" xfId="27904" xr:uid="{00000000-0005-0000-0000-0000F62F0000}"/>
    <cellStyle name="Input [yellow] 2" xfId="28236" xr:uid="{00000000-0005-0000-0000-0000F72F0000}"/>
    <cellStyle name="Input 2" xfId="28269" xr:uid="{00000000-0005-0000-0000-0000F82F0000}"/>
    <cellStyle name="Input 3" xfId="28260" xr:uid="{00000000-0005-0000-0000-0000F92F0000}"/>
    <cellStyle name="Input 4" xfId="28262" xr:uid="{00000000-0005-0000-0000-0000FA2F0000}"/>
    <cellStyle name="Input 5" xfId="28261" xr:uid="{00000000-0005-0000-0000-0000FB2F0000}"/>
    <cellStyle name="Linked Cell" xfId="27509" xr:uid="{00000000-0005-0000-0000-0000FC2F0000}"/>
    <cellStyle name="Linked Cell 2" xfId="28268" xr:uid="{00000000-0005-0000-0000-0000FD2F0000}"/>
    <cellStyle name="Model" xfId="27905" xr:uid="{00000000-0005-0000-0000-0000FE2F0000}"/>
    <cellStyle name="Model 2" xfId="28288" xr:uid="{00000000-0005-0000-0000-0000FF2F0000}"/>
    <cellStyle name="Neutral" xfId="27508" xr:uid="{00000000-0005-0000-0000-000000300000}"/>
    <cellStyle name="Normal - Style1" xfId="27906" xr:uid="{00000000-0005-0000-0000-000001300000}"/>
    <cellStyle name="Normal - Style1 2" xfId="28186" xr:uid="{00000000-0005-0000-0000-000002300000}"/>
    <cellStyle name="Normal 2 2" xfId="1" xr:uid="{C121EA8C-144B-4AFC-8A78-570A6E293FD3}"/>
    <cellStyle name="Normal 5" xfId="2" xr:uid="{7EB7C4A4-AB71-453A-9FA7-208105E92363}"/>
    <cellStyle name="Normal_ SG&amp;A Bridge " xfId="27907" xr:uid="{00000000-0005-0000-0000-000003300000}"/>
    <cellStyle name="Note" xfId="27507" xr:uid="{00000000-0005-0000-0000-000004300000}"/>
    <cellStyle name="Note 2" xfId="28267" xr:uid="{00000000-0005-0000-0000-000005300000}"/>
    <cellStyle name="Output" xfId="27506" xr:uid="{00000000-0005-0000-0000-000006300000}"/>
    <cellStyle name="Output 2" xfId="28266" xr:uid="{00000000-0005-0000-0000-000007300000}"/>
    <cellStyle name="Percent" xfId="28187" xr:uid="{00000000-0005-0000-0000-000008300000}"/>
    <cellStyle name="Title" xfId="27505" xr:uid="{00000000-0005-0000-0000-000009300000}"/>
    <cellStyle name="Total" xfId="27504" xr:uid="{00000000-0005-0000-0000-00000A300000}"/>
    <cellStyle name="Total 2" xfId="28188" xr:uid="{00000000-0005-0000-0000-00000B300000}"/>
    <cellStyle name="Total 3" xfId="28265" xr:uid="{00000000-0005-0000-0000-00000C300000}"/>
    <cellStyle name="Warning Text" xfId="27503" xr:uid="{00000000-0005-0000-0000-00000D300000}"/>
    <cellStyle name="강조색1 10" xfId="1579" xr:uid="{00000000-0005-0000-0000-00000E300000}"/>
    <cellStyle name="강조색1 10 10" xfId="13984" xr:uid="{00000000-0005-0000-0000-00000F300000}"/>
    <cellStyle name="강조색1 10 11" xfId="13985" xr:uid="{00000000-0005-0000-0000-000010300000}"/>
    <cellStyle name="강조색1 10 12" xfId="13986" xr:uid="{00000000-0005-0000-0000-000011300000}"/>
    <cellStyle name="강조색1 10 13" xfId="13987" xr:uid="{00000000-0005-0000-0000-000012300000}"/>
    <cellStyle name="강조색1 10 14" xfId="13988" xr:uid="{00000000-0005-0000-0000-000013300000}"/>
    <cellStyle name="강조색1 10 15" xfId="13983" xr:uid="{00000000-0005-0000-0000-000014300000}"/>
    <cellStyle name="강조색1 10 2" xfId="1580" xr:uid="{00000000-0005-0000-0000-000015300000}"/>
    <cellStyle name="강조색1 10 2 2" xfId="13989" xr:uid="{00000000-0005-0000-0000-000016300000}"/>
    <cellStyle name="강조색1 10 3" xfId="13990" xr:uid="{00000000-0005-0000-0000-000017300000}"/>
    <cellStyle name="강조색1 10 4" xfId="13991" xr:uid="{00000000-0005-0000-0000-000018300000}"/>
    <cellStyle name="강조색1 10 5" xfId="13992" xr:uid="{00000000-0005-0000-0000-000019300000}"/>
    <cellStyle name="강조색1 10 6" xfId="13993" xr:uid="{00000000-0005-0000-0000-00001A300000}"/>
    <cellStyle name="강조색1 10 7" xfId="13994" xr:uid="{00000000-0005-0000-0000-00001B300000}"/>
    <cellStyle name="강조색1 10 8" xfId="13995" xr:uid="{00000000-0005-0000-0000-00001C300000}"/>
    <cellStyle name="강조색1 10 9" xfId="13996" xr:uid="{00000000-0005-0000-0000-00001D300000}"/>
    <cellStyle name="강조색1 11" xfId="1581" xr:uid="{00000000-0005-0000-0000-00001E300000}"/>
    <cellStyle name="강조색1 11 10" xfId="13998" xr:uid="{00000000-0005-0000-0000-00001F300000}"/>
    <cellStyle name="강조색1 11 11" xfId="13999" xr:uid="{00000000-0005-0000-0000-000020300000}"/>
    <cellStyle name="강조색1 11 12" xfId="14000" xr:uid="{00000000-0005-0000-0000-000021300000}"/>
    <cellStyle name="강조색1 11 13" xfId="14001" xr:uid="{00000000-0005-0000-0000-000022300000}"/>
    <cellStyle name="강조색1 11 14" xfId="14002" xr:uid="{00000000-0005-0000-0000-000023300000}"/>
    <cellStyle name="강조색1 11 15" xfId="13997" xr:uid="{00000000-0005-0000-0000-000024300000}"/>
    <cellStyle name="강조색1 11 2" xfId="1582" xr:uid="{00000000-0005-0000-0000-000025300000}"/>
    <cellStyle name="강조색1 11 2 2" xfId="14003" xr:uid="{00000000-0005-0000-0000-000026300000}"/>
    <cellStyle name="강조색1 11 3" xfId="14004" xr:uid="{00000000-0005-0000-0000-000027300000}"/>
    <cellStyle name="강조색1 11 4" xfId="14005" xr:uid="{00000000-0005-0000-0000-000028300000}"/>
    <cellStyle name="강조색1 11 5" xfId="14006" xr:uid="{00000000-0005-0000-0000-000029300000}"/>
    <cellStyle name="강조색1 11 6" xfId="14007" xr:uid="{00000000-0005-0000-0000-00002A300000}"/>
    <cellStyle name="강조색1 11 7" xfId="14008" xr:uid="{00000000-0005-0000-0000-00002B300000}"/>
    <cellStyle name="강조색1 11 8" xfId="14009" xr:uid="{00000000-0005-0000-0000-00002C300000}"/>
    <cellStyle name="강조색1 11 9" xfId="14010" xr:uid="{00000000-0005-0000-0000-00002D300000}"/>
    <cellStyle name="강조색1 12" xfId="1583" xr:uid="{00000000-0005-0000-0000-00002E300000}"/>
    <cellStyle name="강조색1 12 10" xfId="14012" xr:uid="{00000000-0005-0000-0000-00002F300000}"/>
    <cellStyle name="강조색1 12 11" xfId="14013" xr:uid="{00000000-0005-0000-0000-000030300000}"/>
    <cellStyle name="강조색1 12 12" xfId="14014" xr:uid="{00000000-0005-0000-0000-000031300000}"/>
    <cellStyle name="강조색1 12 13" xfId="14015" xr:uid="{00000000-0005-0000-0000-000032300000}"/>
    <cellStyle name="강조색1 12 14" xfId="14016" xr:uid="{00000000-0005-0000-0000-000033300000}"/>
    <cellStyle name="강조색1 12 15" xfId="14011" xr:uid="{00000000-0005-0000-0000-000034300000}"/>
    <cellStyle name="강조색1 12 2" xfId="1584" xr:uid="{00000000-0005-0000-0000-000035300000}"/>
    <cellStyle name="강조색1 12 2 2" xfId="14017" xr:uid="{00000000-0005-0000-0000-000036300000}"/>
    <cellStyle name="강조색1 12 3" xfId="14018" xr:uid="{00000000-0005-0000-0000-000037300000}"/>
    <cellStyle name="강조색1 12 4" xfId="14019" xr:uid="{00000000-0005-0000-0000-000038300000}"/>
    <cellStyle name="강조색1 12 5" xfId="14020" xr:uid="{00000000-0005-0000-0000-000039300000}"/>
    <cellStyle name="강조색1 12 6" xfId="14021" xr:uid="{00000000-0005-0000-0000-00003A300000}"/>
    <cellStyle name="강조색1 12 7" xfId="14022" xr:uid="{00000000-0005-0000-0000-00003B300000}"/>
    <cellStyle name="강조색1 12 8" xfId="14023" xr:uid="{00000000-0005-0000-0000-00003C300000}"/>
    <cellStyle name="강조색1 12 9" xfId="14024" xr:uid="{00000000-0005-0000-0000-00003D300000}"/>
    <cellStyle name="강조색1 13" xfId="1585" xr:uid="{00000000-0005-0000-0000-00003E300000}"/>
    <cellStyle name="강조색1 13 10" xfId="14026" xr:uid="{00000000-0005-0000-0000-00003F300000}"/>
    <cellStyle name="강조색1 13 11" xfId="14027" xr:uid="{00000000-0005-0000-0000-000040300000}"/>
    <cellStyle name="강조색1 13 12" xfId="14028" xr:uid="{00000000-0005-0000-0000-000041300000}"/>
    <cellStyle name="강조색1 13 13" xfId="14029" xr:uid="{00000000-0005-0000-0000-000042300000}"/>
    <cellStyle name="강조색1 13 14" xfId="14030" xr:uid="{00000000-0005-0000-0000-000043300000}"/>
    <cellStyle name="강조색1 13 15" xfId="14025" xr:uid="{00000000-0005-0000-0000-000044300000}"/>
    <cellStyle name="강조색1 13 2" xfId="1586" xr:uid="{00000000-0005-0000-0000-000045300000}"/>
    <cellStyle name="강조색1 13 2 2" xfId="14031" xr:uid="{00000000-0005-0000-0000-000046300000}"/>
    <cellStyle name="강조색1 13 3" xfId="14032" xr:uid="{00000000-0005-0000-0000-000047300000}"/>
    <cellStyle name="강조색1 13 4" xfId="14033" xr:uid="{00000000-0005-0000-0000-000048300000}"/>
    <cellStyle name="강조색1 13 5" xfId="14034" xr:uid="{00000000-0005-0000-0000-000049300000}"/>
    <cellStyle name="강조색1 13 6" xfId="14035" xr:uid="{00000000-0005-0000-0000-00004A300000}"/>
    <cellStyle name="강조색1 13 7" xfId="14036" xr:uid="{00000000-0005-0000-0000-00004B300000}"/>
    <cellStyle name="강조색1 13 8" xfId="14037" xr:uid="{00000000-0005-0000-0000-00004C300000}"/>
    <cellStyle name="강조색1 13 9" xfId="14038" xr:uid="{00000000-0005-0000-0000-00004D300000}"/>
    <cellStyle name="강조색1 14" xfId="1587" xr:uid="{00000000-0005-0000-0000-00004E300000}"/>
    <cellStyle name="강조색1 14 10" xfId="14040" xr:uid="{00000000-0005-0000-0000-00004F300000}"/>
    <cellStyle name="강조색1 14 11" xfId="14041" xr:uid="{00000000-0005-0000-0000-000050300000}"/>
    <cellStyle name="강조색1 14 12" xfId="14042" xr:uid="{00000000-0005-0000-0000-000051300000}"/>
    <cellStyle name="강조색1 14 13" xfId="14043" xr:uid="{00000000-0005-0000-0000-000052300000}"/>
    <cellStyle name="강조색1 14 14" xfId="14044" xr:uid="{00000000-0005-0000-0000-000053300000}"/>
    <cellStyle name="강조색1 14 15" xfId="14039" xr:uid="{00000000-0005-0000-0000-000054300000}"/>
    <cellStyle name="강조색1 14 2" xfId="1588" xr:uid="{00000000-0005-0000-0000-000055300000}"/>
    <cellStyle name="강조색1 14 2 2" xfId="14045" xr:uid="{00000000-0005-0000-0000-000056300000}"/>
    <cellStyle name="강조색1 14 3" xfId="14046" xr:uid="{00000000-0005-0000-0000-000057300000}"/>
    <cellStyle name="강조색1 14 4" xfId="14047" xr:uid="{00000000-0005-0000-0000-000058300000}"/>
    <cellStyle name="강조색1 14 5" xfId="14048" xr:uid="{00000000-0005-0000-0000-000059300000}"/>
    <cellStyle name="강조색1 14 6" xfId="14049" xr:uid="{00000000-0005-0000-0000-00005A300000}"/>
    <cellStyle name="강조색1 14 7" xfId="14050" xr:uid="{00000000-0005-0000-0000-00005B300000}"/>
    <cellStyle name="강조색1 14 8" xfId="14051" xr:uid="{00000000-0005-0000-0000-00005C300000}"/>
    <cellStyle name="강조색1 14 9" xfId="14052" xr:uid="{00000000-0005-0000-0000-00005D300000}"/>
    <cellStyle name="강조색1 15" xfId="1589" xr:uid="{00000000-0005-0000-0000-00005E300000}"/>
    <cellStyle name="강조색1 15 10" xfId="14054" xr:uid="{00000000-0005-0000-0000-00005F300000}"/>
    <cellStyle name="강조색1 15 11" xfId="14055" xr:uid="{00000000-0005-0000-0000-000060300000}"/>
    <cellStyle name="강조색1 15 12" xfId="14056" xr:uid="{00000000-0005-0000-0000-000061300000}"/>
    <cellStyle name="강조색1 15 13" xfId="14057" xr:uid="{00000000-0005-0000-0000-000062300000}"/>
    <cellStyle name="강조색1 15 14" xfId="14058" xr:uid="{00000000-0005-0000-0000-000063300000}"/>
    <cellStyle name="강조색1 15 15" xfId="14053" xr:uid="{00000000-0005-0000-0000-000064300000}"/>
    <cellStyle name="강조색1 15 2" xfId="1590" xr:uid="{00000000-0005-0000-0000-000065300000}"/>
    <cellStyle name="강조색1 15 2 2" xfId="14059" xr:uid="{00000000-0005-0000-0000-000066300000}"/>
    <cellStyle name="강조색1 15 3" xfId="14060" xr:uid="{00000000-0005-0000-0000-000067300000}"/>
    <cellStyle name="강조색1 15 4" xfId="14061" xr:uid="{00000000-0005-0000-0000-000068300000}"/>
    <cellStyle name="강조색1 15 5" xfId="14062" xr:uid="{00000000-0005-0000-0000-000069300000}"/>
    <cellStyle name="강조색1 15 6" xfId="14063" xr:uid="{00000000-0005-0000-0000-00006A300000}"/>
    <cellStyle name="강조색1 15 7" xfId="14064" xr:uid="{00000000-0005-0000-0000-00006B300000}"/>
    <cellStyle name="강조색1 15 8" xfId="14065" xr:uid="{00000000-0005-0000-0000-00006C300000}"/>
    <cellStyle name="강조색1 15 9" xfId="14066" xr:uid="{00000000-0005-0000-0000-00006D300000}"/>
    <cellStyle name="강조색1 16" xfId="1591" xr:uid="{00000000-0005-0000-0000-00006E300000}"/>
    <cellStyle name="강조색1 16 10" xfId="14068" xr:uid="{00000000-0005-0000-0000-00006F300000}"/>
    <cellStyle name="강조색1 16 11" xfId="14069" xr:uid="{00000000-0005-0000-0000-000070300000}"/>
    <cellStyle name="강조색1 16 12" xfId="14070" xr:uid="{00000000-0005-0000-0000-000071300000}"/>
    <cellStyle name="강조색1 16 13" xfId="14071" xr:uid="{00000000-0005-0000-0000-000072300000}"/>
    <cellStyle name="강조색1 16 14" xfId="14072" xr:uid="{00000000-0005-0000-0000-000073300000}"/>
    <cellStyle name="강조색1 16 15" xfId="14067" xr:uid="{00000000-0005-0000-0000-000074300000}"/>
    <cellStyle name="강조색1 16 2" xfId="1592" xr:uid="{00000000-0005-0000-0000-000075300000}"/>
    <cellStyle name="강조색1 16 2 2" xfId="14073" xr:uid="{00000000-0005-0000-0000-000076300000}"/>
    <cellStyle name="강조색1 16 3" xfId="14074" xr:uid="{00000000-0005-0000-0000-000077300000}"/>
    <cellStyle name="강조색1 16 4" xfId="14075" xr:uid="{00000000-0005-0000-0000-000078300000}"/>
    <cellStyle name="강조색1 16 5" xfId="14076" xr:uid="{00000000-0005-0000-0000-000079300000}"/>
    <cellStyle name="강조색1 16 6" xfId="14077" xr:uid="{00000000-0005-0000-0000-00007A300000}"/>
    <cellStyle name="강조색1 16 7" xfId="14078" xr:uid="{00000000-0005-0000-0000-00007B300000}"/>
    <cellStyle name="강조색1 16 8" xfId="14079" xr:uid="{00000000-0005-0000-0000-00007C300000}"/>
    <cellStyle name="강조색1 16 9" xfId="14080" xr:uid="{00000000-0005-0000-0000-00007D300000}"/>
    <cellStyle name="강조색1 17" xfId="1593" xr:uid="{00000000-0005-0000-0000-00007E300000}"/>
    <cellStyle name="강조색1 17 10" xfId="14082" xr:uid="{00000000-0005-0000-0000-00007F300000}"/>
    <cellStyle name="강조색1 17 11" xfId="14083" xr:uid="{00000000-0005-0000-0000-000080300000}"/>
    <cellStyle name="강조색1 17 12" xfId="14084" xr:uid="{00000000-0005-0000-0000-000081300000}"/>
    <cellStyle name="강조색1 17 13" xfId="14085" xr:uid="{00000000-0005-0000-0000-000082300000}"/>
    <cellStyle name="강조색1 17 14" xfId="14086" xr:uid="{00000000-0005-0000-0000-000083300000}"/>
    <cellStyle name="강조색1 17 15" xfId="14081" xr:uid="{00000000-0005-0000-0000-000084300000}"/>
    <cellStyle name="강조색1 17 2" xfId="1594" xr:uid="{00000000-0005-0000-0000-000085300000}"/>
    <cellStyle name="강조색1 17 2 2" xfId="14087" xr:uid="{00000000-0005-0000-0000-000086300000}"/>
    <cellStyle name="강조색1 17 3" xfId="14088" xr:uid="{00000000-0005-0000-0000-000087300000}"/>
    <cellStyle name="강조색1 17 4" xfId="14089" xr:uid="{00000000-0005-0000-0000-000088300000}"/>
    <cellStyle name="강조색1 17 5" xfId="14090" xr:uid="{00000000-0005-0000-0000-000089300000}"/>
    <cellStyle name="강조색1 17 6" xfId="14091" xr:uid="{00000000-0005-0000-0000-00008A300000}"/>
    <cellStyle name="강조색1 17 7" xfId="14092" xr:uid="{00000000-0005-0000-0000-00008B300000}"/>
    <cellStyle name="강조색1 17 8" xfId="14093" xr:uid="{00000000-0005-0000-0000-00008C300000}"/>
    <cellStyle name="강조색1 17 9" xfId="14094" xr:uid="{00000000-0005-0000-0000-00008D300000}"/>
    <cellStyle name="강조색1 18" xfId="1595" xr:uid="{00000000-0005-0000-0000-00008E300000}"/>
    <cellStyle name="강조색1 18 10" xfId="14096" xr:uid="{00000000-0005-0000-0000-00008F300000}"/>
    <cellStyle name="강조색1 18 11" xfId="14097" xr:uid="{00000000-0005-0000-0000-000090300000}"/>
    <cellStyle name="강조색1 18 12" xfId="14098" xr:uid="{00000000-0005-0000-0000-000091300000}"/>
    <cellStyle name="강조색1 18 13" xfId="14099" xr:uid="{00000000-0005-0000-0000-000092300000}"/>
    <cellStyle name="강조색1 18 14" xfId="14100" xr:uid="{00000000-0005-0000-0000-000093300000}"/>
    <cellStyle name="강조색1 18 15" xfId="14095" xr:uid="{00000000-0005-0000-0000-000094300000}"/>
    <cellStyle name="강조색1 18 2" xfId="1596" xr:uid="{00000000-0005-0000-0000-000095300000}"/>
    <cellStyle name="강조색1 18 2 2" xfId="14101" xr:uid="{00000000-0005-0000-0000-000096300000}"/>
    <cellStyle name="강조색1 18 3" xfId="14102" xr:uid="{00000000-0005-0000-0000-000097300000}"/>
    <cellStyle name="강조색1 18 4" xfId="14103" xr:uid="{00000000-0005-0000-0000-000098300000}"/>
    <cellStyle name="강조색1 18 5" xfId="14104" xr:uid="{00000000-0005-0000-0000-000099300000}"/>
    <cellStyle name="강조색1 18 6" xfId="14105" xr:uid="{00000000-0005-0000-0000-00009A300000}"/>
    <cellStyle name="강조색1 18 7" xfId="14106" xr:uid="{00000000-0005-0000-0000-00009B300000}"/>
    <cellStyle name="강조색1 18 8" xfId="14107" xr:uid="{00000000-0005-0000-0000-00009C300000}"/>
    <cellStyle name="강조색1 18 9" xfId="14108" xr:uid="{00000000-0005-0000-0000-00009D300000}"/>
    <cellStyle name="강조색1 19" xfId="1597" xr:uid="{00000000-0005-0000-0000-00009E300000}"/>
    <cellStyle name="강조색1 19 10" xfId="14110" xr:uid="{00000000-0005-0000-0000-00009F300000}"/>
    <cellStyle name="강조색1 19 11" xfId="14111" xr:uid="{00000000-0005-0000-0000-0000A0300000}"/>
    <cellStyle name="강조색1 19 12" xfId="14112" xr:uid="{00000000-0005-0000-0000-0000A1300000}"/>
    <cellStyle name="강조색1 19 13" xfId="14113" xr:uid="{00000000-0005-0000-0000-0000A2300000}"/>
    <cellStyle name="강조색1 19 14" xfId="14114" xr:uid="{00000000-0005-0000-0000-0000A3300000}"/>
    <cellStyle name="강조색1 19 15" xfId="14109" xr:uid="{00000000-0005-0000-0000-0000A4300000}"/>
    <cellStyle name="강조색1 19 2" xfId="1598" xr:uid="{00000000-0005-0000-0000-0000A5300000}"/>
    <cellStyle name="강조색1 19 2 2" xfId="14115" xr:uid="{00000000-0005-0000-0000-0000A6300000}"/>
    <cellStyle name="강조색1 19 3" xfId="14116" xr:uid="{00000000-0005-0000-0000-0000A7300000}"/>
    <cellStyle name="강조색1 19 4" xfId="14117" xr:uid="{00000000-0005-0000-0000-0000A8300000}"/>
    <cellStyle name="강조색1 19 5" xfId="14118" xr:uid="{00000000-0005-0000-0000-0000A9300000}"/>
    <cellStyle name="강조색1 19 6" xfId="14119" xr:uid="{00000000-0005-0000-0000-0000AA300000}"/>
    <cellStyle name="강조색1 19 7" xfId="14120" xr:uid="{00000000-0005-0000-0000-0000AB300000}"/>
    <cellStyle name="강조색1 19 8" xfId="14121" xr:uid="{00000000-0005-0000-0000-0000AC300000}"/>
    <cellStyle name="강조색1 19 9" xfId="14122" xr:uid="{00000000-0005-0000-0000-0000AD300000}"/>
    <cellStyle name="강조색1 2" xfId="1599" xr:uid="{00000000-0005-0000-0000-0000AE300000}"/>
    <cellStyle name="강조색1 2 10" xfId="14124" xr:uid="{00000000-0005-0000-0000-0000AF300000}"/>
    <cellStyle name="강조색1 2 11" xfId="14125" xr:uid="{00000000-0005-0000-0000-0000B0300000}"/>
    <cellStyle name="강조색1 2 12" xfId="14126" xr:uid="{00000000-0005-0000-0000-0000B1300000}"/>
    <cellStyle name="강조색1 2 13" xfId="14127" xr:uid="{00000000-0005-0000-0000-0000B2300000}"/>
    <cellStyle name="강조색1 2 14" xfId="14128" xr:uid="{00000000-0005-0000-0000-0000B3300000}"/>
    <cellStyle name="강조색1 2 15" xfId="14123" xr:uid="{00000000-0005-0000-0000-0000B4300000}"/>
    <cellStyle name="강조색1 2 16" xfId="27951" xr:uid="{00000000-0005-0000-0000-0000B5300000}"/>
    <cellStyle name="강조색1 2 2" xfId="1600" xr:uid="{00000000-0005-0000-0000-0000B6300000}"/>
    <cellStyle name="강조색1 2 2 2" xfId="14129" xr:uid="{00000000-0005-0000-0000-0000B7300000}"/>
    <cellStyle name="강조색1 2 3" xfId="14130" xr:uid="{00000000-0005-0000-0000-0000B8300000}"/>
    <cellStyle name="강조색1 2 4" xfId="14131" xr:uid="{00000000-0005-0000-0000-0000B9300000}"/>
    <cellStyle name="강조색1 2 5" xfId="14132" xr:uid="{00000000-0005-0000-0000-0000BA300000}"/>
    <cellStyle name="강조색1 2 6" xfId="14133" xr:uid="{00000000-0005-0000-0000-0000BB300000}"/>
    <cellStyle name="강조색1 2 7" xfId="14134" xr:uid="{00000000-0005-0000-0000-0000BC300000}"/>
    <cellStyle name="강조색1 2 8" xfId="14135" xr:uid="{00000000-0005-0000-0000-0000BD300000}"/>
    <cellStyle name="강조색1 2 9" xfId="14136" xr:uid="{00000000-0005-0000-0000-0000BE300000}"/>
    <cellStyle name="강조색1 20" xfId="1601" xr:uid="{00000000-0005-0000-0000-0000BF300000}"/>
    <cellStyle name="강조색1 20 10" xfId="14138" xr:uid="{00000000-0005-0000-0000-0000C0300000}"/>
    <cellStyle name="강조색1 20 11" xfId="14139" xr:uid="{00000000-0005-0000-0000-0000C1300000}"/>
    <cellStyle name="강조색1 20 12" xfId="14140" xr:uid="{00000000-0005-0000-0000-0000C2300000}"/>
    <cellStyle name="강조색1 20 13" xfId="14141" xr:uid="{00000000-0005-0000-0000-0000C3300000}"/>
    <cellStyle name="강조색1 20 14" xfId="14142" xr:uid="{00000000-0005-0000-0000-0000C4300000}"/>
    <cellStyle name="강조색1 20 15" xfId="14137" xr:uid="{00000000-0005-0000-0000-0000C5300000}"/>
    <cellStyle name="강조색1 20 2" xfId="1602" xr:uid="{00000000-0005-0000-0000-0000C6300000}"/>
    <cellStyle name="강조색1 20 2 2" xfId="14143" xr:uid="{00000000-0005-0000-0000-0000C7300000}"/>
    <cellStyle name="강조색1 20 3" xfId="14144" xr:uid="{00000000-0005-0000-0000-0000C8300000}"/>
    <cellStyle name="강조색1 20 4" xfId="14145" xr:uid="{00000000-0005-0000-0000-0000C9300000}"/>
    <cellStyle name="강조색1 20 5" xfId="14146" xr:uid="{00000000-0005-0000-0000-0000CA300000}"/>
    <cellStyle name="강조색1 20 6" xfId="14147" xr:uid="{00000000-0005-0000-0000-0000CB300000}"/>
    <cellStyle name="강조색1 20 7" xfId="14148" xr:uid="{00000000-0005-0000-0000-0000CC300000}"/>
    <cellStyle name="강조색1 20 8" xfId="14149" xr:uid="{00000000-0005-0000-0000-0000CD300000}"/>
    <cellStyle name="강조색1 20 9" xfId="14150" xr:uid="{00000000-0005-0000-0000-0000CE300000}"/>
    <cellStyle name="강조색1 21" xfId="1603" xr:uid="{00000000-0005-0000-0000-0000CF300000}"/>
    <cellStyle name="강조색1 21 10" xfId="14152" xr:uid="{00000000-0005-0000-0000-0000D0300000}"/>
    <cellStyle name="강조색1 21 11" xfId="14153" xr:uid="{00000000-0005-0000-0000-0000D1300000}"/>
    <cellStyle name="강조색1 21 12" xfId="14154" xr:uid="{00000000-0005-0000-0000-0000D2300000}"/>
    <cellStyle name="강조색1 21 13" xfId="14155" xr:uid="{00000000-0005-0000-0000-0000D3300000}"/>
    <cellStyle name="강조색1 21 14" xfId="14156" xr:uid="{00000000-0005-0000-0000-0000D4300000}"/>
    <cellStyle name="강조색1 21 15" xfId="14151" xr:uid="{00000000-0005-0000-0000-0000D5300000}"/>
    <cellStyle name="강조색1 21 2" xfId="1604" xr:uid="{00000000-0005-0000-0000-0000D6300000}"/>
    <cellStyle name="강조색1 21 2 2" xfId="14157" xr:uid="{00000000-0005-0000-0000-0000D7300000}"/>
    <cellStyle name="강조색1 21 3" xfId="14158" xr:uid="{00000000-0005-0000-0000-0000D8300000}"/>
    <cellStyle name="강조색1 21 4" xfId="14159" xr:uid="{00000000-0005-0000-0000-0000D9300000}"/>
    <cellStyle name="강조색1 21 5" xfId="14160" xr:uid="{00000000-0005-0000-0000-0000DA300000}"/>
    <cellStyle name="강조색1 21 6" xfId="14161" xr:uid="{00000000-0005-0000-0000-0000DB300000}"/>
    <cellStyle name="강조색1 21 7" xfId="14162" xr:uid="{00000000-0005-0000-0000-0000DC300000}"/>
    <cellStyle name="강조색1 21 8" xfId="14163" xr:uid="{00000000-0005-0000-0000-0000DD300000}"/>
    <cellStyle name="강조색1 21 9" xfId="14164" xr:uid="{00000000-0005-0000-0000-0000DE300000}"/>
    <cellStyle name="강조색1 22" xfId="1605" xr:uid="{00000000-0005-0000-0000-0000DF300000}"/>
    <cellStyle name="강조색1 22 10" xfId="14166" xr:uid="{00000000-0005-0000-0000-0000E0300000}"/>
    <cellStyle name="강조색1 22 11" xfId="14167" xr:uid="{00000000-0005-0000-0000-0000E1300000}"/>
    <cellStyle name="강조색1 22 12" xfId="14168" xr:uid="{00000000-0005-0000-0000-0000E2300000}"/>
    <cellStyle name="강조색1 22 13" xfId="14169" xr:uid="{00000000-0005-0000-0000-0000E3300000}"/>
    <cellStyle name="강조색1 22 14" xfId="14170" xr:uid="{00000000-0005-0000-0000-0000E4300000}"/>
    <cellStyle name="강조색1 22 15" xfId="14165" xr:uid="{00000000-0005-0000-0000-0000E5300000}"/>
    <cellStyle name="강조색1 22 2" xfId="1606" xr:uid="{00000000-0005-0000-0000-0000E6300000}"/>
    <cellStyle name="강조색1 22 2 2" xfId="14171" xr:uid="{00000000-0005-0000-0000-0000E7300000}"/>
    <cellStyle name="강조색1 22 3" xfId="14172" xr:uid="{00000000-0005-0000-0000-0000E8300000}"/>
    <cellStyle name="강조색1 22 4" xfId="14173" xr:uid="{00000000-0005-0000-0000-0000E9300000}"/>
    <cellStyle name="강조색1 22 5" xfId="14174" xr:uid="{00000000-0005-0000-0000-0000EA300000}"/>
    <cellStyle name="강조색1 22 6" xfId="14175" xr:uid="{00000000-0005-0000-0000-0000EB300000}"/>
    <cellStyle name="강조색1 22 7" xfId="14176" xr:uid="{00000000-0005-0000-0000-0000EC300000}"/>
    <cellStyle name="강조색1 22 8" xfId="14177" xr:uid="{00000000-0005-0000-0000-0000ED300000}"/>
    <cellStyle name="강조색1 22 9" xfId="14178" xr:uid="{00000000-0005-0000-0000-0000EE300000}"/>
    <cellStyle name="강조색1 23" xfId="1607" xr:uid="{00000000-0005-0000-0000-0000EF300000}"/>
    <cellStyle name="강조색1 23 10" xfId="14180" xr:uid="{00000000-0005-0000-0000-0000F0300000}"/>
    <cellStyle name="강조색1 23 11" xfId="14181" xr:uid="{00000000-0005-0000-0000-0000F1300000}"/>
    <cellStyle name="강조색1 23 12" xfId="14182" xr:uid="{00000000-0005-0000-0000-0000F2300000}"/>
    <cellStyle name="강조색1 23 13" xfId="14183" xr:uid="{00000000-0005-0000-0000-0000F3300000}"/>
    <cellStyle name="강조색1 23 14" xfId="14184" xr:uid="{00000000-0005-0000-0000-0000F4300000}"/>
    <cellStyle name="강조색1 23 15" xfId="14179" xr:uid="{00000000-0005-0000-0000-0000F5300000}"/>
    <cellStyle name="강조색1 23 2" xfId="1608" xr:uid="{00000000-0005-0000-0000-0000F6300000}"/>
    <cellStyle name="강조색1 23 2 2" xfId="14185" xr:uid="{00000000-0005-0000-0000-0000F7300000}"/>
    <cellStyle name="강조색1 23 3" xfId="14186" xr:uid="{00000000-0005-0000-0000-0000F8300000}"/>
    <cellStyle name="강조색1 23 4" xfId="14187" xr:uid="{00000000-0005-0000-0000-0000F9300000}"/>
    <cellStyle name="강조색1 23 5" xfId="14188" xr:uid="{00000000-0005-0000-0000-0000FA300000}"/>
    <cellStyle name="강조색1 23 6" xfId="14189" xr:uid="{00000000-0005-0000-0000-0000FB300000}"/>
    <cellStyle name="강조색1 23 7" xfId="14190" xr:uid="{00000000-0005-0000-0000-0000FC300000}"/>
    <cellStyle name="강조색1 23 8" xfId="14191" xr:uid="{00000000-0005-0000-0000-0000FD300000}"/>
    <cellStyle name="강조색1 23 9" xfId="14192" xr:uid="{00000000-0005-0000-0000-0000FE300000}"/>
    <cellStyle name="강조색1 24" xfId="1609" xr:uid="{00000000-0005-0000-0000-0000FF300000}"/>
    <cellStyle name="강조색1 24 10" xfId="14194" xr:uid="{00000000-0005-0000-0000-000000310000}"/>
    <cellStyle name="강조색1 24 11" xfId="14195" xr:uid="{00000000-0005-0000-0000-000001310000}"/>
    <cellStyle name="강조색1 24 12" xfId="14196" xr:uid="{00000000-0005-0000-0000-000002310000}"/>
    <cellStyle name="강조색1 24 13" xfId="14197" xr:uid="{00000000-0005-0000-0000-000003310000}"/>
    <cellStyle name="강조색1 24 14" xfId="14198" xr:uid="{00000000-0005-0000-0000-000004310000}"/>
    <cellStyle name="강조색1 24 15" xfId="14193" xr:uid="{00000000-0005-0000-0000-000005310000}"/>
    <cellStyle name="강조색1 24 2" xfId="1610" xr:uid="{00000000-0005-0000-0000-000006310000}"/>
    <cellStyle name="강조색1 24 2 2" xfId="14199" xr:uid="{00000000-0005-0000-0000-000007310000}"/>
    <cellStyle name="강조색1 24 3" xfId="14200" xr:uid="{00000000-0005-0000-0000-000008310000}"/>
    <cellStyle name="강조색1 24 4" xfId="14201" xr:uid="{00000000-0005-0000-0000-000009310000}"/>
    <cellStyle name="강조색1 24 5" xfId="14202" xr:uid="{00000000-0005-0000-0000-00000A310000}"/>
    <cellStyle name="강조색1 24 6" xfId="14203" xr:uid="{00000000-0005-0000-0000-00000B310000}"/>
    <cellStyle name="강조색1 24 7" xfId="14204" xr:uid="{00000000-0005-0000-0000-00000C310000}"/>
    <cellStyle name="강조색1 24 8" xfId="14205" xr:uid="{00000000-0005-0000-0000-00000D310000}"/>
    <cellStyle name="강조색1 24 9" xfId="14206" xr:uid="{00000000-0005-0000-0000-00000E310000}"/>
    <cellStyle name="강조색1 25" xfId="1611" xr:uid="{00000000-0005-0000-0000-00000F310000}"/>
    <cellStyle name="강조색1 25 10" xfId="14208" xr:uid="{00000000-0005-0000-0000-000010310000}"/>
    <cellStyle name="강조색1 25 11" xfId="14209" xr:uid="{00000000-0005-0000-0000-000011310000}"/>
    <cellStyle name="강조색1 25 12" xfId="14210" xr:uid="{00000000-0005-0000-0000-000012310000}"/>
    <cellStyle name="강조색1 25 13" xfId="14211" xr:uid="{00000000-0005-0000-0000-000013310000}"/>
    <cellStyle name="강조색1 25 14" xfId="14212" xr:uid="{00000000-0005-0000-0000-000014310000}"/>
    <cellStyle name="강조색1 25 15" xfId="14207" xr:uid="{00000000-0005-0000-0000-000015310000}"/>
    <cellStyle name="강조색1 25 2" xfId="1612" xr:uid="{00000000-0005-0000-0000-000016310000}"/>
    <cellStyle name="강조색1 25 2 2" xfId="14213" xr:uid="{00000000-0005-0000-0000-000017310000}"/>
    <cellStyle name="강조색1 25 3" xfId="14214" xr:uid="{00000000-0005-0000-0000-000018310000}"/>
    <cellStyle name="강조색1 25 4" xfId="14215" xr:uid="{00000000-0005-0000-0000-000019310000}"/>
    <cellStyle name="강조색1 25 5" xfId="14216" xr:uid="{00000000-0005-0000-0000-00001A310000}"/>
    <cellStyle name="강조색1 25 6" xfId="14217" xr:uid="{00000000-0005-0000-0000-00001B310000}"/>
    <cellStyle name="강조색1 25 7" xfId="14218" xr:uid="{00000000-0005-0000-0000-00001C310000}"/>
    <cellStyle name="강조색1 25 8" xfId="14219" xr:uid="{00000000-0005-0000-0000-00001D310000}"/>
    <cellStyle name="강조색1 25 9" xfId="14220" xr:uid="{00000000-0005-0000-0000-00001E310000}"/>
    <cellStyle name="강조색1 26" xfId="1613" xr:uid="{00000000-0005-0000-0000-00001F310000}"/>
    <cellStyle name="강조색1 26 10" xfId="14222" xr:uid="{00000000-0005-0000-0000-000020310000}"/>
    <cellStyle name="강조색1 26 11" xfId="14223" xr:uid="{00000000-0005-0000-0000-000021310000}"/>
    <cellStyle name="강조색1 26 12" xfId="14224" xr:uid="{00000000-0005-0000-0000-000022310000}"/>
    <cellStyle name="강조색1 26 13" xfId="14225" xr:uid="{00000000-0005-0000-0000-000023310000}"/>
    <cellStyle name="강조색1 26 14" xfId="14226" xr:uid="{00000000-0005-0000-0000-000024310000}"/>
    <cellStyle name="강조색1 26 15" xfId="14221" xr:uid="{00000000-0005-0000-0000-000025310000}"/>
    <cellStyle name="강조색1 26 2" xfId="1614" xr:uid="{00000000-0005-0000-0000-000026310000}"/>
    <cellStyle name="강조색1 26 2 2" xfId="14227" xr:uid="{00000000-0005-0000-0000-000027310000}"/>
    <cellStyle name="강조색1 26 3" xfId="14228" xr:uid="{00000000-0005-0000-0000-000028310000}"/>
    <cellStyle name="강조색1 26 4" xfId="14229" xr:uid="{00000000-0005-0000-0000-000029310000}"/>
    <cellStyle name="강조색1 26 5" xfId="14230" xr:uid="{00000000-0005-0000-0000-00002A310000}"/>
    <cellStyle name="강조색1 26 6" xfId="14231" xr:uid="{00000000-0005-0000-0000-00002B310000}"/>
    <cellStyle name="강조색1 26 7" xfId="14232" xr:uid="{00000000-0005-0000-0000-00002C310000}"/>
    <cellStyle name="강조색1 26 8" xfId="14233" xr:uid="{00000000-0005-0000-0000-00002D310000}"/>
    <cellStyle name="강조색1 26 9" xfId="14234" xr:uid="{00000000-0005-0000-0000-00002E310000}"/>
    <cellStyle name="강조색1 27" xfId="1615" xr:uid="{00000000-0005-0000-0000-00002F310000}"/>
    <cellStyle name="강조색1 27 10" xfId="14236" xr:uid="{00000000-0005-0000-0000-000030310000}"/>
    <cellStyle name="강조색1 27 11" xfId="14237" xr:uid="{00000000-0005-0000-0000-000031310000}"/>
    <cellStyle name="강조색1 27 12" xfId="14238" xr:uid="{00000000-0005-0000-0000-000032310000}"/>
    <cellStyle name="강조색1 27 13" xfId="14239" xr:uid="{00000000-0005-0000-0000-000033310000}"/>
    <cellStyle name="강조색1 27 14" xfId="14240" xr:uid="{00000000-0005-0000-0000-000034310000}"/>
    <cellStyle name="강조색1 27 15" xfId="14235" xr:uid="{00000000-0005-0000-0000-000035310000}"/>
    <cellStyle name="강조색1 27 2" xfId="1616" xr:uid="{00000000-0005-0000-0000-000036310000}"/>
    <cellStyle name="강조색1 27 2 2" xfId="14241" xr:uid="{00000000-0005-0000-0000-000037310000}"/>
    <cellStyle name="강조색1 27 3" xfId="14242" xr:uid="{00000000-0005-0000-0000-000038310000}"/>
    <cellStyle name="강조색1 27 4" xfId="14243" xr:uid="{00000000-0005-0000-0000-000039310000}"/>
    <cellStyle name="강조색1 27 5" xfId="14244" xr:uid="{00000000-0005-0000-0000-00003A310000}"/>
    <cellStyle name="강조색1 27 6" xfId="14245" xr:uid="{00000000-0005-0000-0000-00003B310000}"/>
    <cellStyle name="강조색1 27 7" xfId="14246" xr:uid="{00000000-0005-0000-0000-00003C310000}"/>
    <cellStyle name="강조색1 27 8" xfId="14247" xr:uid="{00000000-0005-0000-0000-00003D310000}"/>
    <cellStyle name="강조색1 27 9" xfId="14248" xr:uid="{00000000-0005-0000-0000-00003E310000}"/>
    <cellStyle name="강조색1 28" xfId="1617" xr:uid="{00000000-0005-0000-0000-00003F310000}"/>
    <cellStyle name="강조색1 28 10" xfId="14250" xr:uid="{00000000-0005-0000-0000-000040310000}"/>
    <cellStyle name="강조색1 28 11" xfId="14251" xr:uid="{00000000-0005-0000-0000-000041310000}"/>
    <cellStyle name="강조색1 28 12" xfId="14252" xr:uid="{00000000-0005-0000-0000-000042310000}"/>
    <cellStyle name="강조색1 28 13" xfId="14253" xr:uid="{00000000-0005-0000-0000-000043310000}"/>
    <cellStyle name="강조색1 28 14" xfId="14254" xr:uid="{00000000-0005-0000-0000-000044310000}"/>
    <cellStyle name="강조색1 28 15" xfId="14249" xr:uid="{00000000-0005-0000-0000-000045310000}"/>
    <cellStyle name="강조색1 28 2" xfId="1618" xr:uid="{00000000-0005-0000-0000-000046310000}"/>
    <cellStyle name="강조색1 28 2 2" xfId="14255" xr:uid="{00000000-0005-0000-0000-000047310000}"/>
    <cellStyle name="강조색1 28 3" xfId="14256" xr:uid="{00000000-0005-0000-0000-000048310000}"/>
    <cellStyle name="강조색1 28 4" xfId="14257" xr:uid="{00000000-0005-0000-0000-000049310000}"/>
    <cellStyle name="강조색1 28 5" xfId="14258" xr:uid="{00000000-0005-0000-0000-00004A310000}"/>
    <cellStyle name="강조색1 28 6" xfId="14259" xr:uid="{00000000-0005-0000-0000-00004B310000}"/>
    <cellStyle name="강조색1 28 7" xfId="14260" xr:uid="{00000000-0005-0000-0000-00004C310000}"/>
    <cellStyle name="강조색1 28 8" xfId="14261" xr:uid="{00000000-0005-0000-0000-00004D310000}"/>
    <cellStyle name="강조색1 28 9" xfId="14262" xr:uid="{00000000-0005-0000-0000-00004E310000}"/>
    <cellStyle name="강조색1 29" xfId="1619" xr:uid="{00000000-0005-0000-0000-00004F310000}"/>
    <cellStyle name="강조색1 29 10" xfId="14264" xr:uid="{00000000-0005-0000-0000-000050310000}"/>
    <cellStyle name="강조색1 29 11" xfId="14265" xr:uid="{00000000-0005-0000-0000-000051310000}"/>
    <cellStyle name="강조색1 29 12" xfId="14266" xr:uid="{00000000-0005-0000-0000-000052310000}"/>
    <cellStyle name="강조색1 29 13" xfId="14267" xr:uid="{00000000-0005-0000-0000-000053310000}"/>
    <cellStyle name="강조색1 29 14" xfId="14268" xr:uid="{00000000-0005-0000-0000-000054310000}"/>
    <cellStyle name="강조색1 29 15" xfId="14263" xr:uid="{00000000-0005-0000-0000-000055310000}"/>
    <cellStyle name="강조색1 29 2" xfId="1620" xr:uid="{00000000-0005-0000-0000-000056310000}"/>
    <cellStyle name="강조색1 29 2 2" xfId="14269" xr:uid="{00000000-0005-0000-0000-000057310000}"/>
    <cellStyle name="강조색1 29 3" xfId="14270" xr:uid="{00000000-0005-0000-0000-000058310000}"/>
    <cellStyle name="강조색1 29 4" xfId="14271" xr:uid="{00000000-0005-0000-0000-000059310000}"/>
    <cellStyle name="강조색1 29 5" xfId="14272" xr:uid="{00000000-0005-0000-0000-00005A310000}"/>
    <cellStyle name="강조색1 29 6" xfId="14273" xr:uid="{00000000-0005-0000-0000-00005B310000}"/>
    <cellStyle name="강조색1 29 7" xfId="14274" xr:uid="{00000000-0005-0000-0000-00005C310000}"/>
    <cellStyle name="강조색1 29 8" xfId="14275" xr:uid="{00000000-0005-0000-0000-00005D310000}"/>
    <cellStyle name="강조색1 29 9" xfId="14276" xr:uid="{00000000-0005-0000-0000-00005E310000}"/>
    <cellStyle name="강조색1 3" xfId="1621" xr:uid="{00000000-0005-0000-0000-00005F310000}"/>
    <cellStyle name="강조색1 3 10" xfId="14278" xr:uid="{00000000-0005-0000-0000-000060310000}"/>
    <cellStyle name="강조색1 3 11" xfId="14279" xr:uid="{00000000-0005-0000-0000-000061310000}"/>
    <cellStyle name="강조색1 3 12" xfId="14280" xr:uid="{00000000-0005-0000-0000-000062310000}"/>
    <cellStyle name="강조색1 3 13" xfId="14281" xr:uid="{00000000-0005-0000-0000-000063310000}"/>
    <cellStyle name="강조색1 3 14" xfId="14282" xr:uid="{00000000-0005-0000-0000-000064310000}"/>
    <cellStyle name="강조색1 3 15" xfId="14277" xr:uid="{00000000-0005-0000-0000-000065310000}"/>
    <cellStyle name="강조색1 3 16" xfId="28207" xr:uid="{00000000-0005-0000-0000-000066310000}"/>
    <cellStyle name="강조색1 3 2" xfId="1622" xr:uid="{00000000-0005-0000-0000-000067310000}"/>
    <cellStyle name="강조색1 3 2 2" xfId="14283" xr:uid="{00000000-0005-0000-0000-000068310000}"/>
    <cellStyle name="강조색1 3 3" xfId="14284" xr:uid="{00000000-0005-0000-0000-000069310000}"/>
    <cellStyle name="강조색1 3 4" xfId="14285" xr:uid="{00000000-0005-0000-0000-00006A310000}"/>
    <cellStyle name="강조색1 3 5" xfId="14286" xr:uid="{00000000-0005-0000-0000-00006B310000}"/>
    <cellStyle name="강조색1 3 6" xfId="14287" xr:uid="{00000000-0005-0000-0000-00006C310000}"/>
    <cellStyle name="강조색1 3 7" xfId="14288" xr:uid="{00000000-0005-0000-0000-00006D310000}"/>
    <cellStyle name="강조색1 3 8" xfId="14289" xr:uid="{00000000-0005-0000-0000-00006E310000}"/>
    <cellStyle name="강조색1 3 9" xfId="14290" xr:uid="{00000000-0005-0000-0000-00006F310000}"/>
    <cellStyle name="강조색1 30" xfId="1623" xr:uid="{00000000-0005-0000-0000-000070310000}"/>
    <cellStyle name="강조색1 30 10" xfId="14292" xr:uid="{00000000-0005-0000-0000-000071310000}"/>
    <cellStyle name="강조색1 30 11" xfId="14293" xr:uid="{00000000-0005-0000-0000-000072310000}"/>
    <cellStyle name="강조색1 30 12" xfId="14294" xr:uid="{00000000-0005-0000-0000-000073310000}"/>
    <cellStyle name="강조색1 30 13" xfId="14295" xr:uid="{00000000-0005-0000-0000-000074310000}"/>
    <cellStyle name="강조색1 30 14" xfId="14296" xr:uid="{00000000-0005-0000-0000-000075310000}"/>
    <cellStyle name="강조색1 30 15" xfId="14291" xr:uid="{00000000-0005-0000-0000-000076310000}"/>
    <cellStyle name="강조색1 30 2" xfId="1624" xr:uid="{00000000-0005-0000-0000-000077310000}"/>
    <cellStyle name="강조색1 30 2 2" xfId="14297" xr:uid="{00000000-0005-0000-0000-000078310000}"/>
    <cellStyle name="강조색1 30 3" xfId="14298" xr:uid="{00000000-0005-0000-0000-000079310000}"/>
    <cellStyle name="강조색1 30 4" xfId="14299" xr:uid="{00000000-0005-0000-0000-00007A310000}"/>
    <cellStyle name="강조색1 30 5" xfId="14300" xr:uid="{00000000-0005-0000-0000-00007B310000}"/>
    <cellStyle name="강조색1 30 6" xfId="14301" xr:uid="{00000000-0005-0000-0000-00007C310000}"/>
    <cellStyle name="강조색1 30 7" xfId="14302" xr:uid="{00000000-0005-0000-0000-00007D310000}"/>
    <cellStyle name="강조색1 30 8" xfId="14303" xr:uid="{00000000-0005-0000-0000-00007E310000}"/>
    <cellStyle name="강조색1 30 9" xfId="14304" xr:uid="{00000000-0005-0000-0000-00007F310000}"/>
    <cellStyle name="강조색1 31" xfId="1625" xr:uid="{00000000-0005-0000-0000-000080310000}"/>
    <cellStyle name="강조색1 31 10" xfId="14306" xr:uid="{00000000-0005-0000-0000-000081310000}"/>
    <cellStyle name="강조색1 31 11" xfId="14307" xr:uid="{00000000-0005-0000-0000-000082310000}"/>
    <cellStyle name="강조색1 31 12" xfId="14308" xr:uid="{00000000-0005-0000-0000-000083310000}"/>
    <cellStyle name="강조색1 31 13" xfId="14309" xr:uid="{00000000-0005-0000-0000-000084310000}"/>
    <cellStyle name="강조색1 31 14" xfId="14310" xr:uid="{00000000-0005-0000-0000-000085310000}"/>
    <cellStyle name="강조색1 31 15" xfId="14305" xr:uid="{00000000-0005-0000-0000-000086310000}"/>
    <cellStyle name="강조색1 31 2" xfId="1626" xr:uid="{00000000-0005-0000-0000-000087310000}"/>
    <cellStyle name="강조색1 31 2 2" xfId="14311" xr:uid="{00000000-0005-0000-0000-000088310000}"/>
    <cellStyle name="강조색1 31 3" xfId="14312" xr:uid="{00000000-0005-0000-0000-000089310000}"/>
    <cellStyle name="강조색1 31 4" xfId="14313" xr:uid="{00000000-0005-0000-0000-00008A310000}"/>
    <cellStyle name="강조색1 31 5" xfId="14314" xr:uid="{00000000-0005-0000-0000-00008B310000}"/>
    <cellStyle name="강조색1 31 6" xfId="14315" xr:uid="{00000000-0005-0000-0000-00008C310000}"/>
    <cellStyle name="강조색1 31 7" xfId="14316" xr:uid="{00000000-0005-0000-0000-00008D310000}"/>
    <cellStyle name="강조색1 31 8" xfId="14317" xr:uid="{00000000-0005-0000-0000-00008E310000}"/>
    <cellStyle name="강조색1 31 9" xfId="14318" xr:uid="{00000000-0005-0000-0000-00008F310000}"/>
    <cellStyle name="강조색1 32" xfId="1627" xr:uid="{00000000-0005-0000-0000-000090310000}"/>
    <cellStyle name="강조색1 32 10" xfId="14320" xr:uid="{00000000-0005-0000-0000-000091310000}"/>
    <cellStyle name="강조색1 32 11" xfId="14321" xr:uid="{00000000-0005-0000-0000-000092310000}"/>
    <cellStyle name="강조색1 32 12" xfId="14322" xr:uid="{00000000-0005-0000-0000-000093310000}"/>
    <cellStyle name="강조색1 32 13" xfId="14323" xr:uid="{00000000-0005-0000-0000-000094310000}"/>
    <cellStyle name="강조색1 32 14" xfId="14324" xr:uid="{00000000-0005-0000-0000-000095310000}"/>
    <cellStyle name="강조색1 32 15" xfId="14319" xr:uid="{00000000-0005-0000-0000-000096310000}"/>
    <cellStyle name="강조색1 32 2" xfId="1628" xr:uid="{00000000-0005-0000-0000-000097310000}"/>
    <cellStyle name="강조색1 32 2 2" xfId="14325" xr:uid="{00000000-0005-0000-0000-000098310000}"/>
    <cellStyle name="강조색1 32 3" xfId="14326" xr:uid="{00000000-0005-0000-0000-000099310000}"/>
    <cellStyle name="강조색1 32 4" xfId="14327" xr:uid="{00000000-0005-0000-0000-00009A310000}"/>
    <cellStyle name="강조색1 32 5" xfId="14328" xr:uid="{00000000-0005-0000-0000-00009B310000}"/>
    <cellStyle name="강조색1 32 6" xfId="14329" xr:uid="{00000000-0005-0000-0000-00009C310000}"/>
    <cellStyle name="강조색1 32 7" xfId="14330" xr:uid="{00000000-0005-0000-0000-00009D310000}"/>
    <cellStyle name="강조색1 32 8" xfId="14331" xr:uid="{00000000-0005-0000-0000-00009E310000}"/>
    <cellStyle name="강조색1 32 9" xfId="14332" xr:uid="{00000000-0005-0000-0000-00009F310000}"/>
    <cellStyle name="강조색1 33" xfId="1629" xr:uid="{00000000-0005-0000-0000-0000A0310000}"/>
    <cellStyle name="강조색1 33 10" xfId="14334" xr:uid="{00000000-0005-0000-0000-0000A1310000}"/>
    <cellStyle name="강조색1 33 11" xfId="14335" xr:uid="{00000000-0005-0000-0000-0000A2310000}"/>
    <cellStyle name="강조색1 33 12" xfId="14336" xr:uid="{00000000-0005-0000-0000-0000A3310000}"/>
    <cellStyle name="강조색1 33 13" xfId="14337" xr:uid="{00000000-0005-0000-0000-0000A4310000}"/>
    <cellStyle name="강조색1 33 14" xfId="14338" xr:uid="{00000000-0005-0000-0000-0000A5310000}"/>
    <cellStyle name="강조색1 33 15" xfId="14333" xr:uid="{00000000-0005-0000-0000-0000A6310000}"/>
    <cellStyle name="강조색1 33 2" xfId="1630" xr:uid="{00000000-0005-0000-0000-0000A7310000}"/>
    <cellStyle name="강조색1 33 2 2" xfId="14339" xr:uid="{00000000-0005-0000-0000-0000A8310000}"/>
    <cellStyle name="강조색1 33 3" xfId="14340" xr:uid="{00000000-0005-0000-0000-0000A9310000}"/>
    <cellStyle name="강조색1 33 4" xfId="14341" xr:uid="{00000000-0005-0000-0000-0000AA310000}"/>
    <cellStyle name="강조색1 33 5" xfId="14342" xr:uid="{00000000-0005-0000-0000-0000AB310000}"/>
    <cellStyle name="강조색1 33 6" xfId="14343" xr:uid="{00000000-0005-0000-0000-0000AC310000}"/>
    <cellStyle name="강조색1 33 7" xfId="14344" xr:uid="{00000000-0005-0000-0000-0000AD310000}"/>
    <cellStyle name="강조색1 33 8" xfId="14345" xr:uid="{00000000-0005-0000-0000-0000AE310000}"/>
    <cellStyle name="강조색1 33 9" xfId="14346" xr:uid="{00000000-0005-0000-0000-0000AF310000}"/>
    <cellStyle name="강조색1 34" xfId="1631" xr:uid="{00000000-0005-0000-0000-0000B0310000}"/>
    <cellStyle name="강조색1 34 10" xfId="14348" xr:uid="{00000000-0005-0000-0000-0000B1310000}"/>
    <cellStyle name="강조색1 34 11" xfId="14349" xr:uid="{00000000-0005-0000-0000-0000B2310000}"/>
    <cellStyle name="강조색1 34 12" xfId="14350" xr:uid="{00000000-0005-0000-0000-0000B3310000}"/>
    <cellStyle name="강조색1 34 13" xfId="14351" xr:uid="{00000000-0005-0000-0000-0000B4310000}"/>
    <cellStyle name="강조색1 34 14" xfId="14352" xr:uid="{00000000-0005-0000-0000-0000B5310000}"/>
    <cellStyle name="강조색1 34 15" xfId="14347" xr:uid="{00000000-0005-0000-0000-0000B6310000}"/>
    <cellStyle name="강조색1 34 2" xfId="1632" xr:uid="{00000000-0005-0000-0000-0000B7310000}"/>
    <cellStyle name="강조색1 34 2 2" xfId="14353" xr:uid="{00000000-0005-0000-0000-0000B8310000}"/>
    <cellStyle name="강조색1 34 3" xfId="14354" xr:uid="{00000000-0005-0000-0000-0000B9310000}"/>
    <cellStyle name="강조색1 34 4" xfId="14355" xr:uid="{00000000-0005-0000-0000-0000BA310000}"/>
    <cellStyle name="강조색1 34 5" xfId="14356" xr:uid="{00000000-0005-0000-0000-0000BB310000}"/>
    <cellStyle name="강조색1 34 6" xfId="14357" xr:uid="{00000000-0005-0000-0000-0000BC310000}"/>
    <cellStyle name="강조색1 34 7" xfId="14358" xr:uid="{00000000-0005-0000-0000-0000BD310000}"/>
    <cellStyle name="강조색1 34 8" xfId="14359" xr:uid="{00000000-0005-0000-0000-0000BE310000}"/>
    <cellStyle name="강조색1 34 9" xfId="14360" xr:uid="{00000000-0005-0000-0000-0000BF310000}"/>
    <cellStyle name="강조색1 35" xfId="1633" xr:uid="{00000000-0005-0000-0000-0000C0310000}"/>
    <cellStyle name="강조색1 35 10" xfId="14362" xr:uid="{00000000-0005-0000-0000-0000C1310000}"/>
    <cellStyle name="강조색1 35 11" xfId="14363" xr:uid="{00000000-0005-0000-0000-0000C2310000}"/>
    <cellStyle name="강조색1 35 12" xfId="14364" xr:uid="{00000000-0005-0000-0000-0000C3310000}"/>
    <cellStyle name="강조색1 35 13" xfId="14365" xr:uid="{00000000-0005-0000-0000-0000C4310000}"/>
    <cellStyle name="강조색1 35 14" xfId="14366" xr:uid="{00000000-0005-0000-0000-0000C5310000}"/>
    <cellStyle name="강조색1 35 15" xfId="14361" xr:uid="{00000000-0005-0000-0000-0000C6310000}"/>
    <cellStyle name="강조색1 35 2" xfId="1634" xr:uid="{00000000-0005-0000-0000-0000C7310000}"/>
    <cellStyle name="강조색1 35 2 2" xfId="14367" xr:uid="{00000000-0005-0000-0000-0000C8310000}"/>
    <cellStyle name="강조색1 35 3" xfId="14368" xr:uid="{00000000-0005-0000-0000-0000C9310000}"/>
    <cellStyle name="강조색1 35 4" xfId="14369" xr:uid="{00000000-0005-0000-0000-0000CA310000}"/>
    <cellStyle name="강조색1 35 5" xfId="14370" xr:uid="{00000000-0005-0000-0000-0000CB310000}"/>
    <cellStyle name="강조색1 35 6" xfId="14371" xr:uid="{00000000-0005-0000-0000-0000CC310000}"/>
    <cellStyle name="강조색1 35 7" xfId="14372" xr:uid="{00000000-0005-0000-0000-0000CD310000}"/>
    <cellStyle name="강조색1 35 8" xfId="14373" xr:uid="{00000000-0005-0000-0000-0000CE310000}"/>
    <cellStyle name="강조색1 35 9" xfId="14374" xr:uid="{00000000-0005-0000-0000-0000CF310000}"/>
    <cellStyle name="강조색1 36" xfId="1635" xr:uid="{00000000-0005-0000-0000-0000D0310000}"/>
    <cellStyle name="강조색1 36 10" xfId="14376" xr:uid="{00000000-0005-0000-0000-0000D1310000}"/>
    <cellStyle name="강조색1 36 11" xfId="14377" xr:uid="{00000000-0005-0000-0000-0000D2310000}"/>
    <cellStyle name="강조색1 36 12" xfId="14378" xr:uid="{00000000-0005-0000-0000-0000D3310000}"/>
    <cellStyle name="강조색1 36 13" xfId="14379" xr:uid="{00000000-0005-0000-0000-0000D4310000}"/>
    <cellStyle name="강조색1 36 14" xfId="14380" xr:uid="{00000000-0005-0000-0000-0000D5310000}"/>
    <cellStyle name="강조색1 36 15" xfId="14375" xr:uid="{00000000-0005-0000-0000-0000D6310000}"/>
    <cellStyle name="강조색1 36 2" xfId="1636" xr:uid="{00000000-0005-0000-0000-0000D7310000}"/>
    <cellStyle name="강조색1 36 2 2" xfId="14381" xr:uid="{00000000-0005-0000-0000-0000D8310000}"/>
    <cellStyle name="강조색1 36 3" xfId="14382" xr:uid="{00000000-0005-0000-0000-0000D9310000}"/>
    <cellStyle name="강조색1 36 4" xfId="14383" xr:uid="{00000000-0005-0000-0000-0000DA310000}"/>
    <cellStyle name="강조색1 36 5" xfId="14384" xr:uid="{00000000-0005-0000-0000-0000DB310000}"/>
    <cellStyle name="강조색1 36 6" xfId="14385" xr:uid="{00000000-0005-0000-0000-0000DC310000}"/>
    <cellStyle name="강조색1 36 7" xfId="14386" xr:uid="{00000000-0005-0000-0000-0000DD310000}"/>
    <cellStyle name="강조색1 36 8" xfId="14387" xr:uid="{00000000-0005-0000-0000-0000DE310000}"/>
    <cellStyle name="강조색1 36 9" xfId="14388" xr:uid="{00000000-0005-0000-0000-0000DF310000}"/>
    <cellStyle name="강조색1 37" xfId="1637" xr:uid="{00000000-0005-0000-0000-0000E0310000}"/>
    <cellStyle name="강조색1 37 10" xfId="14390" xr:uid="{00000000-0005-0000-0000-0000E1310000}"/>
    <cellStyle name="강조색1 37 11" xfId="14391" xr:uid="{00000000-0005-0000-0000-0000E2310000}"/>
    <cellStyle name="강조색1 37 12" xfId="14392" xr:uid="{00000000-0005-0000-0000-0000E3310000}"/>
    <cellStyle name="강조색1 37 13" xfId="14393" xr:uid="{00000000-0005-0000-0000-0000E4310000}"/>
    <cellStyle name="강조색1 37 14" xfId="14394" xr:uid="{00000000-0005-0000-0000-0000E5310000}"/>
    <cellStyle name="강조색1 37 15" xfId="14389" xr:uid="{00000000-0005-0000-0000-0000E6310000}"/>
    <cellStyle name="강조색1 37 2" xfId="1638" xr:uid="{00000000-0005-0000-0000-0000E7310000}"/>
    <cellStyle name="강조색1 37 2 2" xfId="14395" xr:uid="{00000000-0005-0000-0000-0000E8310000}"/>
    <cellStyle name="강조색1 37 3" xfId="14396" xr:uid="{00000000-0005-0000-0000-0000E9310000}"/>
    <cellStyle name="강조색1 37 4" xfId="14397" xr:uid="{00000000-0005-0000-0000-0000EA310000}"/>
    <cellStyle name="강조색1 37 5" xfId="14398" xr:uid="{00000000-0005-0000-0000-0000EB310000}"/>
    <cellStyle name="강조색1 37 6" xfId="14399" xr:uid="{00000000-0005-0000-0000-0000EC310000}"/>
    <cellStyle name="강조색1 37 7" xfId="14400" xr:uid="{00000000-0005-0000-0000-0000ED310000}"/>
    <cellStyle name="강조색1 37 8" xfId="14401" xr:uid="{00000000-0005-0000-0000-0000EE310000}"/>
    <cellStyle name="강조색1 37 9" xfId="14402" xr:uid="{00000000-0005-0000-0000-0000EF310000}"/>
    <cellStyle name="강조색1 38" xfId="1639" xr:uid="{00000000-0005-0000-0000-0000F0310000}"/>
    <cellStyle name="강조색1 38 10" xfId="14404" xr:uid="{00000000-0005-0000-0000-0000F1310000}"/>
    <cellStyle name="강조색1 38 11" xfId="14405" xr:uid="{00000000-0005-0000-0000-0000F2310000}"/>
    <cellStyle name="강조색1 38 12" xfId="14406" xr:uid="{00000000-0005-0000-0000-0000F3310000}"/>
    <cellStyle name="강조색1 38 13" xfId="14407" xr:uid="{00000000-0005-0000-0000-0000F4310000}"/>
    <cellStyle name="강조색1 38 14" xfId="14408" xr:uid="{00000000-0005-0000-0000-0000F5310000}"/>
    <cellStyle name="강조색1 38 15" xfId="14403" xr:uid="{00000000-0005-0000-0000-0000F6310000}"/>
    <cellStyle name="강조색1 38 2" xfId="1640" xr:uid="{00000000-0005-0000-0000-0000F7310000}"/>
    <cellStyle name="강조색1 38 2 2" xfId="14409" xr:uid="{00000000-0005-0000-0000-0000F8310000}"/>
    <cellStyle name="강조색1 38 3" xfId="14410" xr:uid="{00000000-0005-0000-0000-0000F9310000}"/>
    <cellStyle name="강조색1 38 4" xfId="14411" xr:uid="{00000000-0005-0000-0000-0000FA310000}"/>
    <cellStyle name="강조색1 38 5" xfId="14412" xr:uid="{00000000-0005-0000-0000-0000FB310000}"/>
    <cellStyle name="강조색1 38 6" xfId="14413" xr:uid="{00000000-0005-0000-0000-0000FC310000}"/>
    <cellStyle name="강조색1 38 7" xfId="14414" xr:uid="{00000000-0005-0000-0000-0000FD310000}"/>
    <cellStyle name="강조색1 38 8" xfId="14415" xr:uid="{00000000-0005-0000-0000-0000FE310000}"/>
    <cellStyle name="강조색1 38 9" xfId="14416" xr:uid="{00000000-0005-0000-0000-0000FF310000}"/>
    <cellStyle name="강조색1 39" xfId="1641" xr:uid="{00000000-0005-0000-0000-000000320000}"/>
    <cellStyle name="강조색1 39 10" xfId="14418" xr:uid="{00000000-0005-0000-0000-000001320000}"/>
    <cellStyle name="강조색1 39 11" xfId="14419" xr:uid="{00000000-0005-0000-0000-000002320000}"/>
    <cellStyle name="강조색1 39 12" xfId="14420" xr:uid="{00000000-0005-0000-0000-000003320000}"/>
    <cellStyle name="강조색1 39 13" xfId="14421" xr:uid="{00000000-0005-0000-0000-000004320000}"/>
    <cellStyle name="강조색1 39 14" xfId="14422" xr:uid="{00000000-0005-0000-0000-000005320000}"/>
    <cellStyle name="강조색1 39 15" xfId="14417" xr:uid="{00000000-0005-0000-0000-000006320000}"/>
    <cellStyle name="강조색1 39 2" xfId="1642" xr:uid="{00000000-0005-0000-0000-000007320000}"/>
    <cellStyle name="강조색1 39 2 2" xfId="14423" xr:uid="{00000000-0005-0000-0000-000008320000}"/>
    <cellStyle name="강조색1 39 3" xfId="14424" xr:uid="{00000000-0005-0000-0000-000009320000}"/>
    <cellStyle name="강조색1 39 4" xfId="14425" xr:uid="{00000000-0005-0000-0000-00000A320000}"/>
    <cellStyle name="강조색1 39 5" xfId="14426" xr:uid="{00000000-0005-0000-0000-00000B320000}"/>
    <cellStyle name="강조색1 39 6" xfId="14427" xr:uid="{00000000-0005-0000-0000-00000C320000}"/>
    <cellStyle name="강조색1 39 7" xfId="14428" xr:uid="{00000000-0005-0000-0000-00000D320000}"/>
    <cellStyle name="강조색1 39 8" xfId="14429" xr:uid="{00000000-0005-0000-0000-00000E320000}"/>
    <cellStyle name="강조색1 39 9" xfId="14430" xr:uid="{00000000-0005-0000-0000-00000F320000}"/>
    <cellStyle name="강조색1 4" xfId="1643" xr:uid="{00000000-0005-0000-0000-000010320000}"/>
    <cellStyle name="강조색1 4 10" xfId="14432" xr:uid="{00000000-0005-0000-0000-000011320000}"/>
    <cellStyle name="강조색1 4 11" xfId="14433" xr:uid="{00000000-0005-0000-0000-000012320000}"/>
    <cellStyle name="강조색1 4 12" xfId="14434" xr:uid="{00000000-0005-0000-0000-000013320000}"/>
    <cellStyle name="강조색1 4 13" xfId="14435" xr:uid="{00000000-0005-0000-0000-000014320000}"/>
    <cellStyle name="강조색1 4 14" xfId="14436" xr:uid="{00000000-0005-0000-0000-000015320000}"/>
    <cellStyle name="강조색1 4 15" xfId="14431" xr:uid="{00000000-0005-0000-0000-000016320000}"/>
    <cellStyle name="강조색1 4 16" xfId="27869" xr:uid="{00000000-0005-0000-0000-000017320000}"/>
    <cellStyle name="강조색1 4 2" xfId="1644" xr:uid="{00000000-0005-0000-0000-000018320000}"/>
    <cellStyle name="강조색1 4 2 2" xfId="14437" xr:uid="{00000000-0005-0000-0000-000019320000}"/>
    <cellStyle name="강조색1 4 3" xfId="14438" xr:uid="{00000000-0005-0000-0000-00001A320000}"/>
    <cellStyle name="강조색1 4 4" xfId="14439" xr:uid="{00000000-0005-0000-0000-00001B320000}"/>
    <cellStyle name="강조색1 4 5" xfId="14440" xr:uid="{00000000-0005-0000-0000-00001C320000}"/>
    <cellStyle name="강조색1 4 6" xfId="14441" xr:uid="{00000000-0005-0000-0000-00001D320000}"/>
    <cellStyle name="강조색1 4 7" xfId="14442" xr:uid="{00000000-0005-0000-0000-00001E320000}"/>
    <cellStyle name="강조색1 4 8" xfId="14443" xr:uid="{00000000-0005-0000-0000-00001F320000}"/>
    <cellStyle name="강조색1 4 9" xfId="14444" xr:uid="{00000000-0005-0000-0000-000020320000}"/>
    <cellStyle name="강조색1 40" xfId="1645" xr:uid="{00000000-0005-0000-0000-000021320000}"/>
    <cellStyle name="강조색1 40 10" xfId="14446" xr:uid="{00000000-0005-0000-0000-000022320000}"/>
    <cellStyle name="강조색1 40 11" xfId="14447" xr:uid="{00000000-0005-0000-0000-000023320000}"/>
    <cellStyle name="강조색1 40 12" xfId="14448" xr:uid="{00000000-0005-0000-0000-000024320000}"/>
    <cellStyle name="강조색1 40 13" xfId="14449" xr:uid="{00000000-0005-0000-0000-000025320000}"/>
    <cellStyle name="강조색1 40 14" xfId="14450" xr:uid="{00000000-0005-0000-0000-000026320000}"/>
    <cellStyle name="강조색1 40 15" xfId="14445" xr:uid="{00000000-0005-0000-0000-000027320000}"/>
    <cellStyle name="강조색1 40 2" xfId="1646" xr:uid="{00000000-0005-0000-0000-000028320000}"/>
    <cellStyle name="강조색1 40 2 2" xfId="14451" xr:uid="{00000000-0005-0000-0000-000029320000}"/>
    <cellStyle name="강조색1 40 3" xfId="14452" xr:uid="{00000000-0005-0000-0000-00002A320000}"/>
    <cellStyle name="강조색1 40 4" xfId="14453" xr:uid="{00000000-0005-0000-0000-00002B320000}"/>
    <cellStyle name="강조색1 40 5" xfId="14454" xr:uid="{00000000-0005-0000-0000-00002C320000}"/>
    <cellStyle name="강조색1 40 6" xfId="14455" xr:uid="{00000000-0005-0000-0000-00002D320000}"/>
    <cellStyle name="강조색1 40 7" xfId="14456" xr:uid="{00000000-0005-0000-0000-00002E320000}"/>
    <cellStyle name="강조색1 40 8" xfId="14457" xr:uid="{00000000-0005-0000-0000-00002F320000}"/>
    <cellStyle name="강조색1 40 9" xfId="14458" xr:uid="{00000000-0005-0000-0000-000030320000}"/>
    <cellStyle name="강조색1 41" xfId="1647" xr:uid="{00000000-0005-0000-0000-000031320000}"/>
    <cellStyle name="강조색1 41 10" xfId="14460" xr:uid="{00000000-0005-0000-0000-000032320000}"/>
    <cellStyle name="강조색1 41 11" xfId="14461" xr:uid="{00000000-0005-0000-0000-000033320000}"/>
    <cellStyle name="강조색1 41 12" xfId="14462" xr:uid="{00000000-0005-0000-0000-000034320000}"/>
    <cellStyle name="강조색1 41 13" xfId="14463" xr:uid="{00000000-0005-0000-0000-000035320000}"/>
    <cellStyle name="강조색1 41 14" xfId="14464" xr:uid="{00000000-0005-0000-0000-000036320000}"/>
    <cellStyle name="강조색1 41 15" xfId="14459" xr:uid="{00000000-0005-0000-0000-000037320000}"/>
    <cellStyle name="강조색1 41 2" xfId="1648" xr:uid="{00000000-0005-0000-0000-000038320000}"/>
    <cellStyle name="강조색1 41 2 2" xfId="14465" xr:uid="{00000000-0005-0000-0000-000039320000}"/>
    <cellStyle name="강조색1 41 3" xfId="14466" xr:uid="{00000000-0005-0000-0000-00003A320000}"/>
    <cellStyle name="강조색1 41 4" xfId="14467" xr:uid="{00000000-0005-0000-0000-00003B320000}"/>
    <cellStyle name="강조색1 41 5" xfId="14468" xr:uid="{00000000-0005-0000-0000-00003C320000}"/>
    <cellStyle name="강조색1 41 6" xfId="14469" xr:uid="{00000000-0005-0000-0000-00003D320000}"/>
    <cellStyle name="강조색1 41 7" xfId="14470" xr:uid="{00000000-0005-0000-0000-00003E320000}"/>
    <cellStyle name="강조색1 41 8" xfId="14471" xr:uid="{00000000-0005-0000-0000-00003F320000}"/>
    <cellStyle name="강조색1 41 9" xfId="14472" xr:uid="{00000000-0005-0000-0000-000040320000}"/>
    <cellStyle name="강조색1 42" xfId="1649" xr:uid="{00000000-0005-0000-0000-000041320000}"/>
    <cellStyle name="강조색1 42 10" xfId="14474" xr:uid="{00000000-0005-0000-0000-000042320000}"/>
    <cellStyle name="강조색1 42 11" xfId="14475" xr:uid="{00000000-0005-0000-0000-000043320000}"/>
    <cellStyle name="강조색1 42 12" xfId="14476" xr:uid="{00000000-0005-0000-0000-000044320000}"/>
    <cellStyle name="강조색1 42 13" xfId="14477" xr:uid="{00000000-0005-0000-0000-000045320000}"/>
    <cellStyle name="강조색1 42 14" xfId="14478" xr:uid="{00000000-0005-0000-0000-000046320000}"/>
    <cellStyle name="강조색1 42 15" xfId="14473" xr:uid="{00000000-0005-0000-0000-000047320000}"/>
    <cellStyle name="강조색1 42 2" xfId="1650" xr:uid="{00000000-0005-0000-0000-000048320000}"/>
    <cellStyle name="강조색1 42 2 2" xfId="14479" xr:uid="{00000000-0005-0000-0000-000049320000}"/>
    <cellStyle name="강조색1 42 3" xfId="14480" xr:uid="{00000000-0005-0000-0000-00004A320000}"/>
    <cellStyle name="강조색1 42 4" xfId="14481" xr:uid="{00000000-0005-0000-0000-00004B320000}"/>
    <cellStyle name="강조색1 42 5" xfId="14482" xr:uid="{00000000-0005-0000-0000-00004C320000}"/>
    <cellStyle name="강조색1 42 6" xfId="14483" xr:uid="{00000000-0005-0000-0000-00004D320000}"/>
    <cellStyle name="강조색1 42 7" xfId="14484" xr:uid="{00000000-0005-0000-0000-00004E320000}"/>
    <cellStyle name="강조색1 42 8" xfId="14485" xr:uid="{00000000-0005-0000-0000-00004F320000}"/>
    <cellStyle name="강조색1 42 9" xfId="14486" xr:uid="{00000000-0005-0000-0000-000050320000}"/>
    <cellStyle name="강조색1 43" xfId="1651" xr:uid="{00000000-0005-0000-0000-000051320000}"/>
    <cellStyle name="강조색1 43 10" xfId="14488" xr:uid="{00000000-0005-0000-0000-000052320000}"/>
    <cellStyle name="강조색1 43 11" xfId="14489" xr:uid="{00000000-0005-0000-0000-000053320000}"/>
    <cellStyle name="강조색1 43 12" xfId="14490" xr:uid="{00000000-0005-0000-0000-000054320000}"/>
    <cellStyle name="강조색1 43 13" xfId="14491" xr:uid="{00000000-0005-0000-0000-000055320000}"/>
    <cellStyle name="강조색1 43 14" xfId="14492" xr:uid="{00000000-0005-0000-0000-000056320000}"/>
    <cellStyle name="강조색1 43 15" xfId="14487" xr:uid="{00000000-0005-0000-0000-000057320000}"/>
    <cellStyle name="강조색1 43 2" xfId="1652" xr:uid="{00000000-0005-0000-0000-000058320000}"/>
    <cellStyle name="강조색1 43 2 2" xfId="14493" xr:uid="{00000000-0005-0000-0000-000059320000}"/>
    <cellStyle name="강조색1 43 3" xfId="14494" xr:uid="{00000000-0005-0000-0000-00005A320000}"/>
    <cellStyle name="강조색1 43 4" xfId="14495" xr:uid="{00000000-0005-0000-0000-00005B320000}"/>
    <cellStyle name="강조색1 43 5" xfId="14496" xr:uid="{00000000-0005-0000-0000-00005C320000}"/>
    <cellStyle name="강조색1 43 6" xfId="14497" xr:uid="{00000000-0005-0000-0000-00005D320000}"/>
    <cellStyle name="강조색1 43 7" xfId="14498" xr:uid="{00000000-0005-0000-0000-00005E320000}"/>
    <cellStyle name="강조색1 43 8" xfId="14499" xr:uid="{00000000-0005-0000-0000-00005F320000}"/>
    <cellStyle name="강조색1 43 9" xfId="14500" xr:uid="{00000000-0005-0000-0000-000060320000}"/>
    <cellStyle name="강조색1 44" xfId="1653" xr:uid="{00000000-0005-0000-0000-000061320000}"/>
    <cellStyle name="강조색1 44 2" xfId="14501" xr:uid="{00000000-0005-0000-0000-000062320000}"/>
    <cellStyle name="강조색1 45" xfId="1654" xr:uid="{00000000-0005-0000-0000-000063320000}"/>
    <cellStyle name="강조색1 45 2" xfId="14502" xr:uid="{00000000-0005-0000-0000-000064320000}"/>
    <cellStyle name="강조색1 46" xfId="1578" xr:uid="{00000000-0005-0000-0000-000065320000}"/>
    <cellStyle name="강조색1 47" xfId="13982" xr:uid="{00000000-0005-0000-0000-000066320000}"/>
    <cellStyle name="강조색1 48" xfId="27631" xr:uid="{00000000-0005-0000-0000-000067320000}"/>
    <cellStyle name="강조색1 5" xfId="1655" xr:uid="{00000000-0005-0000-0000-000068320000}"/>
    <cellStyle name="강조색1 5 10" xfId="14504" xr:uid="{00000000-0005-0000-0000-000069320000}"/>
    <cellStyle name="강조색1 5 11" xfId="14505" xr:uid="{00000000-0005-0000-0000-00006A320000}"/>
    <cellStyle name="강조색1 5 12" xfId="14506" xr:uid="{00000000-0005-0000-0000-00006B320000}"/>
    <cellStyle name="강조색1 5 13" xfId="14507" xr:uid="{00000000-0005-0000-0000-00006C320000}"/>
    <cellStyle name="강조색1 5 14" xfId="14508" xr:uid="{00000000-0005-0000-0000-00006D320000}"/>
    <cellStyle name="강조색1 5 15" xfId="14503" xr:uid="{00000000-0005-0000-0000-00006E320000}"/>
    <cellStyle name="강조색1 5 2" xfId="1656" xr:uid="{00000000-0005-0000-0000-00006F320000}"/>
    <cellStyle name="강조색1 5 2 2" xfId="14509" xr:uid="{00000000-0005-0000-0000-000070320000}"/>
    <cellStyle name="강조색1 5 3" xfId="14510" xr:uid="{00000000-0005-0000-0000-000071320000}"/>
    <cellStyle name="강조색1 5 4" xfId="14511" xr:uid="{00000000-0005-0000-0000-000072320000}"/>
    <cellStyle name="강조색1 5 5" xfId="14512" xr:uid="{00000000-0005-0000-0000-000073320000}"/>
    <cellStyle name="강조색1 5 6" xfId="14513" xr:uid="{00000000-0005-0000-0000-000074320000}"/>
    <cellStyle name="강조색1 5 7" xfId="14514" xr:uid="{00000000-0005-0000-0000-000075320000}"/>
    <cellStyle name="강조색1 5 8" xfId="14515" xr:uid="{00000000-0005-0000-0000-000076320000}"/>
    <cellStyle name="강조색1 5 9" xfId="14516" xr:uid="{00000000-0005-0000-0000-000077320000}"/>
    <cellStyle name="강조색1 6" xfId="1657" xr:uid="{00000000-0005-0000-0000-000078320000}"/>
    <cellStyle name="강조색1 6 10" xfId="14518" xr:uid="{00000000-0005-0000-0000-000079320000}"/>
    <cellStyle name="강조색1 6 11" xfId="14519" xr:uid="{00000000-0005-0000-0000-00007A320000}"/>
    <cellStyle name="강조색1 6 12" xfId="14520" xr:uid="{00000000-0005-0000-0000-00007B320000}"/>
    <cellStyle name="강조색1 6 13" xfId="14521" xr:uid="{00000000-0005-0000-0000-00007C320000}"/>
    <cellStyle name="강조색1 6 14" xfId="14522" xr:uid="{00000000-0005-0000-0000-00007D320000}"/>
    <cellStyle name="강조색1 6 15" xfId="14517" xr:uid="{00000000-0005-0000-0000-00007E320000}"/>
    <cellStyle name="강조색1 6 2" xfId="1658" xr:uid="{00000000-0005-0000-0000-00007F320000}"/>
    <cellStyle name="강조색1 6 2 2" xfId="14523" xr:uid="{00000000-0005-0000-0000-000080320000}"/>
    <cellStyle name="강조색1 6 3" xfId="14524" xr:uid="{00000000-0005-0000-0000-000081320000}"/>
    <cellStyle name="강조색1 6 4" xfId="14525" xr:uid="{00000000-0005-0000-0000-000082320000}"/>
    <cellStyle name="강조색1 6 5" xfId="14526" xr:uid="{00000000-0005-0000-0000-000083320000}"/>
    <cellStyle name="강조색1 6 6" xfId="14527" xr:uid="{00000000-0005-0000-0000-000084320000}"/>
    <cellStyle name="강조색1 6 7" xfId="14528" xr:uid="{00000000-0005-0000-0000-000085320000}"/>
    <cellStyle name="강조색1 6 8" xfId="14529" xr:uid="{00000000-0005-0000-0000-000086320000}"/>
    <cellStyle name="강조색1 6 9" xfId="14530" xr:uid="{00000000-0005-0000-0000-000087320000}"/>
    <cellStyle name="강조색1 7" xfId="1659" xr:uid="{00000000-0005-0000-0000-000088320000}"/>
    <cellStyle name="강조색1 7 10" xfId="14532" xr:uid="{00000000-0005-0000-0000-000089320000}"/>
    <cellStyle name="강조색1 7 11" xfId="14533" xr:uid="{00000000-0005-0000-0000-00008A320000}"/>
    <cellStyle name="강조색1 7 12" xfId="14534" xr:uid="{00000000-0005-0000-0000-00008B320000}"/>
    <cellStyle name="강조색1 7 13" xfId="14535" xr:uid="{00000000-0005-0000-0000-00008C320000}"/>
    <cellStyle name="강조색1 7 14" xfId="14536" xr:uid="{00000000-0005-0000-0000-00008D320000}"/>
    <cellStyle name="강조색1 7 15" xfId="14531" xr:uid="{00000000-0005-0000-0000-00008E320000}"/>
    <cellStyle name="강조색1 7 2" xfId="1660" xr:uid="{00000000-0005-0000-0000-00008F320000}"/>
    <cellStyle name="강조색1 7 2 2" xfId="14537" xr:uid="{00000000-0005-0000-0000-000090320000}"/>
    <cellStyle name="강조색1 7 3" xfId="14538" xr:uid="{00000000-0005-0000-0000-000091320000}"/>
    <cellStyle name="강조색1 7 4" xfId="14539" xr:uid="{00000000-0005-0000-0000-000092320000}"/>
    <cellStyle name="강조색1 7 5" xfId="14540" xr:uid="{00000000-0005-0000-0000-000093320000}"/>
    <cellStyle name="강조색1 7 6" xfId="14541" xr:uid="{00000000-0005-0000-0000-000094320000}"/>
    <cellStyle name="강조색1 7 7" xfId="14542" xr:uid="{00000000-0005-0000-0000-000095320000}"/>
    <cellStyle name="강조색1 7 8" xfId="14543" xr:uid="{00000000-0005-0000-0000-000096320000}"/>
    <cellStyle name="강조색1 7 9" xfId="14544" xr:uid="{00000000-0005-0000-0000-000097320000}"/>
    <cellStyle name="강조색1 8" xfId="1661" xr:uid="{00000000-0005-0000-0000-000098320000}"/>
    <cellStyle name="강조색1 8 10" xfId="14546" xr:uid="{00000000-0005-0000-0000-000099320000}"/>
    <cellStyle name="강조색1 8 11" xfId="14547" xr:uid="{00000000-0005-0000-0000-00009A320000}"/>
    <cellStyle name="강조색1 8 12" xfId="14548" xr:uid="{00000000-0005-0000-0000-00009B320000}"/>
    <cellStyle name="강조색1 8 13" xfId="14549" xr:uid="{00000000-0005-0000-0000-00009C320000}"/>
    <cellStyle name="강조색1 8 14" xfId="14550" xr:uid="{00000000-0005-0000-0000-00009D320000}"/>
    <cellStyle name="강조색1 8 15" xfId="14545" xr:uid="{00000000-0005-0000-0000-00009E320000}"/>
    <cellStyle name="강조색1 8 2" xfId="1662" xr:uid="{00000000-0005-0000-0000-00009F320000}"/>
    <cellStyle name="강조색1 8 2 2" xfId="14551" xr:uid="{00000000-0005-0000-0000-0000A0320000}"/>
    <cellStyle name="강조색1 8 3" xfId="14552" xr:uid="{00000000-0005-0000-0000-0000A1320000}"/>
    <cellStyle name="강조색1 8 4" xfId="14553" xr:uid="{00000000-0005-0000-0000-0000A2320000}"/>
    <cellStyle name="강조색1 8 5" xfId="14554" xr:uid="{00000000-0005-0000-0000-0000A3320000}"/>
    <cellStyle name="강조색1 8 6" xfId="14555" xr:uid="{00000000-0005-0000-0000-0000A4320000}"/>
    <cellStyle name="강조색1 8 7" xfId="14556" xr:uid="{00000000-0005-0000-0000-0000A5320000}"/>
    <cellStyle name="강조색1 8 8" xfId="14557" xr:uid="{00000000-0005-0000-0000-0000A6320000}"/>
    <cellStyle name="강조색1 8 9" xfId="14558" xr:uid="{00000000-0005-0000-0000-0000A7320000}"/>
    <cellStyle name="강조색1 9" xfId="1663" xr:uid="{00000000-0005-0000-0000-0000A8320000}"/>
    <cellStyle name="강조색1 9 10" xfId="14560" xr:uid="{00000000-0005-0000-0000-0000A9320000}"/>
    <cellStyle name="강조색1 9 11" xfId="14561" xr:uid="{00000000-0005-0000-0000-0000AA320000}"/>
    <cellStyle name="강조색1 9 12" xfId="14562" xr:uid="{00000000-0005-0000-0000-0000AB320000}"/>
    <cellStyle name="강조색1 9 13" xfId="14563" xr:uid="{00000000-0005-0000-0000-0000AC320000}"/>
    <cellStyle name="강조색1 9 14" xfId="14564" xr:uid="{00000000-0005-0000-0000-0000AD320000}"/>
    <cellStyle name="강조색1 9 15" xfId="14559" xr:uid="{00000000-0005-0000-0000-0000AE320000}"/>
    <cellStyle name="강조색1 9 2" xfId="1664" xr:uid="{00000000-0005-0000-0000-0000AF320000}"/>
    <cellStyle name="강조색1 9 2 2" xfId="14565" xr:uid="{00000000-0005-0000-0000-0000B0320000}"/>
    <cellStyle name="강조색1 9 3" xfId="14566" xr:uid="{00000000-0005-0000-0000-0000B1320000}"/>
    <cellStyle name="강조색1 9 4" xfId="14567" xr:uid="{00000000-0005-0000-0000-0000B2320000}"/>
    <cellStyle name="강조색1 9 5" xfId="14568" xr:uid="{00000000-0005-0000-0000-0000B3320000}"/>
    <cellStyle name="강조색1 9 6" xfId="14569" xr:uid="{00000000-0005-0000-0000-0000B4320000}"/>
    <cellStyle name="강조색1 9 7" xfId="14570" xr:uid="{00000000-0005-0000-0000-0000B5320000}"/>
    <cellStyle name="강조색1 9 8" xfId="14571" xr:uid="{00000000-0005-0000-0000-0000B6320000}"/>
    <cellStyle name="강조색1 9 9" xfId="14572" xr:uid="{00000000-0005-0000-0000-0000B7320000}"/>
    <cellStyle name="강조색2 10" xfId="1666" xr:uid="{00000000-0005-0000-0000-0000B8320000}"/>
    <cellStyle name="강조색2 10 10" xfId="14575" xr:uid="{00000000-0005-0000-0000-0000B9320000}"/>
    <cellStyle name="강조색2 10 11" xfId="14576" xr:uid="{00000000-0005-0000-0000-0000BA320000}"/>
    <cellStyle name="강조색2 10 12" xfId="14577" xr:uid="{00000000-0005-0000-0000-0000BB320000}"/>
    <cellStyle name="강조색2 10 13" xfId="14578" xr:uid="{00000000-0005-0000-0000-0000BC320000}"/>
    <cellStyle name="강조색2 10 14" xfId="14579" xr:uid="{00000000-0005-0000-0000-0000BD320000}"/>
    <cellStyle name="강조색2 10 15" xfId="14574" xr:uid="{00000000-0005-0000-0000-0000BE320000}"/>
    <cellStyle name="강조색2 10 2" xfId="1667" xr:uid="{00000000-0005-0000-0000-0000BF320000}"/>
    <cellStyle name="강조색2 10 2 2" xfId="14580" xr:uid="{00000000-0005-0000-0000-0000C0320000}"/>
    <cellStyle name="강조색2 10 3" xfId="14581" xr:uid="{00000000-0005-0000-0000-0000C1320000}"/>
    <cellStyle name="강조색2 10 4" xfId="14582" xr:uid="{00000000-0005-0000-0000-0000C2320000}"/>
    <cellStyle name="강조색2 10 5" xfId="14583" xr:uid="{00000000-0005-0000-0000-0000C3320000}"/>
    <cellStyle name="강조색2 10 6" xfId="14584" xr:uid="{00000000-0005-0000-0000-0000C4320000}"/>
    <cellStyle name="강조색2 10 7" xfId="14585" xr:uid="{00000000-0005-0000-0000-0000C5320000}"/>
    <cellStyle name="강조색2 10 8" xfId="14586" xr:uid="{00000000-0005-0000-0000-0000C6320000}"/>
    <cellStyle name="강조색2 10 9" xfId="14587" xr:uid="{00000000-0005-0000-0000-0000C7320000}"/>
    <cellStyle name="강조색2 11" xfId="1668" xr:uid="{00000000-0005-0000-0000-0000C8320000}"/>
    <cellStyle name="강조색2 11 10" xfId="14589" xr:uid="{00000000-0005-0000-0000-0000C9320000}"/>
    <cellStyle name="강조색2 11 11" xfId="14590" xr:uid="{00000000-0005-0000-0000-0000CA320000}"/>
    <cellStyle name="강조색2 11 12" xfId="14591" xr:uid="{00000000-0005-0000-0000-0000CB320000}"/>
    <cellStyle name="강조색2 11 13" xfId="14592" xr:uid="{00000000-0005-0000-0000-0000CC320000}"/>
    <cellStyle name="강조색2 11 14" xfId="14593" xr:uid="{00000000-0005-0000-0000-0000CD320000}"/>
    <cellStyle name="강조색2 11 15" xfId="14588" xr:uid="{00000000-0005-0000-0000-0000CE320000}"/>
    <cellStyle name="강조색2 11 2" xfId="1669" xr:uid="{00000000-0005-0000-0000-0000CF320000}"/>
    <cellStyle name="강조색2 11 2 2" xfId="14594" xr:uid="{00000000-0005-0000-0000-0000D0320000}"/>
    <cellStyle name="강조색2 11 3" xfId="14595" xr:uid="{00000000-0005-0000-0000-0000D1320000}"/>
    <cellStyle name="강조색2 11 4" xfId="14596" xr:uid="{00000000-0005-0000-0000-0000D2320000}"/>
    <cellStyle name="강조색2 11 5" xfId="14597" xr:uid="{00000000-0005-0000-0000-0000D3320000}"/>
    <cellStyle name="강조색2 11 6" xfId="14598" xr:uid="{00000000-0005-0000-0000-0000D4320000}"/>
    <cellStyle name="강조색2 11 7" xfId="14599" xr:uid="{00000000-0005-0000-0000-0000D5320000}"/>
    <cellStyle name="강조색2 11 8" xfId="14600" xr:uid="{00000000-0005-0000-0000-0000D6320000}"/>
    <cellStyle name="강조색2 11 9" xfId="14601" xr:uid="{00000000-0005-0000-0000-0000D7320000}"/>
    <cellStyle name="강조색2 12" xfId="1670" xr:uid="{00000000-0005-0000-0000-0000D8320000}"/>
    <cellStyle name="강조색2 12 10" xfId="14603" xr:uid="{00000000-0005-0000-0000-0000D9320000}"/>
    <cellStyle name="강조색2 12 11" xfId="14604" xr:uid="{00000000-0005-0000-0000-0000DA320000}"/>
    <cellStyle name="강조색2 12 12" xfId="14605" xr:uid="{00000000-0005-0000-0000-0000DB320000}"/>
    <cellStyle name="강조색2 12 13" xfId="14606" xr:uid="{00000000-0005-0000-0000-0000DC320000}"/>
    <cellStyle name="강조색2 12 14" xfId="14607" xr:uid="{00000000-0005-0000-0000-0000DD320000}"/>
    <cellStyle name="강조색2 12 15" xfId="14602" xr:uid="{00000000-0005-0000-0000-0000DE320000}"/>
    <cellStyle name="강조색2 12 2" xfId="1671" xr:uid="{00000000-0005-0000-0000-0000DF320000}"/>
    <cellStyle name="강조색2 12 2 2" xfId="14608" xr:uid="{00000000-0005-0000-0000-0000E0320000}"/>
    <cellStyle name="강조색2 12 3" xfId="14609" xr:uid="{00000000-0005-0000-0000-0000E1320000}"/>
    <cellStyle name="강조색2 12 4" xfId="14610" xr:uid="{00000000-0005-0000-0000-0000E2320000}"/>
    <cellStyle name="강조색2 12 5" xfId="14611" xr:uid="{00000000-0005-0000-0000-0000E3320000}"/>
    <cellStyle name="강조색2 12 6" xfId="14612" xr:uid="{00000000-0005-0000-0000-0000E4320000}"/>
    <cellStyle name="강조색2 12 7" xfId="14613" xr:uid="{00000000-0005-0000-0000-0000E5320000}"/>
    <cellStyle name="강조색2 12 8" xfId="14614" xr:uid="{00000000-0005-0000-0000-0000E6320000}"/>
    <cellStyle name="강조색2 12 9" xfId="14615" xr:uid="{00000000-0005-0000-0000-0000E7320000}"/>
    <cellStyle name="강조색2 13" xfId="1672" xr:uid="{00000000-0005-0000-0000-0000E8320000}"/>
    <cellStyle name="강조색2 13 10" xfId="14617" xr:uid="{00000000-0005-0000-0000-0000E9320000}"/>
    <cellStyle name="강조색2 13 11" xfId="14618" xr:uid="{00000000-0005-0000-0000-0000EA320000}"/>
    <cellStyle name="강조색2 13 12" xfId="14619" xr:uid="{00000000-0005-0000-0000-0000EB320000}"/>
    <cellStyle name="강조색2 13 13" xfId="14620" xr:uid="{00000000-0005-0000-0000-0000EC320000}"/>
    <cellStyle name="강조색2 13 14" xfId="14621" xr:uid="{00000000-0005-0000-0000-0000ED320000}"/>
    <cellStyle name="강조색2 13 15" xfId="14616" xr:uid="{00000000-0005-0000-0000-0000EE320000}"/>
    <cellStyle name="강조색2 13 2" xfId="1673" xr:uid="{00000000-0005-0000-0000-0000EF320000}"/>
    <cellStyle name="강조색2 13 2 2" xfId="14622" xr:uid="{00000000-0005-0000-0000-0000F0320000}"/>
    <cellStyle name="강조색2 13 3" xfId="14623" xr:uid="{00000000-0005-0000-0000-0000F1320000}"/>
    <cellStyle name="강조색2 13 4" xfId="14624" xr:uid="{00000000-0005-0000-0000-0000F2320000}"/>
    <cellStyle name="강조색2 13 5" xfId="14625" xr:uid="{00000000-0005-0000-0000-0000F3320000}"/>
    <cellStyle name="강조색2 13 6" xfId="14626" xr:uid="{00000000-0005-0000-0000-0000F4320000}"/>
    <cellStyle name="강조색2 13 7" xfId="14627" xr:uid="{00000000-0005-0000-0000-0000F5320000}"/>
    <cellStyle name="강조색2 13 8" xfId="14628" xr:uid="{00000000-0005-0000-0000-0000F6320000}"/>
    <cellStyle name="강조색2 13 9" xfId="14629" xr:uid="{00000000-0005-0000-0000-0000F7320000}"/>
    <cellStyle name="강조색2 14" xfId="1674" xr:uid="{00000000-0005-0000-0000-0000F8320000}"/>
    <cellStyle name="강조색2 14 10" xfId="14631" xr:uid="{00000000-0005-0000-0000-0000F9320000}"/>
    <cellStyle name="강조색2 14 11" xfId="14632" xr:uid="{00000000-0005-0000-0000-0000FA320000}"/>
    <cellStyle name="강조색2 14 12" xfId="14633" xr:uid="{00000000-0005-0000-0000-0000FB320000}"/>
    <cellStyle name="강조색2 14 13" xfId="14634" xr:uid="{00000000-0005-0000-0000-0000FC320000}"/>
    <cellStyle name="강조색2 14 14" xfId="14635" xr:uid="{00000000-0005-0000-0000-0000FD320000}"/>
    <cellStyle name="강조색2 14 15" xfId="14630" xr:uid="{00000000-0005-0000-0000-0000FE320000}"/>
    <cellStyle name="강조색2 14 2" xfId="1675" xr:uid="{00000000-0005-0000-0000-0000FF320000}"/>
    <cellStyle name="강조색2 14 2 2" xfId="14636" xr:uid="{00000000-0005-0000-0000-000000330000}"/>
    <cellStyle name="강조색2 14 3" xfId="14637" xr:uid="{00000000-0005-0000-0000-000001330000}"/>
    <cellStyle name="강조색2 14 4" xfId="14638" xr:uid="{00000000-0005-0000-0000-000002330000}"/>
    <cellStyle name="강조색2 14 5" xfId="14639" xr:uid="{00000000-0005-0000-0000-000003330000}"/>
    <cellStyle name="강조색2 14 6" xfId="14640" xr:uid="{00000000-0005-0000-0000-000004330000}"/>
    <cellStyle name="강조색2 14 7" xfId="14641" xr:uid="{00000000-0005-0000-0000-000005330000}"/>
    <cellStyle name="강조색2 14 8" xfId="14642" xr:uid="{00000000-0005-0000-0000-000006330000}"/>
    <cellStyle name="강조색2 14 9" xfId="14643" xr:uid="{00000000-0005-0000-0000-000007330000}"/>
    <cellStyle name="강조색2 15" xfId="1676" xr:uid="{00000000-0005-0000-0000-000008330000}"/>
    <cellStyle name="강조색2 15 10" xfId="14645" xr:uid="{00000000-0005-0000-0000-000009330000}"/>
    <cellStyle name="강조색2 15 11" xfId="14646" xr:uid="{00000000-0005-0000-0000-00000A330000}"/>
    <cellStyle name="강조색2 15 12" xfId="14647" xr:uid="{00000000-0005-0000-0000-00000B330000}"/>
    <cellStyle name="강조색2 15 13" xfId="14648" xr:uid="{00000000-0005-0000-0000-00000C330000}"/>
    <cellStyle name="강조색2 15 14" xfId="14649" xr:uid="{00000000-0005-0000-0000-00000D330000}"/>
    <cellStyle name="강조색2 15 15" xfId="14644" xr:uid="{00000000-0005-0000-0000-00000E330000}"/>
    <cellStyle name="강조색2 15 2" xfId="1677" xr:uid="{00000000-0005-0000-0000-00000F330000}"/>
    <cellStyle name="강조색2 15 2 2" xfId="14650" xr:uid="{00000000-0005-0000-0000-000010330000}"/>
    <cellStyle name="강조색2 15 3" xfId="14651" xr:uid="{00000000-0005-0000-0000-000011330000}"/>
    <cellStyle name="강조색2 15 4" xfId="14652" xr:uid="{00000000-0005-0000-0000-000012330000}"/>
    <cellStyle name="강조색2 15 5" xfId="14653" xr:uid="{00000000-0005-0000-0000-000013330000}"/>
    <cellStyle name="강조색2 15 6" xfId="14654" xr:uid="{00000000-0005-0000-0000-000014330000}"/>
    <cellStyle name="강조색2 15 7" xfId="14655" xr:uid="{00000000-0005-0000-0000-000015330000}"/>
    <cellStyle name="강조색2 15 8" xfId="14656" xr:uid="{00000000-0005-0000-0000-000016330000}"/>
    <cellStyle name="강조색2 15 9" xfId="14657" xr:uid="{00000000-0005-0000-0000-000017330000}"/>
    <cellStyle name="강조색2 16" xfId="1678" xr:uid="{00000000-0005-0000-0000-000018330000}"/>
    <cellStyle name="강조색2 16 10" xfId="14659" xr:uid="{00000000-0005-0000-0000-000019330000}"/>
    <cellStyle name="강조색2 16 11" xfId="14660" xr:uid="{00000000-0005-0000-0000-00001A330000}"/>
    <cellStyle name="강조색2 16 12" xfId="14661" xr:uid="{00000000-0005-0000-0000-00001B330000}"/>
    <cellStyle name="강조색2 16 13" xfId="14662" xr:uid="{00000000-0005-0000-0000-00001C330000}"/>
    <cellStyle name="강조색2 16 14" xfId="14663" xr:uid="{00000000-0005-0000-0000-00001D330000}"/>
    <cellStyle name="강조색2 16 15" xfId="14658" xr:uid="{00000000-0005-0000-0000-00001E330000}"/>
    <cellStyle name="강조색2 16 2" xfId="1679" xr:uid="{00000000-0005-0000-0000-00001F330000}"/>
    <cellStyle name="강조색2 16 2 2" xfId="14664" xr:uid="{00000000-0005-0000-0000-000020330000}"/>
    <cellStyle name="강조색2 16 3" xfId="14665" xr:uid="{00000000-0005-0000-0000-000021330000}"/>
    <cellStyle name="강조색2 16 4" xfId="14666" xr:uid="{00000000-0005-0000-0000-000022330000}"/>
    <cellStyle name="강조색2 16 5" xfId="14667" xr:uid="{00000000-0005-0000-0000-000023330000}"/>
    <cellStyle name="강조색2 16 6" xfId="14668" xr:uid="{00000000-0005-0000-0000-000024330000}"/>
    <cellStyle name="강조색2 16 7" xfId="14669" xr:uid="{00000000-0005-0000-0000-000025330000}"/>
    <cellStyle name="강조색2 16 8" xfId="14670" xr:uid="{00000000-0005-0000-0000-000026330000}"/>
    <cellStyle name="강조색2 16 9" xfId="14671" xr:uid="{00000000-0005-0000-0000-000027330000}"/>
    <cellStyle name="강조색2 17" xfId="1680" xr:uid="{00000000-0005-0000-0000-000028330000}"/>
    <cellStyle name="강조색2 17 10" xfId="14673" xr:uid="{00000000-0005-0000-0000-000029330000}"/>
    <cellStyle name="강조색2 17 11" xfId="14674" xr:uid="{00000000-0005-0000-0000-00002A330000}"/>
    <cellStyle name="강조색2 17 12" xfId="14675" xr:uid="{00000000-0005-0000-0000-00002B330000}"/>
    <cellStyle name="강조색2 17 13" xfId="14676" xr:uid="{00000000-0005-0000-0000-00002C330000}"/>
    <cellStyle name="강조색2 17 14" xfId="14677" xr:uid="{00000000-0005-0000-0000-00002D330000}"/>
    <cellStyle name="강조색2 17 15" xfId="14672" xr:uid="{00000000-0005-0000-0000-00002E330000}"/>
    <cellStyle name="강조색2 17 2" xfId="1681" xr:uid="{00000000-0005-0000-0000-00002F330000}"/>
    <cellStyle name="강조색2 17 2 2" xfId="14678" xr:uid="{00000000-0005-0000-0000-000030330000}"/>
    <cellStyle name="강조색2 17 3" xfId="14679" xr:uid="{00000000-0005-0000-0000-000031330000}"/>
    <cellStyle name="강조색2 17 4" xfId="14680" xr:uid="{00000000-0005-0000-0000-000032330000}"/>
    <cellStyle name="강조색2 17 5" xfId="14681" xr:uid="{00000000-0005-0000-0000-000033330000}"/>
    <cellStyle name="강조색2 17 6" xfId="14682" xr:uid="{00000000-0005-0000-0000-000034330000}"/>
    <cellStyle name="강조색2 17 7" xfId="14683" xr:uid="{00000000-0005-0000-0000-000035330000}"/>
    <cellStyle name="강조색2 17 8" xfId="14684" xr:uid="{00000000-0005-0000-0000-000036330000}"/>
    <cellStyle name="강조색2 17 9" xfId="14685" xr:uid="{00000000-0005-0000-0000-000037330000}"/>
    <cellStyle name="강조색2 18" xfId="1682" xr:uid="{00000000-0005-0000-0000-000038330000}"/>
    <cellStyle name="강조색2 18 10" xfId="14687" xr:uid="{00000000-0005-0000-0000-000039330000}"/>
    <cellStyle name="강조색2 18 11" xfId="14688" xr:uid="{00000000-0005-0000-0000-00003A330000}"/>
    <cellStyle name="강조색2 18 12" xfId="14689" xr:uid="{00000000-0005-0000-0000-00003B330000}"/>
    <cellStyle name="강조색2 18 13" xfId="14690" xr:uid="{00000000-0005-0000-0000-00003C330000}"/>
    <cellStyle name="강조색2 18 14" xfId="14691" xr:uid="{00000000-0005-0000-0000-00003D330000}"/>
    <cellStyle name="강조색2 18 15" xfId="14686" xr:uid="{00000000-0005-0000-0000-00003E330000}"/>
    <cellStyle name="강조색2 18 2" xfId="1683" xr:uid="{00000000-0005-0000-0000-00003F330000}"/>
    <cellStyle name="강조색2 18 2 2" xfId="14692" xr:uid="{00000000-0005-0000-0000-000040330000}"/>
    <cellStyle name="강조색2 18 3" xfId="14693" xr:uid="{00000000-0005-0000-0000-000041330000}"/>
    <cellStyle name="강조색2 18 4" xfId="14694" xr:uid="{00000000-0005-0000-0000-000042330000}"/>
    <cellStyle name="강조색2 18 5" xfId="14695" xr:uid="{00000000-0005-0000-0000-000043330000}"/>
    <cellStyle name="강조색2 18 6" xfId="14696" xr:uid="{00000000-0005-0000-0000-000044330000}"/>
    <cellStyle name="강조색2 18 7" xfId="14697" xr:uid="{00000000-0005-0000-0000-000045330000}"/>
    <cellStyle name="강조색2 18 8" xfId="14698" xr:uid="{00000000-0005-0000-0000-000046330000}"/>
    <cellStyle name="강조색2 18 9" xfId="14699" xr:uid="{00000000-0005-0000-0000-000047330000}"/>
    <cellStyle name="강조색2 19" xfId="1684" xr:uid="{00000000-0005-0000-0000-000048330000}"/>
    <cellStyle name="강조색2 19 10" xfId="14701" xr:uid="{00000000-0005-0000-0000-000049330000}"/>
    <cellStyle name="강조색2 19 11" xfId="14702" xr:uid="{00000000-0005-0000-0000-00004A330000}"/>
    <cellStyle name="강조색2 19 12" xfId="14703" xr:uid="{00000000-0005-0000-0000-00004B330000}"/>
    <cellStyle name="강조색2 19 13" xfId="14704" xr:uid="{00000000-0005-0000-0000-00004C330000}"/>
    <cellStyle name="강조색2 19 14" xfId="14705" xr:uid="{00000000-0005-0000-0000-00004D330000}"/>
    <cellStyle name="강조색2 19 15" xfId="14700" xr:uid="{00000000-0005-0000-0000-00004E330000}"/>
    <cellStyle name="강조색2 19 2" xfId="1685" xr:uid="{00000000-0005-0000-0000-00004F330000}"/>
    <cellStyle name="강조색2 19 2 2" xfId="14706" xr:uid="{00000000-0005-0000-0000-000050330000}"/>
    <cellStyle name="강조색2 19 3" xfId="14707" xr:uid="{00000000-0005-0000-0000-000051330000}"/>
    <cellStyle name="강조색2 19 4" xfId="14708" xr:uid="{00000000-0005-0000-0000-000052330000}"/>
    <cellStyle name="강조색2 19 5" xfId="14709" xr:uid="{00000000-0005-0000-0000-000053330000}"/>
    <cellStyle name="강조색2 19 6" xfId="14710" xr:uid="{00000000-0005-0000-0000-000054330000}"/>
    <cellStyle name="강조색2 19 7" xfId="14711" xr:uid="{00000000-0005-0000-0000-000055330000}"/>
    <cellStyle name="강조색2 19 8" xfId="14712" xr:uid="{00000000-0005-0000-0000-000056330000}"/>
    <cellStyle name="강조색2 19 9" xfId="14713" xr:uid="{00000000-0005-0000-0000-000057330000}"/>
    <cellStyle name="강조색2 2" xfId="1686" xr:uid="{00000000-0005-0000-0000-000058330000}"/>
    <cellStyle name="강조색2 2 10" xfId="14715" xr:uid="{00000000-0005-0000-0000-000059330000}"/>
    <cellStyle name="강조색2 2 11" xfId="14716" xr:uid="{00000000-0005-0000-0000-00005A330000}"/>
    <cellStyle name="강조색2 2 12" xfId="14717" xr:uid="{00000000-0005-0000-0000-00005B330000}"/>
    <cellStyle name="강조색2 2 13" xfId="14718" xr:uid="{00000000-0005-0000-0000-00005C330000}"/>
    <cellStyle name="강조색2 2 14" xfId="14719" xr:uid="{00000000-0005-0000-0000-00005D330000}"/>
    <cellStyle name="강조색2 2 15" xfId="14714" xr:uid="{00000000-0005-0000-0000-00005E330000}"/>
    <cellStyle name="강조색2 2 16" xfId="27952" xr:uid="{00000000-0005-0000-0000-00005F330000}"/>
    <cellStyle name="강조색2 2 2" xfId="1687" xr:uid="{00000000-0005-0000-0000-000060330000}"/>
    <cellStyle name="강조색2 2 2 2" xfId="14720" xr:uid="{00000000-0005-0000-0000-000061330000}"/>
    <cellStyle name="강조색2 2 3" xfId="14721" xr:uid="{00000000-0005-0000-0000-000062330000}"/>
    <cellStyle name="강조색2 2 4" xfId="14722" xr:uid="{00000000-0005-0000-0000-000063330000}"/>
    <cellStyle name="강조색2 2 5" xfId="14723" xr:uid="{00000000-0005-0000-0000-000064330000}"/>
    <cellStyle name="강조색2 2 6" xfId="14724" xr:uid="{00000000-0005-0000-0000-000065330000}"/>
    <cellStyle name="강조색2 2 7" xfId="14725" xr:uid="{00000000-0005-0000-0000-000066330000}"/>
    <cellStyle name="강조색2 2 8" xfId="14726" xr:uid="{00000000-0005-0000-0000-000067330000}"/>
    <cellStyle name="강조색2 2 9" xfId="14727" xr:uid="{00000000-0005-0000-0000-000068330000}"/>
    <cellStyle name="강조색2 20" xfId="1688" xr:uid="{00000000-0005-0000-0000-000069330000}"/>
    <cellStyle name="강조색2 20 10" xfId="14729" xr:uid="{00000000-0005-0000-0000-00006A330000}"/>
    <cellStyle name="강조색2 20 11" xfId="14730" xr:uid="{00000000-0005-0000-0000-00006B330000}"/>
    <cellStyle name="강조색2 20 12" xfId="14731" xr:uid="{00000000-0005-0000-0000-00006C330000}"/>
    <cellStyle name="강조색2 20 13" xfId="14732" xr:uid="{00000000-0005-0000-0000-00006D330000}"/>
    <cellStyle name="강조색2 20 14" xfId="14733" xr:uid="{00000000-0005-0000-0000-00006E330000}"/>
    <cellStyle name="강조색2 20 15" xfId="14728" xr:uid="{00000000-0005-0000-0000-00006F330000}"/>
    <cellStyle name="강조색2 20 2" xfId="1689" xr:uid="{00000000-0005-0000-0000-000070330000}"/>
    <cellStyle name="강조색2 20 2 2" xfId="14734" xr:uid="{00000000-0005-0000-0000-000071330000}"/>
    <cellStyle name="강조색2 20 3" xfId="14735" xr:uid="{00000000-0005-0000-0000-000072330000}"/>
    <cellStyle name="강조색2 20 4" xfId="14736" xr:uid="{00000000-0005-0000-0000-000073330000}"/>
    <cellStyle name="강조색2 20 5" xfId="14737" xr:uid="{00000000-0005-0000-0000-000074330000}"/>
    <cellStyle name="강조색2 20 6" xfId="14738" xr:uid="{00000000-0005-0000-0000-000075330000}"/>
    <cellStyle name="강조색2 20 7" xfId="14739" xr:uid="{00000000-0005-0000-0000-000076330000}"/>
    <cellStyle name="강조색2 20 8" xfId="14740" xr:uid="{00000000-0005-0000-0000-000077330000}"/>
    <cellStyle name="강조색2 20 9" xfId="14741" xr:uid="{00000000-0005-0000-0000-000078330000}"/>
    <cellStyle name="강조색2 21" xfId="1690" xr:uid="{00000000-0005-0000-0000-000079330000}"/>
    <cellStyle name="강조색2 21 10" xfId="14743" xr:uid="{00000000-0005-0000-0000-00007A330000}"/>
    <cellStyle name="강조색2 21 11" xfId="14744" xr:uid="{00000000-0005-0000-0000-00007B330000}"/>
    <cellStyle name="강조색2 21 12" xfId="14745" xr:uid="{00000000-0005-0000-0000-00007C330000}"/>
    <cellStyle name="강조색2 21 13" xfId="14746" xr:uid="{00000000-0005-0000-0000-00007D330000}"/>
    <cellStyle name="강조색2 21 14" xfId="14747" xr:uid="{00000000-0005-0000-0000-00007E330000}"/>
    <cellStyle name="강조색2 21 15" xfId="14742" xr:uid="{00000000-0005-0000-0000-00007F330000}"/>
    <cellStyle name="강조색2 21 2" xfId="1691" xr:uid="{00000000-0005-0000-0000-000080330000}"/>
    <cellStyle name="강조색2 21 2 2" xfId="14748" xr:uid="{00000000-0005-0000-0000-000081330000}"/>
    <cellStyle name="강조색2 21 3" xfId="14749" xr:uid="{00000000-0005-0000-0000-000082330000}"/>
    <cellStyle name="강조색2 21 4" xfId="14750" xr:uid="{00000000-0005-0000-0000-000083330000}"/>
    <cellStyle name="강조색2 21 5" xfId="14751" xr:uid="{00000000-0005-0000-0000-000084330000}"/>
    <cellStyle name="강조색2 21 6" xfId="14752" xr:uid="{00000000-0005-0000-0000-000085330000}"/>
    <cellStyle name="강조색2 21 7" xfId="14753" xr:uid="{00000000-0005-0000-0000-000086330000}"/>
    <cellStyle name="강조색2 21 8" xfId="14754" xr:uid="{00000000-0005-0000-0000-000087330000}"/>
    <cellStyle name="강조색2 21 9" xfId="14755" xr:uid="{00000000-0005-0000-0000-000088330000}"/>
    <cellStyle name="강조색2 22" xfId="1692" xr:uid="{00000000-0005-0000-0000-000089330000}"/>
    <cellStyle name="강조색2 22 10" xfId="14757" xr:uid="{00000000-0005-0000-0000-00008A330000}"/>
    <cellStyle name="강조색2 22 11" xfId="14758" xr:uid="{00000000-0005-0000-0000-00008B330000}"/>
    <cellStyle name="강조색2 22 12" xfId="14759" xr:uid="{00000000-0005-0000-0000-00008C330000}"/>
    <cellStyle name="강조색2 22 13" xfId="14760" xr:uid="{00000000-0005-0000-0000-00008D330000}"/>
    <cellStyle name="강조색2 22 14" xfId="14761" xr:uid="{00000000-0005-0000-0000-00008E330000}"/>
    <cellStyle name="강조색2 22 15" xfId="14756" xr:uid="{00000000-0005-0000-0000-00008F330000}"/>
    <cellStyle name="강조색2 22 2" xfId="1693" xr:uid="{00000000-0005-0000-0000-000090330000}"/>
    <cellStyle name="강조색2 22 2 2" xfId="14762" xr:uid="{00000000-0005-0000-0000-000091330000}"/>
    <cellStyle name="강조색2 22 3" xfId="14763" xr:uid="{00000000-0005-0000-0000-000092330000}"/>
    <cellStyle name="강조색2 22 4" xfId="14764" xr:uid="{00000000-0005-0000-0000-000093330000}"/>
    <cellStyle name="강조색2 22 5" xfId="14765" xr:uid="{00000000-0005-0000-0000-000094330000}"/>
    <cellStyle name="강조색2 22 6" xfId="14766" xr:uid="{00000000-0005-0000-0000-000095330000}"/>
    <cellStyle name="강조색2 22 7" xfId="14767" xr:uid="{00000000-0005-0000-0000-000096330000}"/>
    <cellStyle name="강조색2 22 8" xfId="14768" xr:uid="{00000000-0005-0000-0000-000097330000}"/>
    <cellStyle name="강조색2 22 9" xfId="14769" xr:uid="{00000000-0005-0000-0000-000098330000}"/>
    <cellStyle name="강조색2 23" xfId="1694" xr:uid="{00000000-0005-0000-0000-000099330000}"/>
    <cellStyle name="강조색2 23 10" xfId="14771" xr:uid="{00000000-0005-0000-0000-00009A330000}"/>
    <cellStyle name="강조색2 23 11" xfId="14772" xr:uid="{00000000-0005-0000-0000-00009B330000}"/>
    <cellStyle name="강조색2 23 12" xfId="14773" xr:uid="{00000000-0005-0000-0000-00009C330000}"/>
    <cellStyle name="강조색2 23 13" xfId="14774" xr:uid="{00000000-0005-0000-0000-00009D330000}"/>
    <cellStyle name="강조색2 23 14" xfId="14775" xr:uid="{00000000-0005-0000-0000-00009E330000}"/>
    <cellStyle name="강조색2 23 15" xfId="14770" xr:uid="{00000000-0005-0000-0000-00009F330000}"/>
    <cellStyle name="강조색2 23 2" xfId="1695" xr:uid="{00000000-0005-0000-0000-0000A0330000}"/>
    <cellStyle name="강조색2 23 2 2" xfId="14776" xr:uid="{00000000-0005-0000-0000-0000A1330000}"/>
    <cellStyle name="강조색2 23 3" xfId="14777" xr:uid="{00000000-0005-0000-0000-0000A2330000}"/>
    <cellStyle name="강조색2 23 4" xfId="14778" xr:uid="{00000000-0005-0000-0000-0000A3330000}"/>
    <cellStyle name="강조색2 23 5" xfId="14779" xr:uid="{00000000-0005-0000-0000-0000A4330000}"/>
    <cellStyle name="강조색2 23 6" xfId="14780" xr:uid="{00000000-0005-0000-0000-0000A5330000}"/>
    <cellStyle name="강조색2 23 7" xfId="14781" xr:uid="{00000000-0005-0000-0000-0000A6330000}"/>
    <cellStyle name="강조색2 23 8" xfId="14782" xr:uid="{00000000-0005-0000-0000-0000A7330000}"/>
    <cellStyle name="강조색2 23 9" xfId="14783" xr:uid="{00000000-0005-0000-0000-0000A8330000}"/>
    <cellStyle name="강조색2 24" xfId="1696" xr:uid="{00000000-0005-0000-0000-0000A9330000}"/>
    <cellStyle name="강조색2 24 10" xfId="14785" xr:uid="{00000000-0005-0000-0000-0000AA330000}"/>
    <cellStyle name="강조색2 24 11" xfId="14786" xr:uid="{00000000-0005-0000-0000-0000AB330000}"/>
    <cellStyle name="강조색2 24 12" xfId="14787" xr:uid="{00000000-0005-0000-0000-0000AC330000}"/>
    <cellStyle name="강조색2 24 13" xfId="14788" xr:uid="{00000000-0005-0000-0000-0000AD330000}"/>
    <cellStyle name="강조색2 24 14" xfId="14789" xr:uid="{00000000-0005-0000-0000-0000AE330000}"/>
    <cellStyle name="강조색2 24 15" xfId="14784" xr:uid="{00000000-0005-0000-0000-0000AF330000}"/>
    <cellStyle name="강조색2 24 2" xfId="1697" xr:uid="{00000000-0005-0000-0000-0000B0330000}"/>
    <cellStyle name="강조색2 24 2 2" xfId="14790" xr:uid="{00000000-0005-0000-0000-0000B1330000}"/>
    <cellStyle name="강조색2 24 3" xfId="14791" xr:uid="{00000000-0005-0000-0000-0000B2330000}"/>
    <cellStyle name="강조색2 24 4" xfId="14792" xr:uid="{00000000-0005-0000-0000-0000B3330000}"/>
    <cellStyle name="강조색2 24 5" xfId="14793" xr:uid="{00000000-0005-0000-0000-0000B4330000}"/>
    <cellStyle name="강조색2 24 6" xfId="14794" xr:uid="{00000000-0005-0000-0000-0000B5330000}"/>
    <cellStyle name="강조색2 24 7" xfId="14795" xr:uid="{00000000-0005-0000-0000-0000B6330000}"/>
    <cellStyle name="강조색2 24 8" xfId="14796" xr:uid="{00000000-0005-0000-0000-0000B7330000}"/>
    <cellStyle name="강조색2 24 9" xfId="14797" xr:uid="{00000000-0005-0000-0000-0000B8330000}"/>
    <cellStyle name="강조색2 25" xfId="1698" xr:uid="{00000000-0005-0000-0000-0000B9330000}"/>
    <cellStyle name="강조색2 25 10" xfId="14799" xr:uid="{00000000-0005-0000-0000-0000BA330000}"/>
    <cellStyle name="강조색2 25 11" xfId="14800" xr:uid="{00000000-0005-0000-0000-0000BB330000}"/>
    <cellStyle name="강조색2 25 12" xfId="14801" xr:uid="{00000000-0005-0000-0000-0000BC330000}"/>
    <cellStyle name="강조색2 25 13" xfId="14802" xr:uid="{00000000-0005-0000-0000-0000BD330000}"/>
    <cellStyle name="강조색2 25 14" xfId="14803" xr:uid="{00000000-0005-0000-0000-0000BE330000}"/>
    <cellStyle name="강조색2 25 15" xfId="14798" xr:uid="{00000000-0005-0000-0000-0000BF330000}"/>
    <cellStyle name="강조색2 25 2" xfId="1699" xr:uid="{00000000-0005-0000-0000-0000C0330000}"/>
    <cellStyle name="강조색2 25 2 2" xfId="14804" xr:uid="{00000000-0005-0000-0000-0000C1330000}"/>
    <cellStyle name="강조색2 25 3" xfId="14805" xr:uid="{00000000-0005-0000-0000-0000C2330000}"/>
    <cellStyle name="강조색2 25 4" xfId="14806" xr:uid="{00000000-0005-0000-0000-0000C3330000}"/>
    <cellStyle name="강조색2 25 5" xfId="14807" xr:uid="{00000000-0005-0000-0000-0000C4330000}"/>
    <cellStyle name="강조색2 25 6" xfId="14808" xr:uid="{00000000-0005-0000-0000-0000C5330000}"/>
    <cellStyle name="강조색2 25 7" xfId="14809" xr:uid="{00000000-0005-0000-0000-0000C6330000}"/>
    <cellStyle name="강조색2 25 8" xfId="14810" xr:uid="{00000000-0005-0000-0000-0000C7330000}"/>
    <cellStyle name="강조색2 25 9" xfId="14811" xr:uid="{00000000-0005-0000-0000-0000C8330000}"/>
    <cellStyle name="강조색2 26" xfId="1700" xr:uid="{00000000-0005-0000-0000-0000C9330000}"/>
    <cellStyle name="강조색2 26 10" xfId="14813" xr:uid="{00000000-0005-0000-0000-0000CA330000}"/>
    <cellStyle name="강조색2 26 11" xfId="14814" xr:uid="{00000000-0005-0000-0000-0000CB330000}"/>
    <cellStyle name="강조색2 26 12" xfId="14815" xr:uid="{00000000-0005-0000-0000-0000CC330000}"/>
    <cellStyle name="강조색2 26 13" xfId="14816" xr:uid="{00000000-0005-0000-0000-0000CD330000}"/>
    <cellStyle name="강조색2 26 14" xfId="14817" xr:uid="{00000000-0005-0000-0000-0000CE330000}"/>
    <cellStyle name="강조색2 26 15" xfId="14812" xr:uid="{00000000-0005-0000-0000-0000CF330000}"/>
    <cellStyle name="강조색2 26 2" xfId="1701" xr:uid="{00000000-0005-0000-0000-0000D0330000}"/>
    <cellStyle name="강조색2 26 2 2" xfId="14818" xr:uid="{00000000-0005-0000-0000-0000D1330000}"/>
    <cellStyle name="강조색2 26 3" xfId="14819" xr:uid="{00000000-0005-0000-0000-0000D2330000}"/>
    <cellStyle name="강조색2 26 4" xfId="14820" xr:uid="{00000000-0005-0000-0000-0000D3330000}"/>
    <cellStyle name="강조색2 26 5" xfId="14821" xr:uid="{00000000-0005-0000-0000-0000D4330000}"/>
    <cellStyle name="강조색2 26 6" xfId="14822" xr:uid="{00000000-0005-0000-0000-0000D5330000}"/>
    <cellStyle name="강조색2 26 7" xfId="14823" xr:uid="{00000000-0005-0000-0000-0000D6330000}"/>
    <cellStyle name="강조색2 26 8" xfId="14824" xr:uid="{00000000-0005-0000-0000-0000D7330000}"/>
    <cellStyle name="강조색2 26 9" xfId="14825" xr:uid="{00000000-0005-0000-0000-0000D8330000}"/>
    <cellStyle name="강조색2 27" xfId="1702" xr:uid="{00000000-0005-0000-0000-0000D9330000}"/>
    <cellStyle name="강조색2 27 10" xfId="14827" xr:uid="{00000000-0005-0000-0000-0000DA330000}"/>
    <cellStyle name="강조색2 27 11" xfId="14828" xr:uid="{00000000-0005-0000-0000-0000DB330000}"/>
    <cellStyle name="강조색2 27 12" xfId="14829" xr:uid="{00000000-0005-0000-0000-0000DC330000}"/>
    <cellStyle name="강조색2 27 13" xfId="14830" xr:uid="{00000000-0005-0000-0000-0000DD330000}"/>
    <cellStyle name="강조색2 27 14" xfId="14831" xr:uid="{00000000-0005-0000-0000-0000DE330000}"/>
    <cellStyle name="강조색2 27 15" xfId="14826" xr:uid="{00000000-0005-0000-0000-0000DF330000}"/>
    <cellStyle name="강조색2 27 2" xfId="1703" xr:uid="{00000000-0005-0000-0000-0000E0330000}"/>
    <cellStyle name="강조색2 27 2 2" xfId="14832" xr:uid="{00000000-0005-0000-0000-0000E1330000}"/>
    <cellStyle name="강조색2 27 3" xfId="14833" xr:uid="{00000000-0005-0000-0000-0000E2330000}"/>
    <cellStyle name="강조색2 27 4" xfId="14834" xr:uid="{00000000-0005-0000-0000-0000E3330000}"/>
    <cellStyle name="강조색2 27 5" xfId="14835" xr:uid="{00000000-0005-0000-0000-0000E4330000}"/>
    <cellStyle name="강조색2 27 6" xfId="14836" xr:uid="{00000000-0005-0000-0000-0000E5330000}"/>
    <cellStyle name="강조색2 27 7" xfId="14837" xr:uid="{00000000-0005-0000-0000-0000E6330000}"/>
    <cellStyle name="강조색2 27 8" xfId="14838" xr:uid="{00000000-0005-0000-0000-0000E7330000}"/>
    <cellStyle name="강조색2 27 9" xfId="14839" xr:uid="{00000000-0005-0000-0000-0000E8330000}"/>
    <cellStyle name="강조색2 28" xfId="1704" xr:uid="{00000000-0005-0000-0000-0000E9330000}"/>
    <cellStyle name="강조색2 28 10" xfId="14841" xr:uid="{00000000-0005-0000-0000-0000EA330000}"/>
    <cellStyle name="강조색2 28 11" xfId="14842" xr:uid="{00000000-0005-0000-0000-0000EB330000}"/>
    <cellStyle name="강조색2 28 12" xfId="14843" xr:uid="{00000000-0005-0000-0000-0000EC330000}"/>
    <cellStyle name="강조색2 28 13" xfId="14844" xr:uid="{00000000-0005-0000-0000-0000ED330000}"/>
    <cellStyle name="강조색2 28 14" xfId="14845" xr:uid="{00000000-0005-0000-0000-0000EE330000}"/>
    <cellStyle name="강조색2 28 15" xfId="14840" xr:uid="{00000000-0005-0000-0000-0000EF330000}"/>
    <cellStyle name="강조색2 28 2" xfId="1705" xr:uid="{00000000-0005-0000-0000-0000F0330000}"/>
    <cellStyle name="강조색2 28 2 2" xfId="14846" xr:uid="{00000000-0005-0000-0000-0000F1330000}"/>
    <cellStyle name="강조색2 28 3" xfId="14847" xr:uid="{00000000-0005-0000-0000-0000F2330000}"/>
    <cellStyle name="강조색2 28 4" xfId="14848" xr:uid="{00000000-0005-0000-0000-0000F3330000}"/>
    <cellStyle name="강조색2 28 5" xfId="14849" xr:uid="{00000000-0005-0000-0000-0000F4330000}"/>
    <cellStyle name="강조색2 28 6" xfId="14850" xr:uid="{00000000-0005-0000-0000-0000F5330000}"/>
    <cellStyle name="강조색2 28 7" xfId="14851" xr:uid="{00000000-0005-0000-0000-0000F6330000}"/>
    <cellStyle name="강조색2 28 8" xfId="14852" xr:uid="{00000000-0005-0000-0000-0000F7330000}"/>
    <cellStyle name="강조색2 28 9" xfId="14853" xr:uid="{00000000-0005-0000-0000-0000F8330000}"/>
    <cellStyle name="강조색2 29" xfId="1706" xr:uid="{00000000-0005-0000-0000-0000F9330000}"/>
    <cellStyle name="강조색2 29 10" xfId="14855" xr:uid="{00000000-0005-0000-0000-0000FA330000}"/>
    <cellStyle name="강조색2 29 11" xfId="14856" xr:uid="{00000000-0005-0000-0000-0000FB330000}"/>
    <cellStyle name="강조색2 29 12" xfId="14857" xr:uid="{00000000-0005-0000-0000-0000FC330000}"/>
    <cellStyle name="강조색2 29 13" xfId="14858" xr:uid="{00000000-0005-0000-0000-0000FD330000}"/>
    <cellStyle name="강조색2 29 14" xfId="14859" xr:uid="{00000000-0005-0000-0000-0000FE330000}"/>
    <cellStyle name="강조색2 29 15" xfId="14854" xr:uid="{00000000-0005-0000-0000-0000FF330000}"/>
    <cellStyle name="강조색2 29 2" xfId="1707" xr:uid="{00000000-0005-0000-0000-000000340000}"/>
    <cellStyle name="강조색2 29 2 2" xfId="14860" xr:uid="{00000000-0005-0000-0000-000001340000}"/>
    <cellStyle name="강조색2 29 3" xfId="14861" xr:uid="{00000000-0005-0000-0000-000002340000}"/>
    <cellStyle name="강조색2 29 4" xfId="14862" xr:uid="{00000000-0005-0000-0000-000003340000}"/>
    <cellStyle name="강조색2 29 5" xfId="14863" xr:uid="{00000000-0005-0000-0000-000004340000}"/>
    <cellStyle name="강조색2 29 6" xfId="14864" xr:uid="{00000000-0005-0000-0000-000005340000}"/>
    <cellStyle name="강조색2 29 7" xfId="14865" xr:uid="{00000000-0005-0000-0000-000006340000}"/>
    <cellStyle name="강조색2 29 8" xfId="14866" xr:uid="{00000000-0005-0000-0000-000007340000}"/>
    <cellStyle name="강조색2 29 9" xfId="14867" xr:uid="{00000000-0005-0000-0000-000008340000}"/>
    <cellStyle name="강조색2 3" xfId="1708" xr:uid="{00000000-0005-0000-0000-000009340000}"/>
    <cellStyle name="강조색2 3 10" xfId="14869" xr:uid="{00000000-0005-0000-0000-00000A340000}"/>
    <cellStyle name="강조색2 3 11" xfId="14870" xr:uid="{00000000-0005-0000-0000-00000B340000}"/>
    <cellStyle name="강조색2 3 12" xfId="14871" xr:uid="{00000000-0005-0000-0000-00000C340000}"/>
    <cellStyle name="강조색2 3 13" xfId="14872" xr:uid="{00000000-0005-0000-0000-00000D340000}"/>
    <cellStyle name="강조색2 3 14" xfId="14873" xr:uid="{00000000-0005-0000-0000-00000E340000}"/>
    <cellStyle name="강조색2 3 15" xfId="14868" xr:uid="{00000000-0005-0000-0000-00000F340000}"/>
    <cellStyle name="강조색2 3 16" xfId="28208" xr:uid="{00000000-0005-0000-0000-000010340000}"/>
    <cellStyle name="강조색2 3 2" xfId="1709" xr:uid="{00000000-0005-0000-0000-000011340000}"/>
    <cellStyle name="강조색2 3 2 2" xfId="14874" xr:uid="{00000000-0005-0000-0000-000012340000}"/>
    <cellStyle name="강조색2 3 3" xfId="14875" xr:uid="{00000000-0005-0000-0000-000013340000}"/>
    <cellStyle name="강조색2 3 4" xfId="14876" xr:uid="{00000000-0005-0000-0000-000014340000}"/>
    <cellStyle name="강조색2 3 5" xfId="14877" xr:uid="{00000000-0005-0000-0000-000015340000}"/>
    <cellStyle name="강조색2 3 6" xfId="14878" xr:uid="{00000000-0005-0000-0000-000016340000}"/>
    <cellStyle name="강조색2 3 7" xfId="14879" xr:uid="{00000000-0005-0000-0000-000017340000}"/>
    <cellStyle name="강조색2 3 8" xfId="14880" xr:uid="{00000000-0005-0000-0000-000018340000}"/>
    <cellStyle name="강조색2 3 9" xfId="14881" xr:uid="{00000000-0005-0000-0000-000019340000}"/>
    <cellStyle name="강조색2 30" xfId="1710" xr:uid="{00000000-0005-0000-0000-00001A340000}"/>
    <cellStyle name="강조색2 30 10" xfId="14883" xr:uid="{00000000-0005-0000-0000-00001B340000}"/>
    <cellStyle name="강조색2 30 11" xfId="14884" xr:uid="{00000000-0005-0000-0000-00001C340000}"/>
    <cellStyle name="강조색2 30 12" xfId="14885" xr:uid="{00000000-0005-0000-0000-00001D340000}"/>
    <cellStyle name="강조색2 30 13" xfId="14886" xr:uid="{00000000-0005-0000-0000-00001E340000}"/>
    <cellStyle name="강조색2 30 14" xfId="14887" xr:uid="{00000000-0005-0000-0000-00001F340000}"/>
    <cellStyle name="강조색2 30 15" xfId="14882" xr:uid="{00000000-0005-0000-0000-000020340000}"/>
    <cellStyle name="강조색2 30 2" xfId="1711" xr:uid="{00000000-0005-0000-0000-000021340000}"/>
    <cellStyle name="강조색2 30 2 2" xfId="14888" xr:uid="{00000000-0005-0000-0000-000022340000}"/>
    <cellStyle name="강조색2 30 3" xfId="14889" xr:uid="{00000000-0005-0000-0000-000023340000}"/>
    <cellStyle name="강조색2 30 4" xfId="14890" xr:uid="{00000000-0005-0000-0000-000024340000}"/>
    <cellStyle name="강조색2 30 5" xfId="14891" xr:uid="{00000000-0005-0000-0000-000025340000}"/>
    <cellStyle name="강조색2 30 6" xfId="14892" xr:uid="{00000000-0005-0000-0000-000026340000}"/>
    <cellStyle name="강조색2 30 7" xfId="14893" xr:uid="{00000000-0005-0000-0000-000027340000}"/>
    <cellStyle name="강조색2 30 8" xfId="14894" xr:uid="{00000000-0005-0000-0000-000028340000}"/>
    <cellStyle name="강조색2 30 9" xfId="14895" xr:uid="{00000000-0005-0000-0000-000029340000}"/>
    <cellStyle name="강조색2 31" xfId="1712" xr:uid="{00000000-0005-0000-0000-00002A340000}"/>
    <cellStyle name="강조색2 31 10" xfId="14897" xr:uid="{00000000-0005-0000-0000-00002B340000}"/>
    <cellStyle name="강조색2 31 11" xfId="14898" xr:uid="{00000000-0005-0000-0000-00002C340000}"/>
    <cellStyle name="강조색2 31 12" xfId="14899" xr:uid="{00000000-0005-0000-0000-00002D340000}"/>
    <cellStyle name="강조색2 31 13" xfId="14900" xr:uid="{00000000-0005-0000-0000-00002E340000}"/>
    <cellStyle name="강조색2 31 14" xfId="14901" xr:uid="{00000000-0005-0000-0000-00002F340000}"/>
    <cellStyle name="강조색2 31 15" xfId="14896" xr:uid="{00000000-0005-0000-0000-000030340000}"/>
    <cellStyle name="강조색2 31 2" xfId="1713" xr:uid="{00000000-0005-0000-0000-000031340000}"/>
    <cellStyle name="강조색2 31 2 2" xfId="14902" xr:uid="{00000000-0005-0000-0000-000032340000}"/>
    <cellStyle name="강조색2 31 3" xfId="14903" xr:uid="{00000000-0005-0000-0000-000033340000}"/>
    <cellStyle name="강조색2 31 4" xfId="14904" xr:uid="{00000000-0005-0000-0000-000034340000}"/>
    <cellStyle name="강조색2 31 5" xfId="14905" xr:uid="{00000000-0005-0000-0000-000035340000}"/>
    <cellStyle name="강조색2 31 6" xfId="14906" xr:uid="{00000000-0005-0000-0000-000036340000}"/>
    <cellStyle name="강조색2 31 7" xfId="14907" xr:uid="{00000000-0005-0000-0000-000037340000}"/>
    <cellStyle name="강조색2 31 8" xfId="14908" xr:uid="{00000000-0005-0000-0000-000038340000}"/>
    <cellStyle name="강조색2 31 9" xfId="14909" xr:uid="{00000000-0005-0000-0000-000039340000}"/>
    <cellStyle name="강조색2 32" xfId="1714" xr:uid="{00000000-0005-0000-0000-00003A340000}"/>
    <cellStyle name="강조색2 32 10" xfId="14911" xr:uid="{00000000-0005-0000-0000-00003B340000}"/>
    <cellStyle name="강조색2 32 11" xfId="14912" xr:uid="{00000000-0005-0000-0000-00003C340000}"/>
    <cellStyle name="강조색2 32 12" xfId="14913" xr:uid="{00000000-0005-0000-0000-00003D340000}"/>
    <cellStyle name="강조색2 32 13" xfId="14914" xr:uid="{00000000-0005-0000-0000-00003E340000}"/>
    <cellStyle name="강조색2 32 14" xfId="14915" xr:uid="{00000000-0005-0000-0000-00003F340000}"/>
    <cellStyle name="강조색2 32 15" xfId="14910" xr:uid="{00000000-0005-0000-0000-000040340000}"/>
    <cellStyle name="강조색2 32 2" xfId="1715" xr:uid="{00000000-0005-0000-0000-000041340000}"/>
    <cellStyle name="강조색2 32 2 2" xfId="14916" xr:uid="{00000000-0005-0000-0000-000042340000}"/>
    <cellStyle name="강조색2 32 3" xfId="14917" xr:uid="{00000000-0005-0000-0000-000043340000}"/>
    <cellStyle name="강조색2 32 4" xfId="14918" xr:uid="{00000000-0005-0000-0000-000044340000}"/>
    <cellStyle name="강조색2 32 5" xfId="14919" xr:uid="{00000000-0005-0000-0000-000045340000}"/>
    <cellStyle name="강조색2 32 6" xfId="14920" xr:uid="{00000000-0005-0000-0000-000046340000}"/>
    <cellStyle name="강조색2 32 7" xfId="14921" xr:uid="{00000000-0005-0000-0000-000047340000}"/>
    <cellStyle name="강조색2 32 8" xfId="14922" xr:uid="{00000000-0005-0000-0000-000048340000}"/>
    <cellStyle name="강조색2 32 9" xfId="14923" xr:uid="{00000000-0005-0000-0000-000049340000}"/>
    <cellStyle name="강조색2 33" xfId="1716" xr:uid="{00000000-0005-0000-0000-00004A340000}"/>
    <cellStyle name="강조색2 33 10" xfId="14925" xr:uid="{00000000-0005-0000-0000-00004B340000}"/>
    <cellStyle name="강조색2 33 11" xfId="14926" xr:uid="{00000000-0005-0000-0000-00004C340000}"/>
    <cellStyle name="강조색2 33 12" xfId="14927" xr:uid="{00000000-0005-0000-0000-00004D340000}"/>
    <cellStyle name="강조색2 33 13" xfId="14928" xr:uid="{00000000-0005-0000-0000-00004E340000}"/>
    <cellStyle name="강조색2 33 14" xfId="14929" xr:uid="{00000000-0005-0000-0000-00004F340000}"/>
    <cellStyle name="강조색2 33 15" xfId="14924" xr:uid="{00000000-0005-0000-0000-000050340000}"/>
    <cellStyle name="강조색2 33 2" xfId="1717" xr:uid="{00000000-0005-0000-0000-000051340000}"/>
    <cellStyle name="강조색2 33 2 2" xfId="14930" xr:uid="{00000000-0005-0000-0000-000052340000}"/>
    <cellStyle name="강조색2 33 3" xfId="14931" xr:uid="{00000000-0005-0000-0000-000053340000}"/>
    <cellStyle name="강조색2 33 4" xfId="14932" xr:uid="{00000000-0005-0000-0000-000054340000}"/>
    <cellStyle name="강조색2 33 5" xfId="14933" xr:uid="{00000000-0005-0000-0000-000055340000}"/>
    <cellStyle name="강조색2 33 6" xfId="14934" xr:uid="{00000000-0005-0000-0000-000056340000}"/>
    <cellStyle name="강조색2 33 7" xfId="14935" xr:uid="{00000000-0005-0000-0000-000057340000}"/>
    <cellStyle name="강조색2 33 8" xfId="14936" xr:uid="{00000000-0005-0000-0000-000058340000}"/>
    <cellStyle name="강조색2 33 9" xfId="14937" xr:uid="{00000000-0005-0000-0000-000059340000}"/>
    <cellStyle name="강조색2 34" xfId="1718" xr:uid="{00000000-0005-0000-0000-00005A340000}"/>
    <cellStyle name="강조색2 34 10" xfId="14939" xr:uid="{00000000-0005-0000-0000-00005B340000}"/>
    <cellStyle name="강조색2 34 11" xfId="14940" xr:uid="{00000000-0005-0000-0000-00005C340000}"/>
    <cellStyle name="강조색2 34 12" xfId="14941" xr:uid="{00000000-0005-0000-0000-00005D340000}"/>
    <cellStyle name="강조색2 34 13" xfId="14942" xr:uid="{00000000-0005-0000-0000-00005E340000}"/>
    <cellStyle name="강조색2 34 14" xfId="14943" xr:uid="{00000000-0005-0000-0000-00005F340000}"/>
    <cellStyle name="강조색2 34 15" xfId="14938" xr:uid="{00000000-0005-0000-0000-000060340000}"/>
    <cellStyle name="강조색2 34 2" xfId="1719" xr:uid="{00000000-0005-0000-0000-000061340000}"/>
    <cellStyle name="강조색2 34 2 2" xfId="14944" xr:uid="{00000000-0005-0000-0000-000062340000}"/>
    <cellStyle name="강조색2 34 3" xfId="14945" xr:uid="{00000000-0005-0000-0000-000063340000}"/>
    <cellStyle name="강조색2 34 4" xfId="14946" xr:uid="{00000000-0005-0000-0000-000064340000}"/>
    <cellStyle name="강조색2 34 5" xfId="14947" xr:uid="{00000000-0005-0000-0000-000065340000}"/>
    <cellStyle name="강조색2 34 6" xfId="14948" xr:uid="{00000000-0005-0000-0000-000066340000}"/>
    <cellStyle name="강조색2 34 7" xfId="14949" xr:uid="{00000000-0005-0000-0000-000067340000}"/>
    <cellStyle name="강조색2 34 8" xfId="14950" xr:uid="{00000000-0005-0000-0000-000068340000}"/>
    <cellStyle name="강조색2 34 9" xfId="14951" xr:uid="{00000000-0005-0000-0000-000069340000}"/>
    <cellStyle name="강조색2 35" xfId="1720" xr:uid="{00000000-0005-0000-0000-00006A340000}"/>
    <cellStyle name="강조색2 35 10" xfId="14953" xr:uid="{00000000-0005-0000-0000-00006B340000}"/>
    <cellStyle name="강조색2 35 11" xfId="14954" xr:uid="{00000000-0005-0000-0000-00006C340000}"/>
    <cellStyle name="강조색2 35 12" xfId="14955" xr:uid="{00000000-0005-0000-0000-00006D340000}"/>
    <cellStyle name="강조색2 35 13" xfId="14956" xr:uid="{00000000-0005-0000-0000-00006E340000}"/>
    <cellStyle name="강조색2 35 14" xfId="14957" xr:uid="{00000000-0005-0000-0000-00006F340000}"/>
    <cellStyle name="강조색2 35 15" xfId="14952" xr:uid="{00000000-0005-0000-0000-000070340000}"/>
    <cellStyle name="강조색2 35 2" xfId="1721" xr:uid="{00000000-0005-0000-0000-000071340000}"/>
    <cellStyle name="강조색2 35 2 2" xfId="14958" xr:uid="{00000000-0005-0000-0000-000072340000}"/>
    <cellStyle name="강조색2 35 3" xfId="14959" xr:uid="{00000000-0005-0000-0000-000073340000}"/>
    <cellStyle name="강조색2 35 4" xfId="14960" xr:uid="{00000000-0005-0000-0000-000074340000}"/>
    <cellStyle name="강조색2 35 5" xfId="14961" xr:uid="{00000000-0005-0000-0000-000075340000}"/>
    <cellStyle name="강조색2 35 6" xfId="14962" xr:uid="{00000000-0005-0000-0000-000076340000}"/>
    <cellStyle name="강조색2 35 7" xfId="14963" xr:uid="{00000000-0005-0000-0000-000077340000}"/>
    <cellStyle name="강조색2 35 8" xfId="14964" xr:uid="{00000000-0005-0000-0000-000078340000}"/>
    <cellStyle name="강조색2 35 9" xfId="14965" xr:uid="{00000000-0005-0000-0000-000079340000}"/>
    <cellStyle name="강조색2 36" xfId="1722" xr:uid="{00000000-0005-0000-0000-00007A340000}"/>
    <cellStyle name="강조색2 36 10" xfId="14967" xr:uid="{00000000-0005-0000-0000-00007B340000}"/>
    <cellStyle name="강조색2 36 11" xfId="14968" xr:uid="{00000000-0005-0000-0000-00007C340000}"/>
    <cellStyle name="강조색2 36 12" xfId="14969" xr:uid="{00000000-0005-0000-0000-00007D340000}"/>
    <cellStyle name="강조색2 36 13" xfId="14970" xr:uid="{00000000-0005-0000-0000-00007E340000}"/>
    <cellStyle name="강조색2 36 14" xfId="14971" xr:uid="{00000000-0005-0000-0000-00007F340000}"/>
    <cellStyle name="강조색2 36 15" xfId="14966" xr:uid="{00000000-0005-0000-0000-000080340000}"/>
    <cellStyle name="강조색2 36 2" xfId="1723" xr:uid="{00000000-0005-0000-0000-000081340000}"/>
    <cellStyle name="강조색2 36 2 2" xfId="14972" xr:uid="{00000000-0005-0000-0000-000082340000}"/>
    <cellStyle name="강조색2 36 3" xfId="14973" xr:uid="{00000000-0005-0000-0000-000083340000}"/>
    <cellStyle name="강조색2 36 4" xfId="14974" xr:uid="{00000000-0005-0000-0000-000084340000}"/>
    <cellStyle name="강조색2 36 5" xfId="14975" xr:uid="{00000000-0005-0000-0000-000085340000}"/>
    <cellStyle name="강조색2 36 6" xfId="14976" xr:uid="{00000000-0005-0000-0000-000086340000}"/>
    <cellStyle name="강조색2 36 7" xfId="14977" xr:uid="{00000000-0005-0000-0000-000087340000}"/>
    <cellStyle name="강조색2 36 8" xfId="14978" xr:uid="{00000000-0005-0000-0000-000088340000}"/>
    <cellStyle name="강조색2 36 9" xfId="14979" xr:uid="{00000000-0005-0000-0000-000089340000}"/>
    <cellStyle name="강조색2 37" xfId="1724" xr:uid="{00000000-0005-0000-0000-00008A340000}"/>
    <cellStyle name="강조색2 37 10" xfId="14981" xr:uid="{00000000-0005-0000-0000-00008B340000}"/>
    <cellStyle name="강조색2 37 11" xfId="14982" xr:uid="{00000000-0005-0000-0000-00008C340000}"/>
    <cellStyle name="강조색2 37 12" xfId="14983" xr:uid="{00000000-0005-0000-0000-00008D340000}"/>
    <cellStyle name="강조색2 37 13" xfId="14984" xr:uid="{00000000-0005-0000-0000-00008E340000}"/>
    <cellStyle name="강조색2 37 14" xfId="14985" xr:uid="{00000000-0005-0000-0000-00008F340000}"/>
    <cellStyle name="강조색2 37 15" xfId="14980" xr:uid="{00000000-0005-0000-0000-000090340000}"/>
    <cellStyle name="강조색2 37 2" xfId="1725" xr:uid="{00000000-0005-0000-0000-000091340000}"/>
    <cellStyle name="강조색2 37 2 2" xfId="14986" xr:uid="{00000000-0005-0000-0000-000092340000}"/>
    <cellStyle name="강조색2 37 3" xfId="14987" xr:uid="{00000000-0005-0000-0000-000093340000}"/>
    <cellStyle name="강조색2 37 4" xfId="14988" xr:uid="{00000000-0005-0000-0000-000094340000}"/>
    <cellStyle name="강조색2 37 5" xfId="14989" xr:uid="{00000000-0005-0000-0000-000095340000}"/>
    <cellStyle name="강조색2 37 6" xfId="14990" xr:uid="{00000000-0005-0000-0000-000096340000}"/>
    <cellStyle name="강조색2 37 7" xfId="14991" xr:uid="{00000000-0005-0000-0000-000097340000}"/>
    <cellStyle name="강조색2 37 8" xfId="14992" xr:uid="{00000000-0005-0000-0000-000098340000}"/>
    <cellStyle name="강조색2 37 9" xfId="14993" xr:uid="{00000000-0005-0000-0000-000099340000}"/>
    <cellStyle name="강조색2 38" xfId="1726" xr:uid="{00000000-0005-0000-0000-00009A340000}"/>
    <cellStyle name="강조색2 38 10" xfId="14995" xr:uid="{00000000-0005-0000-0000-00009B340000}"/>
    <cellStyle name="강조색2 38 11" xfId="14996" xr:uid="{00000000-0005-0000-0000-00009C340000}"/>
    <cellStyle name="강조색2 38 12" xfId="14997" xr:uid="{00000000-0005-0000-0000-00009D340000}"/>
    <cellStyle name="강조색2 38 13" xfId="14998" xr:uid="{00000000-0005-0000-0000-00009E340000}"/>
    <cellStyle name="강조색2 38 14" xfId="14999" xr:uid="{00000000-0005-0000-0000-00009F340000}"/>
    <cellStyle name="강조색2 38 15" xfId="14994" xr:uid="{00000000-0005-0000-0000-0000A0340000}"/>
    <cellStyle name="강조색2 38 2" xfId="1727" xr:uid="{00000000-0005-0000-0000-0000A1340000}"/>
    <cellStyle name="강조색2 38 2 2" xfId="15000" xr:uid="{00000000-0005-0000-0000-0000A2340000}"/>
    <cellStyle name="강조색2 38 3" xfId="15001" xr:uid="{00000000-0005-0000-0000-0000A3340000}"/>
    <cellStyle name="강조색2 38 4" xfId="15002" xr:uid="{00000000-0005-0000-0000-0000A4340000}"/>
    <cellStyle name="강조색2 38 5" xfId="15003" xr:uid="{00000000-0005-0000-0000-0000A5340000}"/>
    <cellStyle name="강조색2 38 6" xfId="15004" xr:uid="{00000000-0005-0000-0000-0000A6340000}"/>
    <cellStyle name="강조색2 38 7" xfId="15005" xr:uid="{00000000-0005-0000-0000-0000A7340000}"/>
    <cellStyle name="강조색2 38 8" xfId="15006" xr:uid="{00000000-0005-0000-0000-0000A8340000}"/>
    <cellStyle name="강조색2 38 9" xfId="15007" xr:uid="{00000000-0005-0000-0000-0000A9340000}"/>
    <cellStyle name="강조색2 39" xfId="1728" xr:uid="{00000000-0005-0000-0000-0000AA340000}"/>
    <cellStyle name="강조색2 39 10" xfId="15009" xr:uid="{00000000-0005-0000-0000-0000AB340000}"/>
    <cellStyle name="강조색2 39 11" xfId="15010" xr:uid="{00000000-0005-0000-0000-0000AC340000}"/>
    <cellStyle name="강조색2 39 12" xfId="15011" xr:uid="{00000000-0005-0000-0000-0000AD340000}"/>
    <cellStyle name="강조색2 39 13" xfId="15012" xr:uid="{00000000-0005-0000-0000-0000AE340000}"/>
    <cellStyle name="강조색2 39 14" xfId="15013" xr:uid="{00000000-0005-0000-0000-0000AF340000}"/>
    <cellStyle name="강조색2 39 15" xfId="15008" xr:uid="{00000000-0005-0000-0000-0000B0340000}"/>
    <cellStyle name="강조색2 39 2" xfId="1729" xr:uid="{00000000-0005-0000-0000-0000B1340000}"/>
    <cellStyle name="강조색2 39 2 2" xfId="15014" xr:uid="{00000000-0005-0000-0000-0000B2340000}"/>
    <cellStyle name="강조색2 39 3" xfId="15015" xr:uid="{00000000-0005-0000-0000-0000B3340000}"/>
    <cellStyle name="강조색2 39 4" xfId="15016" xr:uid="{00000000-0005-0000-0000-0000B4340000}"/>
    <cellStyle name="강조색2 39 5" xfId="15017" xr:uid="{00000000-0005-0000-0000-0000B5340000}"/>
    <cellStyle name="강조색2 39 6" xfId="15018" xr:uid="{00000000-0005-0000-0000-0000B6340000}"/>
    <cellStyle name="강조색2 39 7" xfId="15019" xr:uid="{00000000-0005-0000-0000-0000B7340000}"/>
    <cellStyle name="강조색2 39 8" xfId="15020" xr:uid="{00000000-0005-0000-0000-0000B8340000}"/>
    <cellStyle name="강조색2 39 9" xfId="15021" xr:uid="{00000000-0005-0000-0000-0000B9340000}"/>
    <cellStyle name="강조색2 4" xfId="1730" xr:uid="{00000000-0005-0000-0000-0000BA340000}"/>
    <cellStyle name="강조색2 4 10" xfId="15023" xr:uid="{00000000-0005-0000-0000-0000BB340000}"/>
    <cellStyle name="강조색2 4 11" xfId="15024" xr:uid="{00000000-0005-0000-0000-0000BC340000}"/>
    <cellStyle name="강조색2 4 12" xfId="15025" xr:uid="{00000000-0005-0000-0000-0000BD340000}"/>
    <cellStyle name="강조색2 4 13" xfId="15026" xr:uid="{00000000-0005-0000-0000-0000BE340000}"/>
    <cellStyle name="강조색2 4 14" xfId="15027" xr:uid="{00000000-0005-0000-0000-0000BF340000}"/>
    <cellStyle name="강조색2 4 15" xfId="15022" xr:uid="{00000000-0005-0000-0000-0000C0340000}"/>
    <cellStyle name="강조색2 4 16" xfId="27870" xr:uid="{00000000-0005-0000-0000-0000C1340000}"/>
    <cellStyle name="강조색2 4 2" xfId="1731" xr:uid="{00000000-0005-0000-0000-0000C2340000}"/>
    <cellStyle name="강조색2 4 2 2" xfId="15028" xr:uid="{00000000-0005-0000-0000-0000C3340000}"/>
    <cellStyle name="강조색2 4 3" xfId="15029" xr:uid="{00000000-0005-0000-0000-0000C4340000}"/>
    <cellStyle name="강조색2 4 4" xfId="15030" xr:uid="{00000000-0005-0000-0000-0000C5340000}"/>
    <cellStyle name="강조색2 4 5" xfId="15031" xr:uid="{00000000-0005-0000-0000-0000C6340000}"/>
    <cellStyle name="강조색2 4 6" xfId="15032" xr:uid="{00000000-0005-0000-0000-0000C7340000}"/>
    <cellStyle name="강조색2 4 7" xfId="15033" xr:uid="{00000000-0005-0000-0000-0000C8340000}"/>
    <cellStyle name="강조색2 4 8" xfId="15034" xr:uid="{00000000-0005-0000-0000-0000C9340000}"/>
    <cellStyle name="강조색2 4 9" xfId="15035" xr:uid="{00000000-0005-0000-0000-0000CA340000}"/>
    <cellStyle name="강조색2 40" xfId="1732" xr:uid="{00000000-0005-0000-0000-0000CB340000}"/>
    <cellStyle name="강조색2 40 10" xfId="15037" xr:uid="{00000000-0005-0000-0000-0000CC340000}"/>
    <cellStyle name="강조색2 40 11" xfId="15038" xr:uid="{00000000-0005-0000-0000-0000CD340000}"/>
    <cellStyle name="강조색2 40 12" xfId="15039" xr:uid="{00000000-0005-0000-0000-0000CE340000}"/>
    <cellStyle name="강조색2 40 13" xfId="15040" xr:uid="{00000000-0005-0000-0000-0000CF340000}"/>
    <cellStyle name="강조색2 40 14" xfId="15041" xr:uid="{00000000-0005-0000-0000-0000D0340000}"/>
    <cellStyle name="강조색2 40 15" xfId="15036" xr:uid="{00000000-0005-0000-0000-0000D1340000}"/>
    <cellStyle name="강조색2 40 2" xfId="1733" xr:uid="{00000000-0005-0000-0000-0000D2340000}"/>
    <cellStyle name="강조색2 40 2 2" xfId="15042" xr:uid="{00000000-0005-0000-0000-0000D3340000}"/>
    <cellStyle name="강조색2 40 3" xfId="15043" xr:uid="{00000000-0005-0000-0000-0000D4340000}"/>
    <cellStyle name="강조색2 40 4" xfId="15044" xr:uid="{00000000-0005-0000-0000-0000D5340000}"/>
    <cellStyle name="강조색2 40 5" xfId="15045" xr:uid="{00000000-0005-0000-0000-0000D6340000}"/>
    <cellStyle name="강조색2 40 6" xfId="15046" xr:uid="{00000000-0005-0000-0000-0000D7340000}"/>
    <cellStyle name="강조색2 40 7" xfId="15047" xr:uid="{00000000-0005-0000-0000-0000D8340000}"/>
    <cellStyle name="강조색2 40 8" xfId="15048" xr:uid="{00000000-0005-0000-0000-0000D9340000}"/>
    <cellStyle name="강조색2 40 9" xfId="15049" xr:uid="{00000000-0005-0000-0000-0000DA340000}"/>
    <cellStyle name="강조색2 41" xfId="1734" xr:uid="{00000000-0005-0000-0000-0000DB340000}"/>
    <cellStyle name="강조색2 41 10" xfId="15051" xr:uid="{00000000-0005-0000-0000-0000DC340000}"/>
    <cellStyle name="강조색2 41 11" xfId="15052" xr:uid="{00000000-0005-0000-0000-0000DD340000}"/>
    <cellStyle name="강조색2 41 12" xfId="15053" xr:uid="{00000000-0005-0000-0000-0000DE340000}"/>
    <cellStyle name="강조색2 41 13" xfId="15054" xr:uid="{00000000-0005-0000-0000-0000DF340000}"/>
    <cellStyle name="강조색2 41 14" xfId="15055" xr:uid="{00000000-0005-0000-0000-0000E0340000}"/>
    <cellStyle name="강조색2 41 15" xfId="15050" xr:uid="{00000000-0005-0000-0000-0000E1340000}"/>
    <cellStyle name="강조색2 41 2" xfId="1735" xr:uid="{00000000-0005-0000-0000-0000E2340000}"/>
    <cellStyle name="강조색2 41 2 2" xfId="15056" xr:uid="{00000000-0005-0000-0000-0000E3340000}"/>
    <cellStyle name="강조색2 41 3" xfId="15057" xr:uid="{00000000-0005-0000-0000-0000E4340000}"/>
    <cellStyle name="강조색2 41 4" xfId="15058" xr:uid="{00000000-0005-0000-0000-0000E5340000}"/>
    <cellStyle name="강조색2 41 5" xfId="15059" xr:uid="{00000000-0005-0000-0000-0000E6340000}"/>
    <cellStyle name="강조색2 41 6" xfId="15060" xr:uid="{00000000-0005-0000-0000-0000E7340000}"/>
    <cellStyle name="강조색2 41 7" xfId="15061" xr:uid="{00000000-0005-0000-0000-0000E8340000}"/>
    <cellStyle name="강조색2 41 8" xfId="15062" xr:uid="{00000000-0005-0000-0000-0000E9340000}"/>
    <cellStyle name="강조색2 41 9" xfId="15063" xr:uid="{00000000-0005-0000-0000-0000EA340000}"/>
    <cellStyle name="강조색2 42" xfId="1736" xr:uid="{00000000-0005-0000-0000-0000EB340000}"/>
    <cellStyle name="강조색2 42 10" xfId="15065" xr:uid="{00000000-0005-0000-0000-0000EC340000}"/>
    <cellStyle name="강조색2 42 11" xfId="15066" xr:uid="{00000000-0005-0000-0000-0000ED340000}"/>
    <cellStyle name="강조색2 42 12" xfId="15067" xr:uid="{00000000-0005-0000-0000-0000EE340000}"/>
    <cellStyle name="강조색2 42 13" xfId="15068" xr:uid="{00000000-0005-0000-0000-0000EF340000}"/>
    <cellStyle name="강조색2 42 14" xfId="15069" xr:uid="{00000000-0005-0000-0000-0000F0340000}"/>
    <cellStyle name="강조색2 42 15" xfId="15064" xr:uid="{00000000-0005-0000-0000-0000F1340000}"/>
    <cellStyle name="강조색2 42 2" xfId="1737" xr:uid="{00000000-0005-0000-0000-0000F2340000}"/>
    <cellStyle name="강조색2 42 2 2" xfId="15070" xr:uid="{00000000-0005-0000-0000-0000F3340000}"/>
    <cellStyle name="강조색2 42 3" xfId="15071" xr:uid="{00000000-0005-0000-0000-0000F4340000}"/>
    <cellStyle name="강조색2 42 4" xfId="15072" xr:uid="{00000000-0005-0000-0000-0000F5340000}"/>
    <cellStyle name="강조색2 42 5" xfId="15073" xr:uid="{00000000-0005-0000-0000-0000F6340000}"/>
    <cellStyle name="강조색2 42 6" xfId="15074" xr:uid="{00000000-0005-0000-0000-0000F7340000}"/>
    <cellStyle name="강조색2 42 7" xfId="15075" xr:uid="{00000000-0005-0000-0000-0000F8340000}"/>
    <cellStyle name="강조색2 42 8" xfId="15076" xr:uid="{00000000-0005-0000-0000-0000F9340000}"/>
    <cellStyle name="강조색2 42 9" xfId="15077" xr:uid="{00000000-0005-0000-0000-0000FA340000}"/>
    <cellStyle name="강조색2 43" xfId="1738" xr:uid="{00000000-0005-0000-0000-0000FB340000}"/>
    <cellStyle name="강조색2 43 10" xfId="15079" xr:uid="{00000000-0005-0000-0000-0000FC340000}"/>
    <cellStyle name="강조색2 43 11" xfId="15080" xr:uid="{00000000-0005-0000-0000-0000FD340000}"/>
    <cellStyle name="강조색2 43 12" xfId="15081" xr:uid="{00000000-0005-0000-0000-0000FE340000}"/>
    <cellStyle name="강조색2 43 13" xfId="15082" xr:uid="{00000000-0005-0000-0000-0000FF340000}"/>
    <cellStyle name="강조색2 43 14" xfId="15083" xr:uid="{00000000-0005-0000-0000-000000350000}"/>
    <cellStyle name="강조색2 43 15" xfId="15078" xr:uid="{00000000-0005-0000-0000-000001350000}"/>
    <cellStyle name="강조색2 43 2" xfId="1739" xr:uid="{00000000-0005-0000-0000-000002350000}"/>
    <cellStyle name="강조색2 43 2 2" xfId="15084" xr:uid="{00000000-0005-0000-0000-000003350000}"/>
    <cellStyle name="강조색2 43 3" xfId="15085" xr:uid="{00000000-0005-0000-0000-000004350000}"/>
    <cellStyle name="강조색2 43 4" xfId="15086" xr:uid="{00000000-0005-0000-0000-000005350000}"/>
    <cellStyle name="강조색2 43 5" xfId="15087" xr:uid="{00000000-0005-0000-0000-000006350000}"/>
    <cellStyle name="강조색2 43 6" xfId="15088" xr:uid="{00000000-0005-0000-0000-000007350000}"/>
    <cellStyle name="강조색2 43 7" xfId="15089" xr:uid="{00000000-0005-0000-0000-000008350000}"/>
    <cellStyle name="강조색2 43 8" xfId="15090" xr:uid="{00000000-0005-0000-0000-000009350000}"/>
    <cellStyle name="강조색2 43 9" xfId="15091" xr:uid="{00000000-0005-0000-0000-00000A350000}"/>
    <cellStyle name="강조색2 44" xfId="1740" xr:uid="{00000000-0005-0000-0000-00000B350000}"/>
    <cellStyle name="강조색2 44 2" xfId="15092" xr:uid="{00000000-0005-0000-0000-00000C350000}"/>
    <cellStyle name="강조색2 45" xfId="1741" xr:uid="{00000000-0005-0000-0000-00000D350000}"/>
    <cellStyle name="강조색2 45 2" xfId="15093" xr:uid="{00000000-0005-0000-0000-00000E350000}"/>
    <cellStyle name="강조색2 46" xfId="1665" xr:uid="{00000000-0005-0000-0000-00000F350000}"/>
    <cellStyle name="강조색2 47" xfId="14573" xr:uid="{00000000-0005-0000-0000-000010350000}"/>
    <cellStyle name="강조색2 5" xfId="1742" xr:uid="{00000000-0005-0000-0000-000011350000}"/>
    <cellStyle name="강조색2 5 10" xfId="15095" xr:uid="{00000000-0005-0000-0000-000012350000}"/>
    <cellStyle name="강조색2 5 11" xfId="15096" xr:uid="{00000000-0005-0000-0000-000013350000}"/>
    <cellStyle name="강조색2 5 12" xfId="15097" xr:uid="{00000000-0005-0000-0000-000014350000}"/>
    <cellStyle name="강조색2 5 13" xfId="15098" xr:uid="{00000000-0005-0000-0000-000015350000}"/>
    <cellStyle name="강조색2 5 14" xfId="15099" xr:uid="{00000000-0005-0000-0000-000016350000}"/>
    <cellStyle name="강조색2 5 15" xfId="15094" xr:uid="{00000000-0005-0000-0000-000017350000}"/>
    <cellStyle name="강조색2 5 2" xfId="1743" xr:uid="{00000000-0005-0000-0000-000018350000}"/>
    <cellStyle name="강조색2 5 2 2" xfId="15100" xr:uid="{00000000-0005-0000-0000-000019350000}"/>
    <cellStyle name="강조색2 5 3" xfId="15101" xr:uid="{00000000-0005-0000-0000-00001A350000}"/>
    <cellStyle name="강조색2 5 4" xfId="15102" xr:uid="{00000000-0005-0000-0000-00001B350000}"/>
    <cellStyle name="강조색2 5 5" xfId="15103" xr:uid="{00000000-0005-0000-0000-00001C350000}"/>
    <cellStyle name="강조색2 5 6" xfId="15104" xr:uid="{00000000-0005-0000-0000-00001D350000}"/>
    <cellStyle name="강조색2 5 7" xfId="15105" xr:uid="{00000000-0005-0000-0000-00001E350000}"/>
    <cellStyle name="강조색2 5 8" xfId="15106" xr:uid="{00000000-0005-0000-0000-00001F350000}"/>
    <cellStyle name="강조색2 5 9" xfId="15107" xr:uid="{00000000-0005-0000-0000-000020350000}"/>
    <cellStyle name="강조색2 6" xfId="1744" xr:uid="{00000000-0005-0000-0000-000021350000}"/>
    <cellStyle name="강조색2 6 10" xfId="15109" xr:uid="{00000000-0005-0000-0000-000022350000}"/>
    <cellStyle name="강조색2 6 11" xfId="15110" xr:uid="{00000000-0005-0000-0000-000023350000}"/>
    <cellStyle name="강조색2 6 12" xfId="15111" xr:uid="{00000000-0005-0000-0000-000024350000}"/>
    <cellStyle name="강조색2 6 13" xfId="15112" xr:uid="{00000000-0005-0000-0000-000025350000}"/>
    <cellStyle name="강조색2 6 14" xfId="15113" xr:uid="{00000000-0005-0000-0000-000026350000}"/>
    <cellStyle name="강조색2 6 15" xfId="15108" xr:uid="{00000000-0005-0000-0000-000027350000}"/>
    <cellStyle name="강조색2 6 2" xfId="1745" xr:uid="{00000000-0005-0000-0000-000028350000}"/>
    <cellStyle name="강조색2 6 2 2" xfId="15114" xr:uid="{00000000-0005-0000-0000-000029350000}"/>
    <cellStyle name="강조색2 6 3" xfId="15115" xr:uid="{00000000-0005-0000-0000-00002A350000}"/>
    <cellStyle name="강조색2 6 4" xfId="15116" xr:uid="{00000000-0005-0000-0000-00002B350000}"/>
    <cellStyle name="강조색2 6 5" xfId="15117" xr:uid="{00000000-0005-0000-0000-00002C350000}"/>
    <cellStyle name="강조색2 6 6" xfId="15118" xr:uid="{00000000-0005-0000-0000-00002D350000}"/>
    <cellStyle name="강조색2 6 7" xfId="15119" xr:uid="{00000000-0005-0000-0000-00002E350000}"/>
    <cellStyle name="강조색2 6 8" xfId="15120" xr:uid="{00000000-0005-0000-0000-00002F350000}"/>
    <cellStyle name="강조색2 6 9" xfId="15121" xr:uid="{00000000-0005-0000-0000-000030350000}"/>
    <cellStyle name="강조색2 7" xfId="1746" xr:uid="{00000000-0005-0000-0000-000031350000}"/>
    <cellStyle name="강조색2 7 10" xfId="15123" xr:uid="{00000000-0005-0000-0000-000032350000}"/>
    <cellStyle name="강조색2 7 11" xfId="15124" xr:uid="{00000000-0005-0000-0000-000033350000}"/>
    <cellStyle name="강조색2 7 12" xfId="15125" xr:uid="{00000000-0005-0000-0000-000034350000}"/>
    <cellStyle name="강조색2 7 13" xfId="15126" xr:uid="{00000000-0005-0000-0000-000035350000}"/>
    <cellStyle name="강조색2 7 14" xfId="15127" xr:uid="{00000000-0005-0000-0000-000036350000}"/>
    <cellStyle name="강조색2 7 15" xfId="15122" xr:uid="{00000000-0005-0000-0000-000037350000}"/>
    <cellStyle name="강조색2 7 2" xfId="1747" xr:uid="{00000000-0005-0000-0000-000038350000}"/>
    <cellStyle name="강조색2 7 2 2" xfId="15128" xr:uid="{00000000-0005-0000-0000-000039350000}"/>
    <cellStyle name="강조색2 7 3" xfId="15129" xr:uid="{00000000-0005-0000-0000-00003A350000}"/>
    <cellStyle name="강조색2 7 4" xfId="15130" xr:uid="{00000000-0005-0000-0000-00003B350000}"/>
    <cellStyle name="강조색2 7 5" xfId="15131" xr:uid="{00000000-0005-0000-0000-00003C350000}"/>
    <cellStyle name="강조색2 7 6" xfId="15132" xr:uid="{00000000-0005-0000-0000-00003D350000}"/>
    <cellStyle name="강조색2 7 7" xfId="15133" xr:uid="{00000000-0005-0000-0000-00003E350000}"/>
    <cellStyle name="강조색2 7 8" xfId="15134" xr:uid="{00000000-0005-0000-0000-00003F350000}"/>
    <cellStyle name="강조색2 7 9" xfId="15135" xr:uid="{00000000-0005-0000-0000-000040350000}"/>
    <cellStyle name="강조색2 8" xfId="1748" xr:uid="{00000000-0005-0000-0000-000041350000}"/>
    <cellStyle name="강조색2 8 10" xfId="15137" xr:uid="{00000000-0005-0000-0000-000042350000}"/>
    <cellStyle name="강조색2 8 11" xfId="15138" xr:uid="{00000000-0005-0000-0000-000043350000}"/>
    <cellStyle name="강조색2 8 12" xfId="15139" xr:uid="{00000000-0005-0000-0000-000044350000}"/>
    <cellStyle name="강조색2 8 13" xfId="15140" xr:uid="{00000000-0005-0000-0000-000045350000}"/>
    <cellStyle name="강조색2 8 14" xfId="15141" xr:uid="{00000000-0005-0000-0000-000046350000}"/>
    <cellStyle name="강조색2 8 15" xfId="15136" xr:uid="{00000000-0005-0000-0000-000047350000}"/>
    <cellStyle name="강조색2 8 2" xfId="1749" xr:uid="{00000000-0005-0000-0000-000048350000}"/>
    <cellStyle name="강조색2 8 2 2" xfId="15142" xr:uid="{00000000-0005-0000-0000-000049350000}"/>
    <cellStyle name="강조색2 8 3" xfId="15143" xr:uid="{00000000-0005-0000-0000-00004A350000}"/>
    <cellStyle name="강조색2 8 4" xfId="15144" xr:uid="{00000000-0005-0000-0000-00004B350000}"/>
    <cellStyle name="강조색2 8 5" xfId="15145" xr:uid="{00000000-0005-0000-0000-00004C350000}"/>
    <cellStyle name="강조색2 8 6" xfId="15146" xr:uid="{00000000-0005-0000-0000-00004D350000}"/>
    <cellStyle name="강조색2 8 7" xfId="15147" xr:uid="{00000000-0005-0000-0000-00004E350000}"/>
    <cellStyle name="강조색2 8 8" xfId="15148" xr:uid="{00000000-0005-0000-0000-00004F350000}"/>
    <cellStyle name="강조색2 8 9" xfId="15149" xr:uid="{00000000-0005-0000-0000-000050350000}"/>
    <cellStyle name="강조색2 9" xfId="1750" xr:uid="{00000000-0005-0000-0000-000051350000}"/>
    <cellStyle name="강조색2 9 10" xfId="15151" xr:uid="{00000000-0005-0000-0000-000052350000}"/>
    <cellStyle name="강조색2 9 11" xfId="15152" xr:uid="{00000000-0005-0000-0000-000053350000}"/>
    <cellStyle name="강조색2 9 12" xfId="15153" xr:uid="{00000000-0005-0000-0000-000054350000}"/>
    <cellStyle name="강조색2 9 13" xfId="15154" xr:uid="{00000000-0005-0000-0000-000055350000}"/>
    <cellStyle name="강조색2 9 14" xfId="15155" xr:uid="{00000000-0005-0000-0000-000056350000}"/>
    <cellStyle name="강조색2 9 15" xfId="15150" xr:uid="{00000000-0005-0000-0000-000057350000}"/>
    <cellStyle name="강조색2 9 2" xfId="1751" xr:uid="{00000000-0005-0000-0000-000058350000}"/>
    <cellStyle name="강조색2 9 2 2" xfId="15156" xr:uid="{00000000-0005-0000-0000-000059350000}"/>
    <cellStyle name="강조색2 9 3" xfId="15157" xr:uid="{00000000-0005-0000-0000-00005A350000}"/>
    <cellStyle name="강조색2 9 4" xfId="15158" xr:uid="{00000000-0005-0000-0000-00005B350000}"/>
    <cellStyle name="강조색2 9 5" xfId="15159" xr:uid="{00000000-0005-0000-0000-00005C350000}"/>
    <cellStyle name="강조색2 9 6" xfId="15160" xr:uid="{00000000-0005-0000-0000-00005D350000}"/>
    <cellStyle name="강조색2 9 7" xfId="15161" xr:uid="{00000000-0005-0000-0000-00005E350000}"/>
    <cellStyle name="강조색2 9 8" xfId="15162" xr:uid="{00000000-0005-0000-0000-00005F350000}"/>
    <cellStyle name="강조색2 9 9" xfId="15163" xr:uid="{00000000-0005-0000-0000-000060350000}"/>
    <cellStyle name="강조색3 10" xfId="1753" xr:uid="{00000000-0005-0000-0000-000061350000}"/>
    <cellStyle name="강조색3 10 10" xfId="15166" xr:uid="{00000000-0005-0000-0000-000062350000}"/>
    <cellStyle name="강조색3 10 11" xfId="15167" xr:uid="{00000000-0005-0000-0000-000063350000}"/>
    <cellStyle name="강조색3 10 12" xfId="15168" xr:uid="{00000000-0005-0000-0000-000064350000}"/>
    <cellStyle name="강조색3 10 13" xfId="15169" xr:uid="{00000000-0005-0000-0000-000065350000}"/>
    <cellStyle name="강조색3 10 14" xfId="15170" xr:uid="{00000000-0005-0000-0000-000066350000}"/>
    <cellStyle name="강조색3 10 15" xfId="15165" xr:uid="{00000000-0005-0000-0000-000067350000}"/>
    <cellStyle name="강조색3 10 2" xfId="1754" xr:uid="{00000000-0005-0000-0000-000068350000}"/>
    <cellStyle name="강조색3 10 2 2" xfId="15171" xr:uid="{00000000-0005-0000-0000-000069350000}"/>
    <cellStyle name="강조색3 10 3" xfId="15172" xr:uid="{00000000-0005-0000-0000-00006A350000}"/>
    <cellStyle name="강조색3 10 4" xfId="15173" xr:uid="{00000000-0005-0000-0000-00006B350000}"/>
    <cellStyle name="강조색3 10 5" xfId="15174" xr:uid="{00000000-0005-0000-0000-00006C350000}"/>
    <cellStyle name="강조색3 10 6" xfId="15175" xr:uid="{00000000-0005-0000-0000-00006D350000}"/>
    <cellStyle name="강조색3 10 7" xfId="15176" xr:uid="{00000000-0005-0000-0000-00006E350000}"/>
    <cellStyle name="강조색3 10 8" xfId="15177" xr:uid="{00000000-0005-0000-0000-00006F350000}"/>
    <cellStyle name="강조색3 10 9" xfId="15178" xr:uid="{00000000-0005-0000-0000-000070350000}"/>
    <cellStyle name="강조색3 11" xfId="1755" xr:uid="{00000000-0005-0000-0000-000071350000}"/>
    <cellStyle name="강조색3 11 10" xfId="15180" xr:uid="{00000000-0005-0000-0000-000072350000}"/>
    <cellStyle name="강조색3 11 11" xfId="15181" xr:uid="{00000000-0005-0000-0000-000073350000}"/>
    <cellStyle name="강조색3 11 12" xfId="15182" xr:uid="{00000000-0005-0000-0000-000074350000}"/>
    <cellStyle name="강조색3 11 13" xfId="15183" xr:uid="{00000000-0005-0000-0000-000075350000}"/>
    <cellStyle name="강조색3 11 14" xfId="15184" xr:uid="{00000000-0005-0000-0000-000076350000}"/>
    <cellStyle name="강조색3 11 15" xfId="15179" xr:uid="{00000000-0005-0000-0000-000077350000}"/>
    <cellStyle name="강조색3 11 2" xfId="1756" xr:uid="{00000000-0005-0000-0000-000078350000}"/>
    <cellStyle name="강조색3 11 2 2" xfId="15185" xr:uid="{00000000-0005-0000-0000-000079350000}"/>
    <cellStyle name="강조색3 11 3" xfId="15186" xr:uid="{00000000-0005-0000-0000-00007A350000}"/>
    <cellStyle name="강조색3 11 4" xfId="15187" xr:uid="{00000000-0005-0000-0000-00007B350000}"/>
    <cellStyle name="강조색3 11 5" xfId="15188" xr:uid="{00000000-0005-0000-0000-00007C350000}"/>
    <cellStyle name="강조색3 11 6" xfId="15189" xr:uid="{00000000-0005-0000-0000-00007D350000}"/>
    <cellStyle name="강조색3 11 7" xfId="15190" xr:uid="{00000000-0005-0000-0000-00007E350000}"/>
    <cellStyle name="강조색3 11 8" xfId="15191" xr:uid="{00000000-0005-0000-0000-00007F350000}"/>
    <cellStyle name="강조색3 11 9" xfId="15192" xr:uid="{00000000-0005-0000-0000-000080350000}"/>
    <cellStyle name="강조색3 12" xfId="1757" xr:uid="{00000000-0005-0000-0000-000081350000}"/>
    <cellStyle name="강조색3 12 10" xfId="15194" xr:uid="{00000000-0005-0000-0000-000082350000}"/>
    <cellStyle name="강조색3 12 11" xfId="15195" xr:uid="{00000000-0005-0000-0000-000083350000}"/>
    <cellStyle name="강조색3 12 12" xfId="15196" xr:uid="{00000000-0005-0000-0000-000084350000}"/>
    <cellStyle name="강조색3 12 13" xfId="15197" xr:uid="{00000000-0005-0000-0000-000085350000}"/>
    <cellStyle name="강조색3 12 14" xfId="15198" xr:uid="{00000000-0005-0000-0000-000086350000}"/>
    <cellStyle name="강조색3 12 15" xfId="15193" xr:uid="{00000000-0005-0000-0000-000087350000}"/>
    <cellStyle name="강조색3 12 2" xfId="1758" xr:uid="{00000000-0005-0000-0000-000088350000}"/>
    <cellStyle name="강조색3 12 2 2" xfId="15199" xr:uid="{00000000-0005-0000-0000-000089350000}"/>
    <cellStyle name="강조색3 12 3" xfId="15200" xr:uid="{00000000-0005-0000-0000-00008A350000}"/>
    <cellStyle name="강조색3 12 4" xfId="15201" xr:uid="{00000000-0005-0000-0000-00008B350000}"/>
    <cellStyle name="강조색3 12 5" xfId="15202" xr:uid="{00000000-0005-0000-0000-00008C350000}"/>
    <cellStyle name="강조색3 12 6" xfId="15203" xr:uid="{00000000-0005-0000-0000-00008D350000}"/>
    <cellStyle name="강조색3 12 7" xfId="15204" xr:uid="{00000000-0005-0000-0000-00008E350000}"/>
    <cellStyle name="강조색3 12 8" xfId="15205" xr:uid="{00000000-0005-0000-0000-00008F350000}"/>
    <cellStyle name="강조색3 12 9" xfId="15206" xr:uid="{00000000-0005-0000-0000-000090350000}"/>
    <cellStyle name="강조색3 13" xfId="1759" xr:uid="{00000000-0005-0000-0000-000091350000}"/>
    <cellStyle name="강조색3 13 10" xfId="15208" xr:uid="{00000000-0005-0000-0000-000092350000}"/>
    <cellStyle name="강조색3 13 11" xfId="15209" xr:uid="{00000000-0005-0000-0000-000093350000}"/>
    <cellStyle name="강조색3 13 12" xfId="15210" xr:uid="{00000000-0005-0000-0000-000094350000}"/>
    <cellStyle name="강조색3 13 13" xfId="15211" xr:uid="{00000000-0005-0000-0000-000095350000}"/>
    <cellStyle name="강조색3 13 14" xfId="15212" xr:uid="{00000000-0005-0000-0000-000096350000}"/>
    <cellStyle name="강조색3 13 15" xfId="15207" xr:uid="{00000000-0005-0000-0000-000097350000}"/>
    <cellStyle name="강조색3 13 2" xfId="1760" xr:uid="{00000000-0005-0000-0000-000098350000}"/>
    <cellStyle name="강조색3 13 2 2" xfId="15213" xr:uid="{00000000-0005-0000-0000-000099350000}"/>
    <cellStyle name="강조색3 13 3" xfId="15214" xr:uid="{00000000-0005-0000-0000-00009A350000}"/>
    <cellStyle name="강조색3 13 4" xfId="15215" xr:uid="{00000000-0005-0000-0000-00009B350000}"/>
    <cellStyle name="강조색3 13 5" xfId="15216" xr:uid="{00000000-0005-0000-0000-00009C350000}"/>
    <cellStyle name="강조색3 13 6" xfId="15217" xr:uid="{00000000-0005-0000-0000-00009D350000}"/>
    <cellStyle name="강조색3 13 7" xfId="15218" xr:uid="{00000000-0005-0000-0000-00009E350000}"/>
    <cellStyle name="강조색3 13 8" xfId="15219" xr:uid="{00000000-0005-0000-0000-00009F350000}"/>
    <cellStyle name="강조색3 13 9" xfId="15220" xr:uid="{00000000-0005-0000-0000-0000A0350000}"/>
    <cellStyle name="강조색3 14" xfId="1761" xr:uid="{00000000-0005-0000-0000-0000A1350000}"/>
    <cellStyle name="강조색3 14 10" xfId="15222" xr:uid="{00000000-0005-0000-0000-0000A2350000}"/>
    <cellStyle name="강조색3 14 11" xfId="15223" xr:uid="{00000000-0005-0000-0000-0000A3350000}"/>
    <cellStyle name="강조색3 14 12" xfId="15224" xr:uid="{00000000-0005-0000-0000-0000A4350000}"/>
    <cellStyle name="강조색3 14 13" xfId="15225" xr:uid="{00000000-0005-0000-0000-0000A5350000}"/>
    <cellStyle name="강조색3 14 14" xfId="15226" xr:uid="{00000000-0005-0000-0000-0000A6350000}"/>
    <cellStyle name="강조색3 14 15" xfId="15221" xr:uid="{00000000-0005-0000-0000-0000A7350000}"/>
    <cellStyle name="강조색3 14 2" xfId="1762" xr:uid="{00000000-0005-0000-0000-0000A8350000}"/>
    <cellStyle name="강조색3 14 2 2" xfId="15227" xr:uid="{00000000-0005-0000-0000-0000A9350000}"/>
    <cellStyle name="강조색3 14 3" xfId="15228" xr:uid="{00000000-0005-0000-0000-0000AA350000}"/>
    <cellStyle name="강조색3 14 4" xfId="15229" xr:uid="{00000000-0005-0000-0000-0000AB350000}"/>
    <cellStyle name="강조색3 14 5" xfId="15230" xr:uid="{00000000-0005-0000-0000-0000AC350000}"/>
    <cellStyle name="강조색3 14 6" xfId="15231" xr:uid="{00000000-0005-0000-0000-0000AD350000}"/>
    <cellStyle name="강조색3 14 7" xfId="15232" xr:uid="{00000000-0005-0000-0000-0000AE350000}"/>
    <cellStyle name="강조색3 14 8" xfId="15233" xr:uid="{00000000-0005-0000-0000-0000AF350000}"/>
    <cellStyle name="강조색3 14 9" xfId="15234" xr:uid="{00000000-0005-0000-0000-0000B0350000}"/>
    <cellStyle name="강조색3 15" xfId="1763" xr:uid="{00000000-0005-0000-0000-0000B1350000}"/>
    <cellStyle name="강조색3 15 10" xfId="15236" xr:uid="{00000000-0005-0000-0000-0000B2350000}"/>
    <cellStyle name="강조색3 15 11" xfId="15237" xr:uid="{00000000-0005-0000-0000-0000B3350000}"/>
    <cellStyle name="강조색3 15 12" xfId="15238" xr:uid="{00000000-0005-0000-0000-0000B4350000}"/>
    <cellStyle name="강조색3 15 13" xfId="15239" xr:uid="{00000000-0005-0000-0000-0000B5350000}"/>
    <cellStyle name="강조색3 15 14" xfId="15240" xr:uid="{00000000-0005-0000-0000-0000B6350000}"/>
    <cellStyle name="강조색3 15 15" xfId="15235" xr:uid="{00000000-0005-0000-0000-0000B7350000}"/>
    <cellStyle name="강조색3 15 2" xfId="1764" xr:uid="{00000000-0005-0000-0000-0000B8350000}"/>
    <cellStyle name="강조색3 15 2 2" xfId="15241" xr:uid="{00000000-0005-0000-0000-0000B9350000}"/>
    <cellStyle name="강조색3 15 3" xfId="15242" xr:uid="{00000000-0005-0000-0000-0000BA350000}"/>
    <cellStyle name="강조색3 15 4" xfId="15243" xr:uid="{00000000-0005-0000-0000-0000BB350000}"/>
    <cellStyle name="강조색3 15 5" xfId="15244" xr:uid="{00000000-0005-0000-0000-0000BC350000}"/>
    <cellStyle name="강조색3 15 6" xfId="15245" xr:uid="{00000000-0005-0000-0000-0000BD350000}"/>
    <cellStyle name="강조색3 15 7" xfId="15246" xr:uid="{00000000-0005-0000-0000-0000BE350000}"/>
    <cellStyle name="강조색3 15 8" xfId="15247" xr:uid="{00000000-0005-0000-0000-0000BF350000}"/>
    <cellStyle name="강조색3 15 9" xfId="15248" xr:uid="{00000000-0005-0000-0000-0000C0350000}"/>
    <cellStyle name="강조색3 16" xfId="1765" xr:uid="{00000000-0005-0000-0000-0000C1350000}"/>
    <cellStyle name="강조색3 16 10" xfId="15250" xr:uid="{00000000-0005-0000-0000-0000C2350000}"/>
    <cellStyle name="강조색3 16 11" xfId="15251" xr:uid="{00000000-0005-0000-0000-0000C3350000}"/>
    <cellStyle name="강조색3 16 12" xfId="15252" xr:uid="{00000000-0005-0000-0000-0000C4350000}"/>
    <cellStyle name="강조색3 16 13" xfId="15253" xr:uid="{00000000-0005-0000-0000-0000C5350000}"/>
    <cellStyle name="강조색3 16 14" xfId="15254" xr:uid="{00000000-0005-0000-0000-0000C6350000}"/>
    <cellStyle name="강조색3 16 15" xfId="15249" xr:uid="{00000000-0005-0000-0000-0000C7350000}"/>
    <cellStyle name="강조색3 16 2" xfId="1766" xr:uid="{00000000-0005-0000-0000-0000C8350000}"/>
    <cellStyle name="강조색3 16 2 2" xfId="15255" xr:uid="{00000000-0005-0000-0000-0000C9350000}"/>
    <cellStyle name="강조색3 16 3" xfId="15256" xr:uid="{00000000-0005-0000-0000-0000CA350000}"/>
    <cellStyle name="강조색3 16 4" xfId="15257" xr:uid="{00000000-0005-0000-0000-0000CB350000}"/>
    <cellStyle name="강조색3 16 5" xfId="15258" xr:uid="{00000000-0005-0000-0000-0000CC350000}"/>
    <cellStyle name="강조색3 16 6" xfId="15259" xr:uid="{00000000-0005-0000-0000-0000CD350000}"/>
    <cellStyle name="강조색3 16 7" xfId="15260" xr:uid="{00000000-0005-0000-0000-0000CE350000}"/>
    <cellStyle name="강조색3 16 8" xfId="15261" xr:uid="{00000000-0005-0000-0000-0000CF350000}"/>
    <cellStyle name="강조색3 16 9" xfId="15262" xr:uid="{00000000-0005-0000-0000-0000D0350000}"/>
    <cellStyle name="강조색3 17" xfId="1767" xr:uid="{00000000-0005-0000-0000-0000D1350000}"/>
    <cellStyle name="강조색3 17 10" xfId="15264" xr:uid="{00000000-0005-0000-0000-0000D2350000}"/>
    <cellStyle name="강조색3 17 11" xfId="15265" xr:uid="{00000000-0005-0000-0000-0000D3350000}"/>
    <cellStyle name="강조색3 17 12" xfId="15266" xr:uid="{00000000-0005-0000-0000-0000D4350000}"/>
    <cellStyle name="강조색3 17 13" xfId="15267" xr:uid="{00000000-0005-0000-0000-0000D5350000}"/>
    <cellStyle name="강조색3 17 14" xfId="15268" xr:uid="{00000000-0005-0000-0000-0000D6350000}"/>
    <cellStyle name="강조색3 17 15" xfId="15263" xr:uid="{00000000-0005-0000-0000-0000D7350000}"/>
    <cellStyle name="강조색3 17 2" xfId="1768" xr:uid="{00000000-0005-0000-0000-0000D8350000}"/>
    <cellStyle name="강조색3 17 2 2" xfId="15269" xr:uid="{00000000-0005-0000-0000-0000D9350000}"/>
    <cellStyle name="강조색3 17 3" xfId="15270" xr:uid="{00000000-0005-0000-0000-0000DA350000}"/>
    <cellStyle name="강조색3 17 4" xfId="15271" xr:uid="{00000000-0005-0000-0000-0000DB350000}"/>
    <cellStyle name="강조색3 17 5" xfId="15272" xr:uid="{00000000-0005-0000-0000-0000DC350000}"/>
    <cellStyle name="강조색3 17 6" xfId="15273" xr:uid="{00000000-0005-0000-0000-0000DD350000}"/>
    <cellStyle name="강조색3 17 7" xfId="15274" xr:uid="{00000000-0005-0000-0000-0000DE350000}"/>
    <cellStyle name="강조색3 17 8" xfId="15275" xr:uid="{00000000-0005-0000-0000-0000DF350000}"/>
    <cellStyle name="강조색3 17 9" xfId="15276" xr:uid="{00000000-0005-0000-0000-0000E0350000}"/>
    <cellStyle name="강조색3 18" xfId="1769" xr:uid="{00000000-0005-0000-0000-0000E1350000}"/>
    <cellStyle name="강조색3 18 10" xfId="15278" xr:uid="{00000000-0005-0000-0000-0000E2350000}"/>
    <cellStyle name="강조색3 18 11" xfId="15279" xr:uid="{00000000-0005-0000-0000-0000E3350000}"/>
    <cellStyle name="강조색3 18 12" xfId="15280" xr:uid="{00000000-0005-0000-0000-0000E4350000}"/>
    <cellStyle name="강조색3 18 13" xfId="15281" xr:uid="{00000000-0005-0000-0000-0000E5350000}"/>
    <cellStyle name="강조색3 18 14" xfId="15282" xr:uid="{00000000-0005-0000-0000-0000E6350000}"/>
    <cellStyle name="강조색3 18 15" xfId="15277" xr:uid="{00000000-0005-0000-0000-0000E7350000}"/>
    <cellStyle name="강조색3 18 2" xfId="1770" xr:uid="{00000000-0005-0000-0000-0000E8350000}"/>
    <cellStyle name="강조색3 18 2 2" xfId="15283" xr:uid="{00000000-0005-0000-0000-0000E9350000}"/>
    <cellStyle name="강조색3 18 3" xfId="15284" xr:uid="{00000000-0005-0000-0000-0000EA350000}"/>
    <cellStyle name="강조색3 18 4" xfId="15285" xr:uid="{00000000-0005-0000-0000-0000EB350000}"/>
    <cellStyle name="강조색3 18 5" xfId="15286" xr:uid="{00000000-0005-0000-0000-0000EC350000}"/>
    <cellStyle name="강조색3 18 6" xfId="15287" xr:uid="{00000000-0005-0000-0000-0000ED350000}"/>
    <cellStyle name="강조색3 18 7" xfId="15288" xr:uid="{00000000-0005-0000-0000-0000EE350000}"/>
    <cellStyle name="강조색3 18 8" xfId="15289" xr:uid="{00000000-0005-0000-0000-0000EF350000}"/>
    <cellStyle name="강조색3 18 9" xfId="15290" xr:uid="{00000000-0005-0000-0000-0000F0350000}"/>
    <cellStyle name="강조색3 19" xfId="1771" xr:uid="{00000000-0005-0000-0000-0000F1350000}"/>
    <cellStyle name="강조색3 19 10" xfId="15292" xr:uid="{00000000-0005-0000-0000-0000F2350000}"/>
    <cellStyle name="강조색3 19 11" xfId="15293" xr:uid="{00000000-0005-0000-0000-0000F3350000}"/>
    <cellStyle name="강조색3 19 12" xfId="15294" xr:uid="{00000000-0005-0000-0000-0000F4350000}"/>
    <cellStyle name="강조색3 19 13" xfId="15295" xr:uid="{00000000-0005-0000-0000-0000F5350000}"/>
    <cellStyle name="강조색3 19 14" xfId="15296" xr:uid="{00000000-0005-0000-0000-0000F6350000}"/>
    <cellStyle name="강조색3 19 15" xfId="15291" xr:uid="{00000000-0005-0000-0000-0000F7350000}"/>
    <cellStyle name="강조색3 19 2" xfId="1772" xr:uid="{00000000-0005-0000-0000-0000F8350000}"/>
    <cellStyle name="강조색3 19 2 2" xfId="15297" xr:uid="{00000000-0005-0000-0000-0000F9350000}"/>
    <cellStyle name="강조색3 19 3" xfId="15298" xr:uid="{00000000-0005-0000-0000-0000FA350000}"/>
    <cellStyle name="강조색3 19 4" xfId="15299" xr:uid="{00000000-0005-0000-0000-0000FB350000}"/>
    <cellStyle name="강조색3 19 5" xfId="15300" xr:uid="{00000000-0005-0000-0000-0000FC350000}"/>
    <cellStyle name="강조색3 19 6" xfId="15301" xr:uid="{00000000-0005-0000-0000-0000FD350000}"/>
    <cellStyle name="강조색3 19 7" xfId="15302" xr:uid="{00000000-0005-0000-0000-0000FE350000}"/>
    <cellStyle name="강조색3 19 8" xfId="15303" xr:uid="{00000000-0005-0000-0000-0000FF350000}"/>
    <cellStyle name="강조색3 19 9" xfId="15304" xr:uid="{00000000-0005-0000-0000-000000360000}"/>
    <cellStyle name="강조색3 2" xfId="1773" xr:uid="{00000000-0005-0000-0000-000001360000}"/>
    <cellStyle name="강조색3 2 10" xfId="15306" xr:uid="{00000000-0005-0000-0000-000002360000}"/>
    <cellStyle name="강조색3 2 11" xfId="15307" xr:uid="{00000000-0005-0000-0000-000003360000}"/>
    <cellStyle name="강조색3 2 12" xfId="15308" xr:uid="{00000000-0005-0000-0000-000004360000}"/>
    <cellStyle name="강조색3 2 13" xfId="15309" xr:uid="{00000000-0005-0000-0000-000005360000}"/>
    <cellStyle name="강조색3 2 14" xfId="15310" xr:uid="{00000000-0005-0000-0000-000006360000}"/>
    <cellStyle name="강조색3 2 15" xfId="15305" xr:uid="{00000000-0005-0000-0000-000007360000}"/>
    <cellStyle name="강조색3 2 16" xfId="27953" xr:uid="{00000000-0005-0000-0000-000008360000}"/>
    <cellStyle name="강조색3 2 2" xfId="1774" xr:uid="{00000000-0005-0000-0000-000009360000}"/>
    <cellStyle name="강조색3 2 2 2" xfId="15311" xr:uid="{00000000-0005-0000-0000-00000A360000}"/>
    <cellStyle name="강조색3 2 3" xfId="15312" xr:uid="{00000000-0005-0000-0000-00000B360000}"/>
    <cellStyle name="강조색3 2 4" xfId="15313" xr:uid="{00000000-0005-0000-0000-00000C360000}"/>
    <cellStyle name="강조색3 2 5" xfId="15314" xr:uid="{00000000-0005-0000-0000-00000D360000}"/>
    <cellStyle name="강조색3 2 6" xfId="15315" xr:uid="{00000000-0005-0000-0000-00000E360000}"/>
    <cellStyle name="강조색3 2 7" xfId="15316" xr:uid="{00000000-0005-0000-0000-00000F360000}"/>
    <cellStyle name="강조색3 2 8" xfId="15317" xr:uid="{00000000-0005-0000-0000-000010360000}"/>
    <cellStyle name="강조색3 2 9" xfId="15318" xr:uid="{00000000-0005-0000-0000-000011360000}"/>
    <cellStyle name="강조색3 20" xfId="1775" xr:uid="{00000000-0005-0000-0000-000012360000}"/>
    <cellStyle name="강조색3 20 10" xfId="15320" xr:uid="{00000000-0005-0000-0000-000013360000}"/>
    <cellStyle name="강조색3 20 11" xfId="15321" xr:uid="{00000000-0005-0000-0000-000014360000}"/>
    <cellStyle name="강조색3 20 12" xfId="15322" xr:uid="{00000000-0005-0000-0000-000015360000}"/>
    <cellStyle name="강조색3 20 13" xfId="15323" xr:uid="{00000000-0005-0000-0000-000016360000}"/>
    <cellStyle name="강조색3 20 14" xfId="15324" xr:uid="{00000000-0005-0000-0000-000017360000}"/>
    <cellStyle name="강조색3 20 15" xfId="15319" xr:uid="{00000000-0005-0000-0000-000018360000}"/>
    <cellStyle name="강조색3 20 2" xfId="1776" xr:uid="{00000000-0005-0000-0000-000019360000}"/>
    <cellStyle name="강조색3 20 2 2" xfId="15325" xr:uid="{00000000-0005-0000-0000-00001A360000}"/>
    <cellStyle name="강조색3 20 3" xfId="15326" xr:uid="{00000000-0005-0000-0000-00001B360000}"/>
    <cellStyle name="강조색3 20 4" xfId="15327" xr:uid="{00000000-0005-0000-0000-00001C360000}"/>
    <cellStyle name="강조색3 20 5" xfId="15328" xr:uid="{00000000-0005-0000-0000-00001D360000}"/>
    <cellStyle name="강조색3 20 6" xfId="15329" xr:uid="{00000000-0005-0000-0000-00001E360000}"/>
    <cellStyle name="강조색3 20 7" xfId="15330" xr:uid="{00000000-0005-0000-0000-00001F360000}"/>
    <cellStyle name="강조색3 20 8" xfId="15331" xr:uid="{00000000-0005-0000-0000-000020360000}"/>
    <cellStyle name="강조색3 20 9" xfId="15332" xr:uid="{00000000-0005-0000-0000-000021360000}"/>
    <cellStyle name="강조색3 21" xfId="1777" xr:uid="{00000000-0005-0000-0000-000022360000}"/>
    <cellStyle name="강조색3 21 10" xfId="15334" xr:uid="{00000000-0005-0000-0000-000023360000}"/>
    <cellStyle name="강조색3 21 11" xfId="15335" xr:uid="{00000000-0005-0000-0000-000024360000}"/>
    <cellStyle name="강조색3 21 12" xfId="15336" xr:uid="{00000000-0005-0000-0000-000025360000}"/>
    <cellStyle name="강조색3 21 13" xfId="15337" xr:uid="{00000000-0005-0000-0000-000026360000}"/>
    <cellStyle name="강조색3 21 14" xfId="15338" xr:uid="{00000000-0005-0000-0000-000027360000}"/>
    <cellStyle name="강조색3 21 15" xfId="15333" xr:uid="{00000000-0005-0000-0000-000028360000}"/>
    <cellStyle name="강조색3 21 2" xfId="1778" xr:uid="{00000000-0005-0000-0000-000029360000}"/>
    <cellStyle name="강조색3 21 2 2" xfId="15339" xr:uid="{00000000-0005-0000-0000-00002A360000}"/>
    <cellStyle name="강조색3 21 3" xfId="15340" xr:uid="{00000000-0005-0000-0000-00002B360000}"/>
    <cellStyle name="강조색3 21 4" xfId="15341" xr:uid="{00000000-0005-0000-0000-00002C360000}"/>
    <cellStyle name="강조색3 21 5" xfId="15342" xr:uid="{00000000-0005-0000-0000-00002D360000}"/>
    <cellStyle name="강조색3 21 6" xfId="15343" xr:uid="{00000000-0005-0000-0000-00002E360000}"/>
    <cellStyle name="강조색3 21 7" xfId="15344" xr:uid="{00000000-0005-0000-0000-00002F360000}"/>
    <cellStyle name="강조색3 21 8" xfId="15345" xr:uid="{00000000-0005-0000-0000-000030360000}"/>
    <cellStyle name="강조색3 21 9" xfId="15346" xr:uid="{00000000-0005-0000-0000-000031360000}"/>
    <cellStyle name="강조색3 22" xfId="1779" xr:uid="{00000000-0005-0000-0000-000032360000}"/>
    <cellStyle name="강조색3 22 10" xfId="15348" xr:uid="{00000000-0005-0000-0000-000033360000}"/>
    <cellStyle name="강조색3 22 11" xfId="15349" xr:uid="{00000000-0005-0000-0000-000034360000}"/>
    <cellStyle name="강조색3 22 12" xfId="15350" xr:uid="{00000000-0005-0000-0000-000035360000}"/>
    <cellStyle name="강조색3 22 13" xfId="15351" xr:uid="{00000000-0005-0000-0000-000036360000}"/>
    <cellStyle name="강조색3 22 14" xfId="15352" xr:uid="{00000000-0005-0000-0000-000037360000}"/>
    <cellStyle name="강조색3 22 15" xfId="15347" xr:uid="{00000000-0005-0000-0000-000038360000}"/>
    <cellStyle name="강조색3 22 2" xfId="1780" xr:uid="{00000000-0005-0000-0000-000039360000}"/>
    <cellStyle name="강조색3 22 2 2" xfId="15353" xr:uid="{00000000-0005-0000-0000-00003A360000}"/>
    <cellStyle name="강조색3 22 3" xfId="15354" xr:uid="{00000000-0005-0000-0000-00003B360000}"/>
    <cellStyle name="강조색3 22 4" xfId="15355" xr:uid="{00000000-0005-0000-0000-00003C360000}"/>
    <cellStyle name="강조색3 22 5" xfId="15356" xr:uid="{00000000-0005-0000-0000-00003D360000}"/>
    <cellStyle name="강조색3 22 6" xfId="15357" xr:uid="{00000000-0005-0000-0000-00003E360000}"/>
    <cellStyle name="강조색3 22 7" xfId="15358" xr:uid="{00000000-0005-0000-0000-00003F360000}"/>
    <cellStyle name="강조색3 22 8" xfId="15359" xr:uid="{00000000-0005-0000-0000-000040360000}"/>
    <cellStyle name="강조색3 22 9" xfId="15360" xr:uid="{00000000-0005-0000-0000-000041360000}"/>
    <cellStyle name="강조색3 23" xfId="1781" xr:uid="{00000000-0005-0000-0000-000042360000}"/>
    <cellStyle name="강조색3 23 10" xfId="15362" xr:uid="{00000000-0005-0000-0000-000043360000}"/>
    <cellStyle name="강조색3 23 11" xfId="15363" xr:uid="{00000000-0005-0000-0000-000044360000}"/>
    <cellStyle name="강조색3 23 12" xfId="15364" xr:uid="{00000000-0005-0000-0000-000045360000}"/>
    <cellStyle name="강조색3 23 13" xfId="15365" xr:uid="{00000000-0005-0000-0000-000046360000}"/>
    <cellStyle name="강조색3 23 14" xfId="15366" xr:uid="{00000000-0005-0000-0000-000047360000}"/>
    <cellStyle name="강조색3 23 15" xfId="15361" xr:uid="{00000000-0005-0000-0000-000048360000}"/>
    <cellStyle name="강조색3 23 2" xfId="1782" xr:uid="{00000000-0005-0000-0000-000049360000}"/>
    <cellStyle name="강조색3 23 2 2" xfId="15367" xr:uid="{00000000-0005-0000-0000-00004A360000}"/>
    <cellStyle name="강조색3 23 3" xfId="15368" xr:uid="{00000000-0005-0000-0000-00004B360000}"/>
    <cellStyle name="강조색3 23 4" xfId="15369" xr:uid="{00000000-0005-0000-0000-00004C360000}"/>
    <cellStyle name="강조색3 23 5" xfId="15370" xr:uid="{00000000-0005-0000-0000-00004D360000}"/>
    <cellStyle name="강조색3 23 6" xfId="15371" xr:uid="{00000000-0005-0000-0000-00004E360000}"/>
    <cellStyle name="강조색3 23 7" xfId="15372" xr:uid="{00000000-0005-0000-0000-00004F360000}"/>
    <cellStyle name="강조색3 23 8" xfId="15373" xr:uid="{00000000-0005-0000-0000-000050360000}"/>
    <cellStyle name="강조색3 23 9" xfId="15374" xr:uid="{00000000-0005-0000-0000-000051360000}"/>
    <cellStyle name="강조색3 24" xfId="1783" xr:uid="{00000000-0005-0000-0000-000052360000}"/>
    <cellStyle name="강조색3 24 10" xfId="15376" xr:uid="{00000000-0005-0000-0000-000053360000}"/>
    <cellStyle name="강조색3 24 11" xfId="15377" xr:uid="{00000000-0005-0000-0000-000054360000}"/>
    <cellStyle name="강조색3 24 12" xfId="15378" xr:uid="{00000000-0005-0000-0000-000055360000}"/>
    <cellStyle name="강조색3 24 13" xfId="15379" xr:uid="{00000000-0005-0000-0000-000056360000}"/>
    <cellStyle name="강조색3 24 14" xfId="15380" xr:uid="{00000000-0005-0000-0000-000057360000}"/>
    <cellStyle name="강조색3 24 15" xfId="15375" xr:uid="{00000000-0005-0000-0000-000058360000}"/>
    <cellStyle name="강조색3 24 2" xfId="1784" xr:uid="{00000000-0005-0000-0000-000059360000}"/>
    <cellStyle name="강조색3 24 2 2" xfId="15381" xr:uid="{00000000-0005-0000-0000-00005A360000}"/>
    <cellStyle name="강조색3 24 3" xfId="15382" xr:uid="{00000000-0005-0000-0000-00005B360000}"/>
    <cellStyle name="강조색3 24 4" xfId="15383" xr:uid="{00000000-0005-0000-0000-00005C360000}"/>
    <cellStyle name="강조색3 24 5" xfId="15384" xr:uid="{00000000-0005-0000-0000-00005D360000}"/>
    <cellStyle name="강조색3 24 6" xfId="15385" xr:uid="{00000000-0005-0000-0000-00005E360000}"/>
    <cellStyle name="강조색3 24 7" xfId="15386" xr:uid="{00000000-0005-0000-0000-00005F360000}"/>
    <cellStyle name="강조색3 24 8" xfId="15387" xr:uid="{00000000-0005-0000-0000-000060360000}"/>
    <cellStyle name="강조색3 24 9" xfId="15388" xr:uid="{00000000-0005-0000-0000-000061360000}"/>
    <cellStyle name="강조색3 25" xfId="1785" xr:uid="{00000000-0005-0000-0000-000062360000}"/>
    <cellStyle name="강조색3 25 10" xfId="15390" xr:uid="{00000000-0005-0000-0000-000063360000}"/>
    <cellStyle name="강조색3 25 11" xfId="15391" xr:uid="{00000000-0005-0000-0000-000064360000}"/>
    <cellStyle name="강조색3 25 12" xfId="15392" xr:uid="{00000000-0005-0000-0000-000065360000}"/>
    <cellStyle name="강조색3 25 13" xfId="15393" xr:uid="{00000000-0005-0000-0000-000066360000}"/>
    <cellStyle name="강조색3 25 14" xfId="15394" xr:uid="{00000000-0005-0000-0000-000067360000}"/>
    <cellStyle name="강조색3 25 15" xfId="15389" xr:uid="{00000000-0005-0000-0000-000068360000}"/>
    <cellStyle name="강조색3 25 2" xfId="1786" xr:uid="{00000000-0005-0000-0000-000069360000}"/>
    <cellStyle name="강조색3 25 2 2" xfId="15395" xr:uid="{00000000-0005-0000-0000-00006A360000}"/>
    <cellStyle name="강조색3 25 3" xfId="15396" xr:uid="{00000000-0005-0000-0000-00006B360000}"/>
    <cellStyle name="강조색3 25 4" xfId="15397" xr:uid="{00000000-0005-0000-0000-00006C360000}"/>
    <cellStyle name="강조색3 25 5" xfId="15398" xr:uid="{00000000-0005-0000-0000-00006D360000}"/>
    <cellStyle name="강조색3 25 6" xfId="15399" xr:uid="{00000000-0005-0000-0000-00006E360000}"/>
    <cellStyle name="강조색3 25 7" xfId="15400" xr:uid="{00000000-0005-0000-0000-00006F360000}"/>
    <cellStyle name="강조색3 25 8" xfId="15401" xr:uid="{00000000-0005-0000-0000-000070360000}"/>
    <cellStyle name="강조색3 25 9" xfId="15402" xr:uid="{00000000-0005-0000-0000-000071360000}"/>
    <cellStyle name="강조색3 26" xfId="1787" xr:uid="{00000000-0005-0000-0000-000072360000}"/>
    <cellStyle name="강조색3 26 10" xfId="15404" xr:uid="{00000000-0005-0000-0000-000073360000}"/>
    <cellStyle name="강조색3 26 11" xfId="15405" xr:uid="{00000000-0005-0000-0000-000074360000}"/>
    <cellStyle name="강조색3 26 12" xfId="15406" xr:uid="{00000000-0005-0000-0000-000075360000}"/>
    <cellStyle name="강조색3 26 13" xfId="15407" xr:uid="{00000000-0005-0000-0000-000076360000}"/>
    <cellStyle name="강조색3 26 14" xfId="15408" xr:uid="{00000000-0005-0000-0000-000077360000}"/>
    <cellStyle name="강조색3 26 15" xfId="15403" xr:uid="{00000000-0005-0000-0000-000078360000}"/>
    <cellStyle name="강조색3 26 2" xfId="1788" xr:uid="{00000000-0005-0000-0000-000079360000}"/>
    <cellStyle name="강조색3 26 2 2" xfId="15409" xr:uid="{00000000-0005-0000-0000-00007A360000}"/>
    <cellStyle name="강조색3 26 3" xfId="15410" xr:uid="{00000000-0005-0000-0000-00007B360000}"/>
    <cellStyle name="강조색3 26 4" xfId="15411" xr:uid="{00000000-0005-0000-0000-00007C360000}"/>
    <cellStyle name="강조색3 26 5" xfId="15412" xr:uid="{00000000-0005-0000-0000-00007D360000}"/>
    <cellStyle name="강조색3 26 6" xfId="15413" xr:uid="{00000000-0005-0000-0000-00007E360000}"/>
    <cellStyle name="강조색3 26 7" xfId="15414" xr:uid="{00000000-0005-0000-0000-00007F360000}"/>
    <cellStyle name="강조색3 26 8" xfId="15415" xr:uid="{00000000-0005-0000-0000-000080360000}"/>
    <cellStyle name="강조색3 26 9" xfId="15416" xr:uid="{00000000-0005-0000-0000-000081360000}"/>
    <cellStyle name="강조색3 27" xfId="1789" xr:uid="{00000000-0005-0000-0000-000082360000}"/>
    <cellStyle name="강조색3 27 10" xfId="15418" xr:uid="{00000000-0005-0000-0000-000083360000}"/>
    <cellStyle name="강조색3 27 11" xfId="15419" xr:uid="{00000000-0005-0000-0000-000084360000}"/>
    <cellStyle name="강조색3 27 12" xfId="15420" xr:uid="{00000000-0005-0000-0000-000085360000}"/>
    <cellStyle name="강조색3 27 13" xfId="15421" xr:uid="{00000000-0005-0000-0000-000086360000}"/>
    <cellStyle name="강조색3 27 14" xfId="15422" xr:uid="{00000000-0005-0000-0000-000087360000}"/>
    <cellStyle name="강조색3 27 15" xfId="15417" xr:uid="{00000000-0005-0000-0000-000088360000}"/>
    <cellStyle name="강조색3 27 2" xfId="1790" xr:uid="{00000000-0005-0000-0000-000089360000}"/>
    <cellStyle name="강조색3 27 2 2" xfId="15423" xr:uid="{00000000-0005-0000-0000-00008A360000}"/>
    <cellStyle name="강조색3 27 3" xfId="15424" xr:uid="{00000000-0005-0000-0000-00008B360000}"/>
    <cellStyle name="강조색3 27 4" xfId="15425" xr:uid="{00000000-0005-0000-0000-00008C360000}"/>
    <cellStyle name="강조색3 27 5" xfId="15426" xr:uid="{00000000-0005-0000-0000-00008D360000}"/>
    <cellStyle name="강조색3 27 6" xfId="15427" xr:uid="{00000000-0005-0000-0000-00008E360000}"/>
    <cellStyle name="강조색3 27 7" xfId="15428" xr:uid="{00000000-0005-0000-0000-00008F360000}"/>
    <cellStyle name="강조색3 27 8" xfId="15429" xr:uid="{00000000-0005-0000-0000-000090360000}"/>
    <cellStyle name="강조색3 27 9" xfId="15430" xr:uid="{00000000-0005-0000-0000-000091360000}"/>
    <cellStyle name="강조색3 28" xfId="1791" xr:uid="{00000000-0005-0000-0000-000092360000}"/>
    <cellStyle name="강조색3 28 10" xfId="15432" xr:uid="{00000000-0005-0000-0000-000093360000}"/>
    <cellStyle name="강조색3 28 11" xfId="15433" xr:uid="{00000000-0005-0000-0000-000094360000}"/>
    <cellStyle name="강조색3 28 12" xfId="15434" xr:uid="{00000000-0005-0000-0000-000095360000}"/>
    <cellStyle name="강조색3 28 13" xfId="15435" xr:uid="{00000000-0005-0000-0000-000096360000}"/>
    <cellStyle name="강조색3 28 14" xfId="15436" xr:uid="{00000000-0005-0000-0000-000097360000}"/>
    <cellStyle name="강조색3 28 15" xfId="15431" xr:uid="{00000000-0005-0000-0000-000098360000}"/>
    <cellStyle name="강조색3 28 2" xfId="1792" xr:uid="{00000000-0005-0000-0000-000099360000}"/>
    <cellStyle name="강조색3 28 2 2" xfId="15437" xr:uid="{00000000-0005-0000-0000-00009A360000}"/>
    <cellStyle name="강조색3 28 3" xfId="15438" xr:uid="{00000000-0005-0000-0000-00009B360000}"/>
    <cellStyle name="강조색3 28 4" xfId="15439" xr:uid="{00000000-0005-0000-0000-00009C360000}"/>
    <cellStyle name="강조색3 28 5" xfId="15440" xr:uid="{00000000-0005-0000-0000-00009D360000}"/>
    <cellStyle name="강조색3 28 6" xfId="15441" xr:uid="{00000000-0005-0000-0000-00009E360000}"/>
    <cellStyle name="강조색3 28 7" xfId="15442" xr:uid="{00000000-0005-0000-0000-00009F360000}"/>
    <cellStyle name="강조색3 28 8" xfId="15443" xr:uid="{00000000-0005-0000-0000-0000A0360000}"/>
    <cellStyle name="강조색3 28 9" xfId="15444" xr:uid="{00000000-0005-0000-0000-0000A1360000}"/>
    <cellStyle name="강조색3 29" xfId="1793" xr:uid="{00000000-0005-0000-0000-0000A2360000}"/>
    <cellStyle name="강조색3 29 10" xfId="15446" xr:uid="{00000000-0005-0000-0000-0000A3360000}"/>
    <cellStyle name="강조색3 29 11" xfId="15447" xr:uid="{00000000-0005-0000-0000-0000A4360000}"/>
    <cellStyle name="강조색3 29 12" xfId="15448" xr:uid="{00000000-0005-0000-0000-0000A5360000}"/>
    <cellStyle name="강조색3 29 13" xfId="15449" xr:uid="{00000000-0005-0000-0000-0000A6360000}"/>
    <cellStyle name="강조색3 29 14" xfId="15450" xr:uid="{00000000-0005-0000-0000-0000A7360000}"/>
    <cellStyle name="강조색3 29 15" xfId="15445" xr:uid="{00000000-0005-0000-0000-0000A8360000}"/>
    <cellStyle name="강조색3 29 2" xfId="1794" xr:uid="{00000000-0005-0000-0000-0000A9360000}"/>
    <cellStyle name="강조색3 29 2 2" xfId="15451" xr:uid="{00000000-0005-0000-0000-0000AA360000}"/>
    <cellStyle name="강조색3 29 3" xfId="15452" xr:uid="{00000000-0005-0000-0000-0000AB360000}"/>
    <cellStyle name="강조색3 29 4" xfId="15453" xr:uid="{00000000-0005-0000-0000-0000AC360000}"/>
    <cellStyle name="강조색3 29 5" xfId="15454" xr:uid="{00000000-0005-0000-0000-0000AD360000}"/>
    <cellStyle name="강조색3 29 6" xfId="15455" xr:uid="{00000000-0005-0000-0000-0000AE360000}"/>
    <cellStyle name="강조색3 29 7" xfId="15456" xr:uid="{00000000-0005-0000-0000-0000AF360000}"/>
    <cellStyle name="강조색3 29 8" xfId="15457" xr:uid="{00000000-0005-0000-0000-0000B0360000}"/>
    <cellStyle name="강조색3 29 9" xfId="15458" xr:uid="{00000000-0005-0000-0000-0000B1360000}"/>
    <cellStyle name="강조색3 3" xfId="1795" xr:uid="{00000000-0005-0000-0000-0000B2360000}"/>
    <cellStyle name="강조색3 3 10" xfId="15460" xr:uid="{00000000-0005-0000-0000-0000B3360000}"/>
    <cellStyle name="강조색3 3 11" xfId="15461" xr:uid="{00000000-0005-0000-0000-0000B4360000}"/>
    <cellStyle name="강조색3 3 12" xfId="15462" xr:uid="{00000000-0005-0000-0000-0000B5360000}"/>
    <cellStyle name="강조색3 3 13" xfId="15463" xr:uid="{00000000-0005-0000-0000-0000B6360000}"/>
    <cellStyle name="강조색3 3 14" xfId="15464" xr:uid="{00000000-0005-0000-0000-0000B7360000}"/>
    <cellStyle name="강조색3 3 15" xfId="15459" xr:uid="{00000000-0005-0000-0000-0000B8360000}"/>
    <cellStyle name="강조색3 3 16" xfId="28209" xr:uid="{00000000-0005-0000-0000-0000B9360000}"/>
    <cellStyle name="강조색3 3 2" xfId="1796" xr:uid="{00000000-0005-0000-0000-0000BA360000}"/>
    <cellStyle name="강조색3 3 2 2" xfId="15465" xr:uid="{00000000-0005-0000-0000-0000BB360000}"/>
    <cellStyle name="강조색3 3 3" xfId="15466" xr:uid="{00000000-0005-0000-0000-0000BC360000}"/>
    <cellStyle name="강조색3 3 4" xfId="15467" xr:uid="{00000000-0005-0000-0000-0000BD360000}"/>
    <cellStyle name="강조색3 3 5" xfId="15468" xr:uid="{00000000-0005-0000-0000-0000BE360000}"/>
    <cellStyle name="강조색3 3 6" xfId="15469" xr:uid="{00000000-0005-0000-0000-0000BF360000}"/>
    <cellStyle name="강조색3 3 7" xfId="15470" xr:uid="{00000000-0005-0000-0000-0000C0360000}"/>
    <cellStyle name="강조색3 3 8" xfId="15471" xr:uid="{00000000-0005-0000-0000-0000C1360000}"/>
    <cellStyle name="강조색3 3 9" xfId="15472" xr:uid="{00000000-0005-0000-0000-0000C2360000}"/>
    <cellStyle name="강조색3 30" xfId="1797" xr:uid="{00000000-0005-0000-0000-0000C3360000}"/>
    <cellStyle name="강조색3 30 10" xfId="15474" xr:uid="{00000000-0005-0000-0000-0000C4360000}"/>
    <cellStyle name="강조색3 30 11" xfId="15475" xr:uid="{00000000-0005-0000-0000-0000C5360000}"/>
    <cellStyle name="강조색3 30 12" xfId="15476" xr:uid="{00000000-0005-0000-0000-0000C6360000}"/>
    <cellStyle name="강조색3 30 13" xfId="15477" xr:uid="{00000000-0005-0000-0000-0000C7360000}"/>
    <cellStyle name="강조색3 30 14" xfId="15478" xr:uid="{00000000-0005-0000-0000-0000C8360000}"/>
    <cellStyle name="강조색3 30 15" xfId="15473" xr:uid="{00000000-0005-0000-0000-0000C9360000}"/>
    <cellStyle name="강조색3 30 2" xfId="1798" xr:uid="{00000000-0005-0000-0000-0000CA360000}"/>
    <cellStyle name="강조색3 30 2 2" xfId="15479" xr:uid="{00000000-0005-0000-0000-0000CB360000}"/>
    <cellStyle name="강조색3 30 3" xfId="15480" xr:uid="{00000000-0005-0000-0000-0000CC360000}"/>
    <cellStyle name="강조색3 30 4" xfId="15481" xr:uid="{00000000-0005-0000-0000-0000CD360000}"/>
    <cellStyle name="강조색3 30 5" xfId="15482" xr:uid="{00000000-0005-0000-0000-0000CE360000}"/>
    <cellStyle name="강조색3 30 6" xfId="15483" xr:uid="{00000000-0005-0000-0000-0000CF360000}"/>
    <cellStyle name="강조색3 30 7" xfId="15484" xr:uid="{00000000-0005-0000-0000-0000D0360000}"/>
    <cellStyle name="강조색3 30 8" xfId="15485" xr:uid="{00000000-0005-0000-0000-0000D1360000}"/>
    <cellStyle name="강조색3 30 9" xfId="15486" xr:uid="{00000000-0005-0000-0000-0000D2360000}"/>
    <cellStyle name="강조색3 31" xfId="1799" xr:uid="{00000000-0005-0000-0000-0000D3360000}"/>
    <cellStyle name="강조색3 31 10" xfId="15488" xr:uid="{00000000-0005-0000-0000-0000D4360000}"/>
    <cellStyle name="강조색3 31 11" xfId="15489" xr:uid="{00000000-0005-0000-0000-0000D5360000}"/>
    <cellStyle name="강조색3 31 12" xfId="15490" xr:uid="{00000000-0005-0000-0000-0000D6360000}"/>
    <cellStyle name="강조색3 31 13" xfId="15491" xr:uid="{00000000-0005-0000-0000-0000D7360000}"/>
    <cellStyle name="강조색3 31 14" xfId="15492" xr:uid="{00000000-0005-0000-0000-0000D8360000}"/>
    <cellStyle name="강조색3 31 15" xfId="15487" xr:uid="{00000000-0005-0000-0000-0000D9360000}"/>
    <cellStyle name="강조색3 31 2" xfId="1800" xr:uid="{00000000-0005-0000-0000-0000DA360000}"/>
    <cellStyle name="강조색3 31 2 2" xfId="15493" xr:uid="{00000000-0005-0000-0000-0000DB360000}"/>
    <cellStyle name="강조색3 31 3" xfId="15494" xr:uid="{00000000-0005-0000-0000-0000DC360000}"/>
    <cellStyle name="강조색3 31 4" xfId="15495" xr:uid="{00000000-0005-0000-0000-0000DD360000}"/>
    <cellStyle name="강조색3 31 5" xfId="15496" xr:uid="{00000000-0005-0000-0000-0000DE360000}"/>
    <cellStyle name="강조색3 31 6" xfId="15497" xr:uid="{00000000-0005-0000-0000-0000DF360000}"/>
    <cellStyle name="강조색3 31 7" xfId="15498" xr:uid="{00000000-0005-0000-0000-0000E0360000}"/>
    <cellStyle name="강조색3 31 8" xfId="15499" xr:uid="{00000000-0005-0000-0000-0000E1360000}"/>
    <cellStyle name="강조색3 31 9" xfId="15500" xr:uid="{00000000-0005-0000-0000-0000E2360000}"/>
    <cellStyle name="강조색3 32" xfId="1801" xr:uid="{00000000-0005-0000-0000-0000E3360000}"/>
    <cellStyle name="강조색3 32 10" xfId="15502" xr:uid="{00000000-0005-0000-0000-0000E4360000}"/>
    <cellStyle name="강조색3 32 11" xfId="15503" xr:uid="{00000000-0005-0000-0000-0000E5360000}"/>
    <cellStyle name="강조색3 32 12" xfId="15504" xr:uid="{00000000-0005-0000-0000-0000E6360000}"/>
    <cellStyle name="강조색3 32 13" xfId="15505" xr:uid="{00000000-0005-0000-0000-0000E7360000}"/>
    <cellStyle name="강조색3 32 14" xfId="15506" xr:uid="{00000000-0005-0000-0000-0000E8360000}"/>
    <cellStyle name="강조색3 32 15" xfId="15501" xr:uid="{00000000-0005-0000-0000-0000E9360000}"/>
    <cellStyle name="강조색3 32 2" xfId="1802" xr:uid="{00000000-0005-0000-0000-0000EA360000}"/>
    <cellStyle name="강조색3 32 2 2" xfId="15507" xr:uid="{00000000-0005-0000-0000-0000EB360000}"/>
    <cellStyle name="강조색3 32 3" xfId="15508" xr:uid="{00000000-0005-0000-0000-0000EC360000}"/>
    <cellStyle name="강조색3 32 4" xfId="15509" xr:uid="{00000000-0005-0000-0000-0000ED360000}"/>
    <cellStyle name="강조색3 32 5" xfId="15510" xr:uid="{00000000-0005-0000-0000-0000EE360000}"/>
    <cellStyle name="강조색3 32 6" xfId="15511" xr:uid="{00000000-0005-0000-0000-0000EF360000}"/>
    <cellStyle name="강조색3 32 7" xfId="15512" xr:uid="{00000000-0005-0000-0000-0000F0360000}"/>
    <cellStyle name="강조색3 32 8" xfId="15513" xr:uid="{00000000-0005-0000-0000-0000F1360000}"/>
    <cellStyle name="강조색3 32 9" xfId="15514" xr:uid="{00000000-0005-0000-0000-0000F2360000}"/>
    <cellStyle name="강조색3 33" xfId="1803" xr:uid="{00000000-0005-0000-0000-0000F3360000}"/>
    <cellStyle name="강조색3 33 10" xfId="15516" xr:uid="{00000000-0005-0000-0000-0000F4360000}"/>
    <cellStyle name="강조색3 33 11" xfId="15517" xr:uid="{00000000-0005-0000-0000-0000F5360000}"/>
    <cellStyle name="강조색3 33 12" xfId="15518" xr:uid="{00000000-0005-0000-0000-0000F6360000}"/>
    <cellStyle name="강조색3 33 13" xfId="15519" xr:uid="{00000000-0005-0000-0000-0000F7360000}"/>
    <cellStyle name="강조색3 33 14" xfId="15520" xr:uid="{00000000-0005-0000-0000-0000F8360000}"/>
    <cellStyle name="강조색3 33 15" xfId="15515" xr:uid="{00000000-0005-0000-0000-0000F9360000}"/>
    <cellStyle name="강조색3 33 2" xfId="1804" xr:uid="{00000000-0005-0000-0000-0000FA360000}"/>
    <cellStyle name="강조색3 33 2 2" xfId="15521" xr:uid="{00000000-0005-0000-0000-0000FB360000}"/>
    <cellStyle name="강조색3 33 3" xfId="15522" xr:uid="{00000000-0005-0000-0000-0000FC360000}"/>
    <cellStyle name="강조색3 33 4" xfId="15523" xr:uid="{00000000-0005-0000-0000-0000FD360000}"/>
    <cellStyle name="강조색3 33 5" xfId="15524" xr:uid="{00000000-0005-0000-0000-0000FE360000}"/>
    <cellStyle name="강조색3 33 6" xfId="15525" xr:uid="{00000000-0005-0000-0000-0000FF360000}"/>
    <cellStyle name="강조색3 33 7" xfId="15526" xr:uid="{00000000-0005-0000-0000-000000370000}"/>
    <cellStyle name="강조색3 33 8" xfId="15527" xr:uid="{00000000-0005-0000-0000-000001370000}"/>
    <cellStyle name="강조색3 33 9" xfId="15528" xr:uid="{00000000-0005-0000-0000-000002370000}"/>
    <cellStyle name="강조색3 34" xfId="1805" xr:uid="{00000000-0005-0000-0000-000003370000}"/>
    <cellStyle name="강조색3 34 10" xfId="15530" xr:uid="{00000000-0005-0000-0000-000004370000}"/>
    <cellStyle name="강조색3 34 11" xfId="15531" xr:uid="{00000000-0005-0000-0000-000005370000}"/>
    <cellStyle name="강조색3 34 12" xfId="15532" xr:uid="{00000000-0005-0000-0000-000006370000}"/>
    <cellStyle name="강조색3 34 13" xfId="15533" xr:uid="{00000000-0005-0000-0000-000007370000}"/>
    <cellStyle name="강조색3 34 14" xfId="15534" xr:uid="{00000000-0005-0000-0000-000008370000}"/>
    <cellStyle name="강조색3 34 15" xfId="15529" xr:uid="{00000000-0005-0000-0000-000009370000}"/>
    <cellStyle name="강조색3 34 2" xfId="1806" xr:uid="{00000000-0005-0000-0000-00000A370000}"/>
    <cellStyle name="강조색3 34 2 2" xfId="15535" xr:uid="{00000000-0005-0000-0000-00000B370000}"/>
    <cellStyle name="강조색3 34 3" xfId="15536" xr:uid="{00000000-0005-0000-0000-00000C370000}"/>
    <cellStyle name="강조색3 34 4" xfId="15537" xr:uid="{00000000-0005-0000-0000-00000D370000}"/>
    <cellStyle name="강조색3 34 5" xfId="15538" xr:uid="{00000000-0005-0000-0000-00000E370000}"/>
    <cellStyle name="강조색3 34 6" xfId="15539" xr:uid="{00000000-0005-0000-0000-00000F370000}"/>
    <cellStyle name="강조색3 34 7" xfId="15540" xr:uid="{00000000-0005-0000-0000-000010370000}"/>
    <cellStyle name="강조색3 34 8" xfId="15541" xr:uid="{00000000-0005-0000-0000-000011370000}"/>
    <cellStyle name="강조색3 34 9" xfId="15542" xr:uid="{00000000-0005-0000-0000-000012370000}"/>
    <cellStyle name="강조색3 35" xfId="1807" xr:uid="{00000000-0005-0000-0000-000013370000}"/>
    <cellStyle name="강조색3 35 10" xfId="15544" xr:uid="{00000000-0005-0000-0000-000014370000}"/>
    <cellStyle name="강조색3 35 11" xfId="15545" xr:uid="{00000000-0005-0000-0000-000015370000}"/>
    <cellStyle name="강조색3 35 12" xfId="15546" xr:uid="{00000000-0005-0000-0000-000016370000}"/>
    <cellStyle name="강조색3 35 13" xfId="15547" xr:uid="{00000000-0005-0000-0000-000017370000}"/>
    <cellStyle name="강조색3 35 14" xfId="15548" xr:uid="{00000000-0005-0000-0000-000018370000}"/>
    <cellStyle name="강조색3 35 15" xfId="15543" xr:uid="{00000000-0005-0000-0000-000019370000}"/>
    <cellStyle name="강조색3 35 2" xfId="1808" xr:uid="{00000000-0005-0000-0000-00001A370000}"/>
    <cellStyle name="강조색3 35 2 2" xfId="15549" xr:uid="{00000000-0005-0000-0000-00001B370000}"/>
    <cellStyle name="강조색3 35 3" xfId="15550" xr:uid="{00000000-0005-0000-0000-00001C370000}"/>
    <cellStyle name="강조색3 35 4" xfId="15551" xr:uid="{00000000-0005-0000-0000-00001D370000}"/>
    <cellStyle name="강조색3 35 5" xfId="15552" xr:uid="{00000000-0005-0000-0000-00001E370000}"/>
    <cellStyle name="강조색3 35 6" xfId="15553" xr:uid="{00000000-0005-0000-0000-00001F370000}"/>
    <cellStyle name="강조색3 35 7" xfId="15554" xr:uid="{00000000-0005-0000-0000-000020370000}"/>
    <cellStyle name="강조색3 35 8" xfId="15555" xr:uid="{00000000-0005-0000-0000-000021370000}"/>
    <cellStyle name="강조색3 35 9" xfId="15556" xr:uid="{00000000-0005-0000-0000-000022370000}"/>
    <cellStyle name="강조색3 36" xfId="1809" xr:uid="{00000000-0005-0000-0000-000023370000}"/>
    <cellStyle name="강조색3 36 10" xfId="15558" xr:uid="{00000000-0005-0000-0000-000024370000}"/>
    <cellStyle name="강조색3 36 11" xfId="15559" xr:uid="{00000000-0005-0000-0000-000025370000}"/>
    <cellStyle name="강조색3 36 12" xfId="15560" xr:uid="{00000000-0005-0000-0000-000026370000}"/>
    <cellStyle name="강조색3 36 13" xfId="15561" xr:uid="{00000000-0005-0000-0000-000027370000}"/>
    <cellStyle name="강조색3 36 14" xfId="15562" xr:uid="{00000000-0005-0000-0000-000028370000}"/>
    <cellStyle name="강조색3 36 15" xfId="15557" xr:uid="{00000000-0005-0000-0000-000029370000}"/>
    <cellStyle name="강조색3 36 2" xfId="1810" xr:uid="{00000000-0005-0000-0000-00002A370000}"/>
    <cellStyle name="강조색3 36 2 2" xfId="15563" xr:uid="{00000000-0005-0000-0000-00002B370000}"/>
    <cellStyle name="강조색3 36 3" xfId="15564" xr:uid="{00000000-0005-0000-0000-00002C370000}"/>
    <cellStyle name="강조색3 36 4" xfId="15565" xr:uid="{00000000-0005-0000-0000-00002D370000}"/>
    <cellStyle name="강조색3 36 5" xfId="15566" xr:uid="{00000000-0005-0000-0000-00002E370000}"/>
    <cellStyle name="강조색3 36 6" xfId="15567" xr:uid="{00000000-0005-0000-0000-00002F370000}"/>
    <cellStyle name="강조색3 36 7" xfId="15568" xr:uid="{00000000-0005-0000-0000-000030370000}"/>
    <cellStyle name="강조색3 36 8" xfId="15569" xr:uid="{00000000-0005-0000-0000-000031370000}"/>
    <cellStyle name="강조색3 36 9" xfId="15570" xr:uid="{00000000-0005-0000-0000-000032370000}"/>
    <cellStyle name="강조색3 37" xfId="1811" xr:uid="{00000000-0005-0000-0000-000033370000}"/>
    <cellStyle name="강조색3 37 10" xfId="15572" xr:uid="{00000000-0005-0000-0000-000034370000}"/>
    <cellStyle name="강조색3 37 11" xfId="15573" xr:uid="{00000000-0005-0000-0000-000035370000}"/>
    <cellStyle name="강조색3 37 12" xfId="15574" xr:uid="{00000000-0005-0000-0000-000036370000}"/>
    <cellStyle name="강조색3 37 13" xfId="15575" xr:uid="{00000000-0005-0000-0000-000037370000}"/>
    <cellStyle name="강조색3 37 14" xfId="15576" xr:uid="{00000000-0005-0000-0000-000038370000}"/>
    <cellStyle name="강조색3 37 15" xfId="15571" xr:uid="{00000000-0005-0000-0000-000039370000}"/>
    <cellStyle name="강조색3 37 2" xfId="1812" xr:uid="{00000000-0005-0000-0000-00003A370000}"/>
    <cellStyle name="강조색3 37 2 2" xfId="15577" xr:uid="{00000000-0005-0000-0000-00003B370000}"/>
    <cellStyle name="강조색3 37 3" xfId="15578" xr:uid="{00000000-0005-0000-0000-00003C370000}"/>
    <cellStyle name="강조색3 37 4" xfId="15579" xr:uid="{00000000-0005-0000-0000-00003D370000}"/>
    <cellStyle name="강조색3 37 5" xfId="15580" xr:uid="{00000000-0005-0000-0000-00003E370000}"/>
    <cellStyle name="강조색3 37 6" xfId="15581" xr:uid="{00000000-0005-0000-0000-00003F370000}"/>
    <cellStyle name="강조색3 37 7" xfId="15582" xr:uid="{00000000-0005-0000-0000-000040370000}"/>
    <cellStyle name="강조색3 37 8" xfId="15583" xr:uid="{00000000-0005-0000-0000-000041370000}"/>
    <cellStyle name="강조색3 37 9" xfId="15584" xr:uid="{00000000-0005-0000-0000-000042370000}"/>
    <cellStyle name="강조색3 38" xfId="1813" xr:uid="{00000000-0005-0000-0000-000043370000}"/>
    <cellStyle name="강조색3 38 10" xfId="15586" xr:uid="{00000000-0005-0000-0000-000044370000}"/>
    <cellStyle name="강조색3 38 11" xfId="15587" xr:uid="{00000000-0005-0000-0000-000045370000}"/>
    <cellStyle name="강조색3 38 12" xfId="15588" xr:uid="{00000000-0005-0000-0000-000046370000}"/>
    <cellStyle name="강조색3 38 13" xfId="15589" xr:uid="{00000000-0005-0000-0000-000047370000}"/>
    <cellStyle name="강조색3 38 14" xfId="15590" xr:uid="{00000000-0005-0000-0000-000048370000}"/>
    <cellStyle name="강조색3 38 15" xfId="15585" xr:uid="{00000000-0005-0000-0000-000049370000}"/>
    <cellStyle name="강조색3 38 2" xfId="1814" xr:uid="{00000000-0005-0000-0000-00004A370000}"/>
    <cellStyle name="강조색3 38 2 2" xfId="15591" xr:uid="{00000000-0005-0000-0000-00004B370000}"/>
    <cellStyle name="강조색3 38 3" xfId="15592" xr:uid="{00000000-0005-0000-0000-00004C370000}"/>
    <cellStyle name="강조색3 38 4" xfId="15593" xr:uid="{00000000-0005-0000-0000-00004D370000}"/>
    <cellStyle name="강조색3 38 5" xfId="15594" xr:uid="{00000000-0005-0000-0000-00004E370000}"/>
    <cellStyle name="강조색3 38 6" xfId="15595" xr:uid="{00000000-0005-0000-0000-00004F370000}"/>
    <cellStyle name="강조색3 38 7" xfId="15596" xr:uid="{00000000-0005-0000-0000-000050370000}"/>
    <cellStyle name="강조색3 38 8" xfId="15597" xr:uid="{00000000-0005-0000-0000-000051370000}"/>
    <cellStyle name="강조색3 38 9" xfId="15598" xr:uid="{00000000-0005-0000-0000-000052370000}"/>
    <cellStyle name="강조색3 39" xfId="1815" xr:uid="{00000000-0005-0000-0000-000053370000}"/>
    <cellStyle name="강조색3 39 10" xfId="15600" xr:uid="{00000000-0005-0000-0000-000054370000}"/>
    <cellStyle name="강조색3 39 11" xfId="15601" xr:uid="{00000000-0005-0000-0000-000055370000}"/>
    <cellStyle name="강조색3 39 12" xfId="15602" xr:uid="{00000000-0005-0000-0000-000056370000}"/>
    <cellStyle name="강조색3 39 13" xfId="15603" xr:uid="{00000000-0005-0000-0000-000057370000}"/>
    <cellStyle name="강조색3 39 14" xfId="15604" xr:uid="{00000000-0005-0000-0000-000058370000}"/>
    <cellStyle name="강조색3 39 15" xfId="15599" xr:uid="{00000000-0005-0000-0000-000059370000}"/>
    <cellStyle name="강조색3 39 2" xfId="1816" xr:uid="{00000000-0005-0000-0000-00005A370000}"/>
    <cellStyle name="강조색3 39 2 2" xfId="15605" xr:uid="{00000000-0005-0000-0000-00005B370000}"/>
    <cellStyle name="강조색3 39 3" xfId="15606" xr:uid="{00000000-0005-0000-0000-00005C370000}"/>
    <cellStyle name="강조색3 39 4" xfId="15607" xr:uid="{00000000-0005-0000-0000-00005D370000}"/>
    <cellStyle name="강조색3 39 5" xfId="15608" xr:uid="{00000000-0005-0000-0000-00005E370000}"/>
    <cellStyle name="강조색3 39 6" xfId="15609" xr:uid="{00000000-0005-0000-0000-00005F370000}"/>
    <cellStyle name="강조색3 39 7" xfId="15610" xr:uid="{00000000-0005-0000-0000-000060370000}"/>
    <cellStyle name="강조색3 39 8" xfId="15611" xr:uid="{00000000-0005-0000-0000-000061370000}"/>
    <cellStyle name="강조색3 39 9" xfId="15612" xr:uid="{00000000-0005-0000-0000-000062370000}"/>
    <cellStyle name="강조색3 4" xfId="1817" xr:uid="{00000000-0005-0000-0000-000063370000}"/>
    <cellStyle name="강조색3 4 10" xfId="15614" xr:uid="{00000000-0005-0000-0000-000064370000}"/>
    <cellStyle name="강조색3 4 11" xfId="15615" xr:uid="{00000000-0005-0000-0000-000065370000}"/>
    <cellStyle name="강조색3 4 12" xfId="15616" xr:uid="{00000000-0005-0000-0000-000066370000}"/>
    <cellStyle name="강조색3 4 13" xfId="15617" xr:uid="{00000000-0005-0000-0000-000067370000}"/>
    <cellStyle name="강조색3 4 14" xfId="15618" xr:uid="{00000000-0005-0000-0000-000068370000}"/>
    <cellStyle name="강조색3 4 15" xfId="15613" xr:uid="{00000000-0005-0000-0000-000069370000}"/>
    <cellStyle name="강조색3 4 16" xfId="27871" xr:uid="{00000000-0005-0000-0000-00006A370000}"/>
    <cellStyle name="강조색3 4 2" xfId="1818" xr:uid="{00000000-0005-0000-0000-00006B370000}"/>
    <cellStyle name="강조색3 4 2 2" xfId="15619" xr:uid="{00000000-0005-0000-0000-00006C370000}"/>
    <cellStyle name="강조색3 4 3" xfId="15620" xr:uid="{00000000-0005-0000-0000-00006D370000}"/>
    <cellStyle name="강조색3 4 4" xfId="15621" xr:uid="{00000000-0005-0000-0000-00006E370000}"/>
    <cellStyle name="강조색3 4 5" xfId="15622" xr:uid="{00000000-0005-0000-0000-00006F370000}"/>
    <cellStyle name="강조색3 4 6" xfId="15623" xr:uid="{00000000-0005-0000-0000-000070370000}"/>
    <cellStyle name="강조색3 4 7" xfId="15624" xr:uid="{00000000-0005-0000-0000-000071370000}"/>
    <cellStyle name="강조색3 4 8" xfId="15625" xr:uid="{00000000-0005-0000-0000-000072370000}"/>
    <cellStyle name="강조색3 4 9" xfId="15626" xr:uid="{00000000-0005-0000-0000-000073370000}"/>
    <cellStyle name="강조색3 40" xfId="1819" xr:uid="{00000000-0005-0000-0000-000074370000}"/>
    <cellStyle name="강조색3 40 10" xfId="15628" xr:uid="{00000000-0005-0000-0000-000075370000}"/>
    <cellStyle name="강조색3 40 11" xfId="15629" xr:uid="{00000000-0005-0000-0000-000076370000}"/>
    <cellStyle name="강조색3 40 12" xfId="15630" xr:uid="{00000000-0005-0000-0000-000077370000}"/>
    <cellStyle name="강조색3 40 13" xfId="15631" xr:uid="{00000000-0005-0000-0000-000078370000}"/>
    <cellStyle name="강조색3 40 14" xfId="15632" xr:uid="{00000000-0005-0000-0000-000079370000}"/>
    <cellStyle name="강조색3 40 15" xfId="15627" xr:uid="{00000000-0005-0000-0000-00007A370000}"/>
    <cellStyle name="강조색3 40 2" xfId="1820" xr:uid="{00000000-0005-0000-0000-00007B370000}"/>
    <cellStyle name="강조색3 40 2 2" xfId="15633" xr:uid="{00000000-0005-0000-0000-00007C370000}"/>
    <cellStyle name="강조색3 40 3" xfId="15634" xr:uid="{00000000-0005-0000-0000-00007D370000}"/>
    <cellStyle name="강조색3 40 4" xfId="15635" xr:uid="{00000000-0005-0000-0000-00007E370000}"/>
    <cellStyle name="강조색3 40 5" xfId="15636" xr:uid="{00000000-0005-0000-0000-00007F370000}"/>
    <cellStyle name="강조색3 40 6" xfId="15637" xr:uid="{00000000-0005-0000-0000-000080370000}"/>
    <cellStyle name="강조색3 40 7" xfId="15638" xr:uid="{00000000-0005-0000-0000-000081370000}"/>
    <cellStyle name="강조색3 40 8" xfId="15639" xr:uid="{00000000-0005-0000-0000-000082370000}"/>
    <cellStyle name="강조색3 40 9" xfId="15640" xr:uid="{00000000-0005-0000-0000-000083370000}"/>
    <cellStyle name="강조색3 41" xfId="1821" xr:uid="{00000000-0005-0000-0000-000084370000}"/>
    <cellStyle name="강조색3 41 10" xfId="15642" xr:uid="{00000000-0005-0000-0000-000085370000}"/>
    <cellStyle name="강조색3 41 11" xfId="15643" xr:uid="{00000000-0005-0000-0000-000086370000}"/>
    <cellStyle name="강조색3 41 12" xfId="15644" xr:uid="{00000000-0005-0000-0000-000087370000}"/>
    <cellStyle name="강조색3 41 13" xfId="15645" xr:uid="{00000000-0005-0000-0000-000088370000}"/>
    <cellStyle name="강조색3 41 14" xfId="15646" xr:uid="{00000000-0005-0000-0000-000089370000}"/>
    <cellStyle name="강조색3 41 15" xfId="15641" xr:uid="{00000000-0005-0000-0000-00008A370000}"/>
    <cellStyle name="강조색3 41 2" xfId="1822" xr:uid="{00000000-0005-0000-0000-00008B370000}"/>
    <cellStyle name="강조색3 41 2 2" xfId="15647" xr:uid="{00000000-0005-0000-0000-00008C370000}"/>
    <cellStyle name="강조색3 41 3" xfId="15648" xr:uid="{00000000-0005-0000-0000-00008D370000}"/>
    <cellStyle name="강조색3 41 4" xfId="15649" xr:uid="{00000000-0005-0000-0000-00008E370000}"/>
    <cellStyle name="강조색3 41 5" xfId="15650" xr:uid="{00000000-0005-0000-0000-00008F370000}"/>
    <cellStyle name="강조색3 41 6" xfId="15651" xr:uid="{00000000-0005-0000-0000-000090370000}"/>
    <cellStyle name="강조색3 41 7" xfId="15652" xr:uid="{00000000-0005-0000-0000-000091370000}"/>
    <cellStyle name="강조색3 41 8" xfId="15653" xr:uid="{00000000-0005-0000-0000-000092370000}"/>
    <cellStyle name="강조색3 41 9" xfId="15654" xr:uid="{00000000-0005-0000-0000-000093370000}"/>
    <cellStyle name="강조색3 42" xfId="1823" xr:uid="{00000000-0005-0000-0000-000094370000}"/>
    <cellStyle name="강조색3 42 10" xfId="15656" xr:uid="{00000000-0005-0000-0000-000095370000}"/>
    <cellStyle name="강조색3 42 11" xfId="15657" xr:uid="{00000000-0005-0000-0000-000096370000}"/>
    <cellStyle name="강조색3 42 12" xfId="15658" xr:uid="{00000000-0005-0000-0000-000097370000}"/>
    <cellStyle name="강조색3 42 13" xfId="15659" xr:uid="{00000000-0005-0000-0000-000098370000}"/>
    <cellStyle name="강조색3 42 14" xfId="15660" xr:uid="{00000000-0005-0000-0000-000099370000}"/>
    <cellStyle name="강조색3 42 15" xfId="15655" xr:uid="{00000000-0005-0000-0000-00009A370000}"/>
    <cellStyle name="강조색3 42 2" xfId="1824" xr:uid="{00000000-0005-0000-0000-00009B370000}"/>
    <cellStyle name="강조색3 42 2 2" xfId="15661" xr:uid="{00000000-0005-0000-0000-00009C370000}"/>
    <cellStyle name="강조색3 42 3" xfId="15662" xr:uid="{00000000-0005-0000-0000-00009D370000}"/>
    <cellStyle name="강조색3 42 4" xfId="15663" xr:uid="{00000000-0005-0000-0000-00009E370000}"/>
    <cellStyle name="강조색3 42 5" xfId="15664" xr:uid="{00000000-0005-0000-0000-00009F370000}"/>
    <cellStyle name="강조색3 42 6" xfId="15665" xr:uid="{00000000-0005-0000-0000-0000A0370000}"/>
    <cellStyle name="강조색3 42 7" xfId="15666" xr:uid="{00000000-0005-0000-0000-0000A1370000}"/>
    <cellStyle name="강조색3 42 8" xfId="15667" xr:uid="{00000000-0005-0000-0000-0000A2370000}"/>
    <cellStyle name="강조색3 42 9" xfId="15668" xr:uid="{00000000-0005-0000-0000-0000A3370000}"/>
    <cellStyle name="강조색3 43" xfId="1825" xr:uid="{00000000-0005-0000-0000-0000A4370000}"/>
    <cellStyle name="강조색3 43 10" xfId="15670" xr:uid="{00000000-0005-0000-0000-0000A5370000}"/>
    <cellStyle name="강조색3 43 11" xfId="15671" xr:uid="{00000000-0005-0000-0000-0000A6370000}"/>
    <cellStyle name="강조색3 43 12" xfId="15672" xr:uid="{00000000-0005-0000-0000-0000A7370000}"/>
    <cellStyle name="강조색3 43 13" xfId="15673" xr:uid="{00000000-0005-0000-0000-0000A8370000}"/>
    <cellStyle name="강조색3 43 14" xfId="15674" xr:uid="{00000000-0005-0000-0000-0000A9370000}"/>
    <cellStyle name="강조색3 43 15" xfId="15669" xr:uid="{00000000-0005-0000-0000-0000AA370000}"/>
    <cellStyle name="강조색3 43 2" xfId="1826" xr:uid="{00000000-0005-0000-0000-0000AB370000}"/>
    <cellStyle name="강조색3 43 2 2" xfId="15675" xr:uid="{00000000-0005-0000-0000-0000AC370000}"/>
    <cellStyle name="강조색3 43 3" xfId="15676" xr:uid="{00000000-0005-0000-0000-0000AD370000}"/>
    <cellStyle name="강조색3 43 4" xfId="15677" xr:uid="{00000000-0005-0000-0000-0000AE370000}"/>
    <cellStyle name="강조색3 43 5" xfId="15678" xr:uid="{00000000-0005-0000-0000-0000AF370000}"/>
    <cellStyle name="강조색3 43 6" xfId="15679" xr:uid="{00000000-0005-0000-0000-0000B0370000}"/>
    <cellStyle name="강조색3 43 7" xfId="15680" xr:uid="{00000000-0005-0000-0000-0000B1370000}"/>
    <cellStyle name="강조색3 43 8" xfId="15681" xr:uid="{00000000-0005-0000-0000-0000B2370000}"/>
    <cellStyle name="강조색3 43 9" xfId="15682" xr:uid="{00000000-0005-0000-0000-0000B3370000}"/>
    <cellStyle name="강조색3 44" xfId="1827" xr:uid="{00000000-0005-0000-0000-0000B4370000}"/>
    <cellStyle name="강조색3 44 2" xfId="15683" xr:uid="{00000000-0005-0000-0000-0000B5370000}"/>
    <cellStyle name="강조색3 45" xfId="1828" xr:uid="{00000000-0005-0000-0000-0000B6370000}"/>
    <cellStyle name="강조색3 45 2" xfId="15684" xr:uid="{00000000-0005-0000-0000-0000B7370000}"/>
    <cellStyle name="강조색3 46" xfId="1752" xr:uid="{00000000-0005-0000-0000-0000B8370000}"/>
    <cellStyle name="강조색3 47" xfId="15164" xr:uid="{00000000-0005-0000-0000-0000B9370000}"/>
    <cellStyle name="강조색3 5" xfId="1829" xr:uid="{00000000-0005-0000-0000-0000BA370000}"/>
    <cellStyle name="강조색3 5 10" xfId="15686" xr:uid="{00000000-0005-0000-0000-0000BB370000}"/>
    <cellStyle name="강조색3 5 11" xfId="15687" xr:uid="{00000000-0005-0000-0000-0000BC370000}"/>
    <cellStyle name="강조색3 5 12" xfId="15688" xr:uid="{00000000-0005-0000-0000-0000BD370000}"/>
    <cellStyle name="강조색3 5 13" xfId="15689" xr:uid="{00000000-0005-0000-0000-0000BE370000}"/>
    <cellStyle name="강조색3 5 14" xfId="15690" xr:uid="{00000000-0005-0000-0000-0000BF370000}"/>
    <cellStyle name="강조색3 5 15" xfId="15685" xr:uid="{00000000-0005-0000-0000-0000C0370000}"/>
    <cellStyle name="강조색3 5 2" xfId="1830" xr:uid="{00000000-0005-0000-0000-0000C1370000}"/>
    <cellStyle name="강조색3 5 2 2" xfId="15691" xr:uid="{00000000-0005-0000-0000-0000C2370000}"/>
    <cellStyle name="강조색3 5 3" xfId="15692" xr:uid="{00000000-0005-0000-0000-0000C3370000}"/>
    <cellStyle name="강조색3 5 4" xfId="15693" xr:uid="{00000000-0005-0000-0000-0000C4370000}"/>
    <cellStyle name="강조색3 5 5" xfId="15694" xr:uid="{00000000-0005-0000-0000-0000C5370000}"/>
    <cellStyle name="강조색3 5 6" xfId="15695" xr:uid="{00000000-0005-0000-0000-0000C6370000}"/>
    <cellStyle name="강조색3 5 7" xfId="15696" xr:uid="{00000000-0005-0000-0000-0000C7370000}"/>
    <cellStyle name="강조색3 5 8" xfId="15697" xr:uid="{00000000-0005-0000-0000-0000C8370000}"/>
    <cellStyle name="강조색3 5 9" xfId="15698" xr:uid="{00000000-0005-0000-0000-0000C9370000}"/>
    <cellStyle name="강조색3 6" xfId="1831" xr:uid="{00000000-0005-0000-0000-0000CA370000}"/>
    <cellStyle name="강조색3 6 10" xfId="15700" xr:uid="{00000000-0005-0000-0000-0000CB370000}"/>
    <cellStyle name="강조색3 6 11" xfId="15701" xr:uid="{00000000-0005-0000-0000-0000CC370000}"/>
    <cellStyle name="강조색3 6 12" xfId="15702" xr:uid="{00000000-0005-0000-0000-0000CD370000}"/>
    <cellStyle name="강조색3 6 13" xfId="15703" xr:uid="{00000000-0005-0000-0000-0000CE370000}"/>
    <cellStyle name="강조색3 6 14" xfId="15704" xr:uid="{00000000-0005-0000-0000-0000CF370000}"/>
    <cellStyle name="강조색3 6 15" xfId="15699" xr:uid="{00000000-0005-0000-0000-0000D0370000}"/>
    <cellStyle name="강조색3 6 2" xfId="1832" xr:uid="{00000000-0005-0000-0000-0000D1370000}"/>
    <cellStyle name="강조색3 6 2 2" xfId="15705" xr:uid="{00000000-0005-0000-0000-0000D2370000}"/>
    <cellStyle name="강조색3 6 3" xfId="15706" xr:uid="{00000000-0005-0000-0000-0000D3370000}"/>
    <cellStyle name="강조색3 6 4" xfId="15707" xr:uid="{00000000-0005-0000-0000-0000D4370000}"/>
    <cellStyle name="강조색3 6 5" xfId="15708" xr:uid="{00000000-0005-0000-0000-0000D5370000}"/>
    <cellStyle name="강조색3 6 6" xfId="15709" xr:uid="{00000000-0005-0000-0000-0000D6370000}"/>
    <cellStyle name="강조색3 6 7" xfId="15710" xr:uid="{00000000-0005-0000-0000-0000D7370000}"/>
    <cellStyle name="강조색3 6 8" xfId="15711" xr:uid="{00000000-0005-0000-0000-0000D8370000}"/>
    <cellStyle name="강조색3 6 9" xfId="15712" xr:uid="{00000000-0005-0000-0000-0000D9370000}"/>
    <cellStyle name="강조색3 7" xfId="1833" xr:uid="{00000000-0005-0000-0000-0000DA370000}"/>
    <cellStyle name="강조색3 7 10" xfId="15714" xr:uid="{00000000-0005-0000-0000-0000DB370000}"/>
    <cellStyle name="강조색3 7 11" xfId="15715" xr:uid="{00000000-0005-0000-0000-0000DC370000}"/>
    <cellStyle name="강조색3 7 12" xfId="15716" xr:uid="{00000000-0005-0000-0000-0000DD370000}"/>
    <cellStyle name="강조색3 7 13" xfId="15717" xr:uid="{00000000-0005-0000-0000-0000DE370000}"/>
    <cellStyle name="강조색3 7 14" xfId="15718" xr:uid="{00000000-0005-0000-0000-0000DF370000}"/>
    <cellStyle name="강조색3 7 15" xfId="15713" xr:uid="{00000000-0005-0000-0000-0000E0370000}"/>
    <cellStyle name="강조색3 7 2" xfId="1834" xr:uid="{00000000-0005-0000-0000-0000E1370000}"/>
    <cellStyle name="강조색3 7 2 2" xfId="15719" xr:uid="{00000000-0005-0000-0000-0000E2370000}"/>
    <cellStyle name="강조색3 7 3" xfId="15720" xr:uid="{00000000-0005-0000-0000-0000E3370000}"/>
    <cellStyle name="강조색3 7 4" xfId="15721" xr:uid="{00000000-0005-0000-0000-0000E4370000}"/>
    <cellStyle name="강조색3 7 5" xfId="15722" xr:uid="{00000000-0005-0000-0000-0000E5370000}"/>
    <cellStyle name="강조색3 7 6" xfId="15723" xr:uid="{00000000-0005-0000-0000-0000E6370000}"/>
    <cellStyle name="강조색3 7 7" xfId="15724" xr:uid="{00000000-0005-0000-0000-0000E7370000}"/>
    <cellStyle name="강조색3 7 8" xfId="15725" xr:uid="{00000000-0005-0000-0000-0000E8370000}"/>
    <cellStyle name="강조색3 7 9" xfId="15726" xr:uid="{00000000-0005-0000-0000-0000E9370000}"/>
    <cellStyle name="강조색3 8" xfId="1835" xr:uid="{00000000-0005-0000-0000-0000EA370000}"/>
    <cellStyle name="강조색3 8 10" xfId="15728" xr:uid="{00000000-0005-0000-0000-0000EB370000}"/>
    <cellStyle name="강조색3 8 11" xfId="15729" xr:uid="{00000000-0005-0000-0000-0000EC370000}"/>
    <cellStyle name="강조색3 8 12" xfId="15730" xr:uid="{00000000-0005-0000-0000-0000ED370000}"/>
    <cellStyle name="강조색3 8 13" xfId="15731" xr:uid="{00000000-0005-0000-0000-0000EE370000}"/>
    <cellStyle name="강조색3 8 14" xfId="15732" xr:uid="{00000000-0005-0000-0000-0000EF370000}"/>
    <cellStyle name="강조색3 8 15" xfId="15727" xr:uid="{00000000-0005-0000-0000-0000F0370000}"/>
    <cellStyle name="강조색3 8 2" xfId="1836" xr:uid="{00000000-0005-0000-0000-0000F1370000}"/>
    <cellStyle name="강조색3 8 2 2" xfId="15733" xr:uid="{00000000-0005-0000-0000-0000F2370000}"/>
    <cellStyle name="강조색3 8 3" xfId="15734" xr:uid="{00000000-0005-0000-0000-0000F3370000}"/>
    <cellStyle name="강조색3 8 4" xfId="15735" xr:uid="{00000000-0005-0000-0000-0000F4370000}"/>
    <cellStyle name="강조색3 8 5" xfId="15736" xr:uid="{00000000-0005-0000-0000-0000F5370000}"/>
    <cellStyle name="강조색3 8 6" xfId="15737" xr:uid="{00000000-0005-0000-0000-0000F6370000}"/>
    <cellStyle name="강조색3 8 7" xfId="15738" xr:uid="{00000000-0005-0000-0000-0000F7370000}"/>
    <cellStyle name="강조색3 8 8" xfId="15739" xr:uid="{00000000-0005-0000-0000-0000F8370000}"/>
    <cellStyle name="강조색3 8 9" xfId="15740" xr:uid="{00000000-0005-0000-0000-0000F9370000}"/>
    <cellStyle name="강조색3 9" xfId="1837" xr:uid="{00000000-0005-0000-0000-0000FA370000}"/>
    <cellStyle name="강조색3 9 10" xfId="15742" xr:uid="{00000000-0005-0000-0000-0000FB370000}"/>
    <cellStyle name="강조색3 9 11" xfId="15743" xr:uid="{00000000-0005-0000-0000-0000FC370000}"/>
    <cellStyle name="강조색3 9 12" xfId="15744" xr:uid="{00000000-0005-0000-0000-0000FD370000}"/>
    <cellStyle name="강조색3 9 13" xfId="15745" xr:uid="{00000000-0005-0000-0000-0000FE370000}"/>
    <cellStyle name="강조색3 9 14" xfId="15746" xr:uid="{00000000-0005-0000-0000-0000FF370000}"/>
    <cellStyle name="강조색3 9 15" xfId="15741" xr:uid="{00000000-0005-0000-0000-000000380000}"/>
    <cellStyle name="강조색3 9 2" xfId="1838" xr:uid="{00000000-0005-0000-0000-000001380000}"/>
    <cellStyle name="강조색3 9 2 2" xfId="15747" xr:uid="{00000000-0005-0000-0000-000002380000}"/>
    <cellStyle name="강조색3 9 3" xfId="15748" xr:uid="{00000000-0005-0000-0000-000003380000}"/>
    <cellStyle name="강조색3 9 4" xfId="15749" xr:uid="{00000000-0005-0000-0000-000004380000}"/>
    <cellStyle name="강조색3 9 5" xfId="15750" xr:uid="{00000000-0005-0000-0000-000005380000}"/>
    <cellStyle name="강조색3 9 6" xfId="15751" xr:uid="{00000000-0005-0000-0000-000006380000}"/>
    <cellStyle name="강조색3 9 7" xfId="15752" xr:uid="{00000000-0005-0000-0000-000007380000}"/>
    <cellStyle name="강조색3 9 8" xfId="15753" xr:uid="{00000000-0005-0000-0000-000008380000}"/>
    <cellStyle name="강조색3 9 9" xfId="15754" xr:uid="{00000000-0005-0000-0000-000009380000}"/>
    <cellStyle name="강조색4 10" xfId="1840" xr:uid="{00000000-0005-0000-0000-00000A380000}"/>
    <cellStyle name="강조색4 10 10" xfId="15757" xr:uid="{00000000-0005-0000-0000-00000B380000}"/>
    <cellStyle name="강조색4 10 11" xfId="15758" xr:uid="{00000000-0005-0000-0000-00000C380000}"/>
    <cellStyle name="강조색4 10 12" xfId="15759" xr:uid="{00000000-0005-0000-0000-00000D380000}"/>
    <cellStyle name="강조색4 10 13" xfId="15760" xr:uid="{00000000-0005-0000-0000-00000E380000}"/>
    <cellStyle name="강조색4 10 14" xfId="15761" xr:uid="{00000000-0005-0000-0000-00000F380000}"/>
    <cellStyle name="강조색4 10 15" xfId="15756" xr:uid="{00000000-0005-0000-0000-000010380000}"/>
    <cellStyle name="강조색4 10 2" xfId="1841" xr:uid="{00000000-0005-0000-0000-000011380000}"/>
    <cellStyle name="강조색4 10 2 2" xfId="15762" xr:uid="{00000000-0005-0000-0000-000012380000}"/>
    <cellStyle name="강조색4 10 3" xfId="15763" xr:uid="{00000000-0005-0000-0000-000013380000}"/>
    <cellStyle name="강조색4 10 4" xfId="15764" xr:uid="{00000000-0005-0000-0000-000014380000}"/>
    <cellStyle name="강조색4 10 5" xfId="15765" xr:uid="{00000000-0005-0000-0000-000015380000}"/>
    <cellStyle name="강조색4 10 6" xfId="15766" xr:uid="{00000000-0005-0000-0000-000016380000}"/>
    <cellStyle name="강조색4 10 7" xfId="15767" xr:uid="{00000000-0005-0000-0000-000017380000}"/>
    <cellStyle name="강조색4 10 8" xfId="15768" xr:uid="{00000000-0005-0000-0000-000018380000}"/>
    <cellStyle name="강조색4 10 9" xfId="15769" xr:uid="{00000000-0005-0000-0000-000019380000}"/>
    <cellStyle name="강조색4 11" xfId="1842" xr:uid="{00000000-0005-0000-0000-00001A380000}"/>
    <cellStyle name="강조색4 11 10" xfId="15771" xr:uid="{00000000-0005-0000-0000-00001B380000}"/>
    <cellStyle name="강조색4 11 11" xfId="15772" xr:uid="{00000000-0005-0000-0000-00001C380000}"/>
    <cellStyle name="강조색4 11 12" xfId="15773" xr:uid="{00000000-0005-0000-0000-00001D380000}"/>
    <cellStyle name="강조색4 11 13" xfId="15774" xr:uid="{00000000-0005-0000-0000-00001E380000}"/>
    <cellStyle name="강조색4 11 14" xfId="15775" xr:uid="{00000000-0005-0000-0000-00001F380000}"/>
    <cellStyle name="강조색4 11 15" xfId="15770" xr:uid="{00000000-0005-0000-0000-000020380000}"/>
    <cellStyle name="강조색4 11 2" xfId="1843" xr:uid="{00000000-0005-0000-0000-000021380000}"/>
    <cellStyle name="강조색4 11 2 2" xfId="15776" xr:uid="{00000000-0005-0000-0000-000022380000}"/>
    <cellStyle name="강조색4 11 3" xfId="15777" xr:uid="{00000000-0005-0000-0000-000023380000}"/>
    <cellStyle name="강조색4 11 4" xfId="15778" xr:uid="{00000000-0005-0000-0000-000024380000}"/>
    <cellStyle name="강조색4 11 5" xfId="15779" xr:uid="{00000000-0005-0000-0000-000025380000}"/>
    <cellStyle name="강조색4 11 6" xfId="15780" xr:uid="{00000000-0005-0000-0000-000026380000}"/>
    <cellStyle name="강조색4 11 7" xfId="15781" xr:uid="{00000000-0005-0000-0000-000027380000}"/>
    <cellStyle name="강조색4 11 8" xfId="15782" xr:uid="{00000000-0005-0000-0000-000028380000}"/>
    <cellStyle name="강조색4 11 9" xfId="15783" xr:uid="{00000000-0005-0000-0000-000029380000}"/>
    <cellStyle name="강조색4 12" xfId="1844" xr:uid="{00000000-0005-0000-0000-00002A380000}"/>
    <cellStyle name="강조색4 12 10" xfId="15785" xr:uid="{00000000-0005-0000-0000-00002B380000}"/>
    <cellStyle name="강조색4 12 11" xfId="15786" xr:uid="{00000000-0005-0000-0000-00002C380000}"/>
    <cellStyle name="강조색4 12 12" xfId="15787" xr:uid="{00000000-0005-0000-0000-00002D380000}"/>
    <cellStyle name="강조색4 12 13" xfId="15788" xr:uid="{00000000-0005-0000-0000-00002E380000}"/>
    <cellStyle name="강조색4 12 14" xfId="15789" xr:uid="{00000000-0005-0000-0000-00002F380000}"/>
    <cellStyle name="강조색4 12 15" xfId="15784" xr:uid="{00000000-0005-0000-0000-000030380000}"/>
    <cellStyle name="강조색4 12 2" xfId="1845" xr:uid="{00000000-0005-0000-0000-000031380000}"/>
    <cellStyle name="강조색4 12 2 2" xfId="15790" xr:uid="{00000000-0005-0000-0000-000032380000}"/>
    <cellStyle name="강조색4 12 3" xfId="15791" xr:uid="{00000000-0005-0000-0000-000033380000}"/>
    <cellStyle name="강조색4 12 4" xfId="15792" xr:uid="{00000000-0005-0000-0000-000034380000}"/>
    <cellStyle name="강조색4 12 5" xfId="15793" xr:uid="{00000000-0005-0000-0000-000035380000}"/>
    <cellStyle name="강조색4 12 6" xfId="15794" xr:uid="{00000000-0005-0000-0000-000036380000}"/>
    <cellStyle name="강조색4 12 7" xfId="15795" xr:uid="{00000000-0005-0000-0000-000037380000}"/>
    <cellStyle name="강조색4 12 8" xfId="15796" xr:uid="{00000000-0005-0000-0000-000038380000}"/>
    <cellStyle name="강조색4 12 9" xfId="15797" xr:uid="{00000000-0005-0000-0000-000039380000}"/>
    <cellStyle name="강조색4 13" xfId="1846" xr:uid="{00000000-0005-0000-0000-00003A380000}"/>
    <cellStyle name="강조색4 13 10" xfId="15799" xr:uid="{00000000-0005-0000-0000-00003B380000}"/>
    <cellStyle name="강조색4 13 11" xfId="15800" xr:uid="{00000000-0005-0000-0000-00003C380000}"/>
    <cellStyle name="강조색4 13 12" xfId="15801" xr:uid="{00000000-0005-0000-0000-00003D380000}"/>
    <cellStyle name="강조색4 13 13" xfId="15802" xr:uid="{00000000-0005-0000-0000-00003E380000}"/>
    <cellStyle name="강조색4 13 14" xfId="15803" xr:uid="{00000000-0005-0000-0000-00003F380000}"/>
    <cellStyle name="강조색4 13 15" xfId="15798" xr:uid="{00000000-0005-0000-0000-000040380000}"/>
    <cellStyle name="강조색4 13 2" xfId="1847" xr:uid="{00000000-0005-0000-0000-000041380000}"/>
    <cellStyle name="강조색4 13 2 2" xfId="15804" xr:uid="{00000000-0005-0000-0000-000042380000}"/>
    <cellStyle name="강조색4 13 3" xfId="15805" xr:uid="{00000000-0005-0000-0000-000043380000}"/>
    <cellStyle name="강조색4 13 4" xfId="15806" xr:uid="{00000000-0005-0000-0000-000044380000}"/>
    <cellStyle name="강조색4 13 5" xfId="15807" xr:uid="{00000000-0005-0000-0000-000045380000}"/>
    <cellStyle name="강조색4 13 6" xfId="15808" xr:uid="{00000000-0005-0000-0000-000046380000}"/>
    <cellStyle name="강조색4 13 7" xfId="15809" xr:uid="{00000000-0005-0000-0000-000047380000}"/>
    <cellStyle name="강조색4 13 8" xfId="15810" xr:uid="{00000000-0005-0000-0000-000048380000}"/>
    <cellStyle name="강조색4 13 9" xfId="15811" xr:uid="{00000000-0005-0000-0000-000049380000}"/>
    <cellStyle name="강조색4 14" xfId="1848" xr:uid="{00000000-0005-0000-0000-00004A380000}"/>
    <cellStyle name="강조색4 14 10" xfId="15813" xr:uid="{00000000-0005-0000-0000-00004B380000}"/>
    <cellStyle name="강조색4 14 11" xfId="15814" xr:uid="{00000000-0005-0000-0000-00004C380000}"/>
    <cellStyle name="강조색4 14 12" xfId="15815" xr:uid="{00000000-0005-0000-0000-00004D380000}"/>
    <cellStyle name="강조색4 14 13" xfId="15816" xr:uid="{00000000-0005-0000-0000-00004E380000}"/>
    <cellStyle name="강조색4 14 14" xfId="15817" xr:uid="{00000000-0005-0000-0000-00004F380000}"/>
    <cellStyle name="강조색4 14 15" xfId="15812" xr:uid="{00000000-0005-0000-0000-000050380000}"/>
    <cellStyle name="강조색4 14 2" xfId="1849" xr:uid="{00000000-0005-0000-0000-000051380000}"/>
    <cellStyle name="강조색4 14 2 2" xfId="15818" xr:uid="{00000000-0005-0000-0000-000052380000}"/>
    <cellStyle name="강조색4 14 3" xfId="15819" xr:uid="{00000000-0005-0000-0000-000053380000}"/>
    <cellStyle name="강조색4 14 4" xfId="15820" xr:uid="{00000000-0005-0000-0000-000054380000}"/>
    <cellStyle name="강조색4 14 5" xfId="15821" xr:uid="{00000000-0005-0000-0000-000055380000}"/>
    <cellStyle name="강조색4 14 6" xfId="15822" xr:uid="{00000000-0005-0000-0000-000056380000}"/>
    <cellStyle name="강조색4 14 7" xfId="15823" xr:uid="{00000000-0005-0000-0000-000057380000}"/>
    <cellStyle name="강조색4 14 8" xfId="15824" xr:uid="{00000000-0005-0000-0000-000058380000}"/>
    <cellStyle name="강조색4 14 9" xfId="15825" xr:uid="{00000000-0005-0000-0000-000059380000}"/>
    <cellStyle name="강조색4 15" xfId="1850" xr:uid="{00000000-0005-0000-0000-00005A380000}"/>
    <cellStyle name="강조색4 15 10" xfId="15827" xr:uid="{00000000-0005-0000-0000-00005B380000}"/>
    <cellStyle name="강조색4 15 11" xfId="15828" xr:uid="{00000000-0005-0000-0000-00005C380000}"/>
    <cellStyle name="강조색4 15 12" xfId="15829" xr:uid="{00000000-0005-0000-0000-00005D380000}"/>
    <cellStyle name="강조색4 15 13" xfId="15830" xr:uid="{00000000-0005-0000-0000-00005E380000}"/>
    <cellStyle name="강조색4 15 14" xfId="15831" xr:uid="{00000000-0005-0000-0000-00005F380000}"/>
    <cellStyle name="강조색4 15 15" xfId="15826" xr:uid="{00000000-0005-0000-0000-000060380000}"/>
    <cellStyle name="강조색4 15 2" xfId="1851" xr:uid="{00000000-0005-0000-0000-000061380000}"/>
    <cellStyle name="강조색4 15 2 2" xfId="15832" xr:uid="{00000000-0005-0000-0000-000062380000}"/>
    <cellStyle name="강조색4 15 3" xfId="15833" xr:uid="{00000000-0005-0000-0000-000063380000}"/>
    <cellStyle name="강조색4 15 4" xfId="15834" xr:uid="{00000000-0005-0000-0000-000064380000}"/>
    <cellStyle name="강조색4 15 5" xfId="15835" xr:uid="{00000000-0005-0000-0000-000065380000}"/>
    <cellStyle name="강조색4 15 6" xfId="15836" xr:uid="{00000000-0005-0000-0000-000066380000}"/>
    <cellStyle name="강조색4 15 7" xfId="15837" xr:uid="{00000000-0005-0000-0000-000067380000}"/>
    <cellStyle name="강조색4 15 8" xfId="15838" xr:uid="{00000000-0005-0000-0000-000068380000}"/>
    <cellStyle name="강조색4 15 9" xfId="15839" xr:uid="{00000000-0005-0000-0000-000069380000}"/>
    <cellStyle name="강조색4 16" xfId="1852" xr:uid="{00000000-0005-0000-0000-00006A380000}"/>
    <cellStyle name="강조색4 16 10" xfId="15841" xr:uid="{00000000-0005-0000-0000-00006B380000}"/>
    <cellStyle name="강조색4 16 11" xfId="15842" xr:uid="{00000000-0005-0000-0000-00006C380000}"/>
    <cellStyle name="강조색4 16 12" xfId="15843" xr:uid="{00000000-0005-0000-0000-00006D380000}"/>
    <cellStyle name="강조색4 16 13" xfId="15844" xr:uid="{00000000-0005-0000-0000-00006E380000}"/>
    <cellStyle name="강조색4 16 14" xfId="15845" xr:uid="{00000000-0005-0000-0000-00006F380000}"/>
    <cellStyle name="강조색4 16 15" xfId="15840" xr:uid="{00000000-0005-0000-0000-000070380000}"/>
    <cellStyle name="강조색4 16 2" xfId="1853" xr:uid="{00000000-0005-0000-0000-000071380000}"/>
    <cellStyle name="강조색4 16 2 2" xfId="15846" xr:uid="{00000000-0005-0000-0000-000072380000}"/>
    <cellStyle name="강조색4 16 3" xfId="15847" xr:uid="{00000000-0005-0000-0000-000073380000}"/>
    <cellStyle name="강조색4 16 4" xfId="15848" xr:uid="{00000000-0005-0000-0000-000074380000}"/>
    <cellStyle name="강조색4 16 5" xfId="15849" xr:uid="{00000000-0005-0000-0000-000075380000}"/>
    <cellStyle name="강조색4 16 6" xfId="15850" xr:uid="{00000000-0005-0000-0000-000076380000}"/>
    <cellStyle name="강조색4 16 7" xfId="15851" xr:uid="{00000000-0005-0000-0000-000077380000}"/>
    <cellStyle name="강조색4 16 8" xfId="15852" xr:uid="{00000000-0005-0000-0000-000078380000}"/>
    <cellStyle name="강조색4 16 9" xfId="15853" xr:uid="{00000000-0005-0000-0000-000079380000}"/>
    <cellStyle name="강조색4 17" xfId="1854" xr:uid="{00000000-0005-0000-0000-00007A380000}"/>
    <cellStyle name="강조색4 17 10" xfId="15855" xr:uid="{00000000-0005-0000-0000-00007B380000}"/>
    <cellStyle name="강조색4 17 11" xfId="15856" xr:uid="{00000000-0005-0000-0000-00007C380000}"/>
    <cellStyle name="강조색4 17 12" xfId="15857" xr:uid="{00000000-0005-0000-0000-00007D380000}"/>
    <cellStyle name="강조색4 17 13" xfId="15858" xr:uid="{00000000-0005-0000-0000-00007E380000}"/>
    <cellStyle name="강조색4 17 14" xfId="15859" xr:uid="{00000000-0005-0000-0000-00007F380000}"/>
    <cellStyle name="강조색4 17 15" xfId="15854" xr:uid="{00000000-0005-0000-0000-000080380000}"/>
    <cellStyle name="강조색4 17 2" xfId="1855" xr:uid="{00000000-0005-0000-0000-000081380000}"/>
    <cellStyle name="강조색4 17 2 2" xfId="15860" xr:uid="{00000000-0005-0000-0000-000082380000}"/>
    <cellStyle name="강조색4 17 3" xfId="15861" xr:uid="{00000000-0005-0000-0000-000083380000}"/>
    <cellStyle name="강조색4 17 4" xfId="15862" xr:uid="{00000000-0005-0000-0000-000084380000}"/>
    <cellStyle name="강조색4 17 5" xfId="15863" xr:uid="{00000000-0005-0000-0000-000085380000}"/>
    <cellStyle name="강조색4 17 6" xfId="15864" xr:uid="{00000000-0005-0000-0000-000086380000}"/>
    <cellStyle name="강조색4 17 7" xfId="15865" xr:uid="{00000000-0005-0000-0000-000087380000}"/>
    <cellStyle name="강조색4 17 8" xfId="15866" xr:uid="{00000000-0005-0000-0000-000088380000}"/>
    <cellStyle name="강조색4 17 9" xfId="15867" xr:uid="{00000000-0005-0000-0000-000089380000}"/>
    <cellStyle name="강조색4 18" xfId="1856" xr:uid="{00000000-0005-0000-0000-00008A380000}"/>
    <cellStyle name="강조색4 18 10" xfId="15869" xr:uid="{00000000-0005-0000-0000-00008B380000}"/>
    <cellStyle name="강조색4 18 11" xfId="15870" xr:uid="{00000000-0005-0000-0000-00008C380000}"/>
    <cellStyle name="강조색4 18 12" xfId="15871" xr:uid="{00000000-0005-0000-0000-00008D380000}"/>
    <cellStyle name="강조색4 18 13" xfId="15872" xr:uid="{00000000-0005-0000-0000-00008E380000}"/>
    <cellStyle name="강조색4 18 14" xfId="15873" xr:uid="{00000000-0005-0000-0000-00008F380000}"/>
    <cellStyle name="강조색4 18 15" xfId="15868" xr:uid="{00000000-0005-0000-0000-000090380000}"/>
    <cellStyle name="강조색4 18 2" xfId="1857" xr:uid="{00000000-0005-0000-0000-000091380000}"/>
    <cellStyle name="강조색4 18 2 2" xfId="15874" xr:uid="{00000000-0005-0000-0000-000092380000}"/>
    <cellStyle name="강조색4 18 3" xfId="15875" xr:uid="{00000000-0005-0000-0000-000093380000}"/>
    <cellStyle name="강조색4 18 4" xfId="15876" xr:uid="{00000000-0005-0000-0000-000094380000}"/>
    <cellStyle name="강조색4 18 5" xfId="15877" xr:uid="{00000000-0005-0000-0000-000095380000}"/>
    <cellStyle name="강조색4 18 6" xfId="15878" xr:uid="{00000000-0005-0000-0000-000096380000}"/>
    <cellStyle name="강조색4 18 7" xfId="15879" xr:uid="{00000000-0005-0000-0000-000097380000}"/>
    <cellStyle name="강조색4 18 8" xfId="15880" xr:uid="{00000000-0005-0000-0000-000098380000}"/>
    <cellStyle name="강조색4 18 9" xfId="15881" xr:uid="{00000000-0005-0000-0000-000099380000}"/>
    <cellStyle name="강조색4 19" xfId="1858" xr:uid="{00000000-0005-0000-0000-00009A380000}"/>
    <cellStyle name="강조색4 19 10" xfId="15883" xr:uid="{00000000-0005-0000-0000-00009B380000}"/>
    <cellStyle name="강조색4 19 11" xfId="15884" xr:uid="{00000000-0005-0000-0000-00009C380000}"/>
    <cellStyle name="강조색4 19 12" xfId="15885" xr:uid="{00000000-0005-0000-0000-00009D380000}"/>
    <cellStyle name="강조색4 19 13" xfId="15886" xr:uid="{00000000-0005-0000-0000-00009E380000}"/>
    <cellStyle name="강조색4 19 14" xfId="15887" xr:uid="{00000000-0005-0000-0000-00009F380000}"/>
    <cellStyle name="강조색4 19 15" xfId="15882" xr:uid="{00000000-0005-0000-0000-0000A0380000}"/>
    <cellStyle name="강조색4 19 2" xfId="1859" xr:uid="{00000000-0005-0000-0000-0000A1380000}"/>
    <cellStyle name="강조색4 19 2 2" xfId="15888" xr:uid="{00000000-0005-0000-0000-0000A2380000}"/>
    <cellStyle name="강조색4 19 3" xfId="15889" xr:uid="{00000000-0005-0000-0000-0000A3380000}"/>
    <cellStyle name="강조색4 19 4" xfId="15890" xr:uid="{00000000-0005-0000-0000-0000A4380000}"/>
    <cellStyle name="강조색4 19 5" xfId="15891" xr:uid="{00000000-0005-0000-0000-0000A5380000}"/>
    <cellStyle name="강조색4 19 6" xfId="15892" xr:uid="{00000000-0005-0000-0000-0000A6380000}"/>
    <cellStyle name="강조색4 19 7" xfId="15893" xr:uid="{00000000-0005-0000-0000-0000A7380000}"/>
    <cellStyle name="강조색4 19 8" xfId="15894" xr:uid="{00000000-0005-0000-0000-0000A8380000}"/>
    <cellStyle name="강조색4 19 9" xfId="15895" xr:uid="{00000000-0005-0000-0000-0000A9380000}"/>
    <cellStyle name="강조색4 2" xfId="1860" xr:uid="{00000000-0005-0000-0000-0000AA380000}"/>
    <cellStyle name="강조색4 2 10" xfId="15897" xr:uid="{00000000-0005-0000-0000-0000AB380000}"/>
    <cellStyle name="강조색4 2 11" xfId="15898" xr:uid="{00000000-0005-0000-0000-0000AC380000}"/>
    <cellStyle name="강조색4 2 12" xfId="15899" xr:uid="{00000000-0005-0000-0000-0000AD380000}"/>
    <cellStyle name="강조색4 2 13" xfId="15900" xr:uid="{00000000-0005-0000-0000-0000AE380000}"/>
    <cellStyle name="강조색4 2 14" xfId="15901" xr:uid="{00000000-0005-0000-0000-0000AF380000}"/>
    <cellStyle name="강조색4 2 15" xfId="15896" xr:uid="{00000000-0005-0000-0000-0000B0380000}"/>
    <cellStyle name="강조색4 2 16" xfId="27954" xr:uid="{00000000-0005-0000-0000-0000B1380000}"/>
    <cellStyle name="강조색4 2 2" xfId="1861" xr:uid="{00000000-0005-0000-0000-0000B2380000}"/>
    <cellStyle name="강조색4 2 2 2" xfId="15902" xr:uid="{00000000-0005-0000-0000-0000B3380000}"/>
    <cellStyle name="강조색4 2 3" xfId="15903" xr:uid="{00000000-0005-0000-0000-0000B4380000}"/>
    <cellStyle name="강조색4 2 4" xfId="15904" xr:uid="{00000000-0005-0000-0000-0000B5380000}"/>
    <cellStyle name="강조색4 2 5" xfId="15905" xr:uid="{00000000-0005-0000-0000-0000B6380000}"/>
    <cellStyle name="강조색4 2 6" xfId="15906" xr:uid="{00000000-0005-0000-0000-0000B7380000}"/>
    <cellStyle name="강조색4 2 7" xfId="15907" xr:uid="{00000000-0005-0000-0000-0000B8380000}"/>
    <cellStyle name="강조색4 2 8" xfId="15908" xr:uid="{00000000-0005-0000-0000-0000B9380000}"/>
    <cellStyle name="강조색4 2 9" xfId="15909" xr:uid="{00000000-0005-0000-0000-0000BA380000}"/>
    <cellStyle name="강조색4 20" xfId="1862" xr:uid="{00000000-0005-0000-0000-0000BB380000}"/>
    <cellStyle name="강조색4 20 10" xfId="15911" xr:uid="{00000000-0005-0000-0000-0000BC380000}"/>
    <cellStyle name="강조색4 20 11" xfId="15912" xr:uid="{00000000-0005-0000-0000-0000BD380000}"/>
    <cellStyle name="강조색4 20 12" xfId="15913" xr:uid="{00000000-0005-0000-0000-0000BE380000}"/>
    <cellStyle name="강조색4 20 13" xfId="15914" xr:uid="{00000000-0005-0000-0000-0000BF380000}"/>
    <cellStyle name="강조색4 20 14" xfId="15915" xr:uid="{00000000-0005-0000-0000-0000C0380000}"/>
    <cellStyle name="강조색4 20 15" xfId="15910" xr:uid="{00000000-0005-0000-0000-0000C1380000}"/>
    <cellStyle name="강조색4 20 2" xfId="1863" xr:uid="{00000000-0005-0000-0000-0000C2380000}"/>
    <cellStyle name="강조색4 20 2 2" xfId="15916" xr:uid="{00000000-0005-0000-0000-0000C3380000}"/>
    <cellStyle name="강조색4 20 3" xfId="15917" xr:uid="{00000000-0005-0000-0000-0000C4380000}"/>
    <cellStyle name="강조색4 20 4" xfId="15918" xr:uid="{00000000-0005-0000-0000-0000C5380000}"/>
    <cellStyle name="강조색4 20 5" xfId="15919" xr:uid="{00000000-0005-0000-0000-0000C6380000}"/>
    <cellStyle name="강조색4 20 6" xfId="15920" xr:uid="{00000000-0005-0000-0000-0000C7380000}"/>
    <cellStyle name="강조색4 20 7" xfId="15921" xr:uid="{00000000-0005-0000-0000-0000C8380000}"/>
    <cellStyle name="강조색4 20 8" xfId="15922" xr:uid="{00000000-0005-0000-0000-0000C9380000}"/>
    <cellStyle name="강조색4 20 9" xfId="15923" xr:uid="{00000000-0005-0000-0000-0000CA380000}"/>
    <cellStyle name="강조색4 21" xfId="1864" xr:uid="{00000000-0005-0000-0000-0000CB380000}"/>
    <cellStyle name="강조색4 21 10" xfId="15925" xr:uid="{00000000-0005-0000-0000-0000CC380000}"/>
    <cellStyle name="강조색4 21 11" xfId="15926" xr:uid="{00000000-0005-0000-0000-0000CD380000}"/>
    <cellStyle name="강조색4 21 12" xfId="15927" xr:uid="{00000000-0005-0000-0000-0000CE380000}"/>
    <cellStyle name="강조색4 21 13" xfId="15928" xr:uid="{00000000-0005-0000-0000-0000CF380000}"/>
    <cellStyle name="강조색4 21 14" xfId="15929" xr:uid="{00000000-0005-0000-0000-0000D0380000}"/>
    <cellStyle name="강조색4 21 15" xfId="15924" xr:uid="{00000000-0005-0000-0000-0000D1380000}"/>
    <cellStyle name="강조색4 21 2" xfId="1865" xr:uid="{00000000-0005-0000-0000-0000D2380000}"/>
    <cellStyle name="강조색4 21 2 2" xfId="15930" xr:uid="{00000000-0005-0000-0000-0000D3380000}"/>
    <cellStyle name="강조색4 21 3" xfId="15931" xr:uid="{00000000-0005-0000-0000-0000D4380000}"/>
    <cellStyle name="강조색4 21 4" xfId="15932" xr:uid="{00000000-0005-0000-0000-0000D5380000}"/>
    <cellStyle name="강조색4 21 5" xfId="15933" xr:uid="{00000000-0005-0000-0000-0000D6380000}"/>
    <cellStyle name="강조색4 21 6" xfId="15934" xr:uid="{00000000-0005-0000-0000-0000D7380000}"/>
    <cellStyle name="강조색4 21 7" xfId="15935" xr:uid="{00000000-0005-0000-0000-0000D8380000}"/>
    <cellStyle name="강조색4 21 8" xfId="15936" xr:uid="{00000000-0005-0000-0000-0000D9380000}"/>
    <cellStyle name="강조색4 21 9" xfId="15937" xr:uid="{00000000-0005-0000-0000-0000DA380000}"/>
    <cellStyle name="강조색4 22" xfId="1866" xr:uid="{00000000-0005-0000-0000-0000DB380000}"/>
    <cellStyle name="강조색4 22 10" xfId="15939" xr:uid="{00000000-0005-0000-0000-0000DC380000}"/>
    <cellStyle name="강조색4 22 11" xfId="15940" xr:uid="{00000000-0005-0000-0000-0000DD380000}"/>
    <cellStyle name="강조색4 22 12" xfId="15941" xr:uid="{00000000-0005-0000-0000-0000DE380000}"/>
    <cellStyle name="강조색4 22 13" xfId="15942" xr:uid="{00000000-0005-0000-0000-0000DF380000}"/>
    <cellStyle name="강조색4 22 14" xfId="15943" xr:uid="{00000000-0005-0000-0000-0000E0380000}"/>
    <cellStyle name="강조색4 22 15" xfId="15938" xr:uid="{00000000-0005-0000-0000-0000E1380000}"/>
    <cellStyle name="강조색4 22 2" xfId="1867" xr:uid="{00000000-0005-0000-0000-0000E2380000}"/>
    <cellStyle name="강조색4 22 2 2" xfId="15944" xr:uid="{00000000-0005-0000-0000-0000E3380000}"/>
    <cellStyle name="강조색4 22 3" xfId="15945" xr:uid="{00000000-0005-0000-0000-0000E4380000}"/>
    <cellStyle name="강조색4 22 4" xfId="15946" xr:uid="{00000000-0005-0000-0000-0000E5380000}"/>
    <cellStyle name="강조색4 22 5" xfId="15947" xr:uid="{00000000-0005-0000-0000-0000E6380000}"/>
    <cellStyle name="강조색4 22 6" xfId="15948" xr:uid="{00000000-0005-0000-0000-0000E7380000}"/>
    <cellStyle name="강조색4 22 7" xfId="15949" xr:uid="{00000000-0005-0000-0000-0000E8380000}"/>
    <cellStyle name="강조색4 22 8" xfId="15950" xr:uid="{00000000-0005-0000-0000-0000E9380000}"/>
    <cellStyle name="강조색4 22 9" xfId="15951" xr:uid="{00000000-0005-0000-0000-0000EA380000}"/>
    <cellStyle name="강조색4 23" xfId="1868" xr:uid="{00000000-0005-0000-0000-0000EB380000}"/>
    <cellStyle name="강조색4 23 10" xfId="15953" xr:uid="{00000000-0005-0000-0000-0000EC380000}"/>
    <cellStyle name="강조색4 23 11" xfId="15954" xr:uid="{00000000-0005-0000-0000-0000ED380000}"/>
    <cellStyle name="강조색4 23 12" xfId="15955" xr:uid="{00000000-0005-0000-0000-0000EE380000}"/>
    <cellStyle name="강조색4 23 13" xfId="15956" xr:uid="{00000000-0005-0000-0000-0000EF380000}"/>
    <cellStyle name="강조색4 23 14" xfId="15957" xr:uid="{00000000-0005-0000-0000-0000F0380000}"/>
    <cellStyle name="강조색4 23 15" xfId="15952" xr:uid="{00000000-0005-0000-0000-0000F1380000}"/>
    <cellStyle name="강조색4 23 2" xfId="1869" xr:uid="{00000000-0005-0000-0000-0000F2380000}"/>
    <cellStyle name="강조색4 23 2 2" xfId="15958" xr:uid="{00000000-0005-0000-0000-0000F3380000}"/>
    <cellStyle name="강조색4 23 3" xfId="15959" xr:uid="{00000000-0005-0000-0000-0000F4380000}"/>
    <cellStyle name="강조색4 23 4" xfId="15960" xr:uid="{00000000-0005-0000-0000-0000F5380000}"/>
    <cellStyle name="강조색4 23 5" xfId="15961" xr:uid="{00000000-0005-0000-0000-0000F6380000}"/>
    <cellStyle name="강조색4 23 6" xfId="15962" xr:uid="{00000000-0005-0000-0000-0000F7380000}"/>
    <cellStyle name="강조색4 23 7" xfId="15963" xr:uid="{00000000-0005-0000-0000-0000F8380000}"/>
    <cellStyle name="강조색4 23 8" xfId="15964" xr:uid="{00000000-0005-0000-0000-0000F9380000}"/>
    <cellStyle name="강조색4 23 9" xfId="15965" xr:uid="{00000000-0005-0000-0000-0000FA380000}"/>
    <cellStyle name="강조색4 24" xfId="1870" xr:uid="{00000000-0005-0000-0000-0000FB380000}"/>
    <cellStyle name="강조색4 24 10" xfId="15967" xr:uid="{00000000-0005-0000-0000-0000FC380000}"/>
    <cellStyle name="강조색4 24 11" xfId="15968" xr:uid="{00000000-0005-0000-0000-0000FD380000}"/>
    <cellStyle name="강조색4 24 12" xfId="15969" xr:uid="{00000000-0005-0000-0000-0000FE380000}"/>
    <cellStyle name="강조색4 24 13" xfId="15970" xr:uid="{00000000-0005-0000-0000-0000FF380000}"/>
    <cellStyle name="강조색4 24 14" xfId="15971" xr:uid="{00000000-0005-0000-0000-000000390000}"/>
    <cellStyle name="강조색4 24 15" xfId="15966" xr:uid="{00000000-0005-0000-0000-000001390000}"/>
    <cellStyle name="강조색4 24 2" xfId="1871" xr:uid="{00000000-0005-0000-0000-000002390000}"/>
    <cellStyle name="강조색4 24 2 2" xfId="15972" xr:uid="{00000000-0005-0000-0000-000003390000}"/>
    <cellStyle name="강조색4 24 3" xfId="15973" xr:uid="{00000000-0005-0000-0000-000004390000}"/>
    <cellStyle name="강조색4 24 4" xfId="15974" xr:uid="{00000000-0005-0000-0000-000005390000}"/>
    <cellStyle name="강조색4 24 5" xfId="15975" xr:uid="{00000000-0005-0000-0000-000006390000}"/>
    <cellStyle name="강조색4 24 6" xfId="15976" xr:uid="{00000000-0005-0000-0000-000007390000}"/>
    <cellStyle name="강조색4 24 7" xfId="15977" xr:uid="{00000000-0005-0000-0000-000008390000}"/>
    <cellStyle name="강조색4 24 8" xfId="15978" xr:uid="{00000000-0005-0000-0000-000009390000}"/>
    <cellStyle name="강조색4 24 9" xfId="15979" xr:uid="{00000000-0005-0000-0000-00000A390000}"/>
    <cellStyle name="강조색4 25" xfId="1872" xr:uid="{00000000-0005-0000-0000-00000B390000}"/>
    <cellStyle name="강조색4 25 10" xfId="15981" xr:uid="{00000000-0005-0000-0000-00000C390000}"/>
    <cellStyle name="강조색4 25 11" xfId="15982" xr:uid="{00000000-0005-0000-0000-00000D390000}"/>
    <cellStyle name="강조색4 25 12" xfId="15983" xr:uid="{00000000-0005-0000-0000-00000E390000}"/>
    <cellStyle name="강조색4 25 13" xfId="15984" xr:uid="{00000000-0005-0000-0000-00000F390000}"/>
    <cellStyle name="강조색4 25 14" xfId="15985" xr:uid="{00000000-0005-0000-0000-000010390000}"/>
    <cellStyle name="강조색4 25 15" xfId="15980" xr:uid="{00000000-0005-0000-0000-000011390000}"/>
    <cellStyle name="강조색4 25 2" xfId="1873" xr:uid="{00000000-0005-0000-0000-000012390000}"/>
    <cellStyle name="강조색4 25 2 2" xfId="15986" xr:uid="{00000000-0005-0000-0000-000013390000}"/>
    <cellStyle name="강조색4 25 3" xfId="15987" xr:uid="{00000000-0005-0000-0000-000014390000}"/>
    <cellStyle name="강조색4 25 4" xfId="15988" xr:uid="{00000000-0005-0000-0000-000015390000}"/>
    <cellStyle name="강조색4 25 5" xfId="15989" xr:uid="{00000000-0005-0000-0000-000016390000}"/>
    <cellStyle name="강조색4 25 6" xfId="15990" xr:uid="{00000000-0005-0000-0000-000017390000}"/>
    <cellStyle name="강조색4 25 7" xfId="15991" xr:uid="{00000000-0005-0000-0000-000018390000}"/>
    <cellStyle name="강조색4 25 8" xfId="15992" xr:uid="{00000000-0005-0000-0000-000019390000}"/>
    <cellStyle name="강조색4 25 9" xfId="15993" xr:uid="{00000000-0005-0000-0000-00001A390000}"/>
    <cellStyle name="강조색4 26" xfId="1874" xr:uid="{00000000-0005-0000-0000-00001B390000}"/>
    <cellStyle name="강조색4 26 10" xfId="15995" xr:uid="{00000000-0005-0000-0000-00001C390000}"/>
    <cellStyle name="강조색4 26 11" xfId="15996" xr:uid="{00000000-0005-0000-0000-00001D390000}"/>
    <cellStyle name="강조색4 26 12" xfId="15997" xr:uid="{00000000-0005-0000-0000-00001E390000}"/>
    <cellStyle name="강조색4 26 13" xfId="15998" xr:uid="{00000000-0005-0000-0000-00001F390000}"/>
    <cellStyle name="강조색4 26 14" xfId="15999" xr:uid="{00000000-0005-0000-0000-000020390000}"/>
    <cellStyle name="강조색4 26 15" xfId="15994" xr:uid="{00000000-0005-0000-0000-000021390000}"/>
    <cellStyle name="강조색4 26 2" xfId="1875" xr:uid="{00000000-0005-0000-0000-000022390000}"/>
    <cellStyle name="강조색4 26 2 2" xfId="16000" xr:uid="{00000000-0005-0000-0000-000023390000}"/>
    <cellStyle name="강조색4 26 3" xfId="16001" xr:uid="{00000000-0005-0000-0000-000024390000}"/>
    <cellStyle name="강조색4 26 4" xfId="16002" xr:uid="{00000000-0005-0000-0000-000025390000}"/>
    <cellStyle name="강조색4 26 5" xfId="16003" xr:uid="{00000000-0005-0000-0000-000026390000}"/>
    <cellStyle name="강조색4 26 6" xfId="16004" xr:uid="{00000000-0005-0000-0000-000027390000}"/>
    <cellStyle name="강조색4 26 7" xfId="16005" xr:uid="{00000000-0005-0000-0000-000028390000}"/>
    <cellStyle name="강조색4 26 8" xfId="16006" xr:uid="{00000000-0005-0000-0000-000029390000}"/>
    <cellStyle name="강조색4 26 9" xfId="16007" xr:uid="{00000000-0005-0000-0000-00002A390000}"/>
    <cellStyle name="강조색4 27" xfId="1876" xr:uid="{00000000-0005-0000-0000-00002B390000}"/>
    <cellStyle name="강조색4 27 10" xfId="16009" xr:uid="{00000000-0005-0000-0000-00002C390000}"/>
    <cellStyle name="강조색4 27 11" xfId="16010" xr:uid="{00000000-0005-0000-0000-00002D390000}"/>
    <cellStyle name="강조색4 27 12" xfId="16011" xr:uid="{00000000-0005-0000-0000-00002E390000}"/>
    <cellStyle name="강조색4 27 13" xfId="16012" xr:uid="{00000000-0005-0000-0000-00002F390000}"/>
    <cellStyle name="강조색4 27 14" xfId="16013" xr:uid="{00000000-0005-0000-0000-000030390000}"/>
    <cellStyle name="강조색4 27 15" xfId="16008" xr:uid="{00000000-0005-0000-0000-000031390000}"/>
    <cellStyle name="강조색4 27 2" xfId="1877" xr:uid="{00000000-0005-0000-0000-000032390000}"/>
    <cellStyle name="강조색4 27 2 2" xfId="16014" xr:uid="{00000000-0005-0000-0000-000033390000}"/>
    <cellStyle name="강조색4 27 3" xfId="16015" xr:uid="{00000000-0005-0000-0000-000034390000}"/>
    <cellStyle name="강조색4 27 4" xfId="16016" xr:uid="{00000000-0005-0000-0000-000035390000}"/>
    <cellStyle name="강조색4 27 5" xfId="16017" xr:uid="{00000000-0005-0000-0000-000036390000}"/>
    <cellStyle name="강조색4 27 6" xfId="16018" xr:uid="{00000000-0005-0000-0000-000037390000}"/>
    <cellStyle name="강조색4 27 7" xfId="16019" xr:uid="{00000000-0005-0000-0000-000038390000}"/>
    <cellStyle name="강조색4 27 8" xfId="16020" xr:uid="{00000000-0005-0000-0000-000039390000}"/>
    <cellStyle name="강조색4 27 9" xfId="16021" xr:uid="{00000000-0005-0000-0000-00003A390000}"/>
    <cellStyle name="강조색4 28" xfId="1878" xr:uid="{00000000-0005-0000-0000-00003B390000}"/>
    <cellStyle name="강조색4 28 10" xfId="16023" xr:uid="{00000000-0005-0000-0000-00003C390000}"/>
    <cellStyle name="강조색4 28 11" xfId="16024" xr:uid="{00000000-0005-0000-0000-00003D390000}"/>
    <cellStyle name="강조색4 28 12" xfId="16025" xr:uid="{00000000-0005-0000-0000-00003E390000}"/>
    <cellStyle name="강조색4 28 13" xfId="16026" xr:uid="{00000000-0005-0000-0000-00003F390000}"/>
    <cellStyle name="강조색4 28 14" xfId="16027" xr:uid="{00000000-0005-0000-0000-000040390000}"/>
    <cellStyle name="강조색4 28 15" xfId="16022" xr:uid="{00000000-0005-0000-0000-000041390000}"/>
    <cellStyle name="강조색4 28 2" xfId="1879" xr:uid="{00000000-0005-0000-0000-000042390000}"/>
    <cellStyle name="강조색4 28 2 2" xfId="16028" xr:uid="{00000000-0005-0000-0000-000043390000}"/>
    <cellStyle name="강조색4 28 3" xfId="16029" xr:uid="{00000000-0005-0000-0000-000044390000}"/>
    <cellStyle name="강조색4 28 4" xfId="16030" xr:uid="{00000000-0005-0000-0000-000045390000}"/>
    <cellStyle name="강조색4 28 5" xfId="16031" xr:uid="{00000000-0005-0000-0000-000046390000}"/>
    <cellStyle name="강조색4 28 6" xfId="16032" xr:uid="{00000000-0005-0000-0000-000047390000}"/>
    <cellStyle name="강조색4 28 7" xfId="16033" xr:uid="{00000000-0005-0000-0000-000048390000}"/>
    <cellStyle name="강조색4 28 8" xfId="16034" xr:uid="{00000000-0005-0000-0000-000049390000}"/>
    <cellStyle name="강조색4 28 9" xfId="16035" xr:uid="{00000000-0005-0000-0000-00004A390000}"/>
    <cellStyle name="강조색4 29" xfId="1880" xr:uid="{00000000-0005-0000-0000-00004B390000}"/>
    <cellStyle name="강조색4 29 10" xfId="16037" xr:uid="{00000000-0005-0000-0000-00004C390000}"/>
    <cellStyle name="강조색4 29 11" xfId="16038" xr:uid="{00000000-0005-0000-0000-00004D390000}"/>
    <cellStyle name="강조색4 29 12" xfId="16039" xr:uid="{00000000-0005-0000-0000-00004E390000}"/>
    <cellStyle name="강조색4 29 13" xfId="16040" xr:uid="{00000000-0005-0000-0000-00004F390000}"/>
    <cellStyle name="강조색4 29 14" xfId="16041" xr:uid="{00000000-0005-0000-0000-000050390000}"/>
    <cellStyle name="강조색4 29 15" xfId="16036" xr:uid="{00000000-0005-0000-0000-000051390000}"/>
    <cellStyle name="강조색4 29 2" xfId="1881" xr:uid="{00000000-0005-0000-0000-000052390000}"/>
    <cellStyle name="강조색4 29 2 2" xfId="16042" xr:uid="{00000000-0005-0000-0000-000053390000}"/>
    <cellStyle name="강조색4 29 3" xfId="16043" xr:uid="{00000000-0005-0000-0000-000054390000}"/>
    <cellStyle name="강조색4 29 4" xfId="16044" xr:uid="{00000000-0005-0000-0000-000055390000}"/>
    <cellStyle name="강조색4 29 5" xfId="16045" xr:uid="{00000000-0005-0000-0000-000056390000}"/>
    <cellStyle name="강조색4 29 6" xfId="16046" xr:uid="{00000000-0005-0000-0000-000057390000}"/>
    <cellStyle name="강조색4 29 7" xfId="16047" xr:uid="{00000000-0005-0000-0000-000058390000}"/>
    <cellStyle name="강조색4 29 8" xfId="16048" xr:uid="{00000000-0005-0000-0000-000059390000}"/>
    <cellStyle name="강조색4 29 9" xfId="16049" xr:uid="{00000000-0005-0000-0000-00005A390000}"/>
    <cellStyle name="강조색4 3" xfId="1882" xr:uid="{00000000-0005-0000-0000-00005B390000}"/>
    <cellStyle name="강조색4 3 10" xfId="16051" xr:uid="{00000000-0005-0000-0000-00005C390000}"/>
    <cellStyle name="강조색4 3 11" xfId="16052" xr:uid="{00000000-0005-0000-0000-00005D390000}"/>
    <cellStyle name="강조색4 3 12" xfId="16053" xr:uid="{00000000-0005-0000-0000-00005E390000}"/>
    <cellStyle name="강조색4 3 13" xfId="16054" xr:uid="{00000000-0005-0000-0000-00005F390000}"/>
    <cellStyle name="강조색4 3 14" xfId="16055" xr:uid="{00000000-0005-0000-0000-000060390000}"/>
    <cellStyle name="강조색4 3 15" xfId="16050" xr:uid="{00000000-0005-0000-0000-000061390000}"/>
    <cellStyle name="강조색4 3 16" xfId="28210" xr:uid="{00000000-0005-0000-0000-000062390000}"/>
    <cellStyle name="강조색4 3 2" xfId="1883" xr:uid="{00000000-0005-0000-0000-000063390000}"/>
    <cellStyle name="강조색4 3 2 2" xfId="16056" xr:uid="{00000000-0005-0000-0000-000064390000}"/>
    <cellStyle name="강조색4 3 3" xfId="16057" xr:uid="{00000000-0005-0000-0000-000065390000}"/>
    <cellStyle name="강조색4 3 4" xfId="16058" xr:uid="{00000000-0005-0000-0000-000066390000}"/>
    <cellStyle name="강조색4 3 5" xfId="16059" xr:uid="{00000000-0005-0000-0000-000067390000}"/>
    <cellStyle name="강조색4 3 6" xfId="16060" xr:uid="{00000000-0005-0000-0000-000068390000}"/>
    <cellStyle name="강조색4 3 7" xfId="16061" xr:uid="{00000000-0005-0000-0000-000069390000}"/>
    <cellStyle name="강조색4 3 8" xfId="16062" xr:uid="{00000000-0005-0000-0000-00006A390000}"/>
    <cellStyle name="강조색4 3 9" xfId="16063" xr:uid="{00000000-0005-0000-0000-00006B390000}"/>
    <cellStyle name="강조색4 30" xfId="1884" xr:uid="{00000000-0005-0000-0000-00006C390000}"/>
    <cellStyle name="강조색4 30 10" xfId="16065" xr:uid="{00000000-0005-0000-0000-00006D390000}"/>
    <cellStyle name="강조색4 30 11" xfId="16066" xr:uid="{00000000-0005-0000-0000-00006E390000}"/>
    <cellStyle name="강조색4 30 12" xfId="16067" xr:uid="{00000000-0005-0000-0000-00006F390000}"/>
    <cellStyle name="강조색4 30 13" xfId="16068" xr:uid="{00000000-0005-0000-0000-000070390000}"/>
    <cellStyle name="강조색4 30 14" xfId="16069" xr:uid="{00000000-0005-0000-0000-000071390000}"/>
    <cellStyle name="강조색4 30 15" xfId="16064" xr:uid="{00000000-0005-0000-0000-000072390000}"/>
    <cellStyle name="강조색4 30 2" xfId="1885" xr:uid="{00000000-0005-0000-0000-000073390000}"/>
    <cellStyle name="강조색4 30 2 2" xfId="16070" xr:uid="{00000000-0005-0000-0000-000074390000}"/>
    <cellStyle name="강조색4 30 3" xfId="16071" xr:uid="{00000000-0005-0000-0000-000075390000}"/>
    <cellStyle name="강조색4 30 4" xfId="16072" xr:uid="{00000000-0005-0000-0000-000076390000}"/>
    <cellStyle name="강조색4 30 5" xfId="16073" xr:uid="{00000000-0005-0000-0000-000077390000}"/>
    <cellStyle name="강조색4 30 6" xfId="16074" xr:uid="{00000000-0005-0000-0000-000078390000}"/>
    <cellStyle name="강조색4 30 7" xfId="16075" xr:uid="{00000000-0005-0000-0000-000079390000}"/>
    <cellStyle name="강조색4 30 8" xfId="16076" xr:uid="{00000000-0005-0000-0000-00007A390000}"/>
    <cellStyle name="강조색4 30 9" xfId="16077" xr:uid="{00000000-0005-0000-0000-00007B390000}"/>
    <cellStyle name="강조색4 31" xfId="1886" xr:uid="{00000000-0005-0000-0000-00007C390000}"/>
    <cellStyle name="강조색4 31 10" xfId="16079" xr:uid="{00000000-0005-0000-0000-00007D390000}"/>
    <cellStyle name="강조색4 31 11" xfId="16080" xr:uid="{00000000-0005-0000-0000-00007E390000}"/>
    <cellStyle name="강조색4 31 12" xfId="16081" xr:uid="{00000000-0005-0000-0000-00007F390000}"/>
    <cellStyle name="강조색4 31 13" xfId="16082" xr:uid="{00000000-0005-0000-0000-000080390000}"/>
    <cellStyle name="강조색4 31 14" xfId="16083" xr:uid="{00000000-0005-0000-0000-000081390000}"/>
    <cellStyle name="강조색4 31 15" xfId="16078" xr:uid="{00000000-0005-0000-0000-000082390000}"/>
    <cellStyle name="강조색4 31 2" xfId="1887" xr:uid="{00000000-0005-0000-0000-000083390000}"/>
    <cellStyle name="강조색4 31 2 2" xfId="16084" xr:uid="{00000000-0005-0000-0000-000084390000}"/>
    <cellStyle name="강조색4 31 3" xfId="16085" xr:uid="{00000000-0005-0000-0000-000085390000}"/>
    <cellStyle name="강조색4 31 4" xfId="16086" xr:uid="{00000000-0005-0000-0000-000086390000}"/>
    <cellStyle name="강조색4 31 5" xfId="16087" xr:uid="{00000000-0005-0000-0000-000087390000}"/>
    <cellStyle name="강조색4 31 6" xfId="16088" xr:uid="{00000000-0005-0000-0000-000088390000}"/>
    <cellStyle name="강조색4 31 7" xfId="16089" xr:uid="{00000000-0005-0000-0000-000089390000}"/>
    <cellStyle name="강조색4 31 8" xfId="16090" xr:uid="{00000000-0005-0000-0000-00008A390000}"/>
    <cellStyle name="강조색4 31 9" xfId="16091" xr:uid="{00000000-0005-0000-0000-00008B390000}"/>
    <cellStyle name="강조색4 32" xfId="1888" xr:uid="{00000000-0005-0000-0000-00008C390000}"/>
    <cellStyle name="강조색4 32 10" xfId="16093" xr:uid="{00000000-0005-0000-0000-00008D390000}"/>
    <cellStyle name="강조색4 32 11" xfId="16094" xr:uid="{00000000-0005-0000-0000-00008E390000}"/>
    <cellStyle name="강조색4 32 12" xfId="16095" xr:uid="{00000000-0005-0000-0000-00008F390000}"/>
    <cellStyle name="강조색4 32 13" xfId="16096" xr:uid="{00000000-0005-0000-0000-000090390000}"/>
    <cellStyle name="강조색4 32 14" xfId="16097" xr:uid="{00000000-0005-0000-0000-000091390000}"/>
    <cellStyle name="강조색4 32 15" xfId="16092" xr:uid="{00000000-0005-0000-0000-000092390000}"/>
    <cellStyle name="강조색4 32 2" xfId="1889" xr:uid="{00000000-0005-0000-0000-000093390000}"/>
    <cellStyle name="강조색4 32 2 2" xfId="16098" xr:uid="{00000000-0005-0000-0000-000094390000}"/>
    <cellStyle name="강조색4 32 3" xfId="16099" xr:uid="{00000000-0005-0000-0000-000095390000}"/>
    <cellStyle name="강조색4 32 4" xfId="16100" xr:uid="{00000000-0005-0000-0000-000096390000}"/>
    <cellStyle name="강조색4 32 5" xfId="16101" xr:uid="{00000000-0005-0000-0000-000097390000}"/>
    <cellStyle name="강조색4 32 6" xfId="16102" xr:uid="{00000000-0005-0000-0000-000098390000}"/>
    <cellStyle name="강조색4 32 7" xfId="16103" xr:uid="{00000000-0005-0000-0000-000099390000}"/>
    <cellStyle name="강조색4 32 8" xfId="16104" xr:uid="{00000000-0005-0000-0000-00009A390000}"/>
    <cellStyle name="강조색4 32 9" xfId="16105" xr:uid="{00000000-0005-0000-0000-00009B390000}"/>
    <cellStyle name="강조색4 33" xfId="1890" xr:uid="{00000000-0005-0000-0000-00009C390000}"/>
    <cellStyle name="강조색4 33 10" xfId="16107" xr:uid="{00000000-0005-0000-0000-00009D390000}"/>
    <cellStyle name="강조색4 33 11" xfId="16108" xr:uid="{00000000-0005-0000-0000-00009E390000}"/>
    <cellStyle name="강조색4 33 12" xfId="16109" xr:uid="{00000000-0005-0000-0000-00009F390000}"/>
    <cellStyle name="강조색4 33 13" xfId="16110" xr:uid="{00000000-0005-0000-0000-0000A0390000}"/>
    <cellStyle name="강조색4 33 14" xfId="16111" xr:uid="{00000000-0005-0000-0000-0000A1390000}"/>
    <cellStyle name="강조색4 33 15" xfId="16106" xr:uid="{00000000-0005-0000-0000-0000A2390000}"/>
    <cellStyle name="강조색4 33 2" xfId="1891" xr:uid="{00000000-0005-0000-0000-0000A3390000}"/>
    <cellStyle name="강조색4 33 2 2" xfId="16112" xr:uid="{00000000-0005-0000-0000-0000A4390000}"/>
    <cellStyle name="강조색4 33 3" xfId="16113" xr:uid="{00000000-0005-0000-0000-0000A5390000}"/>
    <cellStyle name="강조색4 33 4" xfId="16114" xr:uid="{00000000-0005-0000-0000-0000A6390000}"/>
    <cellStyle name="강조색4 33 5" xfId="16115" xr:uid="{00000000-0005-0000-0000-0000A7390000}"/>
    <cellStyle name="강조색4 33 6" xfId="16116" xr:uid="{00000000-0005-0000-0000-0000A8390000}"/>
    <cellStyle name="강조색4 33 7" xfId="16117" xr:uid="{00000000-0005-0000-0000-0000A9390000}"/>
    <cellStyle name="강조색4 33 8" xfId="16118" xr:uid="{00000000-0005-0000-0000-0000AA390000}"/>
    <cellStyle name="강조색4 33 9" xfId="16119" xr:uid="{00000000-0005-0000-0000-0000AB390000}"/>
    <cellStyle name="강조색4 34" xfId="1892" xr:uid="{00000000-0005-0000-0000-0000AC390000}"/>
    <cellStyle name="강조색4 34 10" xfId="16121" xr:uid="{00000000-0005-0000-0000-0000AD390000}"/>
    <cellStyle name="강조색4 34 11" xfId="16122" xr:uid="{00000000-0005-0000-0000-0000AE390000}"/>
    <cellStyle name="강조색4 34 12" xfId="16123" xr:uid="{00000000-0005-0000-0000-0000AF390000}"/>
    <cellStyle name="강조색4 34 13" xfId="16124" xr:uid="{00000000-0005-0000-0000-0000B0390000}"/>
    <cellStyle name="강조색4 34 14" xfId="16125" xr:uid="{00000000-0005-0000-0000-0000B1390000}"/>
    <cellStyle name="강조색4 34 15" xfId="16120" xr:uid="{00000000-0005-0000-0000-0000B2390000}"/>
    <cellStyle name="강조색4 34 2" xfId="1893" xr:uid="{00000000-0005-0000-0000-0000B3390000}"/>
    <cellStyle name="강조색4 34 2 2" xfId="16126" xr:uid="{00000000-0005-0000-0000-0000B4390000}"/>
    <cellStyle name="강조색4 34 3" xfId="16127" xr:uid="{00000000-0005-0000-0000-0000B5390000}"/>
    <cellStyle name="강조색4 34 4" xfId="16128" xr:uid="{00000000-0005-0000-0000-0000B6390000}"/>
    <cellStyle name="강조색4 34 5" xfId="16129" xr:uid="{00000000-0005-0000-0000-0000B7390000}"/>
    <cellStyle name="강조색4 34 6" xfId="16130" xr:uid="{00000000-0005-0000-0000-0000B8390000}"/>
    <cellStyle name="강조색4 34 7" xfId="16131" xr:uid="{00000000-0005-0000-0000-0000B9390000}"/>
    <cellStyle name="강조색4 34 8" xfId="16132" xr:uid="{00000000-0005-0000-0000-0000BA390000}"/>
    <cellStyle name="강조색4 34 9" xfId="16133" xr:uid="{00000000-0005-0000-0000-0000BB390000}"/>
    <cellStyle name="강조색4 35" xfId="1894" xr:uid="{00000000-0005-0000-0000-0000BC390000}"/>
    <cellStyle name="강조색4 35 10" xfId="16135" xr:uid="{00000000-0005-0000-0000-0000BD390000}"/>
    <cellStyle name="강조색4 35 11" xfId="16136" xr:uid="{00000000-0005-0000-0000-0000BE390000}"/>
    <cellStyle name="강조색4 35 12" xfId="16137" xr:uid="{00000000-0005-0000-0000-0000BF390000}"/>
    <cellStyle name="강조색4 35 13" xfId="16138" xr:uid="{00000000-0005-0000-0000-0000C0390000}"/>
    <cellStyle name="강조색4 35 14" xfId="16139" xr:uid="{00000000-0005-0000-0000-0000C1390000}"/>
    <cellStyle name="강조색4 35 15" xfId="16134" xr:uid="{00000000-0005-0000-0000-0000C2390000}"/>
    <cellStyle name="강조색4 35 2" xfId="1895" xr:uid="{00000000-0005-0000-0000-0000C3390000}"/>
    <cellStyle name="강조색4 35 2 2" xfId="16140" xr:uid="{00000000-0005-0000-0000-0000C4390000}"/>
    <cellStyle name="강조색4 35 3" xfId="16141" xr:uid="{00000000-0005-0000-0000-0000C5390000}"/>
    <cellStyle name="강조색4 35 4" xfId="16142" xr:uid="{00000000-0005-0000-0000-0000C6390000}"/>
    <cellStyle name="강조색4 35 5" xfId="16143" xr:uid="{00000000-0005-0000-0000-0000C7390000}"/>
    <cellStyle name="강조색4 35 6" xfId="16144" xr:uid="{00000000-0005-0000-0000-0000C8390000}"/>
    <cellStyle name="강조색4 35 7" xfId="16145" xr:uid="{00000000-0005-0000-0000-0000C9390000}"/>
    <cellStyle name="강조색4 35 8" xfId="16146" xr:uid="{00000000-0005-0000-0000-0000CA390000}"/>
    <cellStyle name="강조색4 35 9" xfId="16147" xr:uid="{00000000-0005-0000-0000-0000CB390000}"/>
    <cellStyle name="강조색4 36" xfId="1896" xr:uid="{00000000-0005-0000-0000-0000CC390000}"/>
    <cellStyle name="강조색4 36 10" xfId="16149" xr:uid="{00000000-0005-0000-0000-0000CD390000}"/>
    <cellStyle name="강조색4 36 11" xfId="16150" xr:uid="{00000000-0005-0000-0000-0000CE390000}"/>
    <cellStyle name="강조색4 36 12" xfId="16151" xr:uid="{00000000-0005-0000-0000-0000CF390000}"/>
    <cellStyle name="강조색4 36 13" xfId="16152" xr:uid="{00000000-0005-0000-0000-0000D0390000}"/>
    <cellStyle name="강조색4 36 14" xfId="16153" xr:uid="{00000000-0005-0000-0000-0000D1390000}"/>
    <cellStyle name="강조색4 36 15" xfId="16148" xr:uid="{00000000-0005-0000-0000-0000D2390000}"/>
    <cellStyle name="강조색4 36 2" xfId="1897" xr:uid="{00000000-0005-0000-0000-0000D3390000}"/>
    <cellStyle name="강조색4 36 2 2" xfId="16154" xr:uid="{00000000-0005-0000-0000-0000D4390000}"/>
    <cellStyle name="강조색4 36 3" xfId="16155" xr:uid="{00000000-0005-0000-0000-0000D5390000}"/>
    <cellStyle name="강조색4 36 4" xfId="16156" xr:uid="{00000000-0005-0000-0000-0000D6390000}"/>
    <cellStyle name="강조색4 36 5" xfId="16157" xr:uid="{00000000-0005-0000-0000-0000D7390000}"/>
    <cellStyle name="강조색4 36 6" xfId="16158" xr:uid="{00000000-0005-0000-0000-0000D8390000}"/>
    <cellStyle name="강조색4 36 7" xfId="16159" xr:uid="{00000000-0005-0000-0000-0000D9390000}"/>
    <cellStyle name="강조색4 36 8" xfId="16160" xr:uid="{00000000-0005-0000-0000-0000DA390000}"/>
    <cellStyle name="강조색4 36 9" xfId="16161" xr:uid="{00000000-0005-0000-0000-0000DB390000}"/>
    <cellStyle name="강조색4 37" xfId="1898" xr:uid="{00000000-0005-0000-0000-0000DC390000}"/>
    <cellStyle name="강조색4 37 10" xfId="16163" xr:uid="{00000000-0005-0000-0000-0000DD390000}"/>
    <cellStyle name="강조색4 37 11" xfId="16164" xr:uid="{00000000-0005-0000-0000-0000DE390000}"/>
    <cellStyle name="강조색4 37 12" xfId="16165" xr:uid="{00000000-0005-0000-0000-0000DF390000}"/>
    <cellStyle name="강조색4 37 13" xfId="16166" xr:uid="{00000000-0005-0000-0000-0000E0390000}"/>
    <cellStyle name="강조색4 37 14" xfId="16167" xr:uid="{00000000-0005-0000-0000-0000E1390000}"/>
    <cellStyle name="강조색4 37 15" xfId="16162" xr:uid="{00000000-0005-0000-0000-0000E2390000}"/>
    <cellStyle name="강조색4 37 2" xfId="1899" xr:uid="{00000000-0005-0000-0000-0000E3390000}"/>
    <cellStyle name="강조색4 37 2 2" xfId="16168" xr:uid="{00000000-0005-0000-0000-0000E4390000}"/>
    <cellStyle name="강조색4 37 3" xfId="16169" xr:uid="{00000000-0005-0000-0000-0000E5390000}"/>
    <cellStyle name="강조색4 37 4" xfId="16170" xr:uid="{00000000-0005-0000-0000-0000E6390000}"/>
    <cellStyle name="강조색4 37 5" xfId="16171" xr:uid="{00000000-0005-0000-0000-0000E7390000}"/>
    <cellStyle name="강조색4 37 6" xfId="16172" xr:uid="{00000000-0005-0000-0000-0000E8390000}"/>
    <cellStyle name="강조색4 37 7" xfId="16173" xr:uid="{00000000-0005-0000-0000-0000E9390000}"/>
    <cellStyle name="강조색4 37 8" xfId="16174" xr:uid="{00000000-0005-0000-0000-0000EA390000}"/>
    <cellStyle name="강조색4 37 9" xfId="16175" xr:uid="{00000000-0005-0000-0000-0000EB390000}"/>
    <cellStyle name="강조색4 38" xfId="1900" xr:uid="{00000000-0005-0000-0000-0000EC390000}"/>
    <cellStyle name="강조색4 38 10" xfId="16177" xr:uid="{00000000-0005-0000-0000-0000ED390000}"/>
    <cellStyle name="강조색4 38 11" xfId="16178" xr:uid="{00000000-0005-0000-0000-0000EE390000}"/>
    <cellStyle name="강조색4 38 12" xfId="16179" xr:uid="{00000000-0005-0000-0000-0000EF390000}"/>
    <cellStyle name="강조색4 38 13" xfId="16180" xr:uid="{00000000-0005-0000-0000-0000F0390000}"/>
    <cellStyle name="강조색4 38 14" xfId="16181" xr:uid="{00000000-0005-0000-0000-0000F1390000}"/>
    <cellStyle name="강조색4 38 15" xfId="16176" xr:uid="{00000000-0005-0000-0000-0000F2390000}"/>
    <cellStyle name="강조색4 38 2" xfId="1901" xr:uid="{00000000-0005-0000-0000-0000F3390000}"/>
    <cellStyle name="강조색4 38 2 2" xfId="16182" xr:uid="{00000000-0005-0000-0000-0000F4390000}"/>
    <cellStyle name="강조색4 38 3" xfId="16183" xr:uid="{00000000-0005-0000-0000-0000F5390000}"/>
    <cellStyle name="강조색4 38 4" xfId="16184" xr:uid="{00000000-0005-0000-0000-0000F6390000}"/>
    <cellStyle name="강조색4 38 5" xfId="16185" xr:uid="{00000000-0005-0000-0000-0000F7390000}"/>
    <cellStyle name="강조색4 38 6" xfId="16186" xr:uid="{00000000-0005-0000-0000-0000F8390000}"/>
    <cellStyle name="강조색4 38 7" xfId="16187" xr:uid="{00000000-0005-0000-0000-0000F9390000}"/>
    <cellStyle name="강조색4 38 8" xfId="16188" xr:uid="{00000000-0005-0000-0000-0000FA390000}"/>
    <cellStyle name="강조색4 38 9" xfId="16189" xr:uid="{00000000-0005-0000-0000-0000FB390000}"/>
    <cellStyle name="강조색4 39" xfId="1902" xr:uid="{00000000-0005-0000-0000-0000FC390000}"/>
    <cellStyle name="강조색4 39 10" xfId="16191" xr:uid="{00000000-0005-0000-0000-0000FD390000}"/>
    <cellStyle name="강조색4 39 11" xfId="16192" xr:uid="{00000000-0005-0000-0000-0000FE390000}"/>
    <cellStyle name="강조색4 39 12" xfId="16193" xr:uid="{00000000-0005-0000-0000-0000FF390000}"/>
    <cellStyle name="강조색4 39 13" xfId="16194" xr:uid="{00000000-0005-0000-0000-0000003A0000}"/>
    <cellStyle name="강조색4 39 14" xfId="16195" xr:uid="{00000000-0005-0000-0000-0000013A0000}"/>
    <cellStyle name="강조색4 39 15" xfId="16190" xr:uid="{00000000-0005-0000-0000-0000023A0000}"/>
    <cellStyle name="강조색4 39 2" xfId="1903" xr:uid="{00000000-0005-0000-0000-0000033A0000}"/>
    <cellStyle name="강조색4 39 2 2" xfId="16196" xr:uid="{00000000-0005-0000-0000-0000043A0000}"/>
    <cellStyle name="강조색4 39 3" xfId="16197" xr:uid="{00000000-0005-0000-0000-0000053A0000}"/>
    <cellStyle name="강조색4 39 4" xfId="16198" xr:uid="{00000000-0005-0000-0000-0000063A0000}"/>
    <cellStyle name="강조색4 39 5" xfId="16199" xr:uid="{00000000-0005-0000-0000-0000073A0000}"/>
    <cellStyle name="강조색4 39 6" xfId="16200" xr:uid="{00000000-0005-0000-0000-0000083A0000}"/>
    <cellStyle name="강조색4 39 7" xfId="16201" xr:uid="{00000000-0005-0000-0000-0000093A0000}"/>
    <cellStyle name="강조색4 39 8" xfId="16202" xr:uid="{00000000-0005-0000-0000-00000A3A0000}"/>
    <cellStyle name="강조색4 39 9" xfId="16203" xr:uid="{00000000-0005-0000-0000-00000B3A0000}"/>
    <cellStyle name="강조색4 4" xfId="1904" xr:uid="{00000000-0005-0000-0000-00000C3A0000}"/>
    <cellStyle name="강조색4 4 10" xfId="16205" xr:uid="{00000000-0005-0000-0000-00000D3A0000}"/>
    <cellStyle name="강조색4 4 11" xfId="16206" xr:uid="{00000000-0005-0000-0000-00000E3A0000}"/>
    <cellStyle name="강조색4 4 12" xfId="16207" xr:uid="{00000000-0005-0000-0000-00000F3A0000}"/>
    <cellStyle name="강조색4 4 13" xfId="16208" xr:uid="{00000000-0005-0000-0000-0000103A0000}"/>
    <cellStyle name="강조색4 4 14" xfId="16209" xr:uid="{00000000-0005-0000-0000-0000113A0000}"/>
    <cellStyle name="강조색4 4 15" xfId="16204" xr:uid="{00000000-0005-0000-0000-0000123A0000}"/>
    <cellStyle name="강조색4 4 16" xfId="27872" xr:uid="{00000000-0005-0000-0000-0000133A0000}"/>
    <cellStyle name="강조색4 4 2" xfId="1905" xr:uid="{00000000-0005-0000-0000-0000143A0000}"/>
    <cellStyle name="강조색4 4 2 2" xfId="16210" xr:uid="{00000000-0005-0000-0000-0000153A0000}"/>
    <cellStyle name="강조색4 4 3" xfId="16211" xr:uid="{00000000-0005-0000-0000-0000163A0000}"/>
    <cellStyle name="강조색4 4 4" xfId="16212" xr:uid="{00000000-0005-0000-0000-0000173A0000}"/>
    <cellStyle name="강조색4 4 5" xfId="16213" xr:uid="{00000000-0005-0000-0000-0000183A0000}"/>
    <cellStyle name="강조색4 4 6" xfId="16214" xr:uid="{00000000-0005-0000-0000-0000193A0000}"/>
    <cellStyle name="강조색4 4 7" xfId="16215" xr:uid="{00000000-0005-0000-0000-00001A3A0000}"/>
    <cellStyle name="강조색4 4 8" xfId="16216" xr:uid="{00000000-0005-0000-0000-00001B3A0000}"/>
    <cellStyle name="강조색4 4 9" xfId="16217" xr:uid="{00000000-0005-0000-0000-00001C3A0000}"/>
    <cellStyle name="강조색4 40" xfId="1906" xr:uid="{00000000-0005-0000-0000-00001D3A0000}"/>
    <cellStyle name="강조색4 40 10" xfId="16219" xr:uid="{00000000-0005-0000-0000-00001E3A0000}"/>
    <cellStyle name="강조색4 40 11" xfId="16220" xr:uid="{00000000-0005-0000-0000-00001F3A0000}"/>
    <cellStyle name="강조색4 40 12" xfId="16221" xr:uid="{00000000-0005-0000-0000-0000203A0000}"/>
    <cellStyle name="강조색4 40 13" xfId="16222" xr:uid="{00000000-0005-0000-0000-0000213A0000}"/>
    <cellStyle name="강조색4 40 14" xfId="16223" xr:uid="{00000000-0005-0000-0000-0000223A0000}"/>
    <cellStyle name="강조색4 40 15" xfId="16218" xr:uid="{00000000-0005-0000-0000-0000233A0000}"/>
    <cellStyle name="강조색4 40 2" xfId="1907" xr:uid="{00000000-0005-0000-0000-0000243A0000}"/>
    <cellStyle name="강조색4 40 2 2" xfId="16224" xr:uid="{00000000-0005-0000-0000-0000253A0000}"/>
    <cellStyle name="강조색4 40 3" xfId="16225" xr:uid="{00000000-0005-0000-0000-0000263A0000}"/>
    <cellStyle name="강조색4 40 4" xfId="16226" xr:uid="{00000000-0005-0000-0000-0000273A0000}"/>
    <cellStyle name="강조색4 40 5" xfId="16227" xr:uid="{00000000-0005-0000-0000-0000283A0000}"/>
    <cellStyle name="강조색4 40 6" xfId="16228" xr:uid="{00000000-0005-0000-0000-0000293A0000}"/>
    <cellStyle name="강조색4 40 7" xfId="16229" xr:uid="{00000000-0005-0000-0000-00002A3A0000}"/>
    <cellStyle name="강조색4 40 8" xfId="16230" xr:uid="{00000000-0005-0000-0000-00002B3A0000}"/>
    <cellStyle name="강조색4 40 9" xfId="16231" xr:uid="{00000000-0005-0000-0000-00002C3A0000}"/>
    <cellStyle name="강조색4 41" xfId="1908" xr:uid="{00000000-0005-0000-0000-00002D3A0000}"/>
    <cellStyle name="강조색4 41 10" xfId="16233" xr:uid="{00000000-0005-0000-0000-00002E3A0000}"/>
    <cellStyle name="강조색4 41 11" xfId="16234" xr:uid="{00000000-0005-0000-0000-00002F3A0000}"/>
    <cellStyle name="강조색4 41 12" xfId="16235" xr:uid="{00000000-0005-0000-0000-0000303A0000}"/>
    <cellStyle name="강조색4 41 13" xfId="16236" xr:uid="{00000000-0005-0000-0000-0000313A0000}"/>
    <cellStyle name="강조색4 41 14" xfId="16237" xr:uid="{00000000-0005-0000-0000-0000323A0000}"/>
    <cellStyle name="강조색4 41 15" xfId="16232" xr:uid="{00000000-0005-0000-0000-0000333A0000}"/>
    <cellStyle name="강조색4 41 2" xfId="1909" xr:uid="{00000000-0005-0000-0000-0000343A0000}"/>
    <cellStyle name="강조색4 41 2 2" xfId="16238" xr:uid="{00000000-0005-0000-0000-0000353A0000}"/>
    <cellStyle name="강조색4 41 3" xfId="16239" xr:uid="{00000000-0005-0000-0000-0000363A0000}"/>
    <cellStyle name="강조색4 41 4" xfId="16240" xr:uid="{00000000-0005-0000-0000-0000373A0000}"/>
    <cellStyle name="강조색4 41 5" xfId="16241" xr:uid="{00000000-0005-0000-0000-0000383A0000}"/>
    <cellStyle name="강조색4 41 6" xfId="16242" xr:uid="{00000000-0005-0000-0000-0000393A0000}"/>
    <cellStyle name="강조색4 41 7" xfId="16243" xr:uid="{00000000-0005-0000-0000-00003A3A0000}"/>
    <cellStyle name="강조색4 41 8" xfId="16244" xr:uid="{00000000-0005-0000-0000-00003B3A0000}"/>
    <cellStyle name="강조색4 41 9" xfId="16245" xr:uid="{00000000-0005-0000-0000-00003C3A0000}"/>
    <cellStyle name="강조색4 42" xfId="1910" xr:uid="{00000000-0005-0000-0000-00003D3A0000}"/>
    <cellStyle name="강조색4 42 10" xfId="16247" xr:uid="{00000000-0005-0000-0000-00003E3A0000}"/>
    <cellStyle name="강조색4 42 11" xfId="16248" xr:uid="{00000000-0005-0000-0000-00003F3A0000}"/>
    <cellStyle name="강조색4 42 12" xfId="16249" xr:uid="{00000000-0005-0000-0000-0000403A0000}"/>
    <cellStyle name="강조색4 42 13" xfId="16250" xr:uid="{00000000-0005-0000-0000-0000413A0000}"/>
    <cellStyle name="강조색4 42 14" xfId="16251" xr:uid="{00000000-0005-0000-0000-0000423A0000}"/>
    <cellStyle name="강조색4 42 15" xfId="16246" xr:uid="{00000000-0005-0000-0000-0000433A0000}"/>
    <cellStyle name="강조색4 42 2" xfId="1911" xr:uid="{00000000-0005-0000-0000-0000443A0000}"/>
    <cellStyle name="강조색4 42 2 2" xfId="16252" xr:uid="{00000000-0005-0000-0000-0000453A0000}"/>
    <cellStyle name="강조색4 42 3" xfId="16253" xr:uid="{00000000-0005-0000-0000-0000463A0000}"/>
    <cellStyle name="강조색4 42 4" xfId="16254" xr:uid="{00000000-0005-0000-0000-0000473A0000}"/>
    <cellStyle name="강조색4 42 5" xfId="16255" xr:uid="{00000000-0005-0000-0000-0000483A0000}"/>
    <cellStyle name="강조색4 42 6" xfId="16256" xr:uid="{00000000-0005-0000-0000-0000493A0000}"/>
    <cellStyle name="강조색4 42 7" xfId="16257" xr:uid="{00000000-0005-0000-0000-00004A3A0000}"/>
    <cellStyle name="강조색4 42 8" xfId="16258" xr:uid="{00000000-0005-0000-0000-00004B3A0000}"/>
    <cellStyle name="강조색4 42 9" xfId="16259" xr:uid="{00000000-0005-0000-0000-00004C3A0000}"/>
    <cellStyle name="강조색4 43" xfId="1912" xr:uid="{00000000-0005-0000-0000-00004D3A0000}"/>
    <cellStyle name="강조색4 43 10" xfId="16261" xr:uid="{00000000-0005-0000-0000-00004E3A0000}"/>
    <cellStyle name="강조색4 43 11" xfId="16262" xr:uid="{00000000-0005-0000-0000-00004F3A0000}"/>
    <cellStyle name="강조색4 43 12" xfId="16263" xr:uid="{00000000-0005-0000-0000-0000503A0000}"/>
    <cellStyle name="강조색4 43 13" xfId="16264" xr:uid="{00000000-0005-0000-0000-0000513A0000}"/>
    <cellStyle name="강조색4 43 14" xfId="16265" xr:uid="{00000000-0005-0000-0000-0000523A0000}"/>
    <cellStyle name="강조색4 43 15" xfId="16260" xr:uid="{00000000-0005-0000-0000-0000533A0000}"/>
    <cellStyle name="강조색4 43 2" xfId="1913" xr:uid="{00000000-0005-0000-0000-0000543A0000}"/>
    <cellStyle name="강조색4 43 2 2" xfId="16266" xr:uid="{00000000-0005-0000-0000-0000553A0000}"/>
    <cellStyle name="강조색4 43 3" xfId="16267" xr:uid="{00000000-0005-0000-0000-0000563A0000}"/>
    <cellStyle name="강조색4 43 4" xfId="16268" xr:uid="{00000000-0005-0000-0000-0000573A0000}"/>
    <cellStyle name="강조색4 43 5" xfId="16269" xr:uid="{00000000-0005-0000-0000-0000583A0000}"/>
    <cellStyle name="강조색4 43 6" xfId="16270" xr:uid="{00000000-0005-0000-0000-0000593A0000}"/>
    <cellStyle name="강조색4 43 7" xfId="16271" xr:uid="{00000000-0005-0000-0000-00005A3A0000}"/>
    <cellStyle name="강조색4 43 8" xfId="16272" xr:uid="{00000000-0005-0000-0000-00005B3A0000}"/>
    <cellStyle name="강조색4 43 9" xfId="16273" xr:uid="{00000000-0005-0000-0000-00005C3A0000}"/>
    <cellStyle name="강조색4 44" xfId="1914" xr:uid="{00000000-0005-0000-0000-00005D3A0000}"/>
    <cellStyle name="강조색4 44 2" xfId="16274" xr:uid="{00000000-0005-0000-0000-00005E3A0000}"/>
    <cellStyle name="강조색4 45" xfId="1915" xr:uid="{00000000-0005-0000-0000-00005F3A0000}"/>
    <cellStyle name="강조색4 45 2" xfId="16275" xr:uid="{00000000-0005-0000-0000-0000603A0000}"/>
    <cellStyle name="강조색4 46" xfId="1839" xr:uid="{00000000-0005-0000-0000-0000613A0000}"/>
    <cellStyle name="강조색4 47" xfId="15755" xr:uid="{00000000-0005-0000-0000-0000623A0000}"/>
    <cellStyle name="강조색4 48" xfId="27630" xr:uid="{00000000-0005-0000-0000-0000633A0000}"/>
    <cellStyle name="강조색4 5" xfId="1916" xr:uid="{00000000-0005-0000-0000-0000643A0000}"/>
    <cellStyle name="강조색4 5 10" xfId="16277" xr:uid="{00000000-0005-0000-0000-0000653A0000}"/>
    <cellStyle name="강조색4 5 11" xfId="16278" xr:uid="{00000000-0005-0000-0000-0000663A0000}"/>
    <cellStyle name="강조색4 5 12" xfId="16279" xr:uid="{00000000-0005-0000-0000-0000673A0000}"/>
    <cellStyle name="강조색4 5 13" xfId="16280" xr:uid="{00000000-0005-0000-0000-0000683A0000}"/>
    <cellStyle name="강조색4 5 14" xfId="16281" xr:uid="{00000000-0005-0000-0000-0000693A0000}"/>
    <cellStyle name="강조색4 5 15" xfId="16276" xr:uid="{00000000-0005-0000-0000-00006A3A0000}"/>
    <cellStyle name="강조색4 5 2" xfId="1917" xr:uid="{00000000-0005-0000-0000-00006B3A0000}"/>
    <cellStyle name="강조색4 5 2 2" xfId="16282" xr:uid="{00000000-0005-0000-0000-00006C3A0000}"/>
    <cellStyle name="강조색4 5 3" xfId="16283" xr:uid="{00000000-0005-0000-0000-00006D3A0000}"/>
    <cellStyle name="강조색4 5 4" xfId="16284" xr:uid="{00000000-0005-0000-0000-00006E3A0000}"/>
    <cellStyle name="강조색4 5 5" xfId="16285" xr:uid="{00000000-0005-0000-0000-00006F3A0000}"/>
    <cellStyle name="강조색4 5 6" xfId="16286" xr:uid="{00000000-0005-0000-0000-0000703A0000}"/>
    <cellStyle name="강조색4 5 7" xfId="16287" xr:uid="{00000000-0005-0000-0000-0000713A0000}"/>
    <cellStyle name="강조색4 5 8" xfId="16288" xr:uid="{00000000-0005-0000-0000-0000723A0000}"/>
    <cellStyle name="강조색4 5 9" xfId="16289" xr:uid="{00000000-0005-0000-0000-0000733A0000}"/>
    <cellStyle name="강조색4 6" xfId="1918" xr:uid="{00000000-0005-0000-0000-0000743A0000}"/>
    <cellStyle name="강조색4 6 10" xfId="16291" xr:uid="{00000000-0005-0000-0000-0000753A0000}"/>
    <cellStyle name="강조색4 6 11" xfId="16292" xr:uid="{00000000-0005-0000-0000-0000763A0000}"/>
    <cellStyle name="강조색4 6 12" xfId="16293" xr:uid="{00000000-0005-0000-0000-0000773A0000}"/>
    <cellStyle name="강조색4 6 13" xfId="16294" xr:uid="{00000000-0005-0000-0000-0000783A0000}"/>
    <cellStyle name="강조색4 6 14" xfId="16295" xr:uid="{00000000-0005-0000-0000-0000793A0000}"/>
    <cellStyle name="강조색4 6 15" xfId="16290" xr:uid="{00000000-0005-0000-0000-00007A3A0000}"/>
    <cellStyle name="강조색4 6 2" xfId="1919" xr:uid="{00000000-0005-0000-0000-00007B3A0000}"/>
    <cellStyle name="강조색4 6 2 2" xfId="16296" xr:uid="{00000000-0005-0000-0000-00007C3A0000}"/>
    <cellStyle name="강조색4 6 3" xfId="16297" xr:uid="{00000000-0005-0000-0000-00007D3A0000}"/>
    <cellStyle name="강조색4 6 4" xfId="16298" xr:uid="{00000000-0005-0000-0000-00007E3A0000}"/>
    <cellStyle name="강조색4 6 5" xfId="16299" xr:uid="{00000000-0005-0000-0000-00007F3A0000}"/>
    <cellStyle name="강조색4 6 6" xfId="16300" xr:uid="{00000000-0005-0000-0000-0000803A0000}"/>
    <cellStyle name="강조색4 6 7" xfId="16301" xr:uid="{00000000-0005-0000-0000-0000813A0000}"/>
    <cellStyle name="강조색4 6 8" xfId="16302" xr:uid="{00000000-0005-0000-0000-0000823A0000}"/>
    <cellStyle name="강조색4 6 9" xfId="16303" xr:uid="{00000000-0005-0000-0000-0000833A0000}"/>
    <cellStyle name="강조색4 7" xfId="1920" xr:uid="{00000000-0005-0000-0000-0000843A0000}"/>
    <cellStyle name="강조색4 7 10" xfId="16305" xr:uid="{00000000-0005-0000-0000-0000853A0000}"/>
    <cellStyle name="강조색4 7 11" xfId="16306" xr:uid="{00000000-0005-0000-0000-0000863A0000}"/>
    <cellStyle name="강조색4 7 12" xfId="16307" xr:uid="{00000000-0005-0000-0000-0000873A0000}"/>
    <cellStyle name="강조색4 7 13" xfId="16308" xr:uid="{00000000-0005-0000-0000-0000883A0000}"/>
    <cellStyle name="강조색4 7 14" xfId="16309" xr:uid="{00000000-0005-0000-0000-0000893A0000}"/>
    <cellStyle name="강조색4 7 15" xfId="16304" xr:uid="{00000000-0005-0000-0000-00008A3A0000}"/>
    <cellStyle name="강조색4 7 2" xfId="1921" xr:uid="{00000000-0005-0000-0000-00008B3A0000}"/>
    <cellStyle name="강조색4 7 2 2" xfId="16310" xr:uid="{00000000-0005-0000-0000-00008C3A0000}"/>
    <cellStyle name="강조색4 7 3" xfId="16311" xr:uid="{00000000-0005-0000-0000-00008D3A0000}"/>
    <cellStyle name="강조색4 7 4" xfId="16312" xr:uid="{00000000-0005-0000-0000-00008E3A0000}"/>
    <cellStyle name="강조색4 7 5" xfId="16313" xr:uid="{00000000-0005-0000-0000-00008F3A0000}"/>
    <cellStyle name="강조색4 7 6" xfId="16314" xr:uid="{00000000-0005-0000-0000-0000903A0000}"/>
    <cellStyle name="강조색4 7 7" xfId="16315" xr:uid="{00000000-0005-0000-0000-0000913A0000}"/>
    <cellStyle name="강조색4 7 8" xfId="16316" xr:uid="{00000000-0005-0000-0000-0000923A0000}"/>
    <cellStyle name="강조색4 7 9" xfId="16317" xr:uid="{00000000-0005-0000-0000-0000933A0000}"/>
    <cellStyle name="강조색4 8" xfId="1922" xr:uid="{00000000-0005-0000-0000-0000943A0000}"/>
    <cellStyle name="강조색4 8 10" xfId="16319" xr:uid="{00000000-0005-0000-0000-0000953A0000}"/>
    <cellStyle name="강조색4 8 11" xfId="16320" xr:uid="{00000000-0005-0000-0000-0000963A0000}"/>
    <cellStyle name="강조색4 8 12" xfId="16321" xr:uid="{00000000-0005-0000-0000-0000973A0000}"/>
    <cellStyle name="강조색4 8 13" xfId="16322" xr:uid="{00000000-0005-0000-0000-0000983A0000}"/>
    <cellStyle name="강조색4 8 14" xfId="16323" xr:uid="{00000000-0005-0000-0000-0000993A0000}"/>
    <cellStyle name="강조색4 8 15" xfId="16318" xr:uid="{00000000-0005-0000-0000-00009A3A0000}"/>
    <cellStyle name="강조색4 8 2" xfId="1923" xr:uid="{00000000-0005-0000-0000-00009B3A0000}"/>
    <cellStyle name="강조색4 8 2 2" xfId="16324" xr:uid="{00000000-0005-0000-0000-00009C3A0000}"/>
    <cellStyle name="강조색4 8 3" xfId="16325" xr:uid="{00000000-0005-0000-0000-00009D3A0000}"/>
    <cellStyle name="강조색4 8 4" xfId="16326" xr:uid="{00000000-0005-0000-0000-00009E3A0000}"/>
    <cellStyle name="강조색4 8 5" xfId="16327" xr:uid="{00000000-0005-0000-0000-00009F3A0000}"/>
    <cellStyle name="강조색4 8 6" xfId="16328" xr:uid="{00000000-0005-0000-0000-0000A03A0000}"/>
    <cellStyle name="강조색4 8 7" xfId="16329" xr:uid="{00000000-0005-0000-0000-0000A13A0000}"/>
    <cellStyle name="강조색4 8 8" xfId="16330" xr:uid="{00000000-0005-0000-0000-0000A23A0000}"/>
    <cellStyle name="강조색4 8 9" xfId="16331" xr:uid="{00000000-0005-0000-0000-0000A33A0000}"/>
    <cellStyle name="강조색4 9" xfId="1924" xr:uid="{00000000-0005-0000-0000-0000A43A0000}"/>
    <cellStyle name="강조색4 9 10" xfId="16333" xr:uid="{00000000-0005-0000-0000-0000A53A0000}"/>
    <cellStyle name="강조색4 9 11" xfId="16334" xr:uid="{00000000-0005-0000-0000-0000A63A0000}"/>
    <cellStyle name="강조색4 9 12" xfId="16335" xr:uid="{00000000-0005-0000-0000-0000A73A0000}"/>
    <cellStyle name="강조색4 9 13" xfId="16336" xr:uid="{00000000-0005-0000-0000-0000A83A0000}"/>
    <cellStyle name="강조색4 9 14" xfId="16337" xr:uid="{00000000-0005-0000-0000-0000A93A0000}"/>
    <cellStyle name="강조색4 9 15" xfId="16332" xr:uid="{00000000-0005-0000-0000-0000AA3A0000}"/>
    <cellStyle name="강조색4 9 2" xfId="1925" xr:uid="{00000000-0005-0000-0000-0000AB3A0000}"/>
    <cellStyle name="강조색4 9 2 2" xfId="16338" xr:uid="{00000000-0005-0000-0000-0000AC3A0000}"/>
    <cellStyle name="강조색4 9 3" xfId="16339" xr:uid="{00000000-0005-0000-0000-0000AD3A0000}"/>
    <cellStyle name="강조색4 9 4" xfId="16340" xr:uid="{00000000-0005-0000-0000-0000AE3A0000}"/>
    <cellStyle name="강조색4 9 5" xfId="16341" xr:uid="{00000000-0005-0000-0000-0000AF3A0000}"/>
    <cellStyle name="강조색4 9 6" xfId="16342" xr:uid="{00000000-0005-0000-0000-0000B03A0000}"/>
    <cellStyle name="강조색4 9 7" xfId="16343" xr:uid="{00000000-0005-0000-0000-0000B13A0000}"/>
    <cellStyle name="강조색4 9 8" xfId="16344" xr:uid="{00000000-0005-0000-0000-0000B23A0000}"/>
    <cellStyle name="강조색4 9 9" xfId="16345" xr:uid="{00000000-0005-0000-0000-0000B33A0000}"/>
    <cellStyle name="강조색5 10" xfId="1927" xr:uid="{00000000-0005-0000-0000-0000B43A0000}"/>
    <cellStyle name="강조색5 10 10" xfId="16348" xr:uid="{00000000-0005-0000-0000-0000B53A0000}"/>
    <cellStyle name="강조색5 10 11" xfId="16349" xr:uid="{00000000-0005-0000-0000-0000B63A0000}"/>
    <cellStyle name="강조색5 10 12" xfId="16350" xr:uid="{00000000-0005-0000-0000-0000B73A0000}"/>
    <cellStyle name="강조색5 10 13" xfId="16351" xr:uid="{00000000-0005-0000-0000-0000B83A0000}"/>
    <cellStyle name="강조색5 10 14" xfId="16352" xr:uid="{00000000-0005-0000-0000-0000B93A0000}"/>
    <cellStyle name="강조색5 10 15" xfId="16347" xr:uid="{00000000-0005-0000-0000-0000BA3A0000}"/>
    <cellStyle name="강조색5 10 2" xfId="1928" xr:uid="{00000000-0005-0000-0000-0000BB3A0000}"/>
    <cellStyle name="강조색5 10 2 2" xfId="16353" xr:uid="{00000000-0005-0000-0000-0000BC3A0000}"/>
    <cellStyle name="강조색5 10 3" xfId="16354" xr:uid="{00000000-0005-0000-0000-0000BD3A0000}"/>
    <cellStyle name="강조색5 10 4" xfId="16355" xr:uid="{00000000-0005-0000-0000-0000BE3A0000}"/>
    <cellStyle name="강조색5 10 5" xfId="16356" xr:uid="{00000000-0005-0000-0000-0000BF3A0000}"/>
    <cellStyle name="강조색5 10 6" xfId="16357" xr:uid="{00000000-0005-0000-0000-0000C03A0000}"/>
    <cellStyle name="강조색5 10 7" xfId="16358" xr:uid="{00000000-0005-0000-0000-0000C13A0000}"/>
    <cellStyle name="강조색5 10 8" xfId="16359" xr:uid="{00000000-0005-0000-0000-0000C23A0000}"/>
    <cellStyle name="강조색5 10 9" xfId="16360" xr:uid="{00000000-0005-0000-0000-0000C33A0000}"/>
    <cellStyle name="강조색5 11" xfId="1929" xr:uid="{00000000-0005-0000-0000-0000C43A0000}"/>
    <cellStyle name="강조색5 11 10" xfId="16362" xr:uid="{00000000-0005-0000-0000-0000C53A0000}"/>
    <cellStyle name="강조색5 11 11" xfId="16363" xr:uid="{00000000-0005-0000-0000-0000C63A0000}"/>
    <cellStyle name="강조색5 11 12" xfId="16364" xr:uid="{00000000-0005-0000-0000-0000C73A0000}"/>
    <cellStyle name="강조색5 11 13" xfId="16365" xr:uid="{00000000-0005-0000-0000-0000C83A0000}"/>
    <cellStyle name="강조색5 11 14" xfId="16366" xr:uid="{00000000-0005-0000-0000-0000C93A0000}"/>
    <cellStyle name="강조색5 11 15" xfId="16361" xr:uid="{00000000-0005-0000-0000-0000CA3A0000}"/>
    <cellStyle name="강조색5 11 2" xfId="1930" xr:uid="{00000000-0005-0000-0000-0000CB3A0000}"/>
    <cellStyle name="강조색5 11 2 2" xfId="16367" xr:uid="{00000000-0005-0000-0000-0000CC3A0000}"/>
    <cellStyle name="강조색5 11 3" xfId="16368" xr:uid="{00000000-0005-0000-0000-0000CD3A0000}"/>
    <cellStyle name="강조색5 11 4" xfId="16369" xr:uid="{00000000-0005-0000-0000-0000CE3A0000}"/>
    <cellStyle name="강조색5 11 5" xfId="16370" xr:uid="{00000000-0005-0000-0000-0000CF3A0000}"/>
    <cellStyle name="강조색5 11 6" xfId="16371" xr:uid="{00000000-0005-0000-0000-0000D03A0000}"/>
    <cellStyle name="강조색5 11 7" xfId="16372" xr:uid="{00000000-0005-0000-0000-0000D13A0000}"/>
    <cellStyle name="강조색5 11 8" xfId="16373" xr:uid="{00000000-0005-0000-0000-0000D23A0000}"/>
    <cellStyle name="강조색5 11 9" xfId="16374" xr:uid="{00000000-0005-0000-0000-0000D33A0000}"/>
    <cellStyle name="강조색5 12" xfId="1931" xr:uid="{00000000-0005-0000-0000-0000D43A0000}"/>
    <cellStyle name="강조색5 12 10" xfId="16376" xr:uid="{00000000-0005-0000-0000-0000D53A0000}"/>
    <cellStyle name="강조색5 12 11" xfId="16377" xr:uid="{00000000-0005-0000-0000-0000D63A0000}"/>
    <cellStyle name="강조색5 12 12" xfId="16378" xr:uid="{00000000-0005-0000-0000-0000D73A0000}"/>
    <cellStyle name="강조색5 12 13" xfId="16379" xr:uid="{00000000-0005-0000-0000-0000D83A0000}"/>
    <cellStyle name="강조색5 12 14" xfId="16380" xr:uid="{00000000-0005-0000-0000-0000D93A0000}"/>
    <cellStyle name="강조색5 12 15" xfId="16375" xr:uid="{00000000-0005-0000-0000-0000DA3A0000}"/>
    <cellStyle name="강조색5 12 2" xfId="1932" xr:uid="{00000000-0005-0000-0000-0000DB3A0000}"/>
    <cellStyle name="강조색5 12 2 2" xfId="16381" xr:uid="{00000000-0005-0000-0000-0000DC3A0000}"/>
    <cellStyle name="강조색5 12 3" xfId="16382" xr:uid="{00000000-0005-0000-0000-0000DD3A0000}"/>
    <cellStyle name="강조색5 12 4" xfId="16383" xr:uid="{00000000-0005-0000-0000-0000DE3A0000}"/>
    <cellStyle name="강조색5 12 5" xfId="16384" xr:uid="{00000000-0005-0000-0000-0000DF3A0000}"/>
    <cellStyle name="강조색5 12 6" xfId="16385" xr:uid="{00000000-0005-0000-0000-0000E03A0000}"/>
    <cellStyle name="강조색5 12 7" xfId="16386" xr:uid="{00000000-0005-0000-0000-0000E13A0000}"/>
    <cellStyle name="강조색5 12 8" xfId="16387" xr:uid="{00000000-0005-0000-0000-0000E23A0000}"/>
    <cellStyle name="강조색5 12 9" xfId="16388" xr:uid="{00000000-0005-0000-0000-0000E33A0000}"/>
    <cellStyle name="강조색5 13" xfId="1933" xr:uid="{00000000-0005-0000-0000-0000E43A0000}"/>
    <cellStyle name="강조색5 13 10" xfId="16390" xr:uid="{00000000-0005-0000-0000-0000E53A0000}"/>
    <cellStyle name="강조색5 13 11" xfId="16391" xr:uid="{00000000-0005-0000-0000-0000E63A0000}"/>
    <cellStyle name="강조색5 13 12" xfId="16392" xr:uid="{00000000-0005-0000-0000-0000E73A0000}"/>
    <cellStyle name="강조색5 13 13" xfId="16393" xr:uid="{00000000-0005-0000-0000-0000E83A0000}"/>
    <cellStyle name="강조색5 13 14" xfId="16394" xr:uid="{00000000-0005-0000-0000-0000E93A0000}"/>
    <cellStyle name="강조색5 13 15" xfId="16389" xr:uid="{00000000-0005-0000-0000-0000EA3A0000}"/>
    <cellStyle name="강조색5 13 2" xfId="1934" xr:uid="{00000000-0005-0000-0000-0000EB3A0000}"/>
    <cellStyle name="강조색5 13 2 2" xfId="16395" xr:uid="{00000000-0005-0000-0000-0000EC3A0000}"/>
    <cellStyle name="강조색5 13 3" xfId="16396" xr:uid="{00000000-0005-0000-0000-0000ED3A0000}"/>
    <cellStyle name="강조색5 13 4" xfId="16397" xr:uid="{00000000-0005-0000-0000-0000EE3A0000}"/>
    <cellStyle name="강조색5 13 5" xfId="16398" xr:uid="{00000000-0005-0000-0000-0000EF3A0000}"/>
    <cellStyle name="강조색5 13 6" xfId="16399" xr:uid="{00000000-0005-0000-0000-0000F03A0000}"/>
    <cellStyle name="강조색5 13 7" xfId="16400" xr:uid="{00000000-0005-0000-0000-0000F13A0000}"/>
    <cellStyle name="강조색5 13 8" xfId="16401" xr:uid="{00000000-0005-0000-0000-0000F23A0000}"/>
    <cellStyle name="강조색5 13 9" xfId="16402" xr:uid="{00000000-0005-0000-0000-0000F33A0000}"/>
    <cellStyle name="강조색5 14" xfId="1935" xr:uid="{00000000-0005-0000-0000-0000F43A0000}"/>
    <cellStyle name="강조색5 14 10" xfId="16404" xr:uid="{00000000-0005-0000-0000-0000F53A0000}"/>
    <cellStyle name="강조색5 14 11" xfId="16405" xr:uid="{00000000-0005-0000-0000-0000F63A0000}"/>
    <cellStyle name="강조색5 14 12" xfId="16406" xr:uid="{00000000-0005-0000-0000-0000F73A0000}"/>
    <cellStyle name="강조색5 14 13" xfId="16407" xr:uid="{00000000-0005-0000-0000-0000F83A0000}"/>
    <cellStyle name="강조색5 14 14" xfId="16408" xr:uid="{00000000-0005-0000-0000-0000F93A0000}"/>
    <cellStyle name="강조색5 14 15" xfId="16403" xr:uid="{00000000-0005-0000-0000-0000FA3A0000}"/>
    <cellStyle name="강조색5 14 2" xfId="1936" xr:uid="{00000000-0005-0000-0000-0000FB3A0000}"/>
    <cellStyle name="강조색5 14 2 2" xfId="16409" xr:uid="{00000000-0005-0000-0000-0000FC3A0000}"/>
    <cellStyle name="강조색5 14 3" xfId="16410" xr:uid="{00000000-0005-0000-0000-0000FD3A0000}"/>
    <cellStyle name="강조색5 14 4" xfId="16411" xr:uid="{00000000-0005-0000-0000-0000FE3A0000}"/>
    <cellStyle name="강조색5 14 5" xfId="16412" xr:uid="{00000000-0005-0000-0000-0000FF3A0000}"/>
    <cellStyle name="강조색5 14 6" xfId="16413" xr:uid="{00000000-0005-0000-0000-0000003B0000}"/>
    <cellStyle name="강조색5 14 7" xfId="16414" xr:uid="{00000000-0005-0000-0000-0000013B0000}"/>
    <cellStyle name="강조색5 14 8" xfId="16415" xr:uid="{00000000-0005-0000-0000-0000023B0000}"/>
    <cellStyle name="강조색5 14 9" xfId="16416" xr:uid="{00000000-0005-0000-0000-0000033B0000}"/>
    <cellStyle name="강조색5 15" xfId="1937" xr:uid="{00000000-0005-0000-0000-0000043B0000}"/>
    <cellStyle name="강조색5 15 10" xfId="16418" xr:uid="{00000000-0005-0000-0000-0000053B0000}"/>
    <cellStyle name="강조색5 15 11" xfId="16419" xr:uid="{00000000-0005-0000-0000-0000063B0000}"/>
    <cellStyle name="강조색5 15 12" xfId="16420" xr:uid="{00000000-0005-0000-0000-0000073B0000}"/>
    <cellStyle name="강조색5 15 13" xfId="16421" xr:uid="{00000000-0005-0000-0000-0000083B0000}"/>
    <cellStyle name="강조색5 15 14" xfId="16422" xr:uid="{00000000-0005-0000-0000-0000093B0000}"/>
    <cellStyle name="강조색5 15 15" xfId="16417" xr:uid="{00000000-0005-0000-0000-00000A3B0000}"/>
    <cellStyle name="강조색5 15 2" xfId="1938" xr:uid="{00000000-0005-0000-0000-00000B3B0000}"/>
    <cellStyle name="강조색5 15 2 2" xfId="16423" xr:uid="{00000000-0005-0000-0000-00000C3B0000}"/>
    <cellStyle name="강조색5 15 3" xfId="16424" xr:uid="{00000000-0005-0000-0000-00000D3B0000}"/>
    <cellStyle name="강조색5 15 4" xfId="16425" xr:uid="{00000000-0005-0000-0000-00000E3B0000}"/>
    <cellStyle name="강조색5 15 5" xfId="16426" xr:uid="{00000000-0005-0000-0000-00000F3B0000}"/>
    <cellStyle name="강조색5 15 6" xfId="16427" xr:uid="{00000000-0005-0000-0000-0000103B0000}"/>
    <cellStyle name="강조색5 15 7" xfId="16428" xr:uid="{00000000-0005-0000-0000-0000113B0000}"/>
    <cellStyle name="강조색5 15 8" xfId="16429" xr:uid="{00000000-0005-0000-0000-0000123B0000}"/>
    <cellStyle name="강조색5 15 9" xfId="16430" xr:uid="{00000000-0005-0000-0000-0000133B0000}"/>
    <cellStyle name="강조색5 16" xfId="1939" xr:uid="{00000000-0005-0000-0000-0000143B0000}"/>
    <cellStyle name="강조색5 16 10" xfId="16432" xr:uid="{00000000-0005-0000-0000-0000153B0000}"/>
    <cellStyle name="강조색5 16 11" xfId="16433" xr:uid="{00000000-0005-0000-0000-0000163B0000}"/>
    <cellStyle name="강조색5 16 12" xfId="16434" xr:uid="{00000000-0005-0000-0000-0000173B0000}"/>
    <cellStyle name="강조색5 16 13" xfId="16435" xr:uid="{00000000-0005-0000-0000-0000183B0000}"/>
    <cellStyle name="강조색5 16 14" xfId="16436" xr:uid="{00000000-0005-0000-0000-0000193B0000}"/>
    <cellStyle name="강조색5 16 15" xfId="16431" xr:uid="{00000000-0005-0000-0000-00001A3B0000}"/>
    <cellStyle name="강조색5 16 2" xfId="1940" xr:uid="{00000000-0005-0000-0000-00001B3B0000}"/>
    <cellStyle name="강조색5 16 2 2" xfId="16437" xr:uid="{00000000-0005-0000-0000-00001C3B0000}"/>
    <cellStyle name="강조색5 16 3" xfId="16438" xr:uid="{00000000-0005-0000-0000-00001D3B0000}"/>
    <cellStyle name="강조색5 16 4" xfId="16439" xr:uid="{00000000-0005-0000-0000-00001E3B0000}"/>
    <cellStyle name="강조색5 16 5" xfId="16440" xr:uid="{00000000-0005-0000-0000-00001F3B0000}"/>
    <cellStyle name="강조색5 16 6" xfId="16441" xr:uid="{00000000-0005-0000-0000-0000203B0000}"/>
    <cellStyle name="강조색5 16 7" xfId="16442" xr:uid="{00000000-0005-0000-0000-0000213B0000}"/>
    <cellStyle name="강조색5 16 8" xfId="16443" xr:uid="{00000000-0005-0000-0000-0000223B0000}"/>
    <cellStyle name="강조색5 16 9" xfId="16444" xr:uid="{00000000-0005-0000-0000-0000233B0000}"/>
    <cellStyle name="강조색5 17" xfId="1941" xr:uid="{00000000-0005-0000-0000-0000243B0000}"/>
    <cellStyle name="강조색5 17 10" xfId="16446" xr:uid="{00000000-0005-0000-0000-0000253B0000}"/>
    <cellStyle name="강조색5 17 11" xfId="16447" xr:uid="{00000000-0005-0000-0000-0000263B0000}"/>
    <cellStyle name="강조색5 17 12" xfId="16448" xr:uid="{00000000-0005-0000-0000-0000273B0000}"/>
    <cellStyle name="강조색5 17 13" xfId="16449" xr:uid="{00000000-0005-0000-0000-0000283B0000}"/>
    <cellStyle name="강조색5 17 14" xfId="16450" xr:uid="{00000000-0005-0000-0000-0000293B0000}"/>
    <cellStyle name="강조색5 17 15" xfId="16445" xr:uid="{00000000-0005-0000-0000-00002A3B0000}"/>
    <cellStyle name="강조색5 17 2" xfId="1942" xr:uid="{00000000-0005-0000-0000-00002B3B0000}"/>
    <cellStyle name="강조색5 17 2 2" xfId="16451" xr:uid="{00000000-0005-0000-0000-00002C3B0000}"/>
    <cellStyle name="강조색5 17 3" xfId="16452" xr:uid="{00000000-0005-0000-0000-00002D3B0000}"/>
    <cellStyle name="강조색5 17 4" xfId="16453" xr:uid="{00000000-0005-0000-0000-00002E3B0000}"/>
    <cellStyle name="강조색5 17 5" xfId="16454" xr:uid="{00000000-0005-0000-0000-00002F3B0000}"/>
    <cellStyle name="강조색5 17 6" xfId="16455" xr:uid="{00000000-0005-0000-0000-0000303B0000}"/>
    <cellStyle name="강조색5 17 7" xfId="16456" xr:uid="{00000000-0005-0000-0000-0000313B0000}"/>
    <cellStyle name="강조색5 17 8" xfId="16457" xr:uid="{00000000-0005-0000-0000-0000323B0000}"/>
    <cellStyle name="강조색5 17 9" xfId="16458" xr:uid="{00000000-0005-0000-0000-0000333B0000}"/>
    <cellStyle name="강조색5 18" xfId="1943" xr:uid="{00000000-0005-0000-0000-0000343B0000}"/>
    <cellStyle name="강조색5 18 10" xfId="16460" xr:uid="{00000000-0005-0000-0000-0000353B0000}"/>
    <cellStyle name="강조색5 18 11" xfId="16461" xr:uid="{00000000-0005-0000-0000-0000363B0000}"/>
    <cellStyle name="강조색5 18 12" xfId="16462" xr:uid="{00000000-0005-0000-0000-0000373B0000}"/>
    <cellStyle name="강조색5 18 13" xfId="16463" xr:uid="{00000000-0005-0000-0000-0000383B0000}"/>
    <cellStyle name="강조색5 18 14" xfId="16464" xr:uid="{00000000-0005-0000-0000-0000393B0000}"/>
    <cellStyle name="강조색5 18 15" xfId="16459" xr:uid="{00000000-0005-0000-0000-00003A3B0000}"/>
    <cellStyle name="강조색5 18 2" xfId="1944" xr:uid="{00000000-0005-0000-0000-00003B3B0000}"/>
    <cellStyle name="강조색5 18 2 2" xfId="16465" xr:uid="{00000000-0005-0000-0000-00003C3B0000}"/>
    <cellStyle name="강조색5 18 3" xfId="16466" xr:uid="{00000000-0005-0000-0000-00003D3B0000}"/>
    <cellStyle name="강조색5 18 4" xfId="16467" xr:uid="{00000000-0005-0000-0000-00003E3B0000}"/>
    <cellStyle name="강조색5 18 5" xfId="16468" xr:uid="{00000000-0005-0000-0000-00003F3B0000}"/>
    <cellStyle name="강조색5 18 6" xfId="16469" xr:uid="{00000000-0005-0000-0000-0000403B0000}"/>
    <cellStyle name="강조색5 18 7" xfId="16470" xr:uid="{00000000-0005-0000-0000-0000413B0000}"/>
    <cellStyle name="강조색5 18 8" xfId="16471" xr:uid="{00000000-0005-0000-0000-0000423B0000}"/>
    <cellStyle name="강조색5 18 9" xfId="16472" xr:uid="{00000000-0005-0000-0000-0000433B0000}"/>
    <cellStyle name="강조색5 19" xfId="1945" xr:uid="{00000000-0005-0000-0000-0000443B0000}"/>
    <cellStyle name="강조색5 19 10" xfId="16474" xr:uid="{00000000-0005-0000-0000-0000453B0000}"/>
    <cellStyle name="강조색5 19 11" xfId="16475" xr:uid="{00000000-0005-0000-0000-0000463B0000}"/>
    <cellStyle name="강조색5 19 12" xfId="16476" xr:uid="{00000000-0005-0000-0000-0000473B0000}"/>
    <cellStyle name="강조색5 19 13" xfId="16477" xr:uid="{00000000-0005-0000-0000-0000483B0000}"/>
    <cellStyle name="강조색5 19 14" xfId="16478" xr:uid="{00000000-0005-0000-0000-0000493B0000}"/>
    <cellStyle name="강조색5 19 15" xfId="16473" xr:uid="{00000000-0005-0000-0000-00004A3B0000}"/>
    <cellStyle name="강조색5 19 2" xfId="1946" xr:uid="{00000000-0005-0000-0000-00004B3B0000}"/>
    <cellStyle name="강조색5 19 2 2" xfId="16479" xr:uid="{00000000-0005-0000-0000-00004C3B0000}"/>
    <cellStyle name="강조색5 19 3" xfId="16480" xr:uid="{00000000-0005-0000-0000-00004D3B0000}"/>
    <cellStyle name="강조색5 19 4" xfId="16481" xr:uid="{00000000-0005-0000-0000-00004E3B0000}"/>
    <cellStyle name="강조색5 19 5" xfId="16482" xr:uid="{00000000-0005-0000-0000-00004F3B0000}"/>
    <cellStyle name="강조색5 19 6" xfId="16483" xr:uid="{00000000-0005-0000-0000-0000503B0000}"/>
    <cellStyle name="강조색5 19 7" xfId="16484" xr:uid="{00000000-0005-0000-0000-0000513B0000}"/>
    <cellStyle name="강조색5 19 8" xfId="16485" xr:uid="{00000000-0005-0000-0000-0000523B0000}"/>
    <cellStyle name="강조색5 19 9" xfId="16486" xr:uid="{00000000-0005-0000-0000-0000533B0000}"/>
    <cellStyle name="강조색5 2" xfId="1947" xr:uid="{00000000-0005-0000-0000-0000543B0000}"/>
    <cellStyle name="강조색5 2 10" xfId="16488" xr:uid="{00000000-0005-0000-0000-0000553B0000}"/>
    <cellStyle name="강조색5 2 11" xfId="16489" xr:uid="{00000000-0005-0000-0000-0000563B0000}"/>
    <cellStyle name="강조색5 2 12" xfId="16490" xr:uid="{00000000-0005-0000-0000-0000573B0000}"/>
    <cellStyle name="강조색5 2 13" xfId="16491" xr:uid="{00000000-0005-0000-0000-0000583B0000}"/>
    <cellStyle name="강조색5 2 14" xfId="16492" xr:uid="{00000000-0005-0000-0000-0000593B0000}"/>
    <cellStyle name="강조색5 2 15" xfId="16487" xr:uid="{00000000-0005-0000-0000-00005A3B0000}"/>
    <cellStyle name="강조색5 2 16" xfId="27955" xr:uid="{00000000-0005-0000-0000-00005B3B0000}"/>
    <cellStyle name="강조색5 2 2" xfId="1948" xr:uid="{00000000-0005-0000-0000-00005C3B0000}"/>
    <cellStyle name="강조색5 2 2 2" xfId="16493" xr:uid="{00000000-0005-0000-0000-00005D3B0000}"/>
    <cellStyle name="강조색5 2 3" xfId="16494" xr:uid="{00000000-0005-0000-0000-00005E3B0000}"/>
    <cellStyle name="강조색5 2 4" xfId="16495" xr:uid="{00000000-0005-0000-0000-00005F3B0000}"/>
    <cellStyle name="강조색5 2 5" xfId="16496" xr:uid="{00000000-0005-0000-0000-0000603B0000}"/>
    <cellStyle name="강조색5 2 6" xfId="16497" xr:uid="{00000000-0005-0000-0000-0000613B0000}"/>
    <cellStyle name="강조색5 2 7" xfId="16498" xr:uid="{00000000-0005-0000-0000-0000623B0000}"/>
    <cellStyle name="강조색5 2 8" xfId="16499" xr:uid="{00000000-0005-0000-0000-0000633B0000}"/>
    <cellStyle name="강조색5 2 9" xfId="16500" xr:uid="{00000000-0005-0000-0000-0000643B0000}"/>
    <cellStyle name="강조색5 20" xfId="1949" xr:uid="{00000000-0005-0000-0000-0000653B0000}"/>
    <cellStyle name="강조색5 20 10" xfId="16502" xr:uid="{00000000-0005-0000-0000-0000663B0000}"/>
    <cellStyle name="강조색5 20 11" xfId="16503" xr:uid="{00000000-0005-0000-0000-0000673B0000}"/>
    <cellStyle name="강조색5 20 12" xfId="16504" xr:uid="{00000000-0005-0000-0000-0000683B0000}"/>
    <cellStyle name="강조색5 20 13" xfId="16505" xr:uid="{00000000-0005-0000-0000-0000693B0000}"/>
    <cellStyle name="강조색5 20 14" xfId="16506" xr:uid="{00000000-0005-0000-0000-00006A3B0000}"/>
    <cellStyle name="강조색5 20 15" xfId="16501" xr:uid="{00000000-0005-0000-0000-00006B3B0000}"/>
    <cellStyle name="강조색5 20 2" xfId="1950" xr:uid="{00000000-0005-0000-0000-00006C3B0000}"/>
    <cellStyle name="강조색5 20 2 2" xfId="16507" xr:uid="{00000000-0005-0000-0000-00006D3B0000}"/>
    <cellStyle name="강조색5 20 3" xfId="16508" xr:uid="{00000000-0005-0000-0000-00006E3B0000}"/>
    <cellStyle name="강조색5 20 4" xfId="16509" xr:uid="{00000000-0005-0000-0000-00006F3B0000}"/>
    <cellStyle name="강조색5 20 5" xfId="16510" xr:uid="{00000000-0005-0000-0000-0000703B0000}"/>
    <cellStyle name="강조색5 20 6" xfId="16511" xr:uid="{00000000-0005-0000-0000-0000713B0000}"/>
    <cellStyle name="강조색5 20 7" xfId="16512" xr:uid="{00000000-0005-0000-0000-0000723B0000}"/>
    <cellStyle name="강조색5 20 8" xfId="16513" xr:uid="{00000000-0005-0000-0000-0000733B0000}"/>
    <cellStyle name="강조색5 20 9" xfId="16514" xr:uid="{00000000-0005-0000-0000-0000743B0000}"/>
    <cellStyle name="강조색5 21" xfId="1951" xr:uid="{00000000-0005-0000-0000-0000753B0000}"/>
    <cellStyle name="강조색5 21 10" xfId="16516" xr:uid="{00000000-0005-0000-0000-0000763B0000}"/>
    <cellStyle name="강조색5 21 11" xfId="16517" xr:uid="{00000000-0005-0000-0000-0000773B0000}"/>
    <cellStyle name="강조색5 21 12" xfId="16518" xr:uid="{00000000-0005-0000-0000-0000783B0000}"/>
    <cellStyle name="강조색5 21 13" xfId="16519" xr:uid="{00000000-0005-0000-0000-0000793B0000}"/>
    <cellStyle name="강조색5 21 14" xfId="16520" xr:uid="{00000000-0005-0000-0000-00007A3B0000}"/>
    <cellStyle name="강조색5 21 15" xfId="16515" xr:uid="{00000000-0005-0000-0000-00007B3B0000}"/>
    <cellStyle name="강조색5 21 2" xfId="1952" xr:uid="{00000000-0005-0000-0000-00007C3B0000}"/>
    <cellStyle name="강조색5 21 2 2" xfId="16521" xr:uid="{00000000-0005-0000-0000-00007D3B0000}"/>
    <cellStyle name="강조색5 21 3" xfId="16522" xr:uid="{00000000-0005-0000-0000-00007E3B0000}"/>
    <cellStyle name="강조색5 21 4" xfId="16523" xr:uid="{00000000-0005-0000-0000-00007F3B0000}"/>
    <cellStyle name="강조색5 21 5" xfId="16524" xr:uid="{00000000-0005-0000-0000-0000803B0000}"/>
    <cellStyle name="강조색5 21 6" xfId="16525" xr:uid="{00000000-0005-0000-0000-0000813B0000}"/>
    <cellStyle name="강조색5 21 7" xfId="16526" xr:uid="{00000000-0005-0000-0000-0000823B0000}"/>
    <cellStyle name="강조색5 21 8" xfId="16527" xr:uid="{00000000-0005-0000-0000-0000833B0000}"/>
    <cellStyle name="강조색5 21 9" xfId="16528" xr:uid="{00000000-0005-0000-0000-0000843B0000}"/>
    <cellStyle name="강조색5 22" xfId="1953" xr:uid="{00000000-0005-0000-0000-0000853B0000}"/>
    <cellStyle name="강조색5 22 10" xfId="16530" xr:uid="{00000000-0005-0000-0000-0000863B0000}"/>
    <cellStyle name="강조색5 22 11" xfId="16531" xr:uid="{00000000-0005-0000-0000-0000873B0000}"/>
    <cellStyle name="강조색5 22 12" xfId="16532" xr:uid="{00000000-0005-0000-0000-0000883B0000}"/>
    <cellStyle name="강조색5 22 13" xfId="16533" xr:uid="{00000000-0005-0000-0000-0000893B0000}"/>
    <cellStyle name="강조색5 22 14" xfId="16534" xr:uid="{00000000-0005-0000-0000-00008A3B0000}"/>
    <cellStyle name="강조색5 22 15" xfId="16529" xr:uid="{00000000-0005-0000-0000-00008B3B0000}"/>
    <cellStyle name="강조색5 22 2" xfId="1954" xr:uid="{00000000-0005-0000-0000-00008C3B0000}"/>
    <cellStyle name="강조색5 22 2 2" xfId="16535" xr:uid="{00000000-0005-0000-0000-00008D3B0000}"/>
    <cellStyle name="강조색5 22 3" xfId="16536" xr:uid="{00000000-0005-0000-0000-00008E3B0000}"/>
    <cellStyle name="강조색5 22 4" xfId="16537" xr:uid="{00000000-0005-0000-0000-00008F3B0000}"/>
    <cellStyle name="강조색5 22 5" xfId="16538" xr:uid="{00000000-0005-0000-0000-0000903B0000}"/>
    <cellStyle name="강조색5 22 6" xfId="16539" xr:uid="{00000000-0005-0000-0000-0000913B0000}"/>
    <cellStyle name="강조색5 22 7" xfId="16540" xr:uid="{00000000-0005-0000-0000-0000923B0000}"/>
    <cellStyle name="강조색5 22 8" xfId="16541" xr:uid="{00000000-0005-0000-0000-0000933B0000}"/>
    <cellStyle name="강조색5 22 9" xfId="16542" xr:uid="{00000000-0005-0000-0000-0000943B0000}"/>
    <cellStyle name="강조색5 23" xfId="1955" xr:uid="{00000000-0005-0000-0000-0000953B0000}"/>
    <cellStyle name="강조색5 23 10" xfId="16544" xr:uid="{00000000-0005-0000-0000-0000963B0000}"/>
    <cellStyle name="강조색5 23 11" xfId="16545" xr:uid="{00000000-0005-0000-0000-0000973B0000}"/>
    <cellStyle name="강조색5 23 12" xfId="16546" xr:uid="{00000000-0005-0000-0000-0000983B0000}"/>
    <cellStyle name="강조색5 23 13" xfId="16547" xr:uid="{00000000-0005-0000-0000-0000993B0000}"/>
    <cellStyle name="강조색5 23 14" xfId="16548" xr:uid="{00000000-0005-0000-0000-00009A3B0000}"/>
    <cellStyle name="강조색5 23 15" xfId="16543" xr:uid="{00000000-0005-0000-0000-00009B3B0000}"/>
    <cellStyle name="강조색5 23 2" xfId="1956" xr:uid="{00000000-0005-0000-0000-00009C3B0000}"/>
    <cellStyle name="강조색5 23 2 2" xfId="16549" xr:uid="{00000000-0005-0000-0000-00009D3B0000}"/>
    <cellStyle name="강조색5 23 3" xfId="16550" xr:uid="{00000000-0005-0000-0000-00009E3B0000}"/>
    <cellStyle name="강조색5 23 4" xfId="16551" xr:uid="{00000000-0005-0000-0000-00009F3B0000}"/>
    <cellStyle name="강조색5 23 5" xfId="16552" xr:uid="{00000000-0005-0000-0000-0000A03B0000}"/>
    <cellStyle name="강조색5 23 6" xfId="16553" xr:uid="{00000000-0005-0000-0000-0000A13B0000}"/>
    <cellStyle name="강조색5 23 7" xfId="16554" xr:uid="{00000000-0005-0000-0000-0000A23B0000}"/>
    <cellStyle name="강조색5 23 8" xfId="16555" xr:uid="{00000000-0005-0000-0000-0000A33B0000}"/>
    <cellStyle name="강조색5 23 9" xfId="16556" xr:uid="{00000000-0005-0000-0000-0000A43B0000}"/>
    <cellStyle name="강조색5 24" xfId="1957" xr:uid="{00000000-0005-0000-0000-0000A53B0000}"/>
    <cellStyle name="강조색5 24 10" xfId="16558" xr:uid="{00000000-0005-0000-0000-0000A63B0000}"/>
    <cellStyle name="강조색5 24 11" xfId="16559" xr:uid="{00000000-0005-0000-0000-0000A73B0000}"/>
    <cellStyle name="강조색5 24 12" xfId="16560" xr:uid="{00000000-0005-0000-0000-0000A83B0000}"/>
    <cellStyle name="강조색5 24 13" xfId="16561" xr:uid="{00000000-0005-0000-0000-0000A93B0000}"/>
    <cellStyle name="강조색5 24 14" xfId="16562" xr:uid="{00000000-0005-0000-0000-0000AA3B0000}"/>
    <cellStyle name="강조색5 24 15" xfId="16557" xr:uid="{00000000-0005-0000-0000-0000AB3B0000}"/>
    <cellStyle name="강조색5 24 2" xfId="1958" xr:uid="{00000000-0005-0000-0000-0000AC3B0000}"/>
    <cellStyle name="강조색5 24 2 2" xfId="16563" xr:uid="{00000000-0005-0000-0000-0000AD3B0000}"/>
    <cellStyle name="강조색5 24 3" xfId="16564" xr:uid="{00000000-0005-0000-0000-0000AE3B0000}"/>
    <cellStyle name="강조색5 24 4" xfId="16565" xr:uid="{00000000-0005-0000-0000-0000AF3B0000}"/>
    <cellStyle name="강조색5 24 5" xfId="16566" xr:uid="{00000000-0005-0000-0000-0000B03B0000}"/>
    <cellStyle name="강조색5 24 6" xfId="16567" xr:uid="{00000000-0005-0000-0000-0000B13B0000}"/>
    <cellStyle name="강조색5 24 7" xfId="16568" xr:uid="{00000000-0005-0000-0000-0000B23B0000}"/>
    <cellStyle name="강조색5 24 8" xfId="16569" xr:uid="{00000000-0005-0000-0000-0000B33B0000}"/>
    <cellStyle name="강조색5 24 9" xfId="16570" xr:uid="{00000000-0005-0000-0000-0000B43B0000}"/>
    <cellStyle name="강조색5 25" xfId="1959" xr:uid="{00000000-0005-0000-0000-0000B53B0000}"/>
    <cellStyle name="강조색5 25 10" xfId="16572" xr:uid="{00000000-0005-0000-0000-0000B63B0000}"/>
    <cellStyle name="강조색5 25 11" xfId="16573" xr:uid="{00000000-0005-0000-0000-0000B73B0000}"/>
    <cellStyle name="강조색5 25 12" xfId="16574" xr:uid="{00000000-0005-0000-0000-0000B83B0000}"/>
    <cellStyle name="강조색5 25 13" xfId="16575" xr:uid="{00000000-0005-0000-0000-0000B93B0000}"/>
    <cellStyle name="강조색5 25 14" xfId="16576" xr:uid="{00000000-0005-0000-0000-0000BA3B0000}"/>
    <cellStyle name="강조색5 25 15" xfId="16571" xr:uid="{00000000-0005-0000-0000-0000BB3B0000}"/>
    <cellStyle name="강조색5 25 2" xfId="1960" xr:uid="{00000000-0005-0000-0000-0000BC3B0000}"/>
    <cellStyle name="강조색5 25 2 2" xfId="16577" xr:uid="{00000000-0005-0000-0000-0000BD3B0000}"/>
    <cellStyle name="강조색5 25 3" xfId="16578" xr:uid="{00000000-0005-0000-0000-0000BE3B0000}"/>
    <cellStyle name="강조색5 25 4" xfId="16579" xr:uid="{00000000-0005-0000-0000-0000BF3B0000}"/>
    <cellStyle name="강조색5 25 5" xfId="16580" xr:uid="{00000000-0005-0000-0000-0000C03B0000}"/>
    <cellStyle name="강조색5 25 6" xfId="16581" xr:uid="{00000000-0005-0000-0000-0000C13B0000}"/>
    <cellStyle name="강조색5 25 7" xfId="16582" xr:uid="{00000000-0005-0000-0000-0000C23B0000}"/>
    <cellStyle name="강조색5 25 8" xfId="16583" xr:uid="{00000000-0005-0000-0000-0000C33B0000}"/>
    <cellStyle name="강조색5 25 9" xfId="16584" xr:uid="{00000000-0005-0000-0000-0000C43B0000}"/>
    <cellStyle name="강조색5 26" xfId="1961" xr:uid="{00000000-0005-0000-0000-0000C53B0000}"/>
    <cellStyle name="강조색5 26 10" xfId="16586" xr:uid="{00000000-0005-0000-0000-0000C63B0000}"/>
    <cellStyle name="강조색5 26 11" xfId="16587" xr:uid="{00000000-0005-0000-0000-0000C73B0000}"/>
    <cellStyle name="강조색5 26 12" xfId="16588" xr:uid="{00000000-0005-0000-0000-0000C83B0000}"/>
    <cellStyle name="강조색5 26 13" xfId="16589" xr:uid="{00000000-0005-0000-0000-0000C93B0000}"/>
    <cellStyle name="강조색5 26 14" xfId="16590" xr:uid="{00000000-0005-0000-0000-0000CA3B0000}"/>
    <cellStyle name="강조색5 26 15" xfId="16585" xr:uid="{00000000-0005-0000-0000-0000CB3B0000}"/>
    <cellStyle name="강조색5 26 2" xfId="1962" xr:uid="{00000000-0005-0000-0000-0000CC3B0000}"/>
    <cellStyle name="강조색5 26 2 2" xfId="16591" xr:uid="{00000000-0005-0000-0000-0000CD3B0000}"/>
    <cellStyle name="강조색5 26 3" xfId="16592" xr:uid="{00000000-0005-0000-0000-0000CE3B0000}"/>
    <cellStyle name="강조색5 26 4" xfId="16593" xr:uid="{00000000-0005-0000-0000-0000CF3B0000}"/>
    <cellStyle name="강조색5 26 5" xfId="16594" xr:uid="{00000000-0005-0000-0000-0000D03B0000}"/>
    <cellStyle name="강조색5 26 6" xfId="16595" xr:uid="{00000000-0005-0000-0000-0000D13B0000}"/>
    <cellStyle name="강조색5 26 7" xfId="16596" xr:uid="{00000000-0005-0000-0000-0000D23B0000}"/>
    <cellStyle name="강조색5 26 8" xfId="16597" xr:uid="{00000000-0005-0000-0000-0000D33B0000}"/>
    <cellStyle name="강조색5 26 9" xfId="16598" xr:uid="{00000000-0005-0000-0000-0000D43B0000}"/>
    <cellStyle name="강조색5 27" xfId="1963" xr:uid="{00000000-0005-0000-0000-0000D53B0000}"/>
    <cellStyle name="강조색5 27 10" xfId="16600" xr:uid="{00000000-0005-0000-0000-0000D63B0000}"/>
    <cellStyle name="강조색5 27 11" xfId="16601" xr:uid="{00000000-0005-0000-0000-0000D73B0000}"/>
    <cellStyle name="강조색5 27 12" xfId="16602" xr:uid="{00000000-0005-0000-0000-0000D83B0000}"/>
    <cellStyle name="강조색5 27 13" xfId="16603" xr:uid="{00000000-0005-0000-0000-0000D93B0000}"/>
    <cellStyle name="강조색5 27 14" xfId="16604" xr:uid="{00000000-0005-0000-0000-0000DA3B0000}"/>
    <cellStyle name="강조색5 27 15" xfId="16599" xr:uid="{00000000-0005-0000-0000-0000DB3B0000}"/>
    <cellStyle name="강조색5 27 2" xfId="1964" xr:uid="{00000000-0005-0000-0000-0000DC3B0000}"/>
    <cellStyle name="강조색5 27 2 2" xfId="16605" xr:uid="{00000000-0005-0000-0000-0000DD3B0000}"/>
    <cellStyle name="강조색5 27 3" xfId="16606" xr:uid="{00000000-0005-0000-0000-0000DE3B0000}"/>
    <cellStyle name="강조색5 27 4" xfId="16607" xr:uid="{00000000-0005-0000-0000-0000DF3B0000}"/>
    <cellStyle name="강조색5 27 5" xfId="16608" xr:uid="{00000000-0005-0000-0000-0000E03B0000}"/>
    <cellStyle name="강조색5 27 6" xfId="16609" xr:uid="{00000000-0005-0000-0000-0000E13B0000}"/>
    <cellStyle name="강조색5 27 7" xfId="16610" xr:uid="{00000000-0005-0000-0000-0000E23B0000}"/>
    <cellStyle name="강조색5 27 8" xfId="16611" xr:uid="{00000000-0005-0000-0000-0000E33B0000}"/>
    <cellStyle name="강조색5 27 9" xfId="16612" xr:uid="{00000000-0005-0000-0000-0000E43B0000}"/>
    <cellStyle name="강조색5 28" xfId="1965" xr:uid="{00000000-0005-0000-0000-0000E53B0000}"/>
    <cellStyle name="강조색5 28 10" xfId="16614" xr:uid="{00000000-0005-0000-0000-0000E63B0000}"/>
    <cellStyle name="강조색5 28 11" xfId="16615" xr:uid="{00000000-0005-0000-0000-0000E73B0000}"/>
    <cellStyle name="강조색5 28 12" xfId="16616" xr:uid="{00000000-0005-0000-0000-0000E83B0000}"/>
    <cellStyle name="강조색5 28 13" xfId="16617" xr:uid="{00000000-0005-0000-0000-0000E93B0000}"/>
    <cellStyle name="강조색5 28 14" xfId="16618" xr:uid="{00000000-0005-0000-0000-0000EA3B0000}"/>
    <cellStyle name="강조색5 28 15" xfId="16613" xr:uid="{00000000-0005-0000-0000-0000EB3B0000}"/>
    <cellStyle name="강조색5 28 2" xfId="1966" xr:uid="{00000000-0005-0000-0000-0000EC3B0000}"/>
    <cellStyle name="강조색5 28 2 2" xfId="16619" xr:uid="{00000000-0005-0000-0000-0000ED3B0000}"/>
    <cellStyle name="강조색5 28 3" xfId="16620" xr:uid="{00000000-0005-0000-0000-0000EE3B0000}"/>
    <cellStyle name="강조색5 28 4" xfId="16621" xr:uid="{00000000-0005-0000-0000-0000EF3B0000}"/>
    <cellStyle name="강조색5 28 5" xfId="16622" xr:uid="{00000000-0005-0000-0000-0000F03B0000}"/>
    <cellStyle name="강조색5 28 6" xfId="16623" xr:uid="{00000000-0005-0000-0000-0000F13B0000}"/>
    <cellStyle name="강조색5 28 7" xfId="16624" xr:uid="{00000000-0005-0000-0000-0000F23B0000}"/>
    <cellStyle name="강조색5 28 8" xfId="16625" xr:uid="{00000000-0005-0000-0000-0000F33B0000}"/>
    <cellStyle name="강조색5 28 9" xfId="16626" xr:uid="{00000000-0005-0000-0000-0000F43B0000}"/>
    <cellStyle name="강조색5 29" xfId="1967" xr:uid="{00000000-0005-0000-0000-0000F53B0000}"/>
    <cellStyle name="강조색5 29 10" xfId="16628" xr:uid="{00000000-0005-0000-0000-0000F63B0000}"/>
    <cellStyle name="강조색5 29 11" xfId="16629" xr:uid="{00000000-0005-0000-0000-0000F73B0000}"/>
    <cellStyle name="강조색5 29 12" xfId="16630" xr:uid="{00000000-0005-0000-0000-0000F83B0000}"/>
    <cellStyle name="강조색5 29 13" xfId="16631" xr:uid="{00000000-0005-0000-0000-0000F93B0000}"/>
    <cellStyle name="강조색5 29 14" xfId="16632" xr:uid="{00000000-0005-0000-0000-0000FA3B0000}"/>
    <cellStyle name="강조색5 29 15" xfId="16627" xr:uid="{00000000-0005-0000-0000-0000FB3B0000}"/>
    <cellStyle name="강조색5 29 2" xfId="1968" xr:uid="{00000000-0005-0000-0000-0000FC3B0000}"/>
    <cellStyle name="강조색5 29 2 2" xfId="16633" xr:uid="{00000000-0005-0000-0000-0000FD3B0000}"/>
    <cellStyle name="강조색5 29 3" xfId="16634" xr:uid="{00000000-0005-0000-0000-0000FE3B0000}"/>
    <cellStyle name="강조색5 29 4" xfId="16635" xr:uid="{00000000-0005-0000-0000-0000FF3B0000}"/>
    <cellStyle name="강조색5 29 5" xfId="16636" xr:uid="{00000000-0005-0000-0000-0000003C0000}"/>
    <cellStyle name="강조색5 29 6" xfId="16637" xr:uid="{00000000-0005-0000-0000-0000013C0000}"/>
    <cellStyle name="강조색5 29 7" xfId="16638" xr:uid="{00000000-0005-0000-0000-0000023C0000}"/>
    <cellStyle name="강조색5 29 8" xfId="16639" xr:uid="{00000000-0005-0000-0000-0000033C0000}"/>
    <cellStyle name="강조색5 29 9" xfId="16640" xr:uid="{00000000-0005-0000-0000-0000043C0000}"/>
    <cellStyle name="강조색5 3" xfId="1969" xr:uid="{00000000-0005-0000-0000-0000053C0000}"/>
    <cellStyle name="강조색5 3 10" xfId="16642" xr:uid="{00000000-0005-0000-0000-0000063C0000}"/>
    <cellStyle name="강조색5 3 11" xfId="16643" xr:uid="{00000000-0005-0000-0000-0000073C0000}"/>
    <cellStyle name="강조색5 3 12" xfId="16644" xr:uid="{00000000-0005-0000-0000-0000083C0000}"/>
    <cellStyle name="강조색5 3 13" xfId="16645" xr:uid="{00000000-0005-0000-0000-0000093C0000}"/>
    <cellStyle name="강조색5 3 14" xfId="16646" xr:uid="{00000000-0005-0000-0000-00000A3C0000}"/>
    <cellStyle name="강조색5 3 15" xfId="16641" xr:uid="{00000000-0005-0000-0000-00000B3C0000}"/>
    <cellStyle name="강조색5 3 16" xfId="28211" xr:uid="{00000000-0005-0000-0000-00000C3C0000}"/>
    <cellStyle name="강조색5 3 2" xfId="1970" xr:uid="{00000000-0005-0000-0000-00000D3C0000}"/>
    <cellStyle name="강조색5 3 2 2" xfId="16647" xr:uid="{00000000-0005-0000-0000-00000E3C0000}"/>
    <cellStyle name="강조색5 3 3" xfId="16648" xr:uid="{00000000-0005-0000-0000-00000F3C0000}"/>
    <cellStyle name="강조색5 3 4" xfId="16649" xr:uid="{00000000-0005-0000-0000-0000103C0000}"/>
    <cellStyle name="강조색5 3 5" xfId="16650" xr:uid="{00000000-0005-0000-0000-0000113C0000}"/>
    <cellStyle name="강조색5 3 6" xfId="16651" xr:uid="{00000000-0005-0000-0000-0000123C0000}"/>
    <cellStyle name="강조색5 3 7" xfId="16652" xr:uid="{00000000-0005-0000-0000-0000133C0000}"/>
    <cellStyle name="강조색5 3 8" xfId="16653" xr:uid="{00000000-0005-0000-0000-0000143C0000}"/>
    <cellStyle name="강조색5 3 9" xfId="16654" xr:uid="{00000000-0005-0000-0000-0000153C0000}"/>
    <cellStyle name="강조색5 30" xfId="1971" xr:uid="{00000000-0005-0000-0000-0000163C0000}"/>
    <cellStyle name="강조색5 30 10" xfId="16656" xr:uid="{00000000-0005-0000-0000-0000173C0000}"/>
    <cellStyle name="강조색5 30 11" xfId="16657" xr:uid="{00000000-0005-0000-0000-0000183C0000}"/>
    <cellStyle name="강조색5 30 12" xfId="16658" xr:uid="{00000000-0005-0000-0000-0000193C0000}"/>
    <cellStyle name="강조색5 30 13" xfId="16659" xr:uid="{00000000-0005-0000-0000-00001A3C0000}"/>
    <cellStyle name="강조색5 30 14" xfId="16660" xr:uid="{00000000-0005-0000-0000-00001B3C0000}"/>
    <cellStyle name="강조색5 30 15" xfId="16655" xr:uid="{00000000-0005-0000-0000-00001C3C0000}"/>
    <cellStyle name="강조색5 30 2" xfId="1972" xr:uid="{00000000-0005-0000-0000-00001D3C0000}"/>
    <cellStyle name="강조색5 30 2 2" xfId="16661" xr:uid="{00000000-0005-0000-0000-00001E3C0000}"/>
    <cellStyle name="강조색5 30 3" xfId="16662" xr:uid="{00000000-0005-0000-0000-00001F3C0000}"/>
    <cellStyle name="강조색5 30 4" xfId="16663" xr:uid="{00000000-0005-0000-0000-0000203C0000}"/>
    <cellStyle name="강조색5 30 5" xfId="16664" xr:uid="{00000000-0005-0000-0000-0000213C0000}"/>
    <cellStyle name="강조색5 30 6" xfId="16665" xr:uid="{00000000-0005-0000-0000-0000223C0000}"/>
    <cellStyle name="강조색5 30 7" xfId="16666" xr:uid="{00000000-0005-0000-0000-0000233C0000}"/>
    <cellStyle name="강조색5 30 8" xfId="16667" xr:uid="{00000000-0005-0000-0000-0000243C0000}"/>
    <cellStyle name="강조색5 30 9" xfId="16668" xr:uid="{00000000-0005-0000-0000-0000253C0000}"/>
    <cellStyle name="강조색5 31" xfId="1973" xr:uid="{00000000-0005-0000-0000-0000263C0000}"/>
    <cellStyle name="강조색5 31 10" xfId="16670" xr:uid="{00000000-0005-0000-0000-0000273C0000}"/>
    <cellStyle name="강조색5 31 11" xfId="16671" xr:uid="{00000000-0005-0000-0000-0000283C0000}"/>
    <cellStyle name="강조색5 31 12" xfId="16672" xr:uid="{00000000-0005-0000-0000-0000293C0000}"/>
    <cellStyle name="강조색5 31 13" xfId="16673" xr:uid="{00000000-0005-0000-0000-00002A3C0000}"/>
    <cellStyle name="강조색5 31 14" xfId="16674" xr:uid="{00000000-0005-0000-0000-00002B3C0000}"/>
    <cellStyle name="강조색5 31 15" xfId="16669" xr:uid="{00000000-0005-0000-0000-00002C3C0000}"/>
    <cellStyle name="강조색5 31 2" xfId="1974" xr:uid="{00000000-0005-0000-0000-00002D3C0000}"/>
    <cellStyle name="강조색5 31 2 2" xfId="16675" xr:uid="{00000000-0005-0000-0000-00002E3C0000}"/>
    <cellStyle name="강조색5 31 3" xfId="16676" xr:uid="{00000000-0005-0000-0000-00002F3C0000}"/>
    <cellStyle name="강조색5 31 4" xfId="16677" xr:uid="{00000000-0005-0000-0000-0000303C0000}"/>
    <cellStyle name="강조색5 31 5" xfId="16678" xr:uid="{00000000-0005-0000-0000-0000313C0000}"/>
    <cellStyle name="강조색5 31 6" xfId="16679" xr:uid="{00000000-0005-0000-0000-0000323C0000}"/>
    <cellStyle name="강조색5 31 7" xfId="16680" xr:uid="{00000000-0005-0000-0000-0000333C0000}"/>
    <cellStyle name="강조색5 31 8" xfId="16681" xr:uid="{00000000-0005-0000-0000-0000343C0000}"/>
    <cellStyle name="강조색5 31 9" xfId="16682" xr:uid="{00000000-0005-0000-0000-0000353C0000}"/>
    <cellStyle name="강조색5 32" xfId="1975" xr:uid="{00000000-0005-0000-0000-0000363C0000}"/>
    <cellStyle name="강조색5 32 10" xfId="16684" xr:uid="{00000000-0005-0000-0000-0000373C0000}"/>
    <cellStyle name="강조색5 32 11" xfId="16685" xr:uid="{00000000-0005-0000-0000-0000383C0000}"/>
    <cellStyle name="강조색5 32 12" xfId="16686" xr:uid="{00000000-0005-0000-0000-0000393C0000}"/>
    <cellStyle name="강조색5 32 13" xfId="16687" xr:uid="{00000000-0005-0000-0000-00003A3C0000}"/>
    <cellStyle name="강조색5 32 14" xfId="16688" xr:uid="{00000000-0005-0000-0000-00003B3C0000}"/>
    <cellStyle name="강조색5 32 15" xfId="16683" xr:uid="{00000000-0005-0000-0000-00003C3C0000}"/>
    <cellStyle name="강조색5 32 2" xfId="1976" xr:uid="{00000000-0005-0000-0000-00003D3C0000}"/>
    <cellStyle name="강조색5 32 2 2" xfId="16689" xr:uid="{00000000-0005-0000-0000-00003E3C0000}"/>
    <cellStyle name="강조색5 32 3" xfId="16690" xr:uid="{00000000-0005-0000-0000-00003F3C0000}"/>
    <cellStyle name="강조색5 32 4" xfId="16691" xr:uid="{00000000-0005-0000-0000-0000403C0000}"/>
    <cellStyle name="강조색5 32 5" xfId="16692" xr:uid="{00000000-0005-0000-0000-0000413C0000}"/>
    <cellStyle name="강조색5 32 6" xfId="16693" xr:uid="{00000000-0005-0000-0000-0000423C0000}"/>
    <cellStyle name="강조색5 32 7" xfId="16694" xr:uid="{00000000-0005-0000-0000-0000433C0000}"/>
    <cellStyle name="강조색5 32 8" xfId="16695" xr:uid="{00000000-0005-0000-0000-0000443C0000}"/>
    <cellStyle name="강조색5 32 9" xfId="16696" xr:uid="{00000000-0005-0000-0000-0000453C0000}"/>
    <cellStyle name="강조색5 33" xfId="1977" xr:uid="{00000000-0005-0000-0000-0000463C0000}"/>
    <cellStyle name="강조색5 33 10" xfId="16698" xr:uid="{00000000-0005-0000-0000-0000473C0000}"/>
    <cellStyle name="강조색5 33 11" xfId="16699" xr:uid="{00000000-0005-0000-0000-0000483C0000}"/>
    <cellStyle name="강조색5 33 12" xfId="16700" xr:uid="{00000000-0005-0000-0000-0000493C0000}"/>
    <cellStyle name="강조색5 33 13" xfId="16701" xr:uid="{00000000-0005-0000-0000-00004A3C0000}"/>
    <cellStyle name="강조색5 33 14" xfId="16702" xr:uid="{00000000-0005-0000-0000-00004B3C0000}"/>
    <cellStyle name="강조색5 33 15" xfId="16697" xr:uid="{00000000-0005-0000-0000-00004C3C0000}"/>
    <cellStyle name="강조색5 33 2" xfId="1978" xr:uid="{00000000-0005-0000-0000-00004D3C0000}"/>
    <cellStyle name="강조색5 33 2 2" xfId="16703" xr:uid="{00000000-0005-0000-0000-00004E3C0000}"/>
    <cellStyle name="강조색5 33 3" xfId="16704" xr:uid="{00000000-0005-0000-0000-00004F3C0000}"/>
    <cellStyle name="강조색5 33 4" xfId="16705" xr:uid="{00000000-0005-0000-0000-0000503C0000}"/>
    <cellStyle name="강조색5 33 5" xfId="16706" xr:uid="{00000000-0005-0000-0000-0000513C0000}"/>
    <cellStyle name="강조색5 33 6" xfId="16707" xr:uid="{00000000-0005-0000-0000-0000523C0000}"/>
    <cellStyle name="강조색5 33 7" xfId="16708" xr:uid="{00000000-0005-0000-0000-0000533C0000}"/>
    <cellStyle name="강조색5 33 8" xfId="16709" xr:uid="{00000000-0005-0000-0000-0000543C0000}"/>
    <cellStyle name="강조색5 33 9" xfId="16710" xr:uid="{00000000-0005-0000-0000-0000553C0000}"/>
    <cellStyle name="강조색5 34" xfId="1979" xr:uid="{00000000-0005-0000-0000-0000563C0000}"/>
    <cellStyle name="강조색5 34 10" xfId="16712" xr:uid="{00000000-0005-0000-0000-0000573C0000}"/>
    <cellStyle name="강조색5 34 11" xfId="16713" xr:uid="{00000000-0005-0000-0000-0000583C0000}"/>
    <cellStyle name="강조색5 34 12" xfId="16714" xr:uid="{00000000-0005-0000-0000-0000593C0000}"/>
    <cellStyle name="강조색5 34 13" xfId="16715" xr:uid="{00000000-0005-0000-0000-00005A3C0000}"/>
    <cellStyle name="강조색5 34 14" xfId="16716" xr:uid="{00000000-0005-0000-0000-00005B3C0000}"/>
    <cellStyle name="강조색5 34 15" xfId="16711" xr:uid="{00000000-0005-0000-0000-00005C3C0000}"/>
    <cellStyle name="강조색5 34 2" xfId="1980" xr:uid="{00000000-0005-0000-0000-00005D3C0000}"/>
    <cellStyle name="강조색5 34 2 2" xfId="16717" xr:uid="{00000000-0005-0000-0000-00005E3C0000}"/>
    <cellStyle name="강조색5 34 3" xfId="16718" xr:uid="{00000000-0005-0000-0000-00005F3C0000}"/>
    <cellStyle name="강조색5 34 4" xfId="16719" xr:uid="{00000000-0005-0000-0000-0000603C0000}"/>
    <cellStyle name="강조색5 34 5" xfId="16720" xr:uid="{00000000-0005-0000-0000-0000613C0000}"/>
    <cellStyle name="강조색5 34 6" xfId="16721" xr:uid="{00000000-0005-0000-0000-0000623C0000}"/>
    <cellStyle name="강조색5 34 7" xfId="16722" xr:uid="{00000000-0005-0000-0000-0000633C0000}"/>
    <cellStyle name="강조색5 34 8" xfId="16723" xr:uid="{00000000-0005-0000-0000-0000643C0000}"/>
    <cellStyle name="강조색5 34 9" xfId="16724" xr:uid="{00000000-0005-0000-0000-0000653C0000}"/>
    <cellStyle name="강조색5 35" xfId="1981" xr:uid="{00000000-0005-0000-0000-0000663C0000}"/>
    <cellStyle name="강조색5 35 10" xfId="16726" xr:uid="{00000000-0005-0000-0000-0000673C0000}"/>
    <cellStyle name="강조색5 35 11" xfId="16727" xr:uid="{00000000-0005-0000-0000-0000683C0000}"/>
    <cellStyle name="강조색5 35 12" xfId="16728" xr:uid="{00000000-0005-0000-0000-0000693C0000}"/>
    <cellStyle name="강조색5 35 13" xfId="16729" xr:uid="{00000000-0005-0000-0000-00006A3C0000}"/>
    <cellStyle name="강조색5 35 14" xfId="16730" xr:uid="{00000000-0005-0000-0000-00006B3C0000}"/>
    <cellStyle name="강조색5 35 15" xfId="16725" xr:uid="{00000000-0005-0000-0000-00006C3C0000}"/>
    <cellStyle name="강조색5 35 2" xfId="1982" xr:uid="{00000000-0005-0000-0000-00006D3C0000}"/>
    <cellStyle name="강조색5 35 2 2" xfId="16731" xr:uid="{00000000-0005-0000-0000-00006E3C0000}"/>
    <cellStyle name="강조색5 35 3" xfId="16732" xr:uid="{00000000-0005-0000-0000-00006F3C0000}"/>
    <cellStyle name="강조색5 35 4" xfId="16733" xr:uid="{00000000-0005-0000-0000-0000703C0000}"/>
    <cellStyle name="강조색5 35 5" xfId="16734" xr:uid="{00000000-0005-0000-0000-0000713C0000}"/>
    <cellStyle name="강조색5 35 6" xfId="16735" xr:uid="{00000000-0005-0000-0000-0000723C0000}"/>
    <cellStyle name="강조색5 35 7" xfId="16736" xr:uid="{00000000-0005-0000-0000-0000733C0000}"/>
    <cellStyle name="강조색5 35 8" xfId="16737" xr:uid="{00000000-0005-0000-0000-0000743C0000}"/>
    <cellStyle name="강조색5 35 9" xfId="16738" xr:uid="{00000000-0005-0000-0000-0000753C0000}"/>
    <cellStyle name="강조색5 36" xfId="1983" xr:uid="{00000000-0005-0000-0000-0000763C0000}"/>
    <cellStyle name="강조색5 36 10" xfId="16740" xr:uid="{00000000-0005-0000-0000-0000773C0000}"/>
    <cellStyle name="강조색5 36 11" xfId="16741" xr:uid="{00000000-0005-0000-0000-0000783C0000}"/>
    <cellStyle name="강조색5 36 12" xfId="16742" xr:uid="{00000000-0005-0000-0000-0000793C0000}"/>
    <cellStyle name="강조색5 36 13" xfId="16743" xr:uid="{00000000-0005-0000-0000-00007A3C0000}"/>
    <cellStyle name="강조색5 36 14" xfId="16744" xr:uid="{00000000-0005-0000-0000-00007B3C0000}"/>
    <cellStyle name="강조색5 36 15" xfId="16739" xr:uid="{00000000-0005-0000-0000-00007C3C0000}"/>
    <cellStyle name="강조색5 36 2" xfId="1984" xr:uid="{00000000-0005-0000-0000-00007D3C0000}"/>
    <cellStyle name="강조색5 36 2 2" xfId="16745" xr:uid="{00000000-0005-0000-0000-00007E3C0000}"/>
    <cellStyle name="강조색5 36 3" xfId="16746" xr:uid="{00000000-0005-0000-0000-00007F3C0000}"/>
    <cellStyle name="강조색5 36 4" xfId="16747" xr:uid="{00000000-0005-0000-0000-0000803C0000}"/>
    <cellStyle name="강조색5 36 5" xfId="16748" xr:uid="{00000000-0005-0000-0000-0000813C0000}"/>
    <cellStyle name="강조색5 36 6" xfId="16749" xr:uid="{00000000-0005-0000-0000-0000823C0000}"/>
    <cellStyle name="강조색5 36 7" xfId="16750" xr:uid="{00000000-0005-0000-0000-0000833C0000}"/>
    <cellStyle name="강조색5 36 8" xfId="16751" xr:uid="{00000000-0005-0000-0000-0000843C0000}"/>
    <cellStyle name="강조색5 36 9" xfId="16752" xr:uid="{00000000-0005-0000-0000-0000853C0000}"/>
    <cellStyle name="강조색5 37" xfId="1985" xr:uid="{00000000-0005-0000-0000-0000863C0000}"/>
    <cellStyle name="강조색5 37 10" xfId="16754" xr:uid="{00000000-0005-0000-0000-0000873C0000}"/>
    <cellStyle name="강조색5 37 11" xfId="16755" xr:uid="{00000000-0005-0000-0000-0000883C0000}"/>
    <cellStyle name="강조색5 37 12" xfId="16756" xr:uid="{00000000-0005-0000-0000-0000893C0000}"/>
    <cellStyle name="강조색5 37 13" xfId="16757" xr:uid="{00000000-0005-0000-0000-00008A3C0000}"/>
    <cellStyle name="강조색5 37 14" xfId="16758" xr:uid="{00000000-0005-0000-0000-00008B3C0000}"/>
    <cellStyle name="강조색5 37 15" xfId="16753" xr:uid="{00000000-0005-0000-0000-00008C3C0000}"/>
    <cellStyle name="강조색5 37 2" xfId="1986" xr:uid="{00000000-0005-0000-0000-00008D3C0000}"/>
    <cellStyle name="강조색5 37 2 2" xfId="16759" xr:uid="{00000000-0005-0000-0000-00008E3C0000}"/>
    <cellStyle name="강조색5 37 3" xfId="16760" xr:uid="{00000000-0005-0000-0000-00008F3C0000}"/>
    <cellStyle name="강조색5 37 4" xfId="16761" xr:uid="{00000000-0005-0000-0000-0000903C0000}"/>
    <cellStyle name="강조색5 37 5" xfId="16762" xr:uid="{00000000-0005-0000-0000-0000913C0000}"/>
    <cellStyle name="강조색5 37 6" xfId="16763" xr:uid="{00000000-0005-0000-0000-0000923C0000}"/>
    <cellStyle name="강조색5 37 7" xfId="16764" xr:uid="{00000000-0005-0000-0000-0000933C0000}"/>
    <cellStyle name="강조색5 37 8" xfId="16765" xr:uid="{00000000-0005-0000-0000-0000943C0000}"/>
    <cellStyle name="강조색5 37 9" xfId="16766" xr:uid="{00000000-0005-0000-0000-0000953C0000}"/>
    <cellStyle name="강조색5 38" xfId="1987" xr:uid="{00000000-0005-0000-0000-0000963C0000}"/>
    <cellStyle name="강조색5 38 10" xfId="16768" xr:uid="{00000000-0005-0000-0000-0000973C0000}"/>
    <cellStyle name="강조색5 38 11" xfId="16769" xr:uid="{00000000-0005-0000-0000-0000983C0000}"/>
    <cellStyle name="강조색5 38 12" xfId="16770" xr:uid="{00000000-0005-0000-0000-0000993C0000}"/>
    <cellStyle name="강조색5 38 13" xfId="16771" xr:uid="{00000000-0005-0000-0000-00009A3C0000}"/>
    <cellStyle name="강조색5 38 14" xfId="16772" xr:uid="{00000000-0005-0000-0000-00009B3C0000}"/>
    <cellStyle name="강조색5 38 15" xfId="16767" xr:uid="{00000000-0005-0000-0000-00009C3C0000}"/>
    <cellStyle name="강조색5 38 2" xfId="1988" xr:uid="{00000000-0005-0000-0000-00009D3C0000}"/>
    <cellStyle name="강조색5 38 2 2" xfId="16773" xr:uid="{00000000-0005-0000-0000-00009E3C0000}"/>
    <cellStyle name="강조색5 38 3" xfId="16774" xr:uid="{00000000-0005-0000-0000-00009F3C0000}"/>
    <cellStyle name="강조색5 38 4" xfId="16775" xr:uid="{00000000-0005-0000-0000-0000A03C0000}"/>
    <cellStyle name="강조색5 38 5" xfId="16776" xr:uid="{00000000-0005-0000-0000-0000A13C0000}"/>
    <cellStyle name="강조색5 38 6" xfId="16777" xr:uid="{00000000-0005-0000-0000-0000A23C0000}"/>
    <cellStyle name="강조색5 38 7" xfId="16778" xr:uid="{00000000-0005-0000-0000-0000A33C0000}"/>
    <cellStyle name="강조색5 38 8" xfId="16779" xr:uid="{00000000-0005-0000-0000-0000A43C0000}"/>
    <cellStyle name="강조색5 38 9" xfId="16780" xr:uid="{00000000-0005-0000-0000-0000A53C0000}"/>
    <cellStyle name="강조색5 39" xfId="1989" xr:uid="{00000000-0005-0000-0000-0000A63C0000}"/>
    <cellStyle name="강조색5 39 10" xfId="16782" xr:uid="{00000000-0005-0000-0000-0000A73C0000}"/>
    <cellStyle name="강조색5 39 11" xfId="16783" xr:uid="{00000000-0005-0000-0000-0000A83C0000}"/>
    <cellStyle name="강조색5 39 12" xfId="16784" xr:uid="{00000000-0005-0000-0000-0000A93C0000}"/>
    <cellStyle name="강조색5 39 13" xfId="16785" xr:uid="{00000000-0005-0000-0000-0000AA3C0000}"/>
    <cellStyle name="강조색5 39 14" xfId="16786" xr:uid="{00000000-0005-0000-0000-0000AB3C0000}"/>
    <cellStyle name="강조색5 39 15" xfId="16781" xr:uid="{00000000-0005-0000-0000-0000AC3C0000}"/>
    <cellStyle name="강조색5 39 2" xfId="1990" xr:uid="{00000000-0005-0000-0000-0000AD3C0000}"/>
    <cellStyle name="강조색5 39 2 2" xfId="16787" xr:uid="{00000000-0005-0000-0000-0000AE3C0000}"/>
    <cellStyle name="강조색5 39 3" xfId="16788" xr:uid="{00000000-0005-0000-0000-0000AF3C0000}"/>
    <cellStyle name="강조색5 39 4" xfId="16789" xr:uid="{00000000-0005-0000-0000-0000B03C0000}"/>
    <cellStyle name="강조색5 39 5" xfId="16790" xr:uid="{00000000-0005-0000-0000-0000B13C0000}"/>
    <cellStyle name="강조색5 39 6" xfId="16791" xr:uid="{00000000-0005-0000-0000-0000B23C0000}"/>
    <cellStyle name="강조색5 39 7" xfId="16792" xr:uid="{00000000-0005-0000-0000-0000B33C0000}"/>
    <cellStyle name="강조색5 39 8" xfId="16793" xr:uid="{00000000-0005-0000-0000-0000B43C0000}"/>
    <cellStyle name="강조색5 39 9" xfId="16794" xr:uid="{00000000-0005-0000-0000-0000B53C0000}"/>
    <cellStyle name="강조색5 4" xfId="1991" xr:uid="{00000000-0005-0000-0000-0000B63C0000}"/>
    <cellStyle name="강조색5 4 10" xfId="16796" xr:uid="{00000000-0005-0000-0000-0000B73C0000}"/>
    <cellStyle name="강조색5 4 11" xfId="16797" xr:uid="{00000000-0005-0000-0000-0000B83C0000}"/>
    <cellStyle name="강조색5 4 12" xfId="16798" xr:uid="{00000000-0005-0000-0000-0000B93C0000}"/>
    <cellStyle name="강조색5 4 13" xfId="16799" xr:uid="{00000000-0005-0000-0000-0000BA3C0000}"/>
    <cellStyle name="강조색5 4 14" xfId="16800" xr:uid="{00000000-0005-0000-0000-0000BB3C0000}"/>
    <cellStyle name="강조색5 4 15" xfId="16795" xr:uid="{00000000-0005-0000-0000-0000BC3C0000}"/>
    <cellStyle name="강조색5 4 16" xfId="27873" xr:uid="{00000000-0005-0000-0000-0000BD3C0000}"/>
    <cellStyle name="강조색5 4 2" xfId="1992" xr:uid="{00000000-0005-0000-0000-0000BE3C0000}"/>
    <cellStyle name="강조색5 4 2 2" xfId="16801" xr:uid="{00000000-0005-0000-0000-0000BF3C0000}"/>
    <cellStyle name="강조색5 4 3" xfId="16802" xr:uid="{00000000-0005-0000-0000-0000C03C0000}"/>
    <cellStyle name="강조색5 4 4" xfId="16803" xr:uid="{00000000-0005-0000-0000-0000C13C0000}"/>
    <cellStyle name="강조색5 4 5" xfId="16804" xr:uid="{00000000-0005-0000-0000-0000C23C0000}"/>
    <cellStyle name="강조색5 4 6" xfId="16805" xr:uid="{00000000-0005-0000-0000-0000C33C0000}"/>
    <cellStyle name="강조색5 4 7" xfId="16806" xr:uid="{00000000-0005-0000-0000-0000C43C0000}"/>
    <cellStyle name="강조색5 4 8" xfId="16807" xr:uid="{00000000-0005-0000-0000-0000C53C0000}"/>
    <cellStyle name="강조색5 4 9" xfId="16808" xr:uid="{00000000-0005-0000-0000-0000C63C0000}"/>
    <cellStyle name="강조색5 40" xfId="1993" xr:uid="{00000000-0005-0000-0000-0000C73C0000}"/>
    <cellStyle name="강조색5 40 10" xfId="16810" xr:uid="{00000000-0005-0000-0000-0000C83C0000}"/>
    <cellStyle name="강조색5 40 11" xfId="16811" xr:uid="{00000000-0005-0000-0000-0000C93C0000}"/>
    <cellStyle name="강조색5 40 12" xfId="16812" xr:uid="{00000000-0005-0000-0000-0000CA3C0000}"/>
    <cellStyle name="강조색5 40 13" xfId="16813" xr:uid="{00000000-0005-0000-0000-0000CB3C0000}"/>
    <cellStyle name="강조색5 40 14" xfId="16814" xr:uid="{00000000-0005-0000-0000-0000CC3C0000}"/>
    <cellStyle name="강조색5 40 15" xfId="16809" xr:uid="{00000000-0005-0000-0000-0000CD3C0000}"/>
    <cellStyle name="강조색5 40 2" xfId="1994" xr:uid="{00000000-0005-0000-0000-0000CE3C0000}"/>
    <cellStyle name="강조색5 40 2 2" xfId="16815" xr:uid="{00000000-0005-0000-0000-0000CF3C0000}"/>
    <cellStyle name="강조색5 40 3" xfId="16816" xr:uid="{00000000-0005-0000-0000-0000D03C0000}"/>
    <cellStyle name="강조색5 40 4" xfId="16817" xr:uid="{00000000-0005-0000-0000-0000D13C0000}"/>
    <cellStyle name="강조색5 40 5" xfId="16818" xr:uid="{00000000-0005-0000-0000-0000D23C0000}"/>
    <cellStyle name="강조색5 40 6" xfId="16819" xr:uid="{00000000-0005-0000-0000-0000D33C0000}"/>
    <cellStyle name="강조색5 40 7" xfId="16820" xr:uid="{00000000-0005-0000-0000-0000D43C0000}"/>
    <cellStyle name="강조색5 40 8" xfId="16821" xr:uid="{00000000-0005-0000-0000-0000D53C0000}"/>
    <cellStyle name="강조색5 40 9" xfId="16822" xr:uid="{00000000-0005-0000-0000-0000D63C0000}"/>
    <cellStyle name="강조색5 41" xfId="1995" xr:uid="{00000000-0005-0000-0000-0000D73C0000}"/>
    <cellStyle name="강조색5 41 10" xfId="16824" xr:uid="{00000000-0005-0000-0000-0000D83C0000}"/>
    <cellStyle name="강조색5 41 11" xfId="16825" xr:uid="{00000000-0005-0000-0000-0000D93C0000}"/>
    <cellStyle name="강조색5 41 12" xfId="16826" xr:uid="{00000000-0005-0000-0000-0000DA3C0000}"/>
    <cellStyle name="강조색5 41 13" xfId="16827" xr:uid="{00000000-0005-0000-0000-0000DB3C0000}"/>
    <cellStyle name="강조색5 41 14" xfId="16828" xr:uid="{00000000-0005-0000-0000-0000DC3C0000}"/>
    <cellStyle name="강조색5 41 15" xfId="16823" xr:uid="{00000000-0005-0000-0000-0000DD3C0000}"/>
    <cellStyle name="강조색5 41 2" xfId="1996" xr:uid="{00000000-0005-0000-0000-0000DE3C0000}"/>
    <cellStyle name="강조색5 41 2 2" xfId="16829" xr:uid="{00000000-0005-0000-0000-0000DF3C0000}"/>
    <cellStyle name="강조색5 41 3" xfId="16830" xr:uid="{00000000-0005-0000-0000-0000E03C0000}"/>
    <cellStyle name="강조색5 41 4" xfId="16831" xr:uid="{00000000-0005-0000-0000-0000E13C0000}"/>
    <cellStyle name="강조색5 41 5" xfId="16832" xr:uid="{00000000-0005-0000-0000-0000E23C0000}"/>
    <cellStyle name="강조색5 41 6" xfId="16833" xr:uid="{00000000-0005-0000-0000-0000E33C0000}"/>
    <cellStyle name="강조색5 41 7" xfId="16834" xr:uid="{00000000-0005-0000-0000-0000E43C0000}"/>
    <cellStyle name="강조색5 41 8" xfId="16835" xr:uid="{00000000-0005-0000-0000-0000E53C0000}"/>
    <cellStyle name="강조색5 41 9" xfId="16836" xr:uid="{00000000-0005-0000-0000-0000E63C0000}"/>
    <cellStyle name="강조색5 42" xfId="1997" xr:uid="{00000000-0005-0000-0000-0000E73C0000}"/>
    <cellStyle name="강조색5 42 10" xfId="16838" xr:uid="{00000000-0005-0000-0000-0000E83C0000}"/>
    <cellStyle name="강조색5 42 11" xfId="16839" xr:uid="{00000000-0005-0000-0000-0000E93C0000}"/>
    <cellStyle name="강조색5 42 12" xfId="16840" xr:uid="{00000000-0005-0000-0000-0000EA3C0000}"/>
    <cellStyle name="강조색5 42 13" xfId="16841" xr:uid="{00000000-0005-0000-0000-0000EB3C0000}"/>
    <cellStyle name="강조색5 42 14" xfId="16842" xr:uid="{00000000-0005-0000-0000-0000EC3C0000}"/>
    <cellStyle name="강조색5 42 15" xfId="16837" xr:uid="{00000000-0005-0000-0000-0000ED3C0000}"/>
    <cellStyle name="강조색5 42 2" xfId="1998" xr:uid="{00000000-0005-0000-0000-0000EE3C0000}"/>
    <cellStyle name="강조색5 42 2 2" xfId="16843" xr:uid="{00000000-0005-0000-0000-0000EF3C0000}"/>
    <cellStyle name="강조색5 42 3" xfId="16844" xr:uid="{00000000-0005-0000-0000-0000F03C0000}"/>
    <cellStyle name="강조색5 42 4" xfId="16845" xr:uid="{00000000-0005-0000-0000-0000F13C0000}"/>
    <cellStyle name="강조색5 42 5" xfId="16846" xr:uid="{00000000-0005-0000-0000-0000F23C0000}"/>
    <cellStyle name="강조색5 42 6" xfId="16847" xr:uid="{00000000-0005-0000-0000-0000F33C0000}"/>
    <cellStyle name="강조색5 42 7" xfId="16848" xr:uid="{00000000-0005-0000-0000-0000F43C0000}"/>
    <cellStyle name="강조색5 42 8" xfId="16849" xr:uid="{00000000-0005-0000-0000-0000F53C0000}"/>
    <cellStyle name="강조색5 42 9" xfId="16850" xr:uid="{00000000-0005-0000-0000-0000F63C0000}"/>
    <cellStyle name="강조색5 43" xfId="1999" xr:uid="{00000000-0005-0000-0000-0000F73C0000}"/>
    <cellStyle name="강조색5 43 10" xfId="16852" xr:uid="{00000000-0005-0000-0000-0000F83C0000}"/>
    <cellStyle name="강조색5 43 11" xfId="16853" xr:uid="{00000000-0005-0000-0000-0000F93C0000}"/>
    <cellStyle name="강조색5 43 12" xfId="16854" xr:uid="{00000000-0005-0000-0000-0000FA3C0000}"/>
    <cellStyle name="강조색5 43 13" xfId="16855" xr:uid="{00000000-0005-0000-0000-0000FB3C0000}"/>
    <cellStyle name="강조색5 43 14" xfId="16856" xr:uid="{00000000-0005-0000-0000-0000FC3C0000}"/>
    <cellStyle name="강조색5 43 15" xfId="16851" xr:uid="{00000000-0005-0000-0000-0000FD3C0000}"/>
    <cellStyle name="강조색5 43 2" xfId="2000" xr:uid="{00000000-0005-0000-0000-0000FE3C0000}"/>
    <cellStyle name="강조색5 43 2 2" xfId="16857" xr:uid="{00000000-0005-0000-0000-0000FF3C0000}"/>
    <cellStyle name="강조색5 43 3" xfId="16858" xr:uid="{00000000-0005-0000-0000-0000003D0000}"/>
    <cellStyle name="강조색5 43 4" xfId="16859" xr:uid="{00000000-0005-0000-0000-0000013D0000}"/>
    <cellStyle name="강조색5 43 5" xfId="16860" xr:uid="{00000000-0005-0000-0000-0000023D0000}"/>
    <cellStyle name="강조색5 43 6" xfId="16861" xr:uid="{00000000-0005-0000-0000-0000033D0000}"/>
    <cellStyle name="강조색5 43 7" xfId="16862" xr:uid="{00000000-0005-0000-0000-0000043D0000}"/>
    <cellStyle name="강조색5 43 8" xfId="16863" xr:uid="{00000000-0005-0000-0000-0000053D0000}"/>
    <cellStyle name="강조색5 43 9" xfId="16864" xr:uid="{00000000-0005-0000-0000-0000063D0000}"/>
    <cellStyle name="강조색5 44" xfId="2001" xr:uid="{00000000-0005-0000-0000-0000073D0000}"/>
    <cellStyle name="강조색5 44 2" xfId="16865" xr:uid="{00000000-0005-0000-0000-0000083D0000}"/>
    <cellStyle name="강조색5 45" xfId="2002" xr:uid="{00000000-0005-0000-0000-0000093D0000}"/>
    <cellStyle name="강조색5 45 2" xfId="16866" xr:uid="{00000000-0005-0000-0000-00000A3D0000}"/>
    <cellStyle name="강조색5 46" xfId="1926" xr:uid="{00000000-0005-0000-0000-00000B3D0000}"/>
    <cellStyle name="강조색5 47" xfId="16346" xr:uid="{00000000-0005-0000-0000-00000C3D0000}"/>
    <cellStyle name="강조색5 5" xfId="2003" xr:uid="{00000000-0005-0000-0000-00000D3D0000}"/>
    <cellStyle name="강조색5 5 10" xfId="16868" xr:uid="{00000000-0005-0000-0000-00000E3D0000}"/>
    <cellStyle name="강조색5 5 11" xfId="16869" xr:uid="{00000000-0005-0000-0000-00000F3D0000}"/>
    <cellStyle name="강조색5 5 12" xfId="16870" xr:uid="{00000000-0005-0000-0000-0000103D0000}"/>
    <cellStyle name="강조색5 5 13" xfId="16871" xr:uid="{00000000-0005-0000-0000-0000113D0000}"/>
    <cellStyle name="강조색5 5 14" xfId="16872" xr:uid="{00000000-0005-0000-0000-0000123D0000}"/>
    <cellStyle name="강조색5 5 15" xfId="16867" xr:uid="{00000000-0005-0000-0000-0000133D0000}"/>
    <cellStyle name="강조색5 5 2" xfId="2004" xr:uid="{00000000-0005-0000-0000-0000143D0000}"/>
    <cellStyle name="강조색5 5 2 2" xfId="16873" xr:uid="{00000000-0005-0000-0000-0000153D0000}"/>
    <cellStyle name="강조색5 5 3" xfId="16874" xr:uid="{00000000-0005-0000-0000-0000163D0000}"/>
    <cellStyle name="강조색5 5 4" xfId="16875" xr:uid="{00000000-0005-0000-0000-0000173D0000}"/>
    <cellStyle name="강조색5 5 5" xfId="16876" xr:uid="{00000000-0005-0000-0000-0000183D0000}"/>
    <cellStyle name="강조색5 5 6" xfId="16877" xr:uid="{00000000-0005-0000-0000-0000193D0000}"/>
    <cellStyle name="강조색5 5 7" xfId="16878" xr:uid="{00000000-0005-0000-0000-00001A3D0000}"/>
    <cellStyle name="강조색5 5 8" xfId="16879" xr:uid="{00000000-0005-0000-0000-00001B3D0000}"/>
    <cellStyle name="강조색5 5 9" xfId="16880" xr:uid="{00000000-0005-0000-0000-00001C3D0000}"/>
    <cellStyle name="강조색5 6" xfId="2005" xr:uid="{00000000-0005-0000-0000-00001D3D0000}"/>
    <cellStyle name="강조색5 6 10" xfId="16882" xr:uid="{00000000-0005-0000-0000-00001E3D0000}"/>
    <cellStyle name="강조색5 6 11" xfId="16883" xr:uid="{00000000-0005-0000-0000-00001F3D0000}"/>
    <cellStyle name="강조색5 6 12" xfId="16884" xr:uid="{00000000-0005-0000-0000-0000203D0000}"/>
    <cellStyle name="강조색5 6 13" xfId="16885" xr:uid="{00000000-0005-0000-0000-0000213D0000}"/>
    <cellStyle name="강조색5 6 14" xfId="16886" xr:uid="{00000000-0005-0000-0000-0000223D0000}"/>
    <cellStyle name="강조색5 6 15" xfId="16881" xr:uid="{00000000-0005-0000-0000-0000233D0000}"/>
    <cellStyle name="강조색5 6 2" xfId="2006" xr:uid="{00000000-0005-0000-0000-0000243D0000}"/>
    <cellStyle name="강조색5 6 2 2" xfId="16887" xr:uid="{00000000-0005-0000-0000-0000253D0000}"/>
    <cellStyle name="강조색5 6 3" xfId="16888" xr:uid="{00000000-0005-0000-0000-0000263D0000}"/>
    <cellStyle name="강조색5 6 4" xfId="16889" xr:uid="{00000000-0005-0000-0000-0000273D0000}"/>
    <cellStyle name="강조색5 6 5" xfId="16890" xr:uid="{00000000-0005-0000-0000-0000283D0000}"/>
    <cellStyle name="강조색5 6 6" xfId="16891" xr:uid="{00000000-0005-0000-0000-0000293D0000}"/>
    <cellStyle name="강조색5 6 7" xfId="16892" xr:uid="{00000000-0005-0000-0000-00002A3D0000}"/>
    <cellStyle name="강조색5 6 8" xfId="16893" xr:uid="{00000000-0005-0000-0000-00002B3D0000}"/>
    <cellStyle name="강조색5 6 9" xfId="16894" xr:uid="{00000000-0005-0000-0000-00002C3D0000}"/>
    <cellStyle name="강조색5 7" xfId="2007" xr:uid="{00000000-0005-0000-0000-00002D3D0000}"/>
    <cellStyle name="강조색5 7 10" xfId="16896" xr:uid="{00000000-0005-0000-0000-00002E3D0000}"/>
    <cellStyle name="강조색5 7 11" xfId="16897" xr:uid="{00000000-0005-0000-0000-00002F3D0000}"/>
    <cellStyle name="강조색5 7 12" xfId="16898" xr:uid="{00000000-0005-0000-0000-0000303D0000}"/>
    <cellStyle name="강조색5 7 13" xfId="16899" xr:uid="{00000000-0005-0000-0000-0000313D0000}"/>
    <cellStyle name="강조색5 7 14" xfId="16900" xr:uid="{00000000-0005-0000-0000-0000323D0000}"/>
    <cellStyle name="강조색5 7 15" xfId="16895" xr:uid="{00000000-0005-0000-0000-0000333D0000}"/>
    <cellStyle name="강조색5 7 2" xfId="2008" xr:uid="{00000000-0005-0000-0000-0000343D0000}"/>
    <cellStyle name="강조색5 7 2 2" xfId="16901" xr:uid="{00000000-0005-0000-0000-0000353D0000}"/>
    <cellStyle name="강조색5 7 3" xfId="16902" xr:uid="{00000000-0005-0000-0000-0000363D0000}"/>
    <cellStyle name="강조색5 7 4" xfId="16903" xr:uid="{00000000-0005-0000-0000-0000373D0000}"/>
    <cellStyle name="강조색5 7 5" xfId="16904" xr:uid="{00000000-0005-0000-0000-0000383D0000}"/>
    <cellStyle name="강조색5 7 6" xfId="16905" xr:uid="{00000000-0005-0000-0000-0000393D0000}"/>
    <cellStyle name="강조색5 7 7" xfId="16906" xr:uid="{00000000-0005-0000-0000-00003A3D0000}"/>
    <cellStyle name="강조색5 7 8" xfId="16907" xr:uid="{00000000-0005-0000-0000-00003B3D0000}"/>
    <cellStyle name="강조색5 7 9" xfId="16908" xr:uid="{00000000-0005-0000-0000-00003C3D0000}"/>
    <cellStyle name="강조색5 8" xfId="2009" xr:uid="{00000000-0005-0000-0000-00003D3D0000}"/>
    <cellStyle name="강조색5 8 10" xfId="16910" xr:uid="{00000000-0005-0000-0000-00003E3D0000}"/>
    <cellStyle name="강조색5 8 11" xfId="16911" xr:uid="{00000000-0005-0000-0000-00003F3D0000}"/>
    <cellStyle name="강조색5 8 12" xfId="16912" xr:uid="{00000000-0005-0000-0000-0000403D0000}"/>
    <cellStyle name="강조색5 8 13" xfId="16913" xr:uid="{00000000-0005-0000-0000-0000413D0000}"/>
    <cellStyle name="강조색5 8 14" xfId="16914" xr:uid="{00000000-0005-0000-0000-0000423D0000}"/>
    <cellStyle name="강조색5 8 15" xfId="16909" xr:uid="{00000000-0005-0000-0000-0000433D0000}"/>
    <cellStyle name="강조색5 8 2" xfId="2010" xr:uid="{00000000-0005-0000-0000-0000443D0000}"/>
    <cellStyle name="강조색5 8 2 2" xfId="16915" xr:uid="{00000000-0005-0000-0000-0000453D0000}"/>
    <cellStyle name="강조색5 8 3" xfId="16916" xr:uid="{00000000-0005-0000-0000-0000463D0000}"/>
    <cellStyle name="강조색5 8 4" xfId="16917" xr:uid="{00000000-0005-0000-0000-0000473D0000}"/>
    <cellStyle name="강조색5 8 5" xfId="16918" xr:uid="{00000000-0005-0000-0000-0000483D0000}"/>
    <cellStyle name="강조색5 8 6" xfId="16919" xr:uid="{00000000-0005-0000-0000-0000493D0000}"/>
    <cellStyle name="강조색5 8 7" xfId="16920" xr:uid="{00000000-0005-0000-0000-00004A3D0000}"/>
    <cellStyle name="강조색5 8 8" xfId="16921" xr:uid="{00000000-0005-0000-0000-00004B3D0000}"/>
    <cellStyle name="강조색5 8 9" xfId="16922" xr:uid="{00000000-0005-0000-0000-00004C3D0000}"/>
    <cellStyle name="강조색5 9" xfId="2011" xr:uid="{00000000-0005-0000-0000-00004D3D0000}"/>
    <cellStyle name="강조색5 9 10" xfId="16924" xr:uid="{00000000-0005-0000-0000-00004E3D0000}"/>
    <cellStyle name="강조색5 9 11" xfId="16925" xr:uid="{00000000-0005-0000-0000-00004F3D0000}"/>
    <cellStyle name="강조색5 9 12" xfId="16926" xr:uid="{00000000-0005-0000-0000-0000503D0000}"/>
    <cellStyle name="강조색5 9 13" xfId="16927" xr:uid="{00000000-0005-0000-0000-0000513D0000}"/>
    <cellStyle name="강조색5 9 14" xfId="16928" xr:uid="{00000000-0005-0000-0000-0000523D0000}"/>
    <cellStyle name="강조색5 9 15" xfId="16923" xr:uid="{00000000-0005-0000-0000-0000533D0000}"/>
    <cellStyle name="강조색5 9 2" xfId="2012" xr:uid="{00000000-0005-0000-0000-0000543D0000}"/>
    <cellStyle name="강조색5 9 2 2" xfId="16929" xr:uid="{00000000-0005-0000-0000-0000553D0000}"/>
    <cellStyle name="강조색5 9 3" xfId="16930" xr:uid="{00000000-0005-0000-0000-0000563D0000}"/>
    <cellStyle name="강조색5 9 4" xfId="16931" xr:uid="{00000000-0005-0000-0000-0000573D0000}"/>
    <cellStyle name="강조색5 9 5" xfId="16932" xr:uid="{00000000-0005-0000-0000-0000583D0000}"/>
    <cellStyle name="강조색5 9 6" xfId="16933" xr:uid="{00000000-0005-0000-0000-0000593D0000}"/>
    <cellStyle name="강조색5 9 7" xfId="16934" xr:uid="{00000000-0005-0000-0000-00005A3D0000}"/>
    <cellStyle name="강조색5 9 8" xfId="16935" xr:uid="{00000000-0005-0000-0000-00005B3D0000}"/>
    <cellStyle name="강조색5 9 9" xfId="16936" xr:uid="{00000000-0005-0000-0000-00005C3D0000}"/>
    <cellStyle name="강조색6 10" xfId="2014" xr:uid="{00000000-0005-0000-0000-00005D3D0000}"/>
    <cellStyle name="강조색6 10 10" xfId="16939" xr:uid="{00000000-0005-0000-0000-00005E3D0000}"/>
    <cellStyle name="강조색6 10 11" xfId="16940" xr:uid="{00000000-0005-0000-0000-00005F3D0000}"/>
    <cellStyle name="강조색6 10 12" xfId="16941" xr:uid="{00000000-0005-0000-0000-0000603D0000}"/>
    <cellStyle name="강조색6 10 13" xfId="16942" xr:uid="{00000000-0005-0000-0000-0000613D0000}"/>
    <cellStyle name="강조색6 10 14" xfId="16943" xr:uid="{00000000-0005-0000-0000-0000623D0000}"/>
    <cellStyle name="강조색6 10 15" xfId="16938" xr:uid="{00000000-0005-0000-0000-0000633D0000}"/>
    <cellStyle name="강조색6 10 2" xfId="2015" xr:uid="{00000000-0005-0000-0000-0000643D0000}"/>
    <cellStyle name="강조색6 10 2 2" xfId="16944" xr:uid="{00000000-0005-0000-0000-0000653D0000}"/>
    <cellStyle name="강조색6 10 3" xfId="16945" xr:uid="{00000000-0005-0000-0000-0000663D0000}"/>
    <cellStyle name="강조색6 10 4" xfId="16946" xr:uid="{00000000-0005-0000-0000-0000673D0000}"/>
    <cellStyle name="강조색6 10 5" xfId="16947" xr:uid="{00000000-0005-0000-0000-0000683D0000}"/>
    <cellStyle name="강조색6 10 6" xfId="16948" xr:uid="{00000000-0005-0000-0000-0000693D0000}"/>
    <cellStyle name="강조색6 10 7" xfId="16949" xr:uid="{00000000-0005-0000-0000-00006A3D0000}"/>
    <cellStyle name="강조색6 10 8" xfId="16950" xr:uid="{00000000-0005-0000-0000-00006B3D0000}"/>
    <cellStyle name="강조색6 10 9" xfId="16951" xr:uid="{00000000-0005-0000-0000-00006C3D0000}"/>
    <cellStyle name="강조색6 11" xfId="2016" xr:uid="{00000000-0005-0000-0000-00006D3D0000}"/>
    <cellStyle name="강조색6 11 10" xfId="16953" xr:uid="{00000000-0005-0000-0000-00006E3D0000}"/>
    <cellStyle name="강조색6 11 11" xfId="16954" xr:uid="{00000000-0005-0000-0000-00006F3D0000}"/>
    <cellStyle name="강조색6 11 12" xfId="16955" xr:uid="{00000000-0005-0000-0000-0000703D0000}"/>
    <cellStyle name="강조색6 11 13" xfId="16956" xr:uid="{00000000-0005-0000-0000-0000713D0000}"/>
    <cellStyle name="강조색6 11 14" xfId="16957" xr:uid="{00000000-0005-0000-0000-0000723D0000}"/>
    <cellStyle name="강조색6 11 15" xfId="16952" xr:uid="{00000000-0005-0000-0000-0000733D0000}"/>
    <cellStyle name="강조색6 11 2" xfId="2017" xr:uid="{00000000-0005-0000-0000-0000743D0000}"/>
    <cellStyle name="강조색6 11 2 2" xfId="16958" xr:uid="{00000000-0005-0000-0000-0000753D0000}"/>
    <cellStyle name="강조색6 11 3" xfId="16959" xr:uid="{00000000-0005-0000-0000-0000763D0000}"/>
    <cellStyle name="강조색6 11 4" xfId="16960" xr:uid="{00000000-0005-0000-0000-0000773D0000}"/>
    <cellStyle name="강조색6 11 5" xfId="16961" xr:uid="{00000000-0005-0000-0000-0000783D0000}"/>
    <cellStyle name="강조색6 11 6" xfId="16962" xr:uid="{00000000-0005-0000-0000-0000793D0000}"/>
    <cellStyle name="강조색6 11 7" xfId="16963" xr:uid="{00000000-0005-0000-0000-00007A3D0000}"/>
    <cellStyle name="강조색6 11 8" xfId="16964" xr:uid="{00000000-0005-0000-0000-00007B3D0000}"/>
    <cellStyle name="강조색6 11 9" xfId="16965" xr:uid="{00000000-0005-0000-0000-00007C3D0000}"/>
    <cellStyle name="강조색6 12" xfId="2018" xr:uid="{00000000-0005-0000-0000-00007D3D0000}"/>
    <cellStyle name="강조색6 12 10" xfId="16967" xr:uid="{00000000-0005-0000-0000-00007E3D0000}"/>
    <cellStyle name="강조색6 12 11" xfId="16968" xr:uid="{00000000-0005-0000-0000-00007F3D0000}"/>
    <cellStyle name="강조색6 12 12" xfId="16969" xr:uid="{00000000-0005-0000-0000-0000803D0000}"/>
    <cellStyle name="강조색6 12 13" xfId="16970" xr:uid="{00000000-0005-0000-0000-0000813D0000}"/>
    <cellStyle name="강조색6 12 14" xfId="16971" xr:uid="{00000000-0005-0000-0000-0000823D0000}"/>
    <cellStyle name="강조색6 12 15" xfId="16966" xr:uid="{00000000-0005-0000-0000-0000833D0000}"/>
    <cellStyle name="강조색6 12 2" xfId="2019" xr:uid="{00000000-0005-0000-0000-0000843D0000}"/>
    <cellStyle name="강조색6 12 2 2" xfId="16972" xr:uid="{00000000-0005-0000-0000-0000853D0000}"/>
    <cellStyle name="강조색6 12 3" xfId="16973" xr:uid="{00000000-0005-0000-0000-0000863D0000}"/>
    <cellStyle name="강조색6 12 4" xfId="16974" xr:uid="{00000000-0005-0000-0000-0000873D0000}"/>
    <cellStyle name="강조색6 12 5" xfId="16975" xr:uid="{00000000-0005-0000-0000-0000883D0000}"/>
    <cellStyle name="강조색6 12 6" xfId="16976" xr:uid="{00000000-0005-0000-0000-0000893D0000}"/>
    <cellStyle name="강조색6 12 7" xfId="16977" xr:uid="{00000000-0005-0000-0000-00008A3D0000}"/>
    <cellStyle name="강조색6 12 8" xfId="16978" xr:uid="{00000000-0005-0000-0000-00008B3D0000}"/>
    <cellStyle name="강조색6 12 9" xfId="16979" xr:uid="{00000000-0005-0000-0000-00008C3D0000}"/>
    <cellStyle name="강조색6 13" xfId="2020" xr:uid="{00000000-0005-0000-0000-00008D3D0000}"/>
    <cellStyle name="강조색6 13 10" xfId="16981" xr:uid="{00000000-0005-0000-0000-00008E3D0000}"/>
    <cellStyle name="강조색6 13 11" xfId="16982" xr:uid="{00000000-0005-0000-0000-00008F3D0000}"/>
    <cellStyle name="강조색6 13 12" xfId="16983" xr:uid="{00000000-0005-0000-0000-0000903D0000}"/>
    <cellStyle name="강조색6 13 13" xfId="16984" xr:uid="{00000000-0005-0000-0000-0000913D0000}"/>
    <cellStyle name="강조색6 13 14" xfId="16985" xr:uid="{00000000-0005-0000-0000-0000923D0000}"/>
    <cellStyle name="강조색6 13 15" xfId="16980" xr:uid="{00000000-0005-0000-0000-0000933D0000}"/>
    <cellStyle name="강조색6 13 2" xfId="2021" xr:uid="{00000000-0005-0000-0000-0000943D0000}"/>
    <cellStyle name="강조색6 13 2 2" xfId="16986" xr:uid="{00000000-0005-0000-0000-0000953D0000}"/>
    <cellStyle name="강조색6 13 3" xfId="16987" xr:uid="{00000000-0005-0000-0000-0000963D0000}"/>
    <cellStyle name="강조색6 13 4" xfId="16988" xr:uid="{00000000-0005-0000-0000-0000973D0000}"/>
    <cellStyle name="강조색6 13 5" xfId="16989" xr:uid="{00000000-0005-0000-0000-0000983D0000}"/>
    <cellStyle name="강조색6 13 6" xfId="16990" xr:uid="{00000000-0005-0000-0000-0000993D0000}"/>
    <cellStyle name="강조색6 13 7" xfId="16991" xr:uid="{00000000-0005-0000-0000-00009A3D0000}"/>
    <cellStyle name="강조색6 13 8" xfId="16992" xr:uid="{00000000-0005-0000-0000-00009B3D0000}"/>
    <cellStyle name="강조색6 13 9" xfId="16993" xr:uid="{00000000-0005-0000-0000-00009C3D0000}"/>
    <cellStyle name="강조색6 14" xfId="2022" xr:uid="{00000000-0005-0000-0000-00009D3D0000}"/>
    <cellStyle name="강조색6 14 10" xfId="16995" xr:uid="{00000000-0005-0000-0000-00009E3D0000}"/>
    <cellStyle name="강조색6 14 11" xfId="16996" xr:uid="{00000000-0005-0000-0000-00009F3D0000}"/>
    <cellStyle name="강조색6 14 12" xfId="16997" xr:uid="{00000000-0005-0000-0000-0000A03D0000}"/>
    <cellStyle name="강조색6 14 13" xfId="16998" xr:uid="{00000000-0005-0000-0000-0000A13D0000}"/>
    <cellStyle name="강조색6 14 14" xfId="16999" xr:uid="{00000000-0005-0000-0000-0000A23D0000}"/>
    <cellStyle name="강조색6 14 15" xfId="16994" xr:uid="{00000000-0005-0000-0000-0000A33D0000}"/>
    <cellStyle name="강조색6 14 2" xfId="2023" xr:uid="{00000000-0005-0000-0000-0000A43D0000}"/>
    <cellStyle name="강조색6 14 2 2" xfId="17000" xr:uid="{00000000-0005-0000-0000-0000A53D0000}"/>
    <cellStyle name="강조색6 14 3" xfId="17001" xr:uid="{00000000-0005-0000-0000-0000A63D0000}"/>
    <cellStyle name="강조색6 14 4" xfId="17002" xr:uid="{00000000-0005-0000-0000-0000A73D0000}"/>
    <cellStyle name="강조색6 14 5" xfId="17003" xr:uid="{00000000-0005-0000-0000-0000A83D0000}"/>
    <cellStyle name="강조색6 14 6" xfId="17004" xr:uid="{00000000-0005-0000-0000-0000A93D0000}"/>
    <cellStyle name="강조색6 14 7" xfId="17005" xr:uid="{00000000-0005-0000-0000-0000AA3D0000}"/>
    <cellStyle name="강조색6 14 8" xfId="17006" xr:uid="{00000000-0005-0000-0000-0000AB3D0000}"/>
    <cellStyle name="강조색6 14 9" xfId="17007" xr:uid="{00000000-0005-0000-0000-0000AC3D0000}"/>
    <cellStyle name="강조색6 15" xfId="2024" xr:uid="{00000000-0005-0000-0000-0000AD3D0000}"/>
    <cellStyle name="강조색6 15 10" xfId="17009" xr:uid="{00000000-0005-0000-0000-0000AE3D0000}"/>
    <cellStyle name="강조색6 15 11" xfId="17010" xr:uid="{00000000-0005-0000-0000-0000AF3D0000}"/>
    <cellStyle name="강조색6 15 12" xfId="17011" xr:uid="{00000000-0005-0000-0000-0000B03D0000}"/>
    <cellStyle name="강조색6 15 13" xfId="17012" xr:uid="{00000000-0005-0000-0000-0000B13D0000}"/>
    <cellStyle name="강조색6 15 14" xfId="17013" xr:uid="{00000000-0005-0000-0000-0000B23D0000}"/>
    <cellStyle name="강조색6 15 15" xfId="17008" xr:uid="{00000000-0005-0000-0000-0000B33D0000}"/>
    <cellStyle name="강조색6 15 2" xfId="2025" xr:uid="{00000000-0005-0000-0000-0000B43D0000}"/>
    <cellStyle name="강조색6 15 2 2" xfId="17014" xr:uid="{00000000-0005-0000-0000-0000B53D0000}"/>
    <cellStyle name="강조색6 15 3" xfId="17015" xr:uid="{00000000-0005-0000-0000-0000B63D0000}"/>
    <cellStyle name="강조색6 15 4" xfId="17016" xr:uid="{00000000-0005-0000-0000-0000B73D0000}"/>
    <cellStyle name="강조색6 15 5" xfId="17017" xr:uid="{00000000-0005-0000-0000-0000B83D0000}"/>
    <cellStyle name="강조색6 15 6" xfId="17018" xr:uid="{00000000-0005-0000-0000-0000B93D0000}"/>
    <cellStyle name="강조색6 15 7" xfId="17019" xr:uid="{00000000-0005-0000-0000-0000BA3D0000}"/>
    <cellStyle name="강조색6 15 8" xfId="17020" xr:uid="{00000000-0005-0000-0000-0000BB3D0000}"/>
    <cellStyle name="강조색6 15 9" xfId="17021" xr:uid="{00000000-0005-0000-0000-0000BC3D0000}"/>
    <cellStyle name="강조색6 16" xfId="2026" xr:uid="{00000000-0005-0000-0000-0000BD3D0000}"/>
    <cellStyle name="강조색6 16 10" xfId="17023" xr:uid="{00000000-0005-0000-0000-0000BE3D0000}"/>
    <cellStyle name="강조색6 16 11" xfId="17024" xr:uid="{00000000-0005-0000-0000-0000BF3D0000}"/>
    <cellStyle name="강조색6 16 12" xfId="17025" xr:uid="{00000000-0005-0000-0000-0000C03D0000}"/>
    <cellStyle name="강조색6 16 13" xfId="17026" xr:uid="{00000000-0005-0000-0000-0000C13D0000}"/>
    <cellStyle name="강조색6 16 14" xfId="17027" xr:uid="{00000000-0005-0000-0000-0000C23D0000}"/>
    <cellStyle name="강조색6 16 15" xfId="17022" xr:uid="{00000000-0005-0000-0000-0000C33D0000}"/>
    <cellStyle name="강조색6 16 2" xfId="2027" xr:uid="{00000000-0005-0000-0000-0000C43D0000}"/>
    <cellStyle name="강조색6 16 2 2" xfId="17028" xr:uid="{00000000-0005-0000-0000-0000C53D0000}"/>
    <cellStyle name="강조색6 16 3" xfId="17029" xr:uid="{00000000-0005-0000-0000-0000C63D0000}"/>
    <cellStyle name="강조색6 16 4" xfId="17030" xr:uid="{00000000-0005-0000-0000-0000C73D0000}"/>
    <cellStyle name="강조색6 16 5" xfId="17031" xr:uid="{00000000-0005-0000-0000-0000C83D0000}"/>
    <cellStyle name="강조색6 16 6" xfId="17032" xr:uid="{00000000-0005-0000-0000-0000C93D0000}"/>
    <cellStyle name="강조색6 16 7" xfId="17033" xr:uid="{00000000-0005-0000-0000-0000CA3D0000}"/>
    <cellStyle name="강조색6 16 8" xfId="17034" xr:uid="{00000000-0005-0000-0000-0000CB3D0000}"/>
    <cellStyle name="강조색6 16 9" xfId="17035" xr:uid="{00000000-0005-0000-0000-0000CC3D0000}"/>
    <cellStyle name="강조색6 17" xfId="2028" xr:uid="{00000000-0005-0000-0000-0000CD3D0000}"/>
    <cellStyle name="강조색6 17 10" xfId="17037" xr:uid="{00000000-0005-0000-0000-0000CE3D0000}"/>
    <cellStyle name="강조색6 17 11" xfId="17038" xr:uid="{00000000-0005-0000-0000-0000CF3D0000}"/>
    <cellStyle name="강조색6 17 12" xfId="17039" xr:uid="{00000000-0005-0000-0000-0000D03D0000}"/>
    <cellStyle name="강조색6 17 13" xfId="17040" xr:uid="{00000000-0005-0000-0000-0000D13D0000}"/>
    <cellStyle name="강조색6 17 14" xfId="17041" xr:uid="{00000000-0005-0000-0000-0000D23D0000}"/>
    <cellStyle name="강조색6 17 15" xfId="17036" xr:uid="{00000000-0005-0000-0000-0000D33D0000}"/>
    <cellStyle name="강조색6 17 2" xfId="2029" xr:uid="{00000000-0005-0000-0000-0000D43D0000}"/>
    <cellStyle name="강조색6 17 2 2" xfId="17042" xr:uid="{00000000-0005-0000-0000-0000D53D0000}"/>
    <cellStyle name="강조색6 17 3" xfId="17043" xr:uid="{00000000-0005-0000-0000-0000D63D0000}"/>
    <cellStyle name="강조색6 17 4" xfId="17044" xr:uid="{00000000-0005-0000-0000-0000D73D0000}"/>
    <cellStyle name="강조색6 17 5" xfId="17045" xr:uid="{00000000-0005-0000-0000-0000D83D0000}"/>
    <cellStyle name="강조색6 17 6" xfId="17046" xr:uid="{00000000-0005-0000-0000-0000D93D0000}"/>
    <cellStyle name="강조색6 17 7" xfId="17047" xr:uid="{00000000-0005-0000-0000-0000DA3D0000}"/>
    <cellStyle name="강조색6 17 8" xfId="17048" xr:uid="{00000000-0005-0000-0000-0000DB3D0000}"/>
    <cellStyle name="강조색6 17 9" xfId="17049" xr:uid="{00000000-0005-0000-0000-0000DC3D0000}"/>
    <cellStyle name="강조색6 18" xfId="2030" xr:uid="{00000000-0005-0000-0000-0000DD3D0000}"/>
    <cellStyle name="강조색6 18 10" xfId="17051" xr:uid="{00000000-0005-0000-0000-0000DE3D0000}"/>
    <cellStyle name="강조색6 18 11" xfId="17052" xr:uid="{00000000-0005-0000-0000-0000DF3D0000}"/>
    <cellStyle name="강조색6 18 12" xfId="17053" xr:uid="{00000000-0005-0000-0000-0000E03D0000}"/>
    <cellStyle name="강조색6 18 13" xfId="17054" xr:uid="{00000000-0005-0000-0000-0000E13D0000}"/>
    <cellStyle name="강조색6 18 14" xfId="17055" xr:uid="{00000000-0005-0000-0000-0000E23D0000}"/>
    <cellStyle name="강조색6 18 15" xfId="17050" xr:uid="{00000000-0005-0000-0000-0000E33D0000}"/>
    <cellStyle name="강조색6 18 2" xfId="2031" xr:uid="{00000000-0005-0000-0000-0000E43D0000}"/>
    <cellStyle name="강조색6 18 2 2" xfId="17056" xr:uid="{00000000-0005-0000-0000-0000E53D0000}"/>
    <cellStyle name="강조색6 18 3" xfId="17057" xr:uid="{00000000-0005-0000-0000-0000E63D0000}"/>
    <cellStyle name="강조색6 18 4" xfId="17058" xr:uid="{00000000-0005-0000-0000-0000E73D0000}"/>
    <cellStyle name="강조색6 18 5" xfId="17059" xr:uid="{00000000-0005-0000-0000-0000E83D0000}"/>
    <cellStyle name="강조색6 18 6" xfId="17060" xr:uid="{00000000-0005-0000-0000-0000E93D0000}"/>
    <cellStyle name="강조색6 18 7" xfId="17061" xr:uid="{00000000-0005-0000-0000-0000EA3D0000}"/>
    <cellStyle name="강조색6 18 8" xfId="17062" xr:uid="{00000000-0005-0000-0000-0000EB3D0000}"/>
    <cellStyle name="강조색6 18 9" xfId="17063" xr:uid="{00000000-0005-0000-0000-0000EC3D0000}"/>
    <cellStyle name="강조색6 19" xfId="2032" xr:uid="{00000000-0005-0000-0000-0000ED3D0000}"/>
    <cellStyle name="강조색6 19 10" xfId="17065" xr:uid="{00000000-0005-0000-0000-0000EE3D0000}"/>
    <cellStyle name="강조색6 19 11" xfId="17066" xr:uid="{00000000-0005-0000-0000-0000EF3D0000}"/>
    <cellStyle name="강조색6 19 12" xfId="17067" xr:uid="{00000000-0005-0000-0000-0000F03D0000}"/>
    <cellStyle name="강조색6 19 13" xfId="17068" xr:uid="{00000000-0005-0000-0000-0000F13D0000}"/>
    <cellStyle name="강조색6 19 14" xfId="17069" xr:uid="{00000000-0005-0000-0000-0000F23D0000}"/>
    <cellStyle name="강조색6 19 15" xfId="17064" xr:uid="{00000000-0005-0000-0000-0000F33D0000}"/>
    <cellStyle name="강조색6 19 2" xfId="2033" xr:uid="{00000000-0005-0000-0000-0000F43D0000}"/>
    <cellStyle name="강조색6 19 2 2" xfId="17070" xr:uid="{00000000-0005-0000-0000-0000F53D0000}"/>
    <cellStyle name="강조색6 19 3" xfId="17071" xr:uid="{00000000-0005-0000-0000-0000F63D0000}"/>
    <cellStyle name="강조색6 19 4" xfId="17072" xr:uid="{00000000-0005-0000-0000-0000F73D0000}"/>
    <cellStyle name="강조색6 19 5" xfId="17073" xr:uid="{00000000-0005-0000-0000-0000F83D0000}"/>
    <cellStyle name="강조색6 19 6" xfId="17074" xr:uid="{00000000-0005-0000-0000-0000F93D0000}"/>
    <cellStyle name="강조색6 19 7" xfId="17075" xr:uid="{00000000-0005-0000-0000-0000FA3D0000}"/>
    <cellStyle name="강조색6 19 8" xfId="17076" xr:uid="{00000000-0005-0000-0000-0000FB3D0000}"/>
    <cellStyle name="강조색6 19 9" xfId="17077" xr:uid="{00000000-0005-0000-0000-0000FC3D0000}"/>
    <cellStyle name="강조색6 2" xfId="2034" xr:uid="{00000000-0005-0000-0000-0000FD3D0000}"/>
    <cellStyle name="강조색6 2 10" xfId="17079" xr:uid="{00000000-0005-0000-0000-0000FE3D0000}"/>
    <cellStyle name="강조색6 2 11" xfId="17080" xr:uid="{00000000-0005-0000-0000-0000FF3D0000}"/>
    <cellStyle name="강조색6 2 12" xfId="17081" xr:uid="{00000000-0005-0000-0000-0000003E0000}"/>
    <cellStyle name="강조색6 2 13" xfId="17082" xr:uid="{00000000-0005-0000-0000-0000013E0000}"/>
    <cellStyle name="강조색6 2 14" xfId="17083" xr:uid="{00000000-0005-0000-0000-0000023E0000}"/>
    <cellStyle name="강조색6 2 15" xfId="17078" xr:uid="{00000000-0005-0000-0000-0000033E0000}"/>
    <cellStyle name="강조색6 2 16" xfId="27956" xr:uid="{00000000-0005-0000-0000-0000043E0000}"/>
    <cellStyle name="강조색6 2 2" xfId="2035" xr:uid="{00000000-0005-0000-0000-0000053E0000}"/>
    <cellStyle name="강조색6 2 2 2" xfId="17084" xr:uid="{00000000-0005-0000-0000-0000063E0000}"/>
    <cellStyle name="강조색6 2 3" xfId="17085" xr:uid="{00000000-0005-0000-0000-0000073E0000}"/>
    <cellStyle name="강조색6 2 4" xfId="17086" xr:uid="{00000000-0005-0000-0000-0000083E0000}"/>
    <cellStyle name="강조색6 2 5" xfId="17087" xr:uid="{00000000-0005-0000-0000-0000093E0000}"/>
    <cellStyle name="강조색6 2 6" xfId="17088" xr:uid="{00000000-0005-0000-0000-00000A3E0000}"/>
    <cellStyle name="강조색6 2 7" xfId="17089" xr:uid="{00000000-0005-0000-0000-00000B3E0000}"/>
    <cellStyle name="강조색6 2 8" xfId="17090" xr:uid="{00000000-0005-0000-0000-00000C3E0000}"/>
    <cellStyle name="강조색6 2 9" xfId="17091" xr:uid="{00000000-0005-0000-0000-00000D3E0000}"/>
    <cellStyle name="강조색6 20" xfId="2036" xr:uid="{00000000-0005-0000-0000-00000E3E0000}"/>
    <cellStyle name="강조색6 20 10" xfId="17093" xr:uid="{00000000-0005-0000-0000-00000F3E0000}"/>
    <cellStyle name="강조색6 20 11" xfId="17094" xr:uid="{00000000-0005-0000-0000-0000103E0000}"/>
    <cellStyle name="강조색6 20 12" xfId="17095" xr:uid="{00000000-0005-0000-0000-0000113E0000}"/>
    <cellStyle name="강조색6 20 13" xfId="17096" xr:uid="{00000000-0005-0000-0000-0000123E0000}"/>
    <cellStyle name="강조색6 20 14" xfId="17097" xr:uid="{00000000-0005-0000-0000-0000133E0000}"/>
    <cellStyle name="강조색6 20 15" xfId="17092" xr:uid="{00000000-0005-0000-0000-0000143E0000}"/>
    <cellStyle name="강조색6 20 2" xfId="2037" xr:uid="{00000000-0005-0000-0000-0000153E0000}"/>
    <cellStyle name="강조색6 20 2 2" xfId="17098" xr:uid="{00000000-0005-0000-0000-0000163E0000}"/>
    <cellStyle name="강조색6 20 3" xfId="17099" xr:uid="{00000000-0005-0000-0000-0000173E0000}"/>
    <cellStyle name="강조색6 20 4" xfId="17100" xr:uid="{00000000-0005-0000-0000-0000183E0000}"/>
    <cellStyle name="강조색6 20 5" xfId="17101" xr:uid="{00000000-0005-0000-0000-0000193E0000}"/>
    <cellStyle name="강조색6 20 6" xfId="17102" xr:uid="{00000000-0005-0000-0000-00001A3E0000}"/>
    <cellStyle name="강조색6 20 7" xfId="17103" xr:uid="{00000000-0005-0000-0000-00001B3E0000}"/>
    <cellStyle name="강조색6 20 8" xfId="17104" xr:uid="{00000000-0005-0000-0000-00001C3E0000}"/>
    <cellStyle name="강조색6 20 9" xfId="17105" xr:uid="{00000000-0005-0000-0000-00001D3E0000}"/>
    <cellStyle name="강조색6 21" xfId="2038" xr:uid="{00000000-0005-0000-0000-00001E3E0000}"/>
    <cellStyle name="강조색6 21 10" xfId="17107" xr:uid="{00000000-0005-0000-0000-00001F3E0000}"/>
    <cellStyle name="강조색6 21 11" xfId="17108" xr:uid="{00000000-0005-0000-0000-0000203E0000}"/>
    <cellStyle name="강조색6 21 12" xfId="17109" xr:uid="{00000000-0005-0000-0000-0000213E0000}"/>
    <cellStyle name="강조색6 21 13" xfId="17110" xr:uid="{00000000-0005-0000-0000-0000223E0000}"/>
    <cellStyle name="강조색6 21 14" xfId="17111" xr:uid="{00000000-0005-0000-0000-0000233E0000}"/>
    <cellStyle name="강조색6 21 15" xfId="17106" xr:uid="{00000000-0005-0000-0000-0000243E0000}"/>
    <cellStyle name="강조색6 21 2" xfId="2039" xr:uid="{00000000-0005-0000-0000-0000253E0000}"/>
    <cellStyle name="강조색6 21 2 2" xfId="17112" xr:uid="{00000000-0005-0000-0000-0000263E0000}"/>
    <cellStyle name="강조색6 21 3" xfId="17113" xr:uid="{00000000-0005-0000-0000-0000273E0000}"/>
    <cellStyle name="강조색6 21 4" xfId="17114" xr:uid="{00000000-0005-0000-0000-0000283E0000}"/>
    <cellStyle name="강조색6 21 5" xfId="17115" xr:uid="{00000000-0005-0000-0000-0000293E0000}"/>
    <cellStyle name="강조색6 21 6" xfId="17116" xr:uid="{00000000-0005-0000-0000-00002A3E0000}"/>
    <cellStyle name="강조색6 21 7" xfId="17117" xr:uid="{00000000-0005-0000-0000-00002B3E0000}"/>
    <cellStyle name="강조색6 21 8" xfId="17118" xr:uid="{00000000-0005-0000-0000-00002C3E0000}"/>
    <cellStyle name="강조색6 21 9" xfId="17119" xr:uid="{00000000-0005-0000-0000-00002D3E0000}"/>
    <cellStyle name="강조색6 22" xfId="2040" xr:uid="{00000000-0005-0000-0000-00002E3E0000}"/>
    <cellStyle name="강조색6 22 10" xfId="17121" xr:uid="{00000000-0005-0000-0000-00002F3E0000}"/>
    <cellStyle name="강조색6 22 11" xfId="17122" xr:uid="{00000000-0005-0000-0000-0000303E0000}"/>
    <cellStyle name="강조색6 22 12" xfId="17123" xr:uid="{00000000-0005-0000-0000-0000313E0000}"/>
    <cellStyle name="강조색6 22 13" xfId="17124" xr:uid="{00000000-0005-0000-0000-0000323E0000}"/>
    <cellStyle name="강조색6 22 14" xfId="17125" xr:uid="{00000000-0005-0000-0000-0000333E0000}"/>
    <cellStyle name="강조색6 22 15" xfId="17120" xr:uid="{00000000-0005-0000-0000-0000343E0000}"/>
    <cellStyle name="강조색6 22 2" xfId="2041" xr:uid="{00000000-0005-0000-0000-0000353E0000}"/>
    <cellStyle name="강조색6 22 2 2" xfId="17126" xr:uid="{00000000-0005-0000-0000-0000363E0000}"/>
    <cellStyle name="강조색6 22 3" xfId="17127" xr:uid="{00000000-0005-0000-0000-0000373E0000}"/>
    <cellStyle name="강조색6 22 4" xfId="17128" xr:uid="{00000000-0005-0000-0000-0000383E0000}"/>
    <cellStyle name="강조색6 22 5" xfId="17129" xr:uid="{00000000-0005-0000-0000-0000393E0000}"/>
    <cellStyle name="강조색6 22 6" xfId="17130" xr:uid="{00000000-0005-0000-0000-00003A3E0000}"/>
    <cellStyle name="강조색6 22 7" xfId="17131" xr:uid="{00000000-0005-0000-0000-00003B3E0000}"/>
    <cellStyle name="강조색6 22 8" xfId="17132" xr:uid="{00000000-0005-0000-0000-00003C3E0000}"/>
    <cellStyle name="강조색6 22 9" xfId="17133" xr:uid="{00000000-0005-0000-0000-00003D3E0000}"/>
    <cellStyle name="강조색6 23" xfId="2042" xr:uid="{00000000-0005-0000-0000-00003E3E0000}"/>
    <cellStyle name="강조색6 23 10" xfId="17135" xr:uid="{00000000-0005-0000-0000-00003F3E0000}"/>
    <cellStyle name="강조색6 23 11" xfId="17136" xr:uid="{00000000-0005-0000-0000-0000403E0000}"/>
    <cellStyle name="강조색6 23 12" xfId="17137" xr:uid="{00000000-0005-0000-0000-0000413E0000}"/>
    <cellStyle name="강조색6 23 13" xfId="17138" xr:uid="{00000000-0005-0000-0000-0000423E0000}"/>
    <cellStyle name="강조색6 23 14" xfId="17139" xr:uid="{00000000-0005-0000-0000-0000433E0000}"/>
    <cellStyle name="강조색6 23 15" xfId="17134" xr:uid="{00000000-0005-0000-0000-0000443E0000}"/>
    <cellStyle name="강조색6 23 2" xfId="2043" xr:uid="{00000000-0005-0000-0000-0000453E0000}"/>
    <cellStyle name="강조색6 23 2 2" xfId="17140" xr:uid="{00000000-0005-0000-0000-0000463E0000}"/>
    <cellStyle name="강조색6 23 3" xfId="17141" xr:uid="{00000000-0005-0000-0000-0000473E0000}"/>
    <cellStyle name="강조색6 23 4" xfId="17142" xr:uid="{00000000-0005-0000-0000-0000483E0000}"/>
    <cellStyle name="강조색6 23 5" xfId="17143" xr:uid="{00000000-0005-0000-0000-0000493E0000}"/>
    <cellStyle name="강조색6 23 6" xfId="17144" xr:uid="{00000000-0005-0000-0000-00004A3E0000}"/>
    <cellStyle name="강조색6 23 7" xfId="17145" xr:uid="{00000000-0005-0000-0000-00004B3E0000}"/>
    <cellStyle name="강조색6 23 8" xfId="17146" xr:uid="{00000000-0005-0000-0000-00004C3E0000}"/>
    <cellStyle name="강조색6 23 9" xfId="17147" xr:uid="{00000000-0005-0000-0000-00004D3E0000}"/>
    <cellStyle name="강조색6 24" xfId="2044" xr:uid="{00000000-0005-0000-0000-00004E3E0000}"/>
    <cellStyle name="강조색6 24 10" xfId="17149" xr:uid="{00000000-0005-0000-0000-00004F3E0000}"/>
    <cellStyle name="강조색6 24 11" xfId="17150" xr:uid="{00000000-0005-0000-0000-0000503E0000}"/>
    <cellStyle name="강조색6 24 12" xfId="17151" xr:uid="{00000000-0005-0000-0000-0000513E0000}"/>
    <cellStyle name="강조색6 24 13" xfId="17152" xr:uid="{00000000-0005-0000-0000-0000523E0000}"/>
    <cellStyle name="강조색6 24 14" xfId="17153" xr:uid="{00000000-0005-0000-0000-0000533E0000}"/>
    <cellStyle name="강조색6 24 15" xfId="17148" xr:uid="{00000000-0005-0000-0000-0000543E0000}"/>
    <cellStyle name="강조색6 24 2" xfId="2045" xr:uid="{00000000-0005-0000-0000-0000553E0000}"/>
    <cellStyle name="강조색6 24 2 2" xfId="17154" xr:uid="{00000000-0005-0000-0000-0000563E0000}"/>
    <cellStyle name="강조색6 24 3" xfId="17155" xr:uid="{00000000-0005-0000-0000-0000573E0000}"/>
    <cellStyle name="강조색6 24 4" xfId="17156" xr:uid="{00000000-0005-0000-0000-0000583E0000}"/>
    <cellStyle name="강조색6 24 5" xfId="17157" xr:uid="{00000000-0005-0000-0000-0000593E0000}"/>
    <cellStyle name="강조색6 24 6" xfId="17158" xr:uid="{00000000-0005-0000-0000-00005A3E0000}"/>
    <cellStyle name="강조색6 24 7" xfId="17159" xr:uid="{00000000-0005-0000-0000-00005B3E0000}"/>
    <cellStyle name="강조색6 24 8" xfId="17160" xr:uid="{00000000-0005-0000-0000-00005C3E0000}"/>
    <cellStyle name="강조색6 24 9" xfId="17161" xr:uid="{00000000-0005-0000-0000-00005D3E0000}"/>
    <cellStyle name="강조색6 25" xfId="2046" xr:uid="{00000000-0005-0000-0000-00005E3E0000}"/>
    <cellStyle name="강조색6 25 10" xfId="17163" xr:uid="{00000000-0005-0000-0000-00005F3E0000}"/>
    <cellStyle name="강조색6 25 11" xfId="17164" xr:uid="{00000000-0005-0000-0000-0000603E0000}"/>
    <cellStyle name="강조색6 25 12" xfId="17165" xr:uid="{00000000-0005-0000-0000-0000613E0000}"/>
    <cellStyle name="강조색6 25 13" xfId="17166" xr:uid="{00000000-0005-0000-0000-0000623E0000}"/>
    <cellStyle name="강조색6 25 14" xfId="17167" xr:uid="{00000000-0005-0000-0000-0000633E0000}"/>
    <cellStyle name="강조색6 25 15" xfId="17162" xr:uid="{00000000-0005-0000-0000-0000643E0000}"/>
    <cellStyle name="강조색6 25 2" xfId="2047" xr:uid="{00000000-0005-0000-0000-0000653E0000}"/>
    <cellStyle name="강조색6 25 2 2" xfId="17168" xr:uid="{00000000-0005-0000-0000-0000663E0000}"/>
    <cellStyle name="강조색6 25 3" xfId="17169" xr:uid="{00000000-0005-0000-0000-0000673E0000}"/>
    <cellStyle name="강조색6 25 4" xfId="17170" xr:uid="{00000000-0005-0000-0000-0000683E0000}"/>
    <cellStyle name="강조색6 25 5" xfId="17171" xr:uid="{00000000-0005-0000-0000-0000693E0000}"/>
    <cellStyle name="강조색6 25 6" xfId="17172" xr:uid="{00000000-0005-0000-0000-00006A3E0000}"/>
    <cellStyle name="강조색6 25 7" xfId="17173" xr:uid="{00000000-0005-0000-0000-00006B3E0000}"/>
    <cellStyle name="강조색6 25 8" xfId="17174" xr:uid="{00000000-0005-0000-0000-00006C3E0000}"/>
    <cellStyle name="강조색6 25 9" xfId="17175" xr:uid="{00000000-0005-0000-0000-00006D3E0000}"/>
    <cellStyle name="강조색6 26" xfId="2048" xr:uid="{00000000-0005-0000-0000-00006E3E0000}"/>
    <cellStyle name="강조색6 26 10" xfId="17177" xr:uid="{00000000-0005-0000-0000-00006F3E0000}"/>
    <cellStyle name="강조색6 26 11" xfId="17178" xr:uid="{00000000-0005-0000-0000-0000703E0000}"/>
    <cellStyle name="강조색6 26 12" xfId="17179" xr:uid="{00000000-0005-0000-0000-0000713E0000}"/>
    <cellStyle name="강조색6 26 13" xfId="17180" xr:uid="{00000000-0005-0000-0000-0000723E0000}"/>
    <cellStyle name="강조색6 26 14" xfId="17181" xr:uid="{00000000-0005-0000-0000-0000733E0000}"/>
    <cellStyle name="강조색6 26 15" xfId="17176" xr:uid="{00000000-0005-0000-0000-0000743E0000}"/>
    <cellStyle name="강조색6 26 2" xfId="2049" xr:uid="{00000000-0005-0000-0000-0000753E0000}"/>
    <cellStyle name="강조색6 26 2 2" xfId="17182" xr:uid="{00000000-0005-0000-0000-0000763E0000}"/>
    <cellStyle name="강조색6 26 3" xfId="17183" xr:uid="{00000000-0005-0000-0000-0000773E0000}"/>
    <cellStyle name="강조색6 26 4" xfId="17184" xr:uid="{00000000-0005-0000-0000-0000783E0000}"/>
    <cellStyle name="강조색6 26 5" xfId="17185" xr:uid="{00000000-0005-0000-0000-0000793E0000}"/>
    <cellStyle name="강조색6 26 6" xfId="17186" xr:uid="{00000000-0005-0000-0000-00007A3E0000}"/>
    <cellStyle name="강조색6 26 7" xfId="17187" xr:uid="{00000000-0005-0000-0000-00007B3E0000}"/>
    <cellStyle name="강조색6 26 8" xfId="17188" xr:uid="{00000000-0005-0000-0000-00007C3E0000}"/>
    <cellStyle name="강조색6 26 9" xfId="17189" xr:uid="{00000000-0005-0000-0000-00007D3E0000}"/>
    <cellStyle name="강조색6 27" xfId="2050" xr:uid="{00000000-0005-0000-0000-00007E3E0000}"/>
    <cellStyle name="강조색6 27 10" xfId="17191" xr:uid="{00000000-0005-0000-0000-00007F3E0000}"/>
    <cellStyle name="강조색6 27 11" xfId="17192" xr:uid="{00000000-0005-0000-0000-0000803E0000}"/>
    <cellStyle name="강조색6 27 12" xfId="17193" xr:uid="{00000000-0005-0000-0000-0000813E0000}"/>
    <cellStyle name="강조색6 27 13" xfId="17194" xr:uid="{00000000-0005-0000-0000-0000823E0000}"/>
    <cellStyle name="강조색6 27 14" xfId="17195" xr:uid="{00000000-0005-0000-0000-0000833E0000}"/>
    <cellStyle name="강조색6 27 15" xfId="17190" xr:uid="{00000000-0005-0000-0000-0000843E0000}"/>
    <cellStyle name="강조색6 27 2" xfId="2051" xr:uid="{00000000-0005-0000-0000-0000853E0000}"/>
    <cellStyle name="강조색6 27 2 2" xfId="17196" xr:uid="{00000000-0005-0000-0000-0000863E0000}"/>
    <cellStyle name="강조색6 27 3" xfId="17197" xr:uid="{00000000-0005-0000-0000-0000873E0000}"/>
    <cellStyle name="강조색6 27 4" xfId="17198" xr:uid="{00000000-0005-0000-0000-0000883E0000}"/>
    <cellStyle name="강조색6 27 5" xfId="17199" xr:uid="{00000000-0005-0000-0000-0000893E0000}"/>
    <cellStyle name="강조색6 27 6" xfId="17200" xr:uid="{00000000-0005-0000-0000-00008A3E0000}"/>
    <cellStyle name="강조색6 27 7" xfId="17201" xr:uid="{00000000-0005-0000-0000-00008B3E0000}"/>
    <cellStyle name="강조색6 27 8" xfId="17202" xr:uid="{00000000-0005-0000-0000-00008C3E0000}"/>
    <cellStyle name="강조색6 27 9" xfId="17203" xr:uid="{00000000-0005-0000-0000-00008D3E0000}"/>
    <cellStyle name="강조색6 28" xfId="2052" xr:uid="{00000000-0005-0000-0000-00008E3E0000}"/>
    <cellStyle name="강조색6 28 10" xfId="17205" xr:uid="{00000000-0005-0000-0000-00008F3E0000}"/>
    <cellStyle name="강조색6 28 11" xfId="17206" xr:uid="{00000000-0005-0000-0000-0000903E0000}"/>
    <cellStyle name="강조색6 28 12" xfId="17207" xr:uid="{00000000-0005-0000-0000-0000913E0000}"/>
    <cellStyle name="강조색6 28 13" xfId="17208" xr:uid="{00000000-0005-0000-0000-0000923E0000}"/>
    <cellStyle name="강조색6 28 14" xfId="17209" xr:uid="{00000000-0005-0000-0000-0000933E0000}"/>
    <cellStyle name="강조색6 28 15" xfId="17204" xr:uid="{00000000-0005-0000-0000-0000943E0000}"/>
    <cellStyle name="강조색6 28 2" xfId="2053" xr:uid="{00000000-0005-0000-0000-0000953E0000}"/>
    <cellStyle name="강조색6 28 2 2" xfId="17210" xr:uid="{00000000-0005-0000-0000-0000963E0000}"/>
    <cellStyle name="강조색6 28 3" xfId="17211" xr:uid="{00000000-0005-0000-0000-0000973E0000}"/>
    <cellStyle name="강조색6 28 4" xfId="17212" xr:uid="{00000000-0005-0000-0000-0000983E0000}"/>
    <cellStyle name="강조색6 28 5" xfId="17213" xr:uid="{00000000-0005-0000-0000-0000993E0000}"/>
    <cellStyle name="강조색6 28 6" xfId="17214" xr:uid="{00000000-0005-0000-0000-00009A3E0000}"/>
    <cellStyle name="강조색6 28 7" xfId="17215" xr:uid="{00000000-0005-0000-0000-00009B3E0000}"/>
    <cellStyle name="강조색6 28 8" xfId="17216" xr:uid="{00000000-0005-0000-0000-00009C3E0000}"/>
    <cellStyle name="강조색6 28 9" xfId="17217" xr:uid="{00000000-0005-0000-0000-00009D3E0000}"/>
    <cellStyle name="강조색6 29" xfId="2054" xr:uid="{00000000-0005-0000-0000-00009E3E0000}"/>
    <cellStyle name="강조색6 29 10" xfId="17219" xr:uid="{00000000-0005-0000-0000-00009F3E0000}"/>
    <cellStyle name="강조색6 29 11" xfId="17220" xr:uid="{00000000-0005-0000-0000-0000A03E0000}"/>
    <cellStyle name="강조색6 29 12" xfId="17221" xr:uid="{00000000-0005-0000-0000-0000A13E0000}"/>
    <cellStyle name="강조색6 29 13" xfId="17222" xr:uid="{00000000-0005-0000-0000-0000A23E0000}"/>
    <cellStyle name="강조색6 29 14" xfId="17223" xr:uid="{00000000-0005-0000-0000-0000A33E0000}"/>
    <cellStyle name="강조색6 29 15" xfId="17218" xr:uid="{00000000-0005-0000-0000-0000A43E0000}"/>
    <cellStyle name="강조색6 29 2" xfId="2055" xr:uid="{00000000-0005-0000-0000-0000A53E0000}"/>
    <cellStyle name="강조색6 29 2 2" xfId="17224" xr:uid="{00000000-0005-0000-0000-0000A63E0000}"/>
    <cellStyle name="강조색6 29 3" xfId="17225" xr:uid="{00000000-0005-0000-0000-0000A73E0000}"/>
    <cellStyle name="강조색6 29 4" xfId="17226" xr:uid="{00000000-0005-0000-0000-0000A83E0000}"/>
    <cellStyle name="강조색6 29 5" xfId="17227" xr:uid="{00000000-0005-0000-0000-0000A93E0000}"/>
    <cellStyle name="강조색6 29 6" xfId="17228" xr:uid="{00000000-0005-0000-0000-0000AA3E0000}"/>
    <cellStyle name="강조색6 29 7" xfId="17229" xr:uid="{00000000-0005-0000-0000-0000AB3E0000}"/>
    <cellStyle name="강조색6 29 8" xfId="17230" xr:uid="{00000000-0005-0000-0000-0000AC3E0000}"/>
    <cellStyle name="강조색6 29 9" xfId="17231" xr:uid="{00000000-0005-0000-0000-0000AD3E0000}"/>
    <cellStyle name="강조색6 3" xfId="2056" xr:uid="{00000000-0005-0000-0000-0000AE3E0000}"/>
    <cellStyle name="강조색6 3 10" xfId="17233" xr:uid="{00000000-0005-0000-0000-0000AF3E0000}"/>
    <cellStyle name="강조색6 3 11" xfId="17234" xr:uid="{00000000-0005-0000-0000-0000B03E0000}"/>
    <cellStyle name="강조색6 3 12" xfId="17235" xr:uid="{00000000-0005-0000-0000-0000B13E0000}"/>
    <cellStyle name="강조색6 3 13" xfId="17236" xr:uid="{00000000-0005-0000-0000-0000B23E0000}"/>
    <cellStyle name="강조색6 3 14" xfId="17237" xr:uid="{00000000-0005-0000-0000-0000B33E0000}"/>
    <cellStyle name="강조색6 3 15" xfId="17232" xr:uid="{00000000-0005-0000-0000-0000B43E0000}"/>
    <cellStyle name="강조색6 3 16" xfId="28212" xr:uid="{00000000-0005-0000-0000-0000B53E0000}"/>
    <cellStyle name="강조색6 3 2" xfId="2057" xr:uid="{00000000-0005-0000-0000-0000B63E0000}"/>
    <cellStyle name="강조색6 3 2 2" xfId="17238" xr:uid="{00000000-0005-0000-0000-0000B73E0000}"/>
    <cellStyle name="강조색6 3 3" xfId="17239" xr:uid="{00000000-0005-0000-0000-0000B83E0000}"/>
    <cellStyle name="강조색6 3 4" xfId="17240" xr:uid="{00000000-0005-0000-0000-0000B93E0000}"/>
    <cellStyle name="강조색6 3 5" xfId="17241" xr:uid="{00000000-0005-0000-0000-0000BA3E0000}"/>
    <cellStyle name="강조색6 3 6" xfId="17242" xr:uid="{00000000-0005-0000-0000-0000BB3E0000}"/>
    <cellStyle name="강조색6 3 7" xfId="17243" xr:uid="{00000000-0005-0000-0000-0000BC3E0000}"/>
    <cellStyle name="강조색6 3 8" xfId="17244" xr:uid="{00000000-0005-0000-0000-0000BD3E0000}"/>
    <cellStyle name="강조색6 3 9" xfId="17245" xr:uid="{00000000-0005-0000-0000-0000BE3E0000}"/>
    <cellStyle name="강조색6 30" xfId="2058" xr:uid="{00000000-0005-0000-0000-0000BF3E0000}"/>
    <cellStyle name="강조색6 30 10" xfId="17247" xr:uid="{00000000-0005-0000-0000-0000C03E0000}"/>
    <cellStyle name="강조색6 30 11" xfId="17248" xr:uid="{00000000-0005-0000-0000-0000C13E0000}"/>
    <cellStyle name="강조색6 30 12" xfId="17249" xr:uid="{00000000-0005-0000-0000-0000C23E0000}"/>
    <cellStyle name="강조색6 30 13" xfId="17250" xr:uid="{00000000-0005-0000-0000-0000C33E0000}"/>
    <cellStyle name="강조색6 30 14" xfId="17251" xr:uid="{00000000-0005-0000-0000-0000C43E0000}"/>
    <cellStyle name="강조색6 30 15" xfId="17246" xr:uid="{00000000-0005-0000-0000-0000C53E0000}"/>
    <cellStyle name="강조색6 30 2" xfId="2059" xr:uid="{00000000-0005-0000-0000-0000C63E0000}"/>
    <cellStyle name="강조색6 30 2 2" xfId="17252" xr:uid="{00000000-0005-0000-0000-0000C73E0000}"/>
    <cellStyle name="강조색6 30 3" xfId="17253" xr:uid="{00000000-0005-0000-0000-0000C83E0000}"/>
    <cellStyle name="강조색6 30 4" xfId="17254" xr:uid="{00000000-0005-0000-0000-0000C93E0000}"/>
    <cellStyle name="강조색6 30 5" xfId="17255" xr:uid="{00000000-0005-0000-0000-0000CA3E0000}"/>
    <cellStyle name="강조색6 30 6" xfId="17256" xr:uid="{00000000-0005-0000-0000-0000CB3E0000}"/>
    <cellStyle name="강조색6 30 7" xfId="17257" xr:uid="{00000000-0005-0000-0000-0000CC3E0000}"/>
    <cellStyle name="강조색6 30 8" xfId="17258" xr:uid="{00000000-0005-0000-0000-0000CD3E0000}"/>
    <cellStyle name="강조색6 30 9" xfId="17259" xr:uid="{00000000-0005-0000-0000-0000CE3E0000}"/>
    <cellStyle name="강조색6 31" xfId="2060" xr:uid="{00000000-0005-0000-0000-0000CF3E0000}"/>
    <cellStyle name="강조색6 31 10" xfId="17261" xr:uid="{00000000-0005-0000-0000-0000D03E0000}"/>
    <cellStyle name="강조색6 31 11" xfId="17262" xr:uid="{00000000-0005-0000-0000-0000D13E0000}"/>
    <cellStyle name="강조색6 31 12" xfId="17263" xr:uid="{00000000-0005-0000-0000-0000D23E0000}"/>
    <cellStyle name="강조색6 31 13" xfId="17264" xr:uid="{00000000-0005-0000-0000-0000D33E0000}"/>
    <cellStyle name="강조색6 31 14" xfId="17265" xr:uid="{00000000-0005-0000-0000-0000D43E0000}"/>
    <cellStyle name="강조색6 31 15" xfId="17260" xr:uid="{00000000-0005-0000-0000-0000D53E0000}"/>
    <cellStyle name="강조색6 31 2" xfId="2061" xr:uid="{00000000-0005-0000-0000-0000D63E0000}"/>
    <cellStyle name="강조색6 31 2 2" xfId="17266" xr:uid="{00000000-0005-0000-0000-0000D73E0000}"/>
    <cellStyle name="강조색6 31 3" xfId="17267" xr:uid="{00000000-0005-0000-0000-0000D83E0000}"/>
    <cellStyle name="강조색6 31 4" xfId="17268" xr:uid="{00000000-0005-0000-0000-0000D93E0000}"/>
    <cellStyle name="강조색6 31 5" xfId="17269" xr:uid="{00000000-0005-0000-0000-0000DA3E0000}"/>
    <cellStyle name="강조색6 31 6" xfId="17270" xr:uid="{00000000-0005-0000-0000-0000DB3E0000}"/>
    <cellStyle name="강조색6 31 7" xfId="17271" xr:uid="{00000000-0005-0000-0000-0000DC3E0000}"/>
    <cellStyle name="강조색6 31 8" xfId="17272" xr:uid="{00000000-0005-0000-0000-0000DD3E0000}"/>
    <cellStyle name="강조색6 31 9" xfId="17273" xr:uid="{00000000-0005-0000-0000-0000DE3E0000}"/>
    <cellStyle name="강조색6 32" xfId="2062" xr:uid="{00000000-0005-0000-0000-0000DF3E0000}"/>
    <cellStyle name="강조색6 32 10" xfId="17275" xr:uid="{00000000-0005-0000-0000-0000E03E0000}"/>
    <cellStyle name="강조색6 32 11" xfId="17276" xr:uid="{00000000-0005-0000-0000-0000E13E0000}"/>
    <cellStyle name="강조색6 32 12" xfId="17277" xr:uid="{00000000-0005-0000-0000-0000E23E0000}"/>
    <cellStyle name="강조색6 32 13" xfId="17278" xr:uid="{00000000-0005-0000-0000-0000E33E0000}"/>
    <cellStyle name="강조색6 32 14" xfId="17279" xr:uid="{00000000-0005-0000-0000-0000E43E0000}"/>
    <cellStyle name="강조색6 32 15" xfId="17274" xr:uid="{00000000-0005-0000-0000-0000E53E0000}"/>
    <cellStyle name="강조색6 32 2" xfId="2063" xr:uid="{00000000-0005-0000-0000-0000E63E0000}"/>
    <cellStyle name="강조색6 32 2 2" xfId="17280" xr:uid="{00000000-0005-0000-0000-0000E73E0000}"/>
    <cellStyle name="강조색6 32 3" xfId="17281" xr:uid="{00000000-0005-0000-0000-0000E83E0000}"/>
    <cellStyle name="강조색6 32 4" xfId="17282" xr:uid="{00000000-0005-0000-0000-0000E93E0000}"/>
    <cellStyle name="강조색6 32 5" xfId="17283" xr:uid="{00000000-0005-0000-0000-0000EA3E0000}"/>
    <cellStyle name="강조색6 32 6" xfId="17284" xr:uid="{00000000-0005-0000-0000-0000EB3E0000}"/>
    <cellStyle name="강조색6 32 7" xfId="17285" xr:uid="{00000000-0005-0000-0000-0000EC3E0000}"/>
    <cellStyle name="강조색6 32 8" xfId="17286" xr:uid="{00000000-0005-0000-0000-0000ED3E0000}"/>
    <cellStyle name="강조색6 32 9" xfId="17287" xr:uid="{00000000-0005-0000-0000-0000EE3E0000}"/>
    <cellStyle name="강조색6 33" xfId="2064" xr:uid="{00000000-0005-0000-0000-0000EF3E0000}"/>
    <cellStyle name="강조색6 33 10" xfId="17289" xr:uid="{00000000-0005-0000-0000-0000F03E0000}"/>
    <cellStyle name="강조색6 33 11" xfId="17290" xr:uid="{00000000-0005-0000-0000-0000F13E0000}"/>
    <cellStyle name="강조색6 33 12" xfId="17291" xr:uid="{00000000-0005-0000-0000-0000F23E0000}"/>
    <cellStyle name="강조색6 33 13" xfId="17292" xr:uid="{00000000-0005-0000-0000-0000F33E0000}"/>
    <cellStyle name="강조색6 33 14" xfId="17293" xr:uid="{00000000-0005-0000-0000-0000F43E0000}"/>
    <cellStyle name="강조색6 33 15" xfId="17288" xr:uid="{00000000-0005-0000-0000-0000F53E0000}"/>
    <cellStyle name="강조색6 33 2" xfId="2065" xr:uid="{00000000-0005-0000-0000-0000F63E0000}"/>
    <cellStyle name="강조색6 33 2 2" xfId="17294" xr:uid="{00000000-0005-0000-0000-0000F73E0000}"/>
    <cellStyle name="강조색6 33 3" xfId="17295" xr:uid="{00000000-0005-0000-0000-0000F83E0000}"/>
    <cellStyle name="강조색6 33 4" xfId="17296" xr:uid="{00000000-0005-0000-0000-0000F93E0000}"/>
    <cellStyle name="강조색6 33 5" xfId="17297" xr:uid="{00000000-0005-0000-0000-0000FA3E0000}"/>
    <cellStyle name="강조색6 33 6" xfId="17298" xr:uid="{00000000-0005-0000-0000-0000FB3E0000}"/>
    <cellStyle name="강조색6 33 7" xfId="17299" xr:uid="{00000000-0005-0000-0000-0000FC3E0000}"/>
    <cellStyle name="강조색6 33 8" xfId="17300" xr:uid="{00000000-0005-0000-0000-0000FD3E0000}"/>
    <cellStyle name="강조색6 33 9" xfId="17301" xr:uid="{00000000-0005-0000-0000-0000FE3E0000}"/>
    <cellStyle name="강조색6 34" xfId="2066" xr:uid="{00000000-0005-0000-0000-0000FF3E0000}"/>
    <cellStyle name="강조색6 34 10" xfId="17303" xr:uid="{00000000-0005-0000-0000-0000003F0000}"/>
    <cellStyle name="강조색6 34 11" xfId="17304" xr:uid="{00000000-0005-0000-0000-0000013F0000}"/>
    <cellStyle name="강조색6 34 12" xfId="17305" xr:uid="{00000000-0005-0000-0000-0000023F0000}"/>
    <cellStyle name="강조색6 34 13" xfId="17306" xr:uid="{00000000-0005-0000-0000-0000033F0000}"/>
    <cellStyle name="강조색6 34 14" xfId="17307" xr:uid="{00000000-0005-0000-0000-0000043F0000}"/>
    <cellStyle name="강조색6 34 15" xfId="17302" xr:uid="{00000000-0005-0000-0000-0000053F0000}"/>
    <cellStyle name="강조색6 34 2" xfId="2067" xr:uid="{00000000-0005-0000-0000-0000063F0000}"/>
    <cellStyle name="강조색6 34 2 2" xfId="17308" xr:uid="{00000000-0005-0000-0000-0000073F0000}"/>
    <cellStyle name="강조색6 34 3" xfId="17309" xr:uid="{00000000-0005-0000-0000-0000083F0000}"/>
    <cellStyle name="강조색6 34 4" xfId="17310" xr:uid="{00000000-0005-0000-0000-0000093F0000}"/>
    <cellStyle name="강조색6 34 5" xfId="17311" xr:uid="{00000000-0005-0000-0000-00000A3F0000}"/>
    <cellStyle name="강조색6 34 6" xfId="17312" xr:uid="{00000000-0005-0000-0000-00000B3F0000}"/>
    <cellStyle name="강조색6 34 7" xfId="17313" xr:uid="{00000000-0005-0000-0000-00000C3F0000}"/>
    <cellStyle name="강조색6 34 8" xfId="17314" xr:uid="{00000000-0005-0000-0000-00000D3F0000}"/>
    <cellStyle name="강조색6 34 9" xfId="17315" xr:uid="{00000000-0005-0000-0000-00000E3F0000}"/>
    <cellStyle name="강조색6 35" xfId="2068" xr:uid="{00000000-0005-0000-0000-00000F3F0000}"/>
    <cellStyle name="강조색6 35 10" xfId="17317" xr:uid="{00000000-0005-0000-0000-0000103F0000}"/>
    <cellStyle name="강조색6 35 11" xfId="17318" xr:uid="{00000000-0005-0000-0000-0000113F0000}"/>
    <cellStyle name="강조색6 35 12" xfId="17319" xr:uid="{00000000-0005-0000-0000-0000123F0000}"/>
    <cellStyle name="강조색6 35 13" xfId="17320" xr:uid="{00000000-0005-0000-0000-0000133F0000}"/>
    <cellStyle name="강조색6 35 14" xfId="17321" xr:uid="{00000000-0005-0000-0000-0000143F0000}"/>
    <cellStyle name="강조색6 35 15" xfId="17316" xr:uid="{00000000-0005-0000-0000-0000153F0000}"/>
    <cellStyle name="강조색6 35 2" xfId="2069" xr:uid="{00000000-0005-0000-0000-0000163F0000}"/>
    <cellStyle name="강조색6 35 2 2" xfId="17322" xr:uid="{00000000-0005-0000-0000-0000173F0000}"/>
    <cellStyle name="강조색6 35 3" xfId="17323" xr:uid="{00000000-0005-0000-0000-0000183F0000}"/>
    <cellStyle name="강조색6 35 4" xfId="17324" xr:uid="{00000000-0005-0000-0000-0000193F0000}"/>
    <cellStyle name="강조색6 35 5" xfId="17325" xr:uid="{00000000-0005-0000-0000-00001A3F0000}"/>
    <cellStyle name="강조색6 35 6" xfId="17326" xr:uid="{00000000-0005-0000-0000-00001B3F0000}"/>
    <cellStyle name="강조색6 35 7" xfId="17327" xr:uid="{00000000-0005-0000-0000-00001C3F0000}"/>
    <cellStyle name="강조색6 35 8" xfId="17328" xr:uid="{00000000-0005-0000-0000-00001D3F0000}"/>
    <cellStyle name="강조색6 35 9" xfId="17329" xr:uid="{00000000-0005-0000-0000-00001E3F0000}"/>
    <cellStyle name="강조색6 36" xfId="2070" xr:uid="{00000000-0005-0000-0000-00001F3F0000}"/>
    <cellStyle name="강조색6 36 10" xfId="17331" xr:uid="{00000000-0005-0000-0000-0000203F0000}"/>
    <cellStyle name="강조색6 36 11" xfId="17332" xr:uid="{00000000-0005-0000-0000-0000213F0000}"/>
    <cellStyle name="강조색6 36 12" xfId="17333" xr:uid="{00000000-0005-0000-0000-0000223F0000}"/>
    <cellStyle name="강조색6 36 13" xfId="17334" xr:uid="{00000000-0005-0000-0000-0000233F0000}"/>
    <cellStyle name="강조색6 36 14" xfId="17335" xr:uid="{00000000-0005-0000-0000-0000243F0000}"/>
    <cellStyle name="강조색6 36 15" xfId="17330" xr:uid="{00000000-0005-0000-0000-0000253F0000}"/>
    <cellStyle name="강조색6 36 2" xfId="2071" xr:uid="{00000000-0005-0000-0000-0000263F0000}"/>
    <cellStyle name="강조색6 36 2 2" xfId="17336" xr:uid="{00000000-0005-0000-0000-0000273F0000}"/>
    <cellStyle name="강조색6 36 3" xfId="17337" xr:uid="{00000000-0005-0000-0000-0000283F0000}"/>
    <cellStyle name="강조색6 36 4" xfId="17338" xr:uid="{00000000-0005-0000-0000-0000293F0000}"/>
    <cellStyle name="강조색6 36 5" xfId="17339" xr:uid="{00000000-0005-0000-0000-00002A3F0000}"/>
    <cellStyle name="강조색6 36 6" xfId="17340" xr:uid="{00000000-0005-0000-0000-00002B3F0000}"/>
    <cellStyle name="강조색6 36 7" xfId="17341" xr:uid="{00000000-0005-0000-0000-00002C3F0000}"/>
    <cellStyle name="강조색6 36 8" xfId="17342" xr:uid="{00000000-0005-0000-0000-00002D3F0000}"/>
    <cellStyle name="강조색6 36 9" xfId="17343" xr:uid="{00000000-0005-0000-0000-00002E3F0000}"/>
    <cellStyle name="강조색6 37" xfId="2072" xr:uid="{00000000-0005-0000-0000-00002F3F0000}"/>
    <cellStyle name="강조색6 37 10" xfId="17345" xr:uid="{00000000-0005-0000-0000-0000303F0000}"/>
    <cellStyle name="강조색6 37 11" xfId="17346" xr:uid="{00000000-0005-0000-0000-0000313F0000}"/>
    <cellStyle name="강조색6 37 12" xfId="17347" xr:uid="{00000000-0005-0000-0000-0000323F0000}"/>
    <cellStyle name="강조색6 37 13" xfId="17348" xr:uid="{00000000-0005-0000-0000-0000333F0000}"/>
    <cellStyle name="강조색6 37 14" xfId="17349" xr:uid="{00000000-0005-0000-0000-0000343F0000}"/>
    <cellStyle name="강조색6 37 15" xfId="17344" xr:uid="{00000000-0005-0000-0000-0000353F0000}"/>
    <cellStyle name="강조색6 37 2" xfId="2073" xr:uid="{00000000-0005-0000-0000-0000363F0000}"/>
    <cellStyle name="강조색6 37 2 2" xfId="17350" xr:uid="{00000000-0005-0000-0000-0000373F0000}"/>
    <cellStyle name="강조색6 37 3" xfId="17351" xr:uid="{00000000-0005-0000-0000-0000383F0000}"/>
    <cellStyle name="강조색6 37 4" xfId="17352" xr:uid="{00000000-0005-0000-0000-0000393F0000}"/>
    <cellStyle name="강조색6 37 5" xfId="17353" xr:uid="{00000000-0005-0000-0000-00003A3F0000}"/>
    <cellStyle name="강조색6 37 6" xfId="17354" xr:uid="{00000000-0005-0000-0000-00003B3F0000}"/>
    <cellStyle name="강조색6 37 7" xfId="17355" xr:uid="{00000000-0005-0000-0000-00003C3F0000}"/>
    <cellStyle name="강조색6 37 8" xfId="17356" xr:uid="{00000000-0005-0000-0000-00003D3F0000}"/>
    <cellStyle name="강조색6 37 9" xfId="17357" xr:uid="{00000000-0005-0000-0000-00003E3F0000}"/>
    <cellStyle name="강조색6 38" xfId="2074" xr:uid="{00000000-0005-0000-0000-00003F3F0000}"/>
    <cellStyle name="강조색6 38 10" xfId="17359" xr:uid="{00000000-0005-0000-0000-0000403F0000}"/>
    <cellStyle name="강조색6 38 11" xfId="17360" xr:uid="{00000000-0005-0000-0000-0000413F0000}"/>
    <cellStyle name="강조색6 38 12" xfId="17361" xr:uid="{00000000-0005-0000-0000-0000423F0000}"/>
    <cellStyle name="강조색6 38 13" xfId="17362" xr:uid="{00000000-0005-0000-0000-0000433F0000}"/>
    <cellStyle name="강조색6 38 14" xfId="17363" xr:uid="{00000000-0005-0000-0000-0000443F0000}"/>
    <cellStyle name="강조색6 38 15" xfId="17358" xr:uid="{00000000-0005-0000-0000-0000453F0000}"/>
    <cellStyle name="강조색6 38 2" xfId="2075" xr:uid="{00000000-0005-0000-0000-0000463F0000}"/>
    <cellStyle name="강조색6 38 2 2" xfId="17364" xr:uid="{00000000-0005-0000-0000-0000473F0000}"/>
    <cellStyle name="강조색6 38 3" xfId="17365" xr:uid="{00000000-0005-0000-0000-0000483F0000}"/>
    <cellStyle name="강조색6 38 4" xfId="17366" xr:uid="{00000000-0005-0000-0000-0000493F0000}"/>
    <cellStyle name="강조색6 38 5" xfId="17367" xr:uid="{00000000-0005-0000-0000-00004A3F0000}"/>
    <cellStyle name="강조색6 38 6" xfId="17368" xr:uid="{00000000-0005-0000-0000-00004B3F0000}"/>
    <cellStyle name="강조색6 38 7" xfId="17369" xr:uid="{00000000-0005-0000-0000-00004C3F0000}"/>
    <cellStyle name="강조색6 38 8" xfId="17370" xr:uid="{00000000-0005-0000-0000-00004D3F0000}"/>
    <cellStyle name="강조색6 38 9" xfId="17371" xr:uid="{00000000-0005-0000-0000-00004E3F0000}"/>
    <cellStyle name="강조색6 39" xfId="2076" xr:uid="{00000000-0005-0000-0000-00004F3F0000}"/>
    <cellStyle name="강조색6 39 10" xfId="17373" xr:uid="{00000000-0005-0000-0000-0000503F0000}"/>
    <cellStyle name="강조색6 39 11" xfId="17374" xr:uid="{00000000-0005-0000-0000-0000513F0000}"/>
    <cellStyle name="강조색6 39 12" xfId="17375" xr:uid="{00000000-0005-0000-0000-0000523F0000}"/>
    <cellStyle name="강조색6 39 13" xfId="17376" xr:uid="{00000000-0005-0000-0000-0000533F0000}"/>
    <cellStyle name="강조색6 39 14" xfId="17377" xr:uid="{00000000-0005-0000-0000-0000543F0000}"/>
    <cellStyle name="강조색6 39 15" xfId="17372" xr:uid="{00000000-0005-0000-0000-0000553F0000}"/>
    <cellStyle name="강조색6 39 2" xfId="2077" xr:uid="{00000000-0005-0000-0000-0000563F0000}"/>
    <cellStyle name="강조색6 39 2 2" xfId="17378" xr:uid="{00000000-0005-0000-0000-0000573F0000}"/>
    <cellStyle name="강조색6 39 3" xfId="17379" xr:uid="{00000000-0005-0000-0000-0000583F0000}"/>
    <cellStyle name="강조색6 39 4" xfId="17380" xr:uid="{00000000-0005-0000-0000-0000593F0000}"/>
    <cellStyle name="강조색6 39 5" xfId="17381" xr:uid="{00000000-0005-0000-0000-00005A3F0000}"/>
    <cellStyle name="강조색6 39 6" xfId="17382" xr:uid="{00000000-0005-0000-0000-00005B3F0000}"/>
    <cellStyle name="강조색6 39 7" xfId="17383" xr:uid="{00000000-0005-0000-0000-00005C3F0000}"/>
    <cellStyle name="강조색6 39 8" xfId="17384" xr:uid="{00000000-0005-0000-0000-00005D3F0000}"/>
    <cellStyle name="강조색6 39 9" xfId="17385" xr:uid="{00000000-0005-0000-0000-00005E3F0000}"/>
    <cellStyle name="강조색6 4" xfId="2078" xr:uid="{00000000-0005-0000-0000-00005F3F0000}"/>
    <cellStyle name="강조색6 4 10" xfId="17387" xr:uid="{00000000-0005-0000-0000-0000603F0000}"/>
    <cellStyle name="강조색6 4 11" xfId="17388" xr:uid="{00000000-0005-0000-0000-0000613F0000}"/>
    <cellStyle name="강조색6 4 12" xfId="17389" xr:uid="{00000000-0005-0000-0000-0000623F0000}"/>
    <cellStyle name="강조색6 4 13" xfId="17390" xr:uid="{00000000-0005-0000-0000-0000633F0000}"/>
    <cellStyle name="강조색6 4 14" xfId="17391" xr:uid="{00000000-0005-0000-0000-0000643F0000}"/>
    <cellStyle name="강조색6 4 15" xfId="17386" xr:uid="{00000000-0005-0000-0000-0000653F0000}"/>
    <cellStyle name="강조색6 4 16" xfId="27874" xr:uid="{00000000-0005-0000-0000-0000663F0000}"/>
    <cellStyle name="강조색6 4 2" xfId="2079" xr:uid="{00000000-0005-0000-0000-0000673F0000}"/>
    <cellStyle name="강조색6 4 2 2" xfId="17392" xr:uid="{00000000-0005-0000-0000-0000683F0000}"/>
    <cellStyle name="강조색6 4 3" xfId="17393" xr:uid="{00000000-0005-0000-0000-0000693F0000}"/>
    <cellStyle name="강조색6 4 4" xfId="17394" xr:uid="{00000000-0005-0000-0000-00006A3F0000}"/>
    <cellStyle name="강조색6 4 5" xfId="17395" xr:uid="{00000000-0005-0000-0000-00006B3F0000}"/>
    <cellStyle name="강조색6 4 6" xfId="17396" xr:uid="{00000000-0005-0000-0000-00006C3F0000}"/>
    <cellStyle name="강조색6 4 7" xfId="17397" xr:uid="{00000000-0005-0000-0000-00006D3F0000}"/>
    <cellStyle name="강조색6 4 8" xfId="17398" xr:uid="{00000000-0005-0000-0000-00006E3F0000}"/>
    <cellStyle name="강조색6 4 9" xfId="17399" xr:uid="{00000000-0005-0000-0000-00006F3F0000}"/>
    <cellStyle name="강조색6 40" xfId="2080" xr:uid="{00000000-0005-0000-0000-0000703F0000}"/>
    <cellStyle name="강조색6 40 10" xfId="17401" xr:uid="{00000000-0005-0000-0000-0000713F0000}"/>
    <cellStyle name="강조색6 40 11" xfId="17402" xr:uid="{00000000-0005-0000-0000-0000723F0000}"/>
    <cellStyle name="강조색6 40 12" xfId="17403" xr:uid="{00000000-0005-0000-0000-0000733F0000}"/>
    <cellStyle name="강조색6 40 13" xfId="17404" xr:uid="{00000000-0005-0000-0000-0000743F0000}"/>
    <cellStyle name="강조색6 40 14" xfId="17405" xr:uid="{00000000-0005-0000-0000-0000753F0000}"/>
    <cellStyle name="강조색6 40 15" xfId="17400" xr:uid="{00000000-0005-0000-0000-0000763F0000}"/>
    <cellStyle name="강조색6 40 2" xfId="2081" xr:uid="{00000000-0005-0000-0000-0000773F0000}"/>
    <cellStyle name="강조색6 40 2 2" xfId="17406" xr:uid="{00000000-0005-0000-0000-0000783F0000}"/>
    <cellStyle name="강조색6 40 3" xfId="17407" xr:uid="{00000000-0005-0000-0000-0000793F0000}"/>
    <cellStyle name="강조색6 40 4" xfId="17408" xr:uid="{00000000-0005-0000-0000-00007A3F0000}"/>
    <cellStyle name="강조색6 40 5" xfId="17409" xr:uid="{00000000-0005-0000-0000-00007B3F0000}"/>
    <cellStyle name="강조색6 40 6" xfId="17410" xr:uid="{00000000-0005-0000-0000-00007C3F0000}"/>
    <cellStyle name="강조색6 40 7" xfId="17411" xr:uid="{00000000-0005-0000-0000-00007D3F0000}"/>
    <cellStyle name="강조색6 40 8" xfId="17412" xr:uid="{00000000-0005-0000-0000-00007E3F0000}"/>
    <cellStyle name="강조색6 40 9" xfId="17413" xr:uid="{00000000-0005-0000-0000-00007F3F0000}"/>
    <cellStyle name="강조색6 41" xfId="2082" xr:uid="{00000000-0005-0000-0000-0000803F0000}"/>
    <cellStyle name="강조색6 41 10" xfId="17415" xr:uid="{00000000-0005-0000-0000-0000813F0000}"/>
    <cellStyle name="강조색6 41 11" xfId="17416" xr:uid="{00000000-0005-0000-0000-0000823F0000}"/>
    <cellStyle name="강조색6 41 12" xfId="17417" xr:uid="{00000000-0005-0000-0000-0000833F0000}"/>
    <cellStyle name="강조색6 41 13" xfId="17418" xr:uid="{00000000-0005-0000-0000-0000843F0000}"/>
    <cellStyle name="강조색6 41 14" xfId="17419" xr:uid="{00000000-0005-0000-0000-0000853F0000}"/>
    <cellStyle name="강조색6 41 15" xfId="17414" xr:uid="{00000000-0005-0000-0000-0000863F0000}"/>
    <cellStyle name="강조색6 41 2" xfId="2083" xr:uid="{00000000-0005-0000-0000-0000873F0000}"/>
    <cellStyle name="강조색6 41 2 2" xfId="17420" xr:uid="{00000000-0005-0000-0000-0000883F0000}"/>
    <cellStyle name="강조색6 41 3" xfId="17421" xr:uid="{00000000-0005-0000-0000-0000893F0000}"/>
    <cellStyle name="강조색6 41 4" xfId="17422" xr:uid="{00000000-0005-0000-0000-00008A3F0000}"/>
    <cellStyle name="강조색6 41 5" xfId="17423" xr:uid="{00000000-0005-0000-0000-00008B3F0000}"/>
    <cellStyle name="강조색6 41 6" xfId="17424" xr:uid="{00000000-0005-0000-0000-00008C3F0000}"/>
    <cellStyle name="강조색6 41 7" xfId="17425" xr:uid="{00000000-0005-0000-0000-00008D3F0000}"/>
    <cellStyle name="강조색6 41 8" xfId="17426" xr:uid="{00000000-0005-0000-0000-00008E3F0000}"/>
    <cellStyle name="강조색6 41 9" xfId="17427" xr:uid="{00000000-0005-0000-0000-00008F3F0000}"/>
    <cellStyle name="강조색6 42" xfId="2084" xr:uid="{00000000-0005-0000-0000-0000903F0000}"/>
    <cellStyle name="강조색6 42 10" xfId="17429" xr:uid="{00000000-0005-0000-0000-0000913F0000}"/>
    <cellStyle name="강조색6 42 11" xfId="17430" xr:uid="{00000000-0005-0000-0000-0000923F0000}"/>
    <cellStyle name="강조색6 42 12" xfId="17431" xr:uid="{00000000-0005-0000-0000-0000933F0000}"/>
    <cellStyle name="강조색6 42 13" xfId="17432" xr:uid="{00000000-0005-0000-0000-0000943F0000}"/>
    <cellStyle name="강조색6 42 14" xfId="17433" xr:uid="{00000000-0005-0000-0000-0000953F0000}"/>
    <cellStyle name="강조색6 42 15" xfId="17428" xr:uid="{00000000-0005-0000-0000-0000963F0000}"/>
    <cellStyle name="강조색6 42 2" xfId="2085" xr:uid="{00000000-0005-0000-0000-0000973F0000}"/>
    <cellStyle name="강조색6 42 2 2" xfId="17434" xr:uid="{00000000-0005-0000-0000-0000983F0000}"/>
    <cellStyle name="강조색6 42 3" xfId="17435" xr:uid="{00000000-0005-0000-0000-0000993F0000}"/>
    <cellStyle name="강조색6 42 4" xfId="17436" xr:uid="{00000000-0005-0000-0000-00009A3F0000}"/>
    <cellStyle name="강조색6 42 5" xfId="17437" xr:uid="{00000000-0005-0000-0000-00009B3F0000}"/>
    <cellStyle name="강조색6 42 6" xfId="17438" xr:uid="{00000000-0005-0000-0000-00009C3F0000}"/>
    <cellStyle name="강조색6 42 7" xfId="17439" xr:uid="{00000000-0005-0000-0000-00009D3F0000}"/>
    <cellStyle name="강조색6 42 8" xfId="17440" xr:uid="{00000000-0005-0000-0000-00009E3F0000}"/>
    <cellStyle name="강조색6 42 9" xfId="17441" xr:uid="{00000000-0005-0000-0000-00009F3F0000}"/>
    <cellStyle name="강조색6 43" xfId="2086" xr:uid="{00000000-0005-0000-0000-0000A03F0000}"/>
    <cellStyle name="강조색6 43 10" xfId="17443" xr:uid="{00000000-0005-0000-0000-0000A13F0000}"/>
    <cellStyle name="강조색6 43 11" xfId="17444" xr:uid="{00000000-0005-0000-0000-0000A23F0000}"/>
    <cellStyle name="강조색6 43 12" xfId="17445" xr:uid="{00000000-0005-0000-0000-0000A33F0000}"/>
    <cellStyle name="강조색6 43 13" xfId="17446" xr:uid="{00000000-0005-0000-0000-0000A43F0000}"/>
    <cellStyle name="강조색6 43 14" xfId="17447" xr:uid="{00000000-0005-0000-0000-0000A53F0000}"/>
    <cellStyle name="강조색6 43 15" xfId="17442" xr:uid="{00000000-0005-0000-0000-0000A63F0000}"/>
    <cellStyle name="강조색6 43 2" xfId="2087" xr:uid="{00000000-0005-0000-0000-0000A73F0000}"/>
    <cellStyle name="강조색6 43 2 2" xfId="17448" xr:uid="{00000000-0005-0000-0000-0000A83F0000}"/>
    <cellStyle name="강조색6 43 3" xfId="17449" xr:uid="{00000000-0005-0000-0000-0000A93F0000}"/>
    <cellStyle name="강조색6 43 4" xfId="17450" xr:uid="{00000000-0005-0000-0000-0000AA3F0000}"/>
    <cellStyle name="강조색6 43 5" xfId="17451" xr:uid="{00000000-0005-0000-0000-0000AB3F0000}"/>
    <cellStyle name="강조색6 43 6" xfId="17452" xr:uid="{00000000-0005-0000-0000-0000AC3F0000}"/>
    <cellStyle name="강조색6 43 7" xfId="17453" xr:uid="{00000000-0005-0000-0000-0000AD3F0000}"/>
    <cellStyle name="강조색6 43 8" xfId="17454" xr:uid="{00000000-0005-0000-0000-0000AE3F0000}"/>
    <cellStyle name="강조색6 43 9" xfId="17455" xr:uid="{00000000-0005-0000-0000-0000AF3F0000}"/>
    <cellStyle name="강조색6 44" xfId="2088" xr:uid="{00000000-0005-0000-0000-0000B03F0000}"/>
    <cellStyle name="강조색6 44 2" xfId="17456" xr:uid="{00000000-0005-0000-0000-0000B13F0000}"/>
    <cellStyle name="강조색6 45" xfId="2089" xr:uid="{00000000-0005-0000-0000-0000B23F0000}"/>
    <cellStyle name="강조색6 45 2" xfId="17457" xr:uid="{00000000-0005-0000-0000-0000B33F0000}"/>
    <cellStyle name="강조색6 46" xfId="2013" xr:uid="{00000000-0005-0000-0000-0000B43F0000}"/>
    <cellStyle name="강조색6 47" xfId="16937" xr:uid="{00000000-0005-0000-0000-0000B53F0000}"/>
    <cellStyle name="강조색6 5" xfId="2090" xr:uid="{00000000-0005-0000-0000-0000B63F0000}"/>
    <cellStyle name="강조색6 5 10" xfId="17459" xr:uid="{00000000-0005-0000-0000-0000B73F0000}"/>
    <cellStyle name="강조색6 5 11" xfId="17460" xr:uid="{00000000-0005-0000-0000-0000B83F0000}"/>
    <cellStyle name="강조색6 5 12" xfId="17461" xr:uid="{00000000-0005-0000-0000-0000B93F0000}"/>
    <cellStyle name="강조색6 5 13" xfId="17462" xr:uid="{00000000-0005-0000-0000-0000BA3F0000}"/>
    <cellStyle name="강조색6 5 14" xfId="17463" xr:uid="{00000000-0005-0000-0000-0000BB3F0000}"/>
    <cellStyle name="강조색6 5 15" xfId="17458" xr:uid="{00000000-0005-0000-0000-0000BC3F0000}"/>
    <cellStyle name="강조색6 5 2" xfId="2091" xr:uid="{00000000-0005-0000-0000-0000BD3F0000}"/>
    <cellStyle name="강조색6 5 2 2" xfId="17464" xr:uid="{00000000-0005-0000-0000-0000BE3F0000}"/>
    <cellStyle name="강조색6 5 3" xfId="17465" xr:uid="{00000000-0005-0000-0000-0000BF3F0000}"/>
    <cellStyle name="강조색6 5 4" xfId="17466" xr:uid="{00000000-0005-0000-0000-0000C03F0000}"/>
    <cellStyle name="강조색6 5 5" xfId="17467" xr:uid="{00000000-0005-0000-0000-0000C13F0000}"/>
    <cellStyle name="강조색6 5 6" xfId="17468" xr:uid="{00000000-0005-0000-0000-0000C23F0000}"/>
    <cellStyle name="강조색6 5 7" xfId="17469" xr:uid="{00000000-0005-0000-0000-0000C33F0000}"/>
    <cellStyle name="강조색6 5 8" xfId="17470" xr:uid="{00000000-0005-0000-0000-0000C43F0000}"/>
    <cellStyle name="강조색6 5 9" xfId="17471" xr:uid="{00000000-0005-0000-0000-0000C53F0000}"/>
    <cellStyle name="강조색6 6" xfId="2092" xr:uid="{00000000-0005-0000-0000-0000C63F0000}"/>
    <cellStyle name="강조색6 6 10" xfId="17473" xr:uid="{00000000-0005-0000-0000-0000C73F0000}"/>
    <cellStyle name="강조색6 6 11" xfId="17474" xr:uid="{00000000-0005-0000-0000-0000C83F0000}"/>
    <cellStyle name="강조색6 6 12" xfId="17475" xr:uid="{00000000-0005-0000-0000-0000C93F0000}"/>
    <cellStyle name="강조색6 6 13" xfId="17476" xr:uid="{00000000-0005-0000-0000-0000CA3F0000}"/>
    <cellStyle name="강조색6 6 14" xfId="17477" xr:uid="{00000000-0005-0000-0000-0000CB3F0000}"/>
    <cellStyle name="강조색6 6 15" xfId="17472" xr:uid="{00000000-0005-0000-0000-0000CC3F0000}"/>
    <cellStyle name="강조색6 6 2" xfId="2093" xr:uid="{00000000-0005-0000-0000-0000CD3F0000}"/>
    <cellStyle name="강조색6 6 2 2" xfId="17478" xr:uid="{00000000-0005-0000-0000-0000CE3F0000}"/>
    <cellStyle name="강조색6 6 3" xfId="17479" xr:uid="{00000000-0005-0000-0000-0000CF3F0000}"/>
    <cellStyle name="강조색6 6 4" xfId="17480" xr:uid="{00000000-0005-0000-0000-0000D03F0000}"/>
    <cellStyle name="강조색6 6 5" xfId="17481" xr:uid="{00000000-0005-0000-0000-0000D13F0000}"/>
    <cellStyle name="강조색6 6 6" xfId="17482" xr:uid="{00000000-0005-0000-0000-0000D23F0000}"/>
    <cellStyle name="강조색6 6 7" xfId="17483" xr:uid="{00000000-0005-0000-0000-0000D33F0000}"/>
    <cellStyle name="강조색6 6 8" xfId="17484" xr:uid="{00000000-0005-0000-0000-0000D43F0000}"/>
    <cellStyle name="강조색6 6 9" xfId="17485" xr:uid="{00000000-0005-0000-0000-0000D53F0000}"/>
    <cellStyle name="강조색6 7" xfId="2094" xr:uid="{00000000-0005-0000-0000-0000D63F0000}"/>
    <cellStyle name="강조색6 7 10" xfId="17487" xr:uid="{00000000-0005-0000-0000-0000D73F0000}"/>
    <cellStyle name="강조색6 7 11" xfId="17488" xr:uid="{00000000-0005-0000-0000-0000D83F0000}"/>
    <cellStyle name="강조색6 7 12" xfId="17489" xr:uid="{00000000-0005-0000-0000-0000D93F0000}"/>
    <cellStyle name="강조색6 7 13" xfId="17490" xr:uid="{00000000-0005-0000-0000-0000DA3F0000}"/>
    <cellStyle name="강조색6 7 14" xfId="17491" xr:uid="{00000000-0005-0000-0000-0000DB3F0000}"/>
    <cellStyle name="강조색6 7 15" xfId="17486" xr:uid="{00000000-0005-0000-0000-0000DC3F0000}"/>
    <cellStyle name="강조색6 7 2" xfId="2095" xr:uid="{00000000-0005-0000-0000-0000DD3F0000}"/>
    <cellStyle name="강조색6 7 2 2" xfId="17492" xr:uid="{00000000-0005-0000-0000-0000DE3F0000}"/>
    <cellStyle name="강조색6 7 3" xfId="17493" xr:uid="{00000000-0005-0000-0000-0000DF3F0000}"/>
    <cellStyle name="강조색6 7 4" xfId="17494" xr:uid="{00000000-0005-0000-0000-0000E03F0000}"/>
    <cellStyle name="강조색6 7 5" xfId="17495" xr:uid="{00000000-0005-0000-0000-0000E13F0000}"/>
    <cellStyle name="강조색6 7 6" xfId="17496" xr:uid="{00000000-0005-0000-0000-0000E23F0000}"/>
    <cellStyle name="강조색6 7 7" xfId="17497" xr:uid="{00000000-0005-0000-0000-0000E33F0000}"/>
    <cellStyle name="강조색6 7 8" xfId="17498" xr:uid="{00000000-0005-0000-0000-0000E43F0000}"/>
    <cellStyle name="강조색6 7 9" xfId="17499" xr:uid="{00000000-0005-0000-0000-0000E53F0000}"/>
    <cellStyle name="강조색6 8" xfId="2096" xr:uid="{00000000-0005-0000-0000-0000E63F0000}"/>
    <cellStyle name="강조색6 8 10" xfId="17501" xr:uid="{00000000-0005-0000-0000-0000E73F0000}"/>
    <cellStyle name="강조색6 8 11" xfId="17502" xr:uid="{00000000-0005-0000-0000-0000E83F0000}"/>
    <cellStyle name="강조색6 8 12" xfId="17503" xr:uid="{00000000-0005-0000-0000-0000E93F0000}"/>
    <cellStyle name="강조색6 8 13" xfId="17504" xr:uid="{00000000-0005-0000-0000-0000EA3F0000}"/>
    <cellStyle name="강조색6 8 14" xfId="17505" xr:uid="{00000000-0005-0000-0000-0000EB3F0000}"/>
    <cellStyle name="강조색6 8 15" xfId="17500" xr:uid="{00000000-0005-0000-0000-0000EC3F0000}"/>
    <cellStyle name="강조색6 8 2" xfId="2097" xr:uid="{00000000-0005-0000-0000-0000ED3F0000}"/>
    <cellStyle name="강조색6 8 2 2" xfId="17506" xr:uid="{00000000-0005-0000-0000-0000EE3F0000}"/>
    <cellStyle name="강조색6 8 3" xfId="17507" xr:uid="{00000000-0005-0000-0000-0000EF3F0000}"/>
    <cellStyle name="강조색6 8 4" xfId="17508" xr:uid="{00000000-0005-0000-0000-0000F03F0000}"/>
    <cellStyle name="강조색6 8 5" xfId="17509" xr:uid="{00000000-0005-0000-0000-0000F13F0000}"/>
    <cellStyle name="강조색6 8 6" xfId="17510" xr:uid="{00000000-0005-0000-0000-0000F23F0000}"/>
    <cellStyle name="강조색6 8 7" xfId="17511" xr:uid="{00000000-0005-0000-0000-0000F33F0000}"/>
    <cellStyle name="강조색6 8 8" xfId="17512" xr:uid="{00000000-0005-0000-0000-0000F43F0000}"/>
    <cellStyle name="강조색6 8 9" xfId="17513" xr:uid="{00000000-0005-0000-0000-0000F53F0000}"/>
    <cellStyle name="강조색6 9" xfId="2098" xr:uid="{00000000-0005-0000-0000-0000F63F0000}"/>
    <cellStyle name="강조색6 9 10" xfId="17515" xr:uid="{00000000-0005-0000-0000-0000F73F0000}"/>
    <cellStyle name="강조색6 9 11" xfId="17516" xr:uid="{00000000-0005-0000-0000-0000F83F0000}"/>
    <cellStyle name="강조색6 9 12" xfId="17517" xr:uid="{00000000-0005-0000-0000-0000F93F0000}"/>
    <cellStyle name="강조색6 9 13" xfId="17518" xr:uid="{00000000-0005-0000-0000-0000FA3F0000}"/>
    <cellStyle name="강조색6 9 14" xfId="17519" xr:uid="{00000000-0005-0000-0000-0000FB3F0000}"/>
    <cellStyle name="강조색6 9 15" xfId="17514" xr:uid="{00000000-0005-0000-0000-0000FC3F0000}"/>
    <cellStyle name="강조색6 9 2" xfId="2099" xr:uid="{00000000-0005-0000-0000-0000FD3F0000}"/>
    <cellStyle name="강조색6 9 2 2" xfId="17520" xr:uid="{00000000-0005-0000-0000-0000FE3F0000}"/>
    <cellStyle name="강조색6 9 3" xfId="17521" xr:uid="{00000000-0005-0000-0000-0000FF3F0000}"/>
    <cellStyle name="강조색6 9 4" xfId="17522" xr:uid="{00000000-0005-0000-0000-000000400000}"/>
    <cellStyle name="강조색6 9 5" xfId="17523" xr:uid="{00000000-0005-0000-0000-000001400000}"/>
    <cellStyle name="강조색6 9 6" xfId="17524" xr:uid="{00000000-0005-0000-0000-000002400000}"/>
    <cellStyle name="강조색6 9 7" xfId="17525" xr:uid="{00000000-0005-0000-0000-000003400000}"/>
    <cellStyle name="강조색6 9 8" xfId="17526" xr:uid="{00000000-0005-0000-0000-000004400000}"/>
    <cellStyle name="강조색6 9 9" xfId="17527" xr:uid="{00000000-0005-0000-0000-000005400000}"/>
    <cellStyle name="경고문 10" xfId="2101" xr:uid="{00000000-0005-0000-0000-000006400000}"/>
    <cellStyle name="경고문 10 10" xfId="17528" xr:uid="{00000000-0005-0000-0000-000007400000}"/>
    <cellStyle name="경고문 10 11" xfId="17529" xr:uid="{00000000-0005-0000-0000-000008400000}"/>
    <cellStyle name="경고문 10 12" xfId="17530" xr:uid="{00000000-0005-0000-0000-000009400000}"/>
    <cellStyle name="경고문 10 13" xfId="17531" xr:uid="{00000000-0005-0000-0000-00000A400000}"/>
    <cellStyle name="경고문 10 14" xfId="17532" xr:uid="{00000000-0005-0000-0000-00000B400000}"/>
    <cellStyle name="경고문 10 2" xfId="2102" xr:uid="{00000000-0005-0000-0000-00000C400000}"/>
    <cellStyle name="경고문 10 3" xfId="17533" xr:uid="{00000000-0005-0000-0000-00000D400000}"/>
    <cellStyle name="경고문 10 4" xfId="17534" xr:uid="{00000000-0005-0000-0000-00000E400000}"/>
    <cellStyle name="경고문 10 5" xfId="17535" xr:uid="{00000000-0005-0000-0000-00000F400000}"/>
    <cellStyle name="경고문 10 6" xfId="17536" xr:uid="{00000000-0005-0000-0000-000010400000}"/>
    <cellStyle name="경고문 10 7" xfId="17537" xr:uid="{00000000-0005-0000-0000-000011400000}"/>
    <cellStyle name="경고문 10 8" xfId="17538" xr:uid="{00000000-0005-0000-0000-000012400000}"/>
    <cellStyle name="경고문 10 9" xfId="17539" xr:uid="{00000000-0005-0000-0000-000013400000}"/>
    <cellStyle name="경고문 11" xfId="2103" xr:uid="{00000000-0005-0000-0000-000014400000}"/>
    <cellStyle name="경고문 11 10" xfId="17540" xr:uid="{00000000-0005-0000-0000-000015400000}"/>
    <cellStyle name="경고문 11 11" xfId="17541" xr:uid="{00000000-0005-0000-0000-000016400000}"/>
    <cellStyle name="경고문 11 12" xfId="17542" xr:uid="{00000000-0005-0000-0000-000017400000}"/>
    <cellStyle name="경고문 11 13" xfId="17543" xr:uid="{00000000-0005-0000-0000-000018400000}"/>
    <cellStyle name="경고문 11 14" xfId="17544" xr:uid="{00000000-0005-0000-0000-000019400000}"/>
    <cellStyle name="경고문 11 2" xfId="2104" xr:uid="{00000000-0005-0000-0000-00001A400000}"/>
    <cellStyle name="경고문 11 3" xfId="17545" xr:uid="{00000000-0005-0000-0000-00001B400000}"/>
    <cellStyle name="경고문 11 4" xfId="17546" xr:uid="{00000000-0005-0000-0000-00001C400000}"/>
    <cellStyle name="경고문 11 5" xfId="17547" xr:uid="{00000000-0005-0000-0000-00001D400000}"/>
    <cellStyle name="경고문 11 6" xfId="17548" xr:uid="{00000000-0005-0000-0000-00001E400000}"/>
    <cellStyle name="경고문 11 7" xfId="17549" xr:uid="{00000000-0005-0000-0000-00001F400000}"/>
    <cellStyle name="경고문 11 8" xfId="17550" xr:uid="{00000000-0005-0000-0000-000020400000}"/>
    <cellStyle name="경고문 11 9" xfId="17551" xr:uid="{00000000-0005-0000-0000-000021400000}"/>
    <cellStyle name="경고문 12" xfId="2105" xr:uid="{00000000-0005-0000-0000-000022400000}"/>
    <cellStyle name="경고문 12 10" xfId="17552" xr:uid="{00000000-0005-0000-0000-000023400000}"/>
    <cellStyle name="경고문 12 11" xfId="17553" xr:uid="{00000000-0005-0000-0000-000024400000}"/>
    <cellStyle name="경고문 12 12" xfId="17554" xr:uid="{00000000-0005-0000-0000-000025400000}"/>
    <cellStyle name="경고문 12 13" xfId="17555" xr:uid="{00000000-0005-0000-0000-000026400000}"/>
    <cellStyle name="경고문 12 14" xfId="17556" xr:uid="{00000000-0005-0000-0000-000027400000}"/>
    <cellStyle name="경고문 12 2" xfId="2106" xr:uid="{00000000-0005-0000-0000-000028400000}"/>
    <cellStyle name="경고문 12 3" xfId="17557" xr:uid="{00000000-0005-0000-0000-000029400000}"/>
    <cellStyle name="경고문 12 4" xfId="17558" xr:uid="{00000000-0005-0000-0000-00002A400000}"/>
    <cellStyle name="경고문 12 5" xfId="17559" xr:uid="{00000000-0005-0000-0000-00002B400000}"/>
    <cellStyle name="경고문 12 6" xfId="17560" xr:uid="{00000000-0005-0000-0000-00002C400000}"/>
    <cellStyle name="경고문 12 7" xfId="17561" xr:uid="{00000000-0005-0000-0000-00002D400000}"/>
    <cellStyle name="경고문 12 8" xfId="17562" xr:uid="{00000000-0005-0000-0000-00002E400000}"/>
    <cellStyle name="경고문 12 9" xfId="17563" xr:uid="{00000000-0005-0000-0000-00002F400000}"/>
    <cellStyle name="경고문 13" xfId="2107" xr:uid="{00000000-0005-0000-0000-000030400000}"/>
    <cellStyle name="경고문 13 10" xfId="17564" xr:uid="{00000000-0005-0000-0000-000031400000}"/>
    <cellStyle name="경고문 13 11" xfId="17565" xr:uid="{00000000-0005-0000-0000-000032400000}"/>
    <cellStyle name="경고문 13 12" xfId="17566" xr:uid="{00000000-0005-0000-0000-000033400000}"/>
    <cellStyle name="경고문 13 13" xfId="17567" xr:uid="{00000000-0005-0000-0000-000034400000}"/>
    <cellStyle name="경고문 13 14" xfId="17568" xr:uid="{00000000-0005-0000-0000-000035400000}"/>
    <cellStyle name="경고문 13 2" xfId="2108" xr:uid="{00000000-0005-0000-0000-000036400000}"/>
    <cellStyle name="경고문 13 3" xfId="17569" xr:uid="{00000000-0005-0000-0000-000037400000}"/>
    <cellStyle name="경고문 13 4" xfId="17570" xr:uid="{00000000-0005-0000-0000-000038400000}"/>
    <cellStyle name="경고문 13 5" xfId="17571" xr:uid="{00000000-0005-0000-0000-000039400000}"/>
    <cellStyle name="경고문 13 6" xfId="17572" xr:uid="{00000000-0005-0000-0000-00003A400000}"/>
    <cellStyle name="경고문 13 7" xfId="17573" xr:uid="{00000000-0005-0000-0000-00003B400000}"/>
    <cellStyle name="경고문 13 8" xfId="17574" xr:uid="{00000000-0005-0000-0000-00003C400000}"/>
    <cellStyle name="경고문 13 9" xfId="17575" xr:uid="{00000000-0005-0000-0000-00003D400000}"/>
    <cellStyle name="경고문 14" xfId="2109" xr:uid="{00000000-0005-0000-0000-00003E400000}"/>
    <cellStyle name="경고문 14 10" xfId="17576" xr:uid="{00000000-0005-0000-0000-00003F400000}"/>
    <cellStyle name="경고문 14 11" xfId="17577" xr:uid="{00000000-0005-0000-0000-000040400000}"/>
    <cellStyle name="경고문 14 12" xfId="17578" xr:uid="{00000000-0005-0000-0000-000041400000}"/>
    <cellStyle name="경고문 14 13" xfId="17579" xr:uid="{00000000-0005-0000-0000-000042400000}"/>
    <cellStyle name="경고문 14 14" xfId="17580" xr:uid="{00000000-0005-0000-0000-000043400000}"/>
    <cellStyle name="경고문 14 2" xfId="2110" xr:uid="{00000000-0005-0000-0000-000044400000}"/>
    <cellStyle name="경고문 14 3" xfId="17581" xr:uid="{00000000-0005-0000-0000-000045400000}"/>
    <cellStyle name="경고문 14 4" xfId="17582" xr:uid="{00000000-0005-0000-0000-000046400000}"/>
    <cellStyle name="경고문 14 5" xfId="17583" xr:uid="{00000000-0005-0000-0000-000047400000}"/>
    <cellStyle name="경고문 14 6" xfId="17584" xr:uid="{00000000-0005-0000-0000-000048400000}"/>
    <cellStyle name="경고문 14 7" xfId="17585" xr:uid="{00000000-0005-0000-0000-000049400000}"/>
    <cellStyle name="경고문 14 8" xfId="17586" xr:uid="{00000000-0005-0000-0000-00004A400000}"/>
    <cellStyle name="경고문 14 9" xfId="17587" xr:uid="{00000000-0005-0000-0000-00004B400000}"/>
    <cellStyle name="경고문 15" xfId="2111" xr:uid="{00000000-0005-0000-0000-00004C400000}"/>
    <cellStyle name="경고문 15 10" xfId="17588" xr:uid="{00000000-0005-0000-0000-00004D400000}"/>
    <cellStyle name="경고문 15 11" xfId="17589" xr:uid="{00000000-0005-0000-0000-00004E400000}"/>
    <cellStyle name="경고문 15 12" xfId="17590" xr:uid="{00000000-0005-0000-0000-00004F400000}"/>
    <cellStyle name="경고문 15 13" xfId="17591" xr:uid="{00000000-0005-0000-0000-000050400000}"/>
    <cellStyle name="경고문 15 14" xfId="17592" xr:uid="{00000000-0005-0000-0000-000051400000}"/>
    <cellStyle name="경고문 15 2" xfId="2112" xr:uid="{00000000-0005-0000-0000-000052400000}"/>
    <cellStyle name="경고문 15 3" xfId="17593" xr:uid="{00000000-0005-0000-0000-000053400000}"/>
    <cellStyle name="경고문 15 4" xfId="17594" xr:uid="{00000000-0005-0000-0000-000054400000}"/>
    <cellStyle name="경고문 15 5" xfId="17595" xr:uid="{00000000-0005-0000-0000-000055400000}"/>
    <cellStyle name="경고문 15 6" xfId="17596" xr:uid="{00000000-0005-0000-0000-000056400000}"/>
    <cellStyle name="경고문 15 7" xfId="17597" xr:uid="{00000000-0005-0000-0000-000057400000}"/>
    <cellStyle name="경고문 15 8" xfId="17598" xr:uid="{00000000-0005-0000-0000-000058400000}"/>
    <cellStyle name="경고문 15 9" xfId="17599" xr:uid="{00000000-0005-0000-0000-000059400000}"/>
    <cellStyle name="경고문 16" xfId="2113" xr:uid="{00000000-0005-0000-0000-00005A400000}"/>
    <cellStyle name="경고문 16 10" xfId="17600" xr:uid="{00000000-0005-0000-0000-00005B400000}"/>
    <cellStyle name="경고문 16 11" xfId="17601" xr:uid="{00000000-0005-0000-0000-00005C400000}"/>
    <cellStyle name="경고문 16 12" xfId="17602" xr:uid="{00000000-0005-0000-0000-00005D400000}"/>
    <cellStyle name="경고문 16 13" xfId="17603" xr:uid="{00000000-0005-0000-0000-00005E400000}"/>
    <cellStyle name="경고문 16 14" xfId="17604" xr:uid="{00000000-0005-0000-0000-00005F400000}"/>
    <cellStyle name="경고문 16 2" xfId="2114" xr:uid="{00000000-0005-0000-0000-000060400000}"/>
    <cellStyle name="경고문 16 3" xfId="17605" xr:uid="{00000000-0005-0000-0000-000061400000}"/>
    <cellStyle name="경고문 16 4" xfId="17606" xr:uid="{00000000-0005-0000-0000-000062400000}"/>
    <cellStyle name="경고문 16 5" xfId="17607" xr:uid="{00000000-0005-0000-0000-000063400000}"/>
    <cellStyle name="경고문 16 6" xfId="17608" xr:uid="{00000000-0005-0000-0000-000064400000}"/>
    <cellStyle name="경고문 16 7" xfId="17609" xr:uid="{00000000-0005-0000-0000-000065400000}"/>
    <cellStyle name="경고문 16 8" xfId="17610" xr:uid="{00000000-0005-0000-0000-000066400000}"/>
    <cellStyle name="경고문 16 9" xfId="17611" xr:uid="{00000000-0005-0000-0000-000067400000}"/>
    <cellStyle name="경고문 17" xfId="2115" xr:uid="{00000000-0005-0000-0000-000068400000}"/>
    <cellStyle name="경고문 17 10" xfId="17612" xr:uid="{00000000-0005-0000-0000-000069400000}"/>
    <cellStyle name="경고문 17 11" xfId="17613" xr:uid="{00000000-0005-0000-0000-00006A400000}"/>
    <cellStyle name="경고문 17 12" xfId="17614" xr:uid="{00000000-0005-0000-0000-00006B400000}"/>
    <cellStyle name="경고문 17 13" xfId="17615" xr:uid="{00000000-0005-0000-0000-00006C400000}"/>
    <cellStyle name="경고문 17 14" xfId="17616" xr:uid="{00000000-0005-0000-0000-00006D400000}"/>
    <cellStyle name="경고문 17 2" xfId="2116" xr:uid="{00000000-0005-0000-0000-00006E400000}"/>
    <cellStyle name="경고문 17 3" xfId="17617" xr:uid="{00000000-0005-0000-0000-00006F400000}"/>
    <cellStyle name="경고문 17 4" xfId="17618" xr:uid="{00000000-0005-0000-0000-000070400000}"/>
    <cellStyle name="경고문 17 5" xfId="17619" xr:uid="{00000000-0005-0000-0000-000071400000}"/>
    <cellStyle name="경고문 17 6" xfId="17620" xr:uid="{00000000-0005-0000-0000-000072400000}"/>
    <cellStyle name="경고문 17 7" xfId="17621" xr:uid="{00000000-0005-0000-0000-000073400000}"/>
    <cellStyle name="경고문 17 8" xfId="17622" xr:uid="{00000000-0005-0000-0000-000074400000}"/>
    <cellStyle name="경고문 17 9" xfId="17623" xr:uid="{00000000-0005-0000-0000-000075400000}"/>
    <cellStyle name="경고문 18" xfId="2117" xr:uid="{00000000-0005-0000-0000-000076400000}"/>
    <cellStyle name="경고문 18 10" xfId="17624" xr:uid="{00000000-0005-0000-0000-000077400000}"/>
    <cellStyle name="경고문 18 11" xfId="17625" xr:uid="{00000000-0005-0000-0000-000078400000}"/>
    <cellStyle name="경고문 18 12" xfId="17626" xr:uid="{00000000-0005-0000-0000-000079400000}"/>
    <cellStyle name="경고문 18 13" xfId="17627" xr:uid="{00000000-0005-0000-0000-00007A400000}"/>
    <cellStyle name="경고문 18 14" xfId="17628" xr:uid="{00000000-0005-0000-0000-00007B400000}"/>
    <cellStyle name="경고문 18 2" xfId="2118" xr:uid="{00000000-0005-0000-0000-00007C400000}"/>
    <cellStyle name="경고문 18 3" xfId="17629" xr:uid="{00000000-0005-0000-0000-00007D400000}"/>
    <cellStyle name="경고문 18 4" xfId="17630" xr:uid="{00000000-0005-0000-0000-00007E400000}"/>
    <cellStyle name="경고문 18 5" xfId="17631" xr:uid="{00000000-0005-0000-0000-00007F400000}"/>
    <cellStyle name="경고문 18 6" xfId="17632" xr:uid="{00000000-0005-0000-0000-000080400000}"/>
    <cellStyle name="경고문 18 7" xfId="17633" xr:uid="{00000000-0005-0000-0000-000081400000}"/>
    <cellStyle name="경고문 18 8" xfId="17634" xr:uid="{00000000-0005-0000-0000-000082400000}"/>
    <cellStyle name="경고문 18 9" xfId="17635" xr:uid="{00000000-0005-0000-0000-000083400000}"/>
    <cellStyle name="경고문 19" xfId="2119" xr:uid="{00000000-0005-0000-0000-000084400000}"/>
    <cellStyle name="경고문 19 10" xfId="17636" xr:uid="{00000000-0005-0000-0000-000085400000}"/>
    <cellStyle name="경고문 19 11" xfId="17637" xr:uid="{00000000-0005-0000-0000-000086400000}"/>
    <cellStyle name="경고문 19 12" xfId="17638" xr:uid="{00000000-0005-0000-0000-000087400000}"/>
    <cellStyle name="경고문 19 13" xfId="17639" xr:uid="{00000000-0005-0000-0000-000088400000}"/>
    <cellStyle name="경고문 19 14" xfId="17640" xr:uid="{00000000-0005-0000-0000-000089400000}"/>
    <cellStyle name="경고문 19 2" xfId="2120" xr:uid="{00000000-0005-0000-0000-00008A400000}"/>
    <cellStyle name="경고문 19 3" xfId="17641" xr:uid="{00000000-0005-0000-0000-00008B400000}"/>
    <cellStyle name="경고문 19 4" xfId="17642" xr:uid="{00000000-0005-0000-0000-00008C400000}"/>
    <cellStyle name="경고문 19 5" xfId="17643" xr:uid="{00000000-0005-0000-0000-00008D400000}"/>
    <cellStyle name="경고문 19 6" xfId="17644" xr:uid="{00000000-0005-0000-0000-00008E400000}"/>
    <cellStyle name="경고문 19 7" xfId="17645" xr:uid="{00000000-0005-0000-0000-00008F400000}"/>
    <cellStyle name="경고문 19 8" xfId="17646" xr:uid="{00000000-0005-0000-0000-000090400000}"/>
    <cellStyle name="경고문 19 9" xfId="17647" xr:uid="{00000000-0005-0000-0000-000091400000}"/>
    <cellStyle name="경고문 2" xfId="2121" xr:uid="{00000000-0005-0000-0000-000092400000}"/>
    <cellStyle name="경고문 2 10" xfId="17648" xr:uid="{00000000-0005-0000-0000-000093400000}"/>
    <cellStyle name="경고문 2 11" xfId="17649" xr:uid="{00000000-0005-0000-0000-000094400000}"/>
    <cellStyle name="경고문 2 12" xfId="17650" xr:uid="{00000000-0005-0000-0000-000095400000}"/>
    <cellStyle name="경고문 2 13" xfId="17651" xr:uid="{00000000-0005-0000-0000-000096400000}"/>
    <cellStyle name="경고문 2 14" xfId="17652" xr:uid="{00000000-0005-0000-0000-000097400000}"/>
    <cellStyle name="경고문 2 15" xfId="27957" xr:uid="{00000000-0005-0000-0000-000098400000}"/>
    <cellStyle name="경고문 2 2" xfId="2122" xr:uid="{00000000-0005-0000-0000-000099400000}"/>
    <cellStyle name="경고문 2 3" xfId="17653" xr:uid="{00000000-0005-0000-0000-00009A400000}"/>
    <cellStyle name="경고문 2 4" xfId="17654" xr:uid="{00000000-0005-0000-0000-00009B400000}"/>
    <cellStyle name="경고문 2 5" xfId="17655" xr:uid="{00000000-0005-0000-0000-00009C400000}"/>
    <cellStyle name="경고문 2 6" xfId="17656" xr:uid="{00000000-0005-0000-0000-00009D400000}"/>
    <cellStyle name="경고문 2 7" xfId="17657" xr:uid="{00000000-0005-0000-0000-00009E400000}"/>
    <cellStyle name="경고문 2 8" xfId="17658" xr:uid="{00000000-0005-0000-0000-00009F400000}"/>
    <cellStyle name="경고문 2 9" xfId="17659" xr:uid="{00000000-0005-0000-0000-0000A0400000}"/>
    <cellStyle name="경고문 20" xfId="2123" xr:uid="{00000000-0005-0000-0000-0000A1400000}"/>
    <cellStyle name="경고문 20 10" xfId="17660" xr:uid="{00000000-0005-0000-0000-0000A2400000}"/>
    <cellStyle name="경고문 20 11" xfId="17661" xr:uid="{00000000-0005-0000-0000-0000A3400000}"/>
    <cellStyle name="경고문 20 12" xfId="17662" xr:uid="{00000000-0005-0000-0000-0000A4400000}"/>
    <cellStyle name="경고문 20 13" xfId="17663" xr:uid="{00000000-0005-0000-0000-0000A5400000}"/>
    <cellStyle name="경고문 20 14" xfId="17664" xr:uid="{00000000-0005-0000-0000-0000A6400000}"/>
    <cellStyle name="경고문 20 2" xfId="2124" xr:uid="{00000000-0005-0000-0000-0000A7400000}"/>
    <cellStyle name="경고문 20 3" xfId="17665" xr:uid="{00000000-0005-0000-0000-0000A8400000}"/>
    <cellStyle name="경고문 20 4" xfId="17666" xr:uid="{00000000-0005-0000-0000-0000A9400000}"/>
    <cellStyle name="경고문 20 5" xfId="17667" xr:uid="{00000000-0005-0000-0000-0000AA400000}"/>
    <cellStyle name="경고문 20 6" xfId="17668" xr:uid="{00000000-0005-0000-0000-0000AB400000}"/>
    <cellStyle name="경고문 20 7" xfId="17669" xr:uid="{00000000-0005-0000-0000-0000AC400000}"/>
    <cellStyle name="경고문 20 8" xfId="17670" xr:uid="{00000000-0005-0000-0000-0000AD400000}"/>
    <cellStyle name="경고문 20 9" xfId="17671" xr:uid="{00000000-0005-0000-0000-0000AE400000}"/>
    <cellStyle name="경고문 21" xfId="2125" xr:uid="{00000000-0005-0000-0000-0000AF400000}"/>
    <cellStyle name="경고문 21 10" xfId="17672" xr:uid="{00000000-0005-0000-0000-0000B0400000}"/>
    <cellStyle name="경고문 21 11" xfId="17673" xr:uid="{00000000-0005-0000-0000-0000B1400000}"/>
    <cellStyle name="경고문 21 12" xfId="17674" xr:uid="{00000000-0005-0000-0000-0000B2400000}"/>
    <cellStyle name="경고문 21 13" xfId="17675" xr:uid="{00000000-0005-0000-0000-0000B3400000}"/>
    <cellStyle name="경고문 21 14" xfId="17676" xr:uid="{00000000-0005-0000-0000-0000B4400000}"/>
    <cellStyle name="경고문 21 2" xfId="2126" xr:uid="{00000000-0005-0000-0000-0000B5400000}"/>
    <cellStyle name="경고문 21 3" xfId="17677" xr:uid="{00000000-0005-0000-0000-0000B6400000}"/>
    <cellStyle name="경고문 21 4" xfId="17678" xr:uid="{00000000-0005-0000-0000-0000B7400000}"/>
    <cellStyle name="경고문 21 5" xfId="17679" xr:uid="{00000000-0005-0000-0000-0000B8400000}"/>
    <cellStyle name="경고문 21 6" xfId="17680" xr:uid="{00000000-0005-0000-0000-0000B9400000}"/>
    <cellStyle name="경고문 21 7" xfId="17681" xr:uid="{00000000-0005-0000-0000-0000BA400000}"/>
    <cellStyle name="경고문 21 8" xfId="17682" xr:uid="{00000000-0005-0000-0000-0000BB400000}"/>
    <cellStyle name="경고문 21 9" xfId="17683" xr:uid="{00000000-0005-0000-0000-0000BC400000}"/>
    <cellStyle name="경고문 22" xfId="2127" xr:uid="{00000000-0005-0000-0000-0000BD400000}"/>
    <cellStyle name="경고문 22 10" xfId="17684" xr:uid="{00000000-0005-0000-0000-0000BE400000}"/>
    <cellStyle name="경고문 22 11" xfId="17685" xr:uid="{00000000-0005-0000-0000-0000BF400000}"/>
    <cellStyle name="경고문 22 12" xfId="17686" xr:uid="{00000000-0005-0000-0000-0000C0400000}"/>
    <cellStyle name="경고문 22 13" xfId="17687" xr:uid="{00000000-0005-0000-0000-0000C1400000}"/>
    <cellStyle name="경고문 22 14" xfId="17688" xr:uid="{00000000-0005-0000-0000-0000C2400000}"/>
    <cellStyle name="경고문 22 2" xfId="2128" xr:uid="{00000000-0005-0000-0000-0000C3400000}"/>
    <cellStyle name="경고문 22 3" xfId="17689" xr:uid="{00000000-0005-0000-0000-0000C4400000}"/>
    <cellStyle name="경고문 22 4" xfId="17690" xr:uid="{00000000-0005-0000-0000-0000C5400000}"/>
    <cellStyle name="경고문 22 5" xfId="17691" xr:uid="{00000000-0005-0000-0000-0000C6400000}"/>
    <cellStyle name="경고문 22 6" xfId="17692" xr:uid="{00000000-0005-0000-0000-0000C7400000}"/>
    <cellStyle name="경고문 22 7" xfId="17693" xr:uid="{00000000-0005-0000-0000-0000C8400000}"/>
    <cellStyle name="경고문 22 8" xfId="17694" xr:uid="{00000000-0005-0000-0000-0000C9400000}"/>
    <cellStyle name="경고문 22 9" xfId="17695" xr:uid="{00000000-0005-0000-0000-0000CA400000}"/>
    <cellStyle name="경고문 23" xfId="2129" xr:uid="{00000000-0005-0000-0000-0000CB400000}"/>
    <cellStyle name="경고문 23 10" xfId="17696" xr:uid="{00000000-0005-0000-0000-0000CC400000}"/>
    <cellStyle name="경고문 23 11" xfId="17697" xr:uid="{00000000-0005-0000-0000-0000CD400000}"/>
    <cellStyle name="경고문 23 12" xfId="17698" xr:uid="{00000000-0005-0000-0000-0000CE400000}"/>
    <cellStyle name="경고문 23 13" xfId="17699" xr:uid="{00000000-0005-0000-0000-0000CF400000}"/>
    <cellStyle name="경고문 23 14" xfId="17700" xr:uid="{00000000-0005-0000-0000-0000D0400000}"/>
    <cellStyle name="경고문 23 2" xfId="2130" xr:uid="{00000000-0005-0000-0000-0000D1400000}"/>
    <cellStyle name="경고문 23 3" xfId="17701" xr:uid="{00000000-0005-0000-0000-0000D2400000}"/>
    <cellStyle name="경고문 23 4" xfId="17702" xr:uid="{00000000-0005-0000-0000-0000D3400000}"/>
    <cellStyle name="경고문 23 5" xfId="17703" xr:uid="{00000000-0005-0000-0000-0000D4400000}"/>
    <cellStyle name="경고문 23 6" xfId="17704" xr:uid="{00000000-0005-0000-0000-0000D5400000}"/>
    <cellStyle name="경고문 23 7" xfId="17705" xr:uid="{00000000-0005-0000-0000-0000D6400000}"/>
    <cellStyle name="경고문 23 8" xfId="17706" xr:uid="{00000000-0005-0000-0000-0000D7400000}"/>
    <cellStyle name="경고문 23 9" xfId="17707" xr:uid="{00000000-0005-0000-0000-0000D8400000}"/>
    <cellStyle name="경고문 24" xfId="2131" xr:uid="{00000000-0005-0000-0000-0000D9400000}"/>
    <cellStyle name="경고문 24 10" xfId="17708" xr:uid="{00000000-0005-0000-0000-0000DA400000}"/>
    <cellStyle name="경고문 24 11" xfId="17709" xr:uid="{00000000-0005-0000-0000-0000DB400000}"/>
    <cellStyle name="경고문 24 12" xfId="17710" xr:uid="{00000000-0005-0000-0000-0000DC400000}"/>
    <cellStyle name="경고문 24 13" xfId="17711" xr:uid="{00000000-0005-0000-0000-0000DD400000}"/>
    <cellStyle name="경고문 24 14" xfId="17712" xr:uid="{00000000-0005-0000-0000-0000DE400000}"/>
    <cellStyle name="경고문 24 2" xfId="2132" xr:uid="{00000000-0005-0000-0000-0000DF400000}"/>
    <cellStyle name="경고문 24 3" xfId="17713" xr:uid="{00000000-0005-0000-0000-0000E0400000}"/>
    <cellStyle name="경고문 24 4" xfId="17714" xr:uid="{00000000-0005-0000-0000-0000E1400000}"/>
    <cellStyle name="경고문 24 5" xfId="17715" xr:uid="{00000000-0005-0000-0000-0000E2400000}"/>
    <cellStyle name="경고문 24 6" xfId="17716" xr:uid="{00000000-0005-0000-0000-0000E3400000}"/>
    <cellStyle name="경고문 24 7" xfId="17717" xr:uid="{00000000-0005-0000-0000-0000E4400000}"/>
    <cellStyle name="경고문 24 8" xfId="17718" xr:uid="{00000000-0005-0000-0000-0000E5400000}"/>
    <cellStyle name="경고문 24 9" xfId="17719" xr:uid="{00000000-0005-0000-0000-0000E6400000}"/>
    <cellStyle name="경고문 25" xfId="2133" xr:uid="{00000000-0005-0000-0000-0000E7400000}"/>
    <cellStyle name="경고문 25 10" xfId="17720" xr:uid="{00000000-0005-0000-0000-0000E8400000}"/>
    <cellStyle name="경고문 25 11" xfId="17721" xr:uid="{00000000-0005-0000-0000-0000E9400000}"/>
    <cellStyle name="경고문 25 12" xfId="17722" xr:uid="{00000000-0005-0000-0000-0000EA400000}"/>
    <cellStyle name="경고문 25 13" xfId="17723" xr:uid="{00000000-0005-0000-0000-0000EB400000}"/>
    <cellStyle name="경고문 25 14" xfId="17724" xr:uid="{00000000-0005-0000-0000-0000EC400000}"/>
    <cellStyle name="경고문 25 2" xfId="2134" xr:uid="{00000000-0005-0000-0000-0000ED400000}"/>
    <cellStyle name="경고문 25 3" xfId="17725" xr:uid="{00000000-0005-0000-0000-0000EE400000}"/>
    <cellStyle name="경고문 25 4" xfId="17726" xr:uid="{00000000-0005-0000-0000-0000EF400000}"/>
    <cellStyle name="경고문 25 5" xfId="17727" xr:uid="{00000000-0005-0000-0000-0000F0400000}"/>
    <cellStyle name="경고문 25 6" xfId="17728" xr:uid="{00000000-0005-0000-0000-0000F1400000}"/>
    <cellStyle name="경고문 25 7" xfId="17729" xr:uid="{00000000-0005-0000-0000-0000F2400000}"/>
    <cellStyle name="경고문 25 8" xfId="17730" xr:uid="{00000000-0005-0000-0000-0000F3400000}"/>
    <cellStyle name="경고문 25 9" xfId="17731" xr:uid="{00000000-0005-0000-0000-0000F4400000}"/>
    <cellStyle name="경고문 26" xfId="2135" xr:uid="{00000000-0005-0000-0000-0000F5400000}"/>
    <cellStyle name="경고문 26 10" xfId="17732" xr:uid="{00000000-0005-0000-0000-0000F6400000}"/>
    <cellStyle name="경고문 26 11" xfId="17733" xr:uid="{00000000-0005-0000-0000-0000F7400000}"/>
    <cellStyle name="경고문 26 12" xfId="17734" xr:uid="{00000000-0005-0000-0000-0000F8400000}"/>
    <cellStyle name="경고문 26 13" xfId="17735" xr:uid="{00000000-0005-0000-0000-0000F9400000}"/>
    <cellStyle name="경고문 26 14" xfId="17736" xr:uid="{00000000-0005-0000-0000-0000FA400000}"/>
    <cellStyle name="경고문 26 2" xfId="2136" xr:uid="{00000000-0005-0000-0000-0000FB400000}"/>
    <cellStyle name="경고문 26 3" xfId="17737" xr:uid="{00000000-0005-0000-0000-0000FC400000}"/>
    <cellStyle name="경고문 26 4" xfId="17738" xr:uid="{00000000-0005-0000-0000-0000FD400000}"/>
    <cellStyle name="경고문 26 5" xfId="17739" xr:uid="{00000000-0005-0000-0000-0000FE400000}"/>
    <cellStyle name="경고문 26 6" xfId="17740" xr:uid="{00000000-0005-0000-0000-0000FF400000}"/>
    <cellStyle name="경고문 26 7" xfId="17741" xr:uid="{00000000-0005-0000-0000-000000410000}"/>
    <cellStyle name="경고문 26 8" xfId="17742" xr:uid="{00000000-0005-0000-0000-000001410000}"/>
    <cellStyle name="경고문 26 9" xfId="17743" xr:uid="{00000000-0005-0000-0000-000002410000}"/>
    <cellStyle name="경고문 27" xfId="2137" xr:uid="{00000000-0005-0000-0000-000003410000}"/>
    <cellStyle name="경고문 27 10" xfId="17744" xr:uid="{00000000-0005-0000-0000-000004410000}"/>
    <cellStyle name="경고문 27 11" xfId="17745" xr:uid="{00000000-0005-0000-0000-000005410000}"/>
    <cellStyle name="경고문 27 12" xfId="17746" xr:uid="{00000000-0005-0000-0000-000006410000}"/>
    <cellStyle name="경고문 27 13" xfId="17747" xr:uid="{00000000-0005-0000-0000-000007410000}"/>
    <cellStyle name="경고문 27 14" xfId="17748" xr:uid="{00000000-0005-0000-0000-000008410000}"/>
    <cellStyle name="경고문 27 2" xfId="2138" xr:uid="{00000000-0005-0000-0000-000009410000}"/>
    <cellStyle name="경고문 27 3" xfId="17749" xr:uid="{00000000-0005-0000-0000-00000A410000}"/>
    <cellStyle name="경고문 27 4" xfId="17750" xr:uid="{00000000-0005-0000-0000-00000B410000}"/>
    <cellStyle name="경고문 27 5" xfId="17751" xr:uid="{00000000-0005-0000-0000-00000C410000}"/>
    <cellStyle name="경고문 27 6" xfId="17752" xr:uid="{00000000-0005-0000-0000-00000D410000}"/>
    <cellStyle name="경고문 27 7" xfId="17753" xr:uid="{00000000-0005-0000-0000-00000E410000}"/>
    <cellStyle name="경고문 27 8" xfId="17754" xr:uid="{00000000-0005-0000-0000-00000F410000}"/>
    <cellStyle name="경고문 27 9" xfId="17755" xr:uid="{00000000-0005-0000-0000-000010410000}"/>
    <cellStyle name="경고문 28" xfId="2139" xr:uid="{00000000-0005-0000-0000-000011410000}"/>
    <cellStyle name="경고문 28 10" xfId="17756" xr:uid="{00000000-0005-0000-0000-000012410000}"/>
    <cellStyle name="경고문 28 11" xfId="17757" xr:uid="{00000000-0005-0000-0000-000013410000}"/>
    <cellStyle name="경고문 28 12" xfId="17758" xr:uid="{00000000-0005-0000-0000-000014410000}"/>
    <cellStyle name="경고문 28 13" xfId="17759" xr:uid="{00000000-0005-0000-0000-000015410000}"/>
    <cellStyle name="경고문 28 14" xfId="17760" xr:uid="{00000000-0005-0000-0000-000016410000}"/>
    <cellStyle name="경고문 28 2" xfId="2140" xr:uid="{00000000-0005-0000-0000-000017410000}"/>
    <cellStyle name="경고문 28 3" xfId="17761" xr:uid="{00000000-0005-0000-0000-000018410000}"/>
    <cellStyle name="경고문 28 4" xfId="17762" xr:uid="{00000000-0005-0000-0000-000019410000}"/>
    <cellStyle name="경고문 28 5" xfId="17763" xr:uid="{00000000-0005-0000-0000-00001A410000}"/>
    <cellStyle name="경고문 28 6" xfId="17764" xr:uid="{00000000-0005-0000-0000-00001B410000}"/>
    <cellStyle name="경고문 28 7" xfId="17765" xr:uid="{00000000-0005-0000-0000-00001C410000}"/>
    <cellStyle name="경고문 28 8" xfId="17766" xr:uid="{00000000-0005-0000-0000-00001D410000}"/>
    <cellStyle name="경고문 28 9" xfId="17767" xr:uid="{00000000-0005-0000-0000-00001E410000}"/>
    <cellStyle name="경고문 29" xfId="2141" xr:uid="{00000000-0005-0000-0000-00001F410000}"/>
    <cellStyle name="경고문 29 10" xfId="17768" xr:uid="{00000000-0005-0000-0000-000020410000}"/>
    <cellStyle name="경고문 29 11" xfId="17769" xr:uid="{00000000-0005-0000-0000-000021410000}"/>
    <cellStyle name="경고문 29 12" xfId="17770" xr:uid="{00000000-0005-0000-0000-000022410000}"/>
    <cellStyle name="경고문 29 13" xfId="17771" xr:uid="{00000000-0005-0000-0000-000023410000}"/>
    <cellStyle name="경고문 29 14" xfId="17772" xr:uid="{00000000-0005-0000-0000-000024410000}"/>
    <cellStyle name="경고문 29 2" xfId="2142" xr:uid="{00000000-0005-0000-0000-000025410000}"/>
    <cellStyle name="경고문 29 3" xfId="17773" xr:uid="{00000000-0005-0000-0000-000026410000}"/>
    <cellStyle name="경고문 29 4" xfId="17774" xr:uid="{00000000-0005-0000-0000-000027410000}"/>
    <cellStyle name="경고문 29 5" xfId="17775" xr:uid="{00000000-0005-0000-0000-000028410000}"/>
    <cellStyle name="경고문 29 6" xfId="17776" xr:uid="{00000000-0005-0000-0000-000029410000}"/>
    <cellStyle name="경고문 29 7" xfId="17777" xr:uid="{00000000-0005-0000-0000-00002A410000}"/>
    <cellStyle name="경고문 29 8" xfId="17778" xr:uid="{00000000-0005-0000-0000-00002B410000}"/>
    <cellStyle name="경고문 29 9" xfId="17779" xr:uid="{00000000-0005-0000-0000-00002C410000}"/>
    <cellStyle name="경고문 3" xfId="2143" xr:uid="{00000000-0005-0000-0000-00002D410000}"/>
    <cellStyle name="경고문 3 10" xfId="17780" xr:uid="{00000000-0005-0000-0000-00002E410000}"/>
    <cellStyle name="경고문 3 11" xfId="17781" xr:uid="{00000000-0005-0000-0000-00002F410000}"/>
    <cellStyle name="경고문 3 12" xfId="17782" xr:uid="{00000000-0005-0000-0000-000030410000}"/>
    <cellStyle name="경고문 3 13" xfId="17783" xr:uid="{00000000-0005-0000-0000-000031410000}"/>
    <cellStyle name="경고문 3 14" xfId="17784" xr:uid="{00000000-0005-0000-0000-000032410000}"/>
    <cellStyle name="경고문 3 15" xfId="28213" xr:uid="{00000000-0005-0000-0000-000033410000}"/>
    <cellStyle name="경고문 3 2" xfId="2144" xr:uid="{00000000-0005-0000-0000-000034410000}"/>
    <cellStyle name="경고문 3 3" xfId="17785" xr:uid="{00000000-0005-0000-0000-000035410000}"/>
    <cellStyle name="경고문 3 4" xfId="17786" xr:uid="{00000000-0005-0000-0000-000036410000}"/>
    <cellStyle name="경고문 3 5" xfId="17787" xr:uid="{00000000-0005-0000-0000-000037410000}"/>
    <cellStyle name="경고문 3 6" xfId="17788" xr:uid="{00000000-0005-0000-0000-000038410000}"/>
    <cellStyle name="경고문 3 7" xfId="17789" xr:uid="{00000000-0005-0000-0000-000039410000}"/>
    <cellStyle name="경고문 3 8" xfId="17790" xr:uid="{00000000-0005-0000-0000-00003A410000}"/>
    <cellStyle name="경고문 3 9" xfId="17791" xr:uid="{00000000-0005-0000-0000-00003B410000}"/>
    <cellStyle name="경고문 30" xfId="2145" xr:uid="{00000000-0005-0000-0000-00003C410000}"/>
    <cellStyle name="경고문 30 10" xfId="17792" xr:uid="{00000000-0005-0000-0000-00003D410000}"/>
    <cellStyle name="경고문 30 11" xfId="17793" xr:uid="{00000000-0005-0000-0000-00003E410000}"/>
    <cellStyle name="경고문 30 12" xfId="17794" xr:uid="{00000000-0005-0000-0000-00003F410000}"/>
    <cellStyle name="경고문 30 13" xfId="17795" xr:uid="{00000000-0005-0000-0000-000040410000}"/>
    <cellStyle name="경고문 30 14" xfId="17796" xr:uid="{00000000-0005-0000-0000-000041410000}"/>
    <cellStyle name="경고문 30 2" xfId="2146" xr:uid="{00000000-0005-0000-0000-000042410000}"/>
    <cellStyle name="경고문 30 3" xfId="17797" xr:uid="{00000000-0005-0000-0000-000043410000}"/>
    <cellStyle name="경고문 30 4" xfId="17798" xr:uid="{00000000-0005-0000-0000-000044410000}"/>
    <cellStyle name="경고문 30 5" xfId="17799" xr:uid="{00000000-0005-0000-0000-000045410000}"/>
    <cellStyle name="경고문 30 6" xfId="17800" xr:uid="{00000000-0005-0000-0000-000046410000}"/>
    <cellStyle name="경고문 30 7" xfId="17801" xr:uid="{00000000-0005-0000-0000-000047410000}"/>
    <cellStyle name="경고문 30 8" xfId="17802" xr:uid="{00000000-0005-0000-0000-000048410000}"/>
    <cellStyle name="경고문 30 9" xfId="17803" xr:uid="{00000000-0005-0000-0000-000049410000}"/>
    <cellStyle name="경고문 31" xfId="2147" xr:uid="{00000000-0005-0000-0000-00004A410000}"/>
    <cellStyle name="경고문 31 10" xfId="17804" xr:uid="{00000000-0005-0000-0000-00004B410000}"/>
    <cellStyle name="경고문 31 11" xfId="17805" xr:uid="{00000000-0005-0000-0000-00004C410000}"/>
    <cellStyle name="경고문 31 12" xfId="17806" xr:uid="{00000000-0005-0000-0000-00004D410000}"/>
    <cellStyle name="경고문 31 13" xfId="17807" xr:uid="{00000000-0005-0000-0000-00004E410000}"/>
    <cellStyle name="경고문 31 14" xfId="17808" xr:uid="{00000000-0005-0000-0000-00004F410000}"/>
    <cellStyle name="경고문 31 2" xfId="2148" xr:uid="{00000000-0005-0000-0000-000050410000}"/>
    <cellStyle name="경고문 31 3" xfId="17809" xr:uid="{00000000-0005-0000-0000-000051410000}"/>
    <cellStyle name="경고문 31 4" xfId="17810" xr:uid="{00000000-0005-0000-0000-000052410000}"/>
    <cellStyle name="경고문 31 5" xfId="17811" xr:uid="{00000000-0005-0000-0000-000053410000}"/>
    <cellStyle name="경고문 31 6" xfId="17812" xr:uid="{00000000-0005-0000-0000-000054410000}"/>
    <cellStyle name="경고문 31 7" xfId="17813" xr:uid="{00000000-0005-0000-0000-000055410000}"/>
    <cellStyle name="경고문 31 8" xfId="17814" xr:uid="{00000000-0005-0000-0000-000056410000}"/>
    <cellStyle name="경고문 31 9" xfId="17815" xr:uid="{00000000-0005-0000-0000-000057410000}"/>
    <cellStyle name="경고문 32" xfId="2149" xr:uid="{00000000-0005-0000-0000-000058410000}"/>
    <cellStyle name="경고문 32 10" xfId="17816" xr:uid="{00000000-0005-0000-0000-000059410000}"/>
    <cellStyle name="경고문 32 11" xfId="17817" xr:uid="{00000000-0005-0000-0000-00005A410000}"/>
    <cellStyle name="경고문 32 12" xfId="17818" xr:uid="{00000000-0005-0000-0000-00005B410000}"/>
    <cellStyle name="경고문 32 13" xfId="17819" xr:uid="{00000000-0005-0000-0000-00005C410000}"/>
    <cellStyle name="경고문 32 14" xfId="17820" xr:uid="{00000000-0005-0000-0000-00005D410000}"/>
    <cellStyle name="경고문 32 2" xfId="2150" xr:uid="{00000000-0005-0000-0000-00005E410000}"/>
    <cellStyle name="경고문 32 3" xfId="17821" xr:uid="{00000000-0005-0000-0000-00005F410000}"/>
    <cellStyle name="경고문 32 4" xfId="17822" xr:uid="{00000000-0005-0000-0000-000060410000}"/>
    <cellStyle name="경고문 32 5" xfId="17823" xr:uid="{00000000-0005-0000-0000-000061410000}"/>
    <cellStyle name="경고문 32 6" xfId="17824" xr:uid="{00000000-0005-0000-0000-000062410000}"/>
    <cellStyle name="경고문 32 7" xfId="17825" xr:uid="{00000000-0005-0000-0000-000063410000}"/>
    <cellStyle name="경고문 32 8" xfId="17826" xr:uid="{00000000-0005-0000-0000-000064410000}"/>
    <cellStyle name="경고문 32 9" xfId="17827" xr:uid="{00000000-0005-0000-0000-000065410000}"/>
    <cellStyle name="경고문 33" xfId="2151" xr:uid="{00000000-0005-0000-0000-000066410000}"/>
    <cellStyle name="경고문 33 10" xfId="17828" xr:uid="{00000000-0005-0000-0000-000067410000}"/>
    <cellStyle name="경고문 33 11" xfId="17829" xr:uid="{00000000-0005-0000-0000-000068410000}"/>
    <cellStyle name="경고문 33 12" xfId="17830" xr:uid="{00000000-0005-0000-0000-000069410000}"/>
    <cellStyle name="경고문 33 13" xfId="17831" xr:uid="{00000000-0005-0000-0000-00006A410000}"/>
    <cellStyle name="경고문 33 14" xfId="17832" xr:uid="{00000000-0005-0000-0000-00006B410000}"/>
    <cellStyle name="경고문 33 2" xfId="2152" xr:uid="{00000000-0005-0000-0000-00006C410000}"/>
    <cellStyle name="경고문 33 3" xfId="17833" xr:uid="{00000000-0005-0000-0000-00006D410000}"/>
    <cellStyle name="경고문 33 4" xfId="17834" xr:uid="{00000000-0005-0000-0000-00006E410000}"/>
    <cellStyle name="경고문 33 5" xfId="17835" xr:uid="{00000000-0005-0000-0000-00006F410000}"/>
    <cellStyle name="경고문 33 6" xfId="17836" xr:uid="{00000000-0005-0000-0000-000070410000}"/>
    <cellStyle name="경고문 33 7" xfId="17837" xr:uid="{00000000-0005-0000-0000-000071410000}"/>
    <cellStyle name="경고문 33 8" xfId="17838" xr:uid="{00000000-0005-0000-0000-000072410000}"/>
    <cellStyle name="경고문 33 9" xfId="17839" xr:uid="{00000000-0005-0000-0000-000073410000}"/>
    <cellStyle name="경고문 34" xfId="2153" xr:uid="{00000000-0005-0000-0000-000074410000}"/>
    <cellStyle name="경고문 34 10" xfId="17840" xr:uid="{00000000-0005-0000-0000-000075410000}"/>
    <cellStyle name="경고문 34 11" xfId="17841" xr:uid="{00000000-0005-0000-0000-000076410000}"/>
    <cellStyle name="경고문 34 12" xfId="17842" xr:uid="{00000000-0005-0000-0000-000077410000}"/>
    <cellStyle name="경고문 34 13" xfId="17843" xr:uid="{00000000-0005-0000-0000-000078410000}"/>
    <cellStyle name="경고문 34 14" xfId="17844" xr:uid="{00000000-0005-0000-0000-000079410000}"/>
    <cellStyle name="경고문 34 2" xfId="2154" xr:uid="{00000000-0005-0000-0000-00007A410000}"/>
    <cellStyle name="경고문 34 3" xfId="17845" xr:uid="{00000000-0005-0000-0000-00007B410000}"/>
    <cellStyle name="경고문 34 4" xfId="17846" xr:uid="{00000000-0005-0000-0000-00007C410000}"/>
    <cellStyle name="경고문 34 5" xfId="17847" xr:uid="{00000000-0005-0000-0000-00007D410000}"/>
    <cellStyle name="경고문 34 6" xfId="17848" xr:uid="{00000000-0005-0000-0000-00007E410000}"/>
    <cellStyle name="경고문 34 7" xfId="17849" xr:uid="{00000000-0005-0000-0000-00007F410000}"/>
    <cellStyle name="경고문 34 8" xfId="17850" xr:uid="{00000000-0005-0000-0000-000080410000}"/>
    <cellStyle name="경고문 34 9" xfId="17851" xr:uid="{00000000-0005-0000-0000-000081410000}"/>
    <cellStyle name="경고문 35" xfId="2155" xr:uid="{00000000-0005-0000-0000-000082410000}"/>
    <cellStyle name="경고문 35 10" xfId="17852" xr:uid="{00000000-0005-0000-0000-000083410000}"/>
    <cellStyle name="경고문 35 11" xfId="17853" xr:uid="{00000000-0005-0000-0000-000084410000}"/>
    <cellStyle name="경고문 35 12" xfId="17854" xr:uid="{00000000-0005-0000-0000-000085410000}"/>
    <cellStyle name="경고문 35 13" xfId="17855" xr:uid="{00000000-0005-0000-0000-000086410000}"/>
    <cellStyle name="경고문 35 14" xfId="17856" xr:uid="{00000000-0005-0000-0000-000087410000}"/>
    <cellStyle name="경고문 35 2" xfId="2156" xr:uid="{00000000-0005-0000-0000-000088410000}"/>
    <cellStyle name="경고문 35 3" xfId="17857" xr:uid="{00000000-0005-0000-0000-000089410000}"/>
    <cellStyle name="경고문 35 4" xfId="17858" xr:uid="{00000000-0005-0000-0000-00008A410000}"/>
    <cellStyle name="경고문 35 5" xfId="17859" xr:uid="{00000000-0005-0000-0000-00008B410000}"/>
    <cellStyle name="경고문 35 6" xfId="17860" xr:uid="{00000000-0005-0000-0000-00008C410000}"/>
    <cellStyle name="경고문 35 7" xfId="17861" xr:uid="{00000000-0005-0000-0000-00008D410000}"/>
    <cellStyle name="경고문 35 8" xfId="17862" xr:uid="{00000000-0005-0000-0000-00008E410000}"/>
    <cellStyle name="경고문 35 9" xfId="17863" xr:uid="{00000000-0005-0000-0000-00008F410000}"/>
    <cellStyle name="경고문 36" xfId="2157" xr:uid="{00000000-0005-0000-0000-000090410000}"/>
    <cellStyle name="경고문 36 10" xfId="17864" xr:uid="{00000000-0005-0000-0000-000091410000}"/>
    <cellStyle name="경고문 36 11" xfId="17865" xr:uid="{00000000-0005-0000-0000-000092410000}"/>
    <cellStyle name="경고문 36 12" xfId="17866" xr:uid="{00000000-0005-0000-0000-000093410000}"/>
    <cellStyle name="경고문 36 13" xfId="17867" xr:uid="{00000000-0005-0000-0000-000094410000}"/>
    <cellStyle name="경고문 36 14" xfId="17868" xr:uid="{00000000-0005-0000-0000-000095410000}"/>
    <cellStyle name="경고문 36 2" xfId="2158" xr:uid="{00000000-0005-0000-0000-000096410000}"/>
    <cellStyle name="경고문 36 3" xfId="17869" xr:uid="{00000000-0005-0000-0000-000097410000}"/>
    <cellStyle name="경고문 36 4" xfId="17870" xr:uid="{00000000-0005-0000-0000-000098410000}"/>
    <cellStyle name="경고문 36 5" xfId="17871" xr:uid="{00000000-0005-0000-0000-000099410000}"/>
    <cellStyle name="경고문 36 6" xfId="17872" xr:uid="{00000000-0005-0000-0000-00009A410000}"/>
    <cellStyle name="경고문 36 7" xfId="17873" xr:uid="{00000000-0005-0000-0000-00009B410000}"/>
    <cellStyle name="경고문 36 8" xfId="17874" xr:uid="{00000000-0005-0000-0000-00009C410000}"/>
    <cellStyle name="경고문 36 9" xfId="17875" xr:uid="{00000000-0005-0000-0000-00009D410000}"/>
    <cellStyle name="경고문 37" xfId="2159" xr:uid="{00000000-0005-0000-0000-00009E410000}"/>
    <cellStyle name="경고문 37 10" xfId="17876" xr:uid="{00000000-0005-0000-0000-00009F410000}"/>
    <cellStyle name="경고문 37 11" xfId="17877" xr:uid="{00000000-0005-0000-0000-0000A0410000}"/>
    <cellStyle name="경고문 37 12" xfId="17878" xr:uid="{00000000-0005-0000-0000-0000A1410000}"/>
    <cellStyle name="경고문 37 13" xfId="17879" xr:uid="{00000000-0005-0000-0000-0000A2410000}"/>
    <cellStyle name="경고문 37 14" xfId="17880" xr:uid="{00000000-0005-0000-0000-0000A3410000}"/>
    <cellStyle name="경고문 37 2" xfId="2160" xr:uid="{00000000-0005-0000-0000-0000A4410000}"/>
    <cellStyle name="경고문 37 3" xfId="17881" xr:uid="{00000000-0005-0000-0000-0000A5410000}"/>
    <cellStyle name="경고문 37 4" xfId="17882" xr:uid="{00000000-0005-0000-0000-0000A6410000}"/>
    <cellStyle name="경고문 37 5" xfId="17883" xr:uid="{00000000-0005-0000-0000-0000A7410000}"/>
    <cellStyle name="경고문 37 6" xfId="17884" xr:uid="{00000000-0005-0000-0000-0000A8410000}"/>
    <cellStyle name="경고문 37 7" xfId="17885" xr:uid="{00000000-0005-0000-0000-0000A9410000}"/>
    <cellStyle name="경고문 37 8" xfId="17886" xr:uid="{00000000-0005-0000-0000-0000AA410000}"/>
    <cellStyle name="경고문 37 9" xfId="17887" xr:uid="{00000000-0005-0000-0000-0000AB410000}"/>
    <cellStyle name="경고문 38" xfId="2161" xr:uid="{00000000-0005-0000-0000-0000AC410000}"/>
    <cellStyle name="경고문 38 10" xfId="17888" xr:uid="{00000000-0005-0000-0000-0000AD410000}"/>
    <cellStyle name="경고문 38 11" xfId="17889" xr:uid="{00000000-0005-0000-0000-0000AE410000}"/>
    <cellStyle name="경고문 38 12" xfId="17890" xr:uid="{00000000-0005-0000-0000-0000AF410000}"/>
    <cellStyle name="경고문 38 13" xfId="17891" xr:uid="{00000000-0005-0000-0000-0000B0410000}"/>
    <cellStyle name="경고문 38 14" xfId="17892" xr:uid="{00000000-0005-0000-0000-0000B1410000}"/>
    <cellStyle name="경고문 38 2" xfId="2162" xr:uid="{00000000-0005-0000-0000-0000B2410000}"/>
    <cellStyle name="경고문 38 3" xfId="17893" xr:uid="{00000000-0005-0000-0000-0000B3410000}"/>
    <cellStyle name="경고문 38 4" xfId="17894" xr:uid="{00000000-0005-0000-0000-0000B4410000}"/>
    <cellStyle name="경고문 38 5" xfId="17895" xr:uid="{00000000-0005-0000-0000-0000B5410000}"/>
    <cellStyle name="경고문 38 6" xfId="17896" xr:uid="{00000000-0005-0000-0000-0000B6410000}"/>
    <cellStyle name="경고문 38 7" xfId="17897" xr:uid="{00000000-0005-0000-0000-0000B7410000}"/>
    <cellStyle name="경고문 38 8" xfId="17898" xr:uid="{00000000-0005-0000-0000-0000B8410000}"/>
    <cellStyle name="경고문 38 9" xfId="17899" xr:uid="{00000000-0005-0000-0000-0000B9410000}"/>
    <cellStyle name="경고문 39" xfId="2163" xr:uid="{00000000-0005-0000-0000-0000BA410000}"/>
    <cellStyle name="경고문 39 10" xfId="17900" xr:uid="{00000000-0005-0000-0000-0000BB410000}"/>
    <cellStyle name="경고문 39 11" xfId="17901" xr:uid="{00000000-0005-0000-0000-0000BC410000}"/>
    <cellStyle name="경고문 39 12" xfId="17902" xr:uid="{00000000-0005-0000-0000-0000BD410000}"/>
    <cellStyle name="경고문 39 13" xfId="17903" xr:uid="{00000000-0005-0000-0000-0000BE410000}"/>
    <cellStyle name="경고문 39 14" xfId="17904" xr:uid="{00000000-0005-0000-0000-0000BF410000}"/>
    <cellStyle name="경고문 39 2" xfId="2164" xr:uid="{00000000-0005-0000-0000-0000C0410000}"/>
    <cellStyle name="경고문 39 3" xfId="17905" xr:uid="{00000000-0005-0000-0000-0000C1410000}"/>
    <cellStyle name="경고문 39 4" xfId="17906" xr:uid="{00000000-0005-0000-0000-0000C2410000}"/>
    <cellStyle name="경고문 39 5" xfId="17907" xr:uid="{00000000-0005-0000-0000-0000C3410000}"/>
    <cellStyle name="경고문 39 6" xfId="17908" xr:uid="{00000000-0005-0000-0000-0000C4410000}"/>
    <cellStyle name="경고문 39 7" xfId="17909" xr:uid="{00000000-0005-0000-0000-0000C5410000}"/>
    <cellStyle name="경고문 39 8" xfId="17910" xr:uid="{00000000-0005-0000-0000-0000C6410000}"/>
    <cellStyle name="경고문 39 9" xfId="17911" xr:uid="{00000000-0005-0000-0000-0000C7410000}"/>
    <cellStyle name="경고문 4" xfId="2165" xr:uid="{00000000-0005-0000-0000-0000C8410000}"/>
    <cellStyle name="경고문 4 10" xfId="17912" xr:uid="{00000000-0005-0000-0000-0000C9410000}"/>
    <cellStyle name="경고문 4 11" xfId="17913" xr:uid="{00000000-0005-0000-0000-0000CA410000}"/>
    <cellStyle name="경고문 4 12" xfId="17914" xr:uid="{00000000-0005-0000-0000-0000CB410000}"/>
    <cellStyle name="경고문 4 13" xfId="17915" xr:uid="{00000000-0005-0000-0000-0000CC410000}"/>
    <cellStyle name="경고문 4 14" xfId="17916" xr:uid="{00000000-0005-0000-0000-0000CD410000}"/>
    <cellStyle name="경고문 4 15" xfId="27875" xr:uid="{00000000-0005-0000-0000-0000CE410000}"/>
    <cellStyle name="경고문 4 2" xfId="2166" xr:uid="{00000000-0005-0000-0000-0000CF410000}"/>
    <cellStyle name="경고문 4 3" xfId="17917" xr:uid="{00000000-0005-0000-0000-0000D0410000}"/>
    <cellStyle name="경고문 4 4" xfId="17918" xr:uid="{00000000-0005-0000-0000-0000D1410000}"/>
    <cellStyle name="경고문 4 5" xfId="17919" xr:uid="{00000000-0005-0000-0000-0000D2410000}"/>
    <cellStyle name="경고문 4 6" xfId="17920" xr:uid="{00000000-0005-0000-0000-0000D3410000}"/>
    <cellStyle name="경고문 4 7" xfId="17921" xr:uid="{00000000-0005-0000-0000-0000D4410000}"/>
    <cellStyle name="경고문 4 8" xfId="17922" xr:uid="{00000000-0005-0000-0000-0000D5410000}"/>
    <cellStyle name="경고문 4 9" xfId="17923" xr:uid="{00000000-0005-0000-0000-0000D6410000}"/>
    <cellStyle name="경고문 40" xfId="2167" xr:uid="{00000000-0005-0000-0000-0000D7410000}"/>
    <cellStyle name="경고문 40 10" xfId="17924" xr:uid="{00000000-0005-0000-0000-0000D8410000}"/>
    <cellStyle name="경고문 40 11" xfId="17925" xr:uid="{00000000-0005-0000-0000-0000D9410000}"/>
    <cellStyle name="경고문 40 12" xfId="17926" xr:uid="{00000000-0005-0000-0000-0000DA410000}"/>
    <cellStyle name="경고문 40 13" xfId="17927" xr:uid="{00000000-0005-0000-0000-0000DB410000}"/>
    <cellStyle name="경고문 40 14" xfId="17928" xr:uid="{00000000-0005-0000-0000-0000DC410000}"/>
    <cellStyle name="경고문 40 2" xfId="2168" xr:uid="{00000000-0005-0000-0000-0000DD410000}"/>
    <cellStyle name="경고문 40 3" xfId="17929" xr:uid="{00000000-0005-0000-0000-0000DE410000}"/>
    <cellStyle name="경고문 40 4" xfId="17930" xr:uid="{00000000-0005-0000-0000-0000DF410000}"/>
    <cellStyle name="경고문 40 5" xfId="17931" xr:uid="{00000000-0005-0000-0000-0000E0410000}"/>
    <cellStyle name="경고문 40 6" xfId="17932" xr:uid="{00000000-0005-0000-0000-0000E1410000}"/>
    <cellStyle name="경고문 40 7" xfId="17933" xr:uid="{00000000-0005-0000-0000-0000E2410000}"/>
    <cellStyle name="경고문 40 8" xfId="17934" xr:uid="{00000000-0005-0000-0000-0000E3410000}"/>
    <cellStyle name="경고문 40 9" xfId="17935" xr:uid="{00000000-0005-0000-0000-0000E4410000}"/>
    <cellStyle name="경고문 41" xfId="2169" xr:uid="{00000000-0005-0000-0000-0000E5410000}"/>
    <cellStyle name="경고문 41 10" xfId="17936" xr:uid="{00000000-0005-0000-0000-0000E6410000}"/>
    <cellStyle name="경고문 41 11" xfId="17937" xr:uid="{00000000-0005-0000-0000-0000E7410000}"/>
    <cellStyle name="경고문 41 12" xfId="17938" xr:uid="{00000000-0005-0000-0000-0000E8410000}"/>
    <cellStyle name="경고문 41 13" xfId="17939" xr:uid="{00000000-0005-0000-0000-0000E9410000}"/>
    <cellStyle name="경고문 41 14" xfId="17940" xr:uid="{00000000-0005-0000-0000-0000EA410000}"/>
    <cellStyle name="경고문 41 2" xfId="2170" xr:uid="{00000000-0005-0000-0000-0000EB410000}"/>
    <cellStyle name="경고문 41 3" xfId="17941" xr:uid="{00000000-0005-0000-0000-0000EC410000}"/>
    <cellStyle name="경고문 41 4" xfId="17942" xr:uid="{00000000-0005-0000-0000-0000ED410000}"/>
    <cellStyle name="경고문 41 5" xfId="17943" xr:uid="{00000000-0005-0000-0000-0000EE410000}"/>
    <cellStyle name="경고문 41 6" xfId="17944" xr:uid="{00000000-0005-0000-0000-0000EF410000}"/>
    <cellStyle name="경고문 41 7" xfId="17945" xr:uid="{00000000-0005-0000-0000-0000F0410000}"/>
    <cellStyle name="경고문 41 8" xfId="17946" xr:uid="{00000000-0005-0000-0000-0000F1410000}"/>
    <cellStyle name="경고문 41 9" xfId="17947" xr:uid="{00000000-0005-0000-0000-0000F2410000}"/>
    <cellStyle name="경고문 42" xfId="2171" xr:uid="{00000000-0005-0000-0000-0000F3410000}"/>
    <cellStyle name="경고문 42 10" xfId="17948" xr:uid="{00000000-0005-0000-0000-0000F4410000}"/>
    <cellStyle name="경고문 42 11" xfId="17949" xr:uid="{00000000-0005-0000-0000-0000F5410000}"/>
    <cellStyle name="경고문 42 12" xfId="17950" xr:uid="{00000000-0005-0000-0000-0000F6410000}"/>
    <cellStyle name="경고문 42 13" xfId="17951" xr:uid="{00000000-0005-0000-0000-0000F7410000}"/>
    <cellStyle name="경고문 42 14" xfId="17952" xr:uid="{00000000-0005-0000-0000-0000F8410000}"/>
    <cellStyle name="경고문 42 2" xfId="2172" xr:uid="{00000000-0005-0000-0000-0000F9410000}"/>
    <cellStyle name="경고문 42 3" xfId="17953" xr:uid="{00000000-0005-0000-0000-0000FA410000}"/>
    <cellStyle name="경고문 42 4" xfId="17954" xr:uid="{00000000-0005-0000-0000-0000FB410000}"/>
    <cellStyle name="경고문 42 5" xfId="17955" xr:uid="{00000000-0005-0000-0000-0000FC410000}"/>
    <cellStyle name="경고문 42 6" xfId="17956" xr:uid="{00000000-0005-0000-0000-0000FD410000}"/>
    <cellStyle name="경고문 42 7" xfId="17957" xr:uid="{00000000-0005-0000-0000-0000FE410000}"/>
    <cellStyle name="경고문 42 8" xfId="17958" xr:uid="{00000000-0005-0000-0000-0000FF410000}"/>
    <cellStyle name="경고문 42 9" xfId="17959" xr:uid="{00000000-0005-0000-0000-000000420000}"/>
    <cellStyle name="경고문 43" xfId="2173" xr:uid="{00000000-0005-0000-0000-000001420000}"/>
    <cellStyle name="경고문 43 10" xfId="17960" xr:uid="{00000000-0005-0000-0000-000002420000}"/>
    <cellStyle name="경고문 43 11" xfId="17961" xr:uid="{00000000-0005-0000-0000-000003420000}"/>
    <cellStyle name="경고문 43 12" xfId="17962" xr:uid="{00000000-0005-0000-0000-000004420000}"/>
    <cellStyle name="경고문 43 13" xfId="17963" xr:uid="{00000000-0005-0000-0000-000005420000}"/>
    <cellStyle name="경고문 43 14" xfId="17964" xr:uid="{00000000-0005-0000-0000-000006420000}"/>
    <cellStyle name="경고문 43 2" xfId="2174" xr:uid="{00000000-0005-0000-0000-000007420000}"/>
    <cellStyle name="경고문 43 3" xfId="17965" xr:uid="{00000000-0005-0000-0000-000008420000}"/>
    <cellStyle name="경고문 43 4" xfId="17966" xr:uid="{00000000-0005-0000-0000-000009420000}"/>
    <cellStyle name="경고문 43 5" xfId="17967" xr:uid="{00000000-0005-0000-0000-00000A420000}"/>
    <cellStyle name="경고문 43 6" xfId="17968" xr:uid="{00000000-0005-0000-0000-00000B420000}"/>
    <cellStyle name="경고문 43 7" xfId="17969" xr:uid="{00000000-0005-0000-0000-00000C420000}"/>
    <cellStyle name="경고문 43 8" xfId="17970" xr:uid="{00000000-0005-0000-0000-00000D420000}"/>
    <cellStyle name="경고문 43 9" xfId="17971" xr:uid="{00000000-0005-0000-0000-00000E420000}"/>
    <cellStyle name="경고문 44" xfId="2175" xr:uid="{00000000-0005-0000-0000-00000F420000}"/>
    <cellStyle name="경고문 45" xfId="2176" xr:uid="{00000000-0005-0000-0000-000010420000}"/>
    <cellStyle name="경고문 46" xfId="2100" xr:uid="{00000000-0005-0000-0000-000011420000}"/>
    <cellStyle name="경고문 5" xfId="2177" xr:uid="{00000000-0005-0000-0000-000012420000}"/>
    <cellStyle name="경고문 5 10" xfId="17972" xr:uid="{00000000-0005-0000-0000-000013420000}"/>
    <cellStyle name="경고문 5 11" xfId="17973" xr:uid="{00000000-0005-0000-0000-000014420000}"/>
    <cellStyle name="경고문 5 12" xfId="17974" xr:uid="{00000000-0005-0000-0000-000015420000}"/>
    <cellStyle name="경고문 5 13" xfId="17975" xr:uid="{00000000-0005-0000-0000-000016420000}"/>
    <cellStyle name="경고문 5 14" xfId="17976" xr:uid="{00000000-0005-0000-0000-000017420000}"/>
    <cellStyle name="경고문 5 2" xfId="2178" xr:uid="{00000000-0005-0000-0000-000018420000}"/>
    <cellStyle name="경고문 5 3" xfId="17977" xr:uid="{00000000-0005-0000-0000-000019420000}"/>
    <cellStyle name="경고문 5 4" xfId="17978" xr:uid="{00000000-0005-0000-0000-00001A420000}"/>
    <cellStyle name="경고문 5 5" xfId="17979" xr:uid="{00000000-0005-0000-0000-00001B420000}"/>
    <cellStyle name="경고문 5 6" xfId="17980" xr:uid="{00000000-0005-0000-0000-00001C420000}"/>
    <cellStyle name="경고문 5 7" xfId="17981" xr:uid="{00000000-0005-0000-0000-00001D420000}"/>
    <cellStyle name="경고문 5 8" xfId="17982" xr:uid="{00000000-0005-0000-0000-00001E420000}"/>
    <cellStyle name="경고문 5 9" xfId="17983" xr:uid="{00000000-0005-0000-0000-00001F420000}"/>
    <cellStyle name="경고문 6" xfId="2179" xr:uid="{00000000-0005-0000-0000-000020420000}"/>
    <cellStyle name="경고문 6 10" xfId="17984" xr:uid="{00000000-0005-0000-0000-000021420000}"/>
    <cellStyle name="경고문 6 11" xfId="17985" xr:uid="{00000000-0005-0000-0000-000022420000}"/>
    <cellStyle name="경고문 6 12" xfId="17986" xr:uid="{00000000-0005-0000-0000-000023420000}"/>
    <cellStyle name="경고문 6 13" xfId="17987" xr:uid="{00000000-0005-0000-0000-000024420000}"/>
    <cellStyle name="경고문 6 14" xfId="17988" xr:uid="{00000000-0005-0000-0000-000025420000}"/>
    <cellStyle name="경고문 6 2" xfId="2180" xr:uid="{00000000-0005-0000-0000-000026420000}"/>
    <cellStyle name="경고문 6 3" xfId="17989" xr:uid="{00000000-0005-0000-0000-000027420000}"/>
    <cellStyle name="경고문 6 4" xfId="17990" xr:uid="{00000000-0005-0000-0000-000028420000}"/>
    <cellStyle name="경고문 6 5" xfId="17991" xr:uid="{00000000-0005-0000-0000-000029420000}"/>
    <cellStyle name="경고문 6 6" xfId="17992" xr:uid="{00000000-0005-0000-0000-00002A420000}"/>
    <cellStyle name="경고문 6 7" xfId="17993" xr:uid="{00000000-0005-0000-0000-00002B420000}"/>
    <cellStyle name="경고문 6 8" xfId="17994" xr:uid="{00000000-0005-0000-0000-00002C420000}"/>
    <cellStyle name="경고문 6 9" xfId="17995" xr:uid="{00000000-0005-0000-0000-00002D420000}"/>
    <cellStyle name="경고문 7" xfId="2181" xr:uid="{00000000-0005-0000-0000-00002E420000}"/>
    <cellStyle name="경고문 7 10" xfId="17996" xr:uid="{00000000-0005-0000-0000-00002F420000}"/>
    <cellStyle name="경고문 7 11" xfId="17997" xr:uid="{00000000-0005-0000-0000-000030420000}"/>
    <cellStyle name="경고문 7 12" xfId="17998" xr:uid="{00000000-0005-0000-0000-000031420000}"/>
    <cellStyle name="경고문 7 13" xfId="17999" xr:uid="{00000000-0005-0000-0000-000032420000}"/>
    <cellStyle name="경고문 7 14" xfId="18000" xr:uid="{00000000-0005-0000-0000-000033420000}"/>
    <cellStyle name="경고문 7 2" xfId="2182" xr:uid="{00000000-0005-0000-0000-000034420000}"/>
    <cellStyle name="경고문 7 3" xfId="18001" xr:uid="{00000000-0005-0000-0000-000035420000}"/>
    <cellStyle name="경고문 7 4" xfId="18002" xr:uid="{00000000-0005-0000-0000-000036420000}"/>
    <cellStyle name="경고문 7 5" xfId="18003" xr:uid="{00000000-0005-0000-0000-000037420000}"/>
    <cellStyle name="경고문 7 6" xfId="18004" xr:uid="{00000000-0005-0000-0000-000038420000}"/>
    <cellStyle name="경고문 7 7" xfId="18005" xr:uid="{00000000-0005-0000-0000-000039420000}"/>
    <cellStyle name="경고문 7 8" xfId="18006" xr:uid="{00000000-0005-0000-0000-00003A420000}"/>
    <cellStyle name="경고문 7 9" xfId="18007" xr:uid="{00000000-0005-0000-0000-00003B420000}"/>
    <cellStyle name="경고문 8" xfId="2183" xr:uid="{00000000-0005-0000-0000-00003C420000}"/>
    <cellStyle name="경고문 8 10" xfId="18008" xr:uid="{00000000-0005-0000-0000-00003D420000}"/>
    <cellStyle name="경고문 8 11" xfId="18009" xr:uid="{00000000-0005-0000-0000-00003E420000}"/>
    <cellStyle name="경고문 8 12" xfId="18010" xr:uid="{00000000-0005-0000-0000-00003F420000}"/>
    <cellStyle name="경고문 8 13" xfId="18011" xr:uid="{00000000-0005-0000-0000-000040420000}"/>
    <cellStyle name="경고문 8 14" xfId="18012" xr:uid="{00000000-0005-0000-0000-000041420000}"/>
    <cellStyle name="경고문 8 2" xfId="2184" xr:uid="{00000000-0005-0000-0000-000042420000}"/>
    <cellStyle name="경고문 8 3" xfId="18013" xr:uid="{00000000-0005-0000-0000-000043420000}"/>
    <cellStyle name="경고문 8 4" xfId="18014" xr:uid="{00000000-0005-0000-0000-000044420000}"/>
    <cellStyle name="경고문 8 5" xfId="18015" xr:uid="{00000000-0005-0000-0000-000045420000}"/>
    <cellStyle name="경고문 8 6" xfId="18016" xr:uid="{00000000-0005-0000-0000-000046420000}"/>
    <cellStyle name="경고문 8 7" xfId="18017" xr:uid="{00000000-0005-0000-0000-000047420000}"/>
    <cellStyle name="경고문 8 8" xfId="18018" xr:uid="{00000000-0005-0000-0000-000048420000}"/>
    <cellStyle name="경고문 8 9" xfId="18019" xr:uid="{00000000-0005-0000-0000-000049420000}"/>
    <cellStyle name="경고문 9" xfId="2185" xr:uid="{00000000-0005-0000-0000-00004A420000}"/>
    <cellStyle name="경고문 9 10" xfId="18020" xr:uid="{00000000-0005-0000-0000-00004B420000}"/>
    <cellStyle name="경고문 9 11" xfId="18021" xr:uid="{00000000-0005-0000-0000-00004C420000}"/>
    <cellStyle name="경고문 9 12" xfId="18022" xr:uid="{00000000-0005-0000-0000-00004D420000}"/>
    <cellStyle name="경고문 9 13" xfId="18023" xr:uid="{00000000-0005-0000-0000-00004E420000}"/>
    <cellStyle name="경고문 9 14" xfId="18024" xr:uid="{00000000-0005-0000-0000-00004F420000}"/>
    <cellStyle name="경고문 9 2" xfId="2186" xr:uid="{00000000-0005-0000-0000-000050420000}"/>
    <cellStyle name="경고문 9 3" xfId="18025" xr:uid="{00000000-0005-0000-0000-000051420000}"/>
    <cellStyle name="경고문 9 4" xfId="18026" xr:uid="{00000000-0005-0000-0000-000052420000}"/>
    <cellStyle name="경고문 9 5" xfId="18027" xr:uid="{00000000-0005-0000-0000-000053420000}"/>
    <cellStyle name="경고문 9 6" xfId="18028" xr:uid="{00000000-0005-0000-0000-000054420000}"/>
    <cellStyle name="경고문 9 7" xfId="18029" xr:uid="{00000000-0005-0000-0000-000055420000}"/>
    <cellStyle name="경고문 9 8" xfId="18030" xr:uid="{00000000-0005-0000-0000-000056420000}"/>
    <cellStyle name="경고문 9 9" xfId="18031" xr:uid="{00000000-0005-0000-0000-000057420000}"/>
    <cellStyle name="계산 10" xfId="2188" xr:uid="{00000000-0005-0000-0000-000058420000}"/>
    <cellStyle name="계산 10 10" xfId="18034" xr:uid="{00000000-0005-0000-0000-000059420000}"/>
    <cellStyle name="계산 10 11" xfId="18035" xr:uid="{00000000-0005-0000-0000-00005A420000}"/>
    <cellStyle name="계산 10 12" xfId="18036" xr:uid="{00000000-0005-0000-0000-00005B420000}"/>
    <cellStyle name="계산 10 13" xfId="18037" xr:uid="{00000000-0005-0000-0000-00005C420000}"/>
    <cellStyle name="계산 10 14" xfId="18038" xr:uid="{00000000-0005-0000-0000-00005D420000}"/>
    <cellStyle name="계산 10 15" xfId="18033" xr:uid="{00000000-0005-0000-0000-00005E420000}"/>
    <cellStyle name="계산 10 2" xfId="2189" xr:uid="{00000000-0005-0000-0000-00005F420000}"/>
    <cellStyle name="계산 10 2 2" xfId="18039" xr:uid="{00000000-0005-0000-0000-000060420000}"/>
    <cellStyle name="계산 10 3" xfId="18040" xr:uid="{00000000-0005-0000-0000-000061420000}"/>
    <cellStyle name="계산 10 4" xfId="18041" xr:uid="{00000000-0005-0000-0000-000062420000}"/>
    <cellStyle name="계산 10 5" xfId="18042" xr:uid="{00000000-0005-0000-0000-000063420000}"/>
    <cellStyle name="계산 10 6" xfId="18043" xr:uid="{00000000-0005-0000-0000-000064420000}"/>
    <cellStyle name="계산 10 7" xfId="18044" xr:uid="{00000000-0005-0000-0000-000065420000}"/>
    <cellStyle name="계산 10 8" xfId="18045" xr:uid="{00000000-0005-0000-0000-000066420000}"/>
    <cellStyle name="계산 10 9" xfId="18046" xr:uid="{00000000-0005-0000-0000-000067420000}"/>
    <cellStyle name="계산 11" xfId="2190" xr:uid="{00000000-0005-0000-0000-000068420000}"/>
    <cellStyle name="계산 11 10" xfId="18048" xr:uid="{00000000-0005-0000-0000-000069420000}"/>
    <cellStyle name="계산 11 11" xfId="18049" xr:uid="{00000000-0005-0000-0000-00006A420000}"/>
    <cellStyle name="계산 11 12" xfId="18050" xr:uid="{00000000-0005-0000-0000-00006B420000}"/>
    <cellStyle name="계산 11 13" xfId="18051" xr:uid="{00000000-0005-0000-0000-00006C420000}"/>
    <cellStyle name="계산 11 14" xfId="18052" xr:uid="{00000000-0005-0000-0000-00006D420000}"/>
    <cellStyle name="계산 11 15" xfId="18047" xr:uid="{00000000-0005-0000-0000-00006E420000}"/>
    <cellStyle name="계산 11 2" xfId="2191" xr:uid="{00000000-0005-0000-0000-00006F420000}"/>
    <cellStyle name="계산 11 2 2" xfId="18053" xr:uid="{00000000-0005-0000-0000-000070420000}"/>
    <cellStyle name="계산 11 3" xfId="18054" xr:uid="{00000000-0005-0000-0000-000071420000}"/>
    <cellStyle name="계산 11 4" xfId="18055" xr:uid="{00000000-0005-0000-0000-000072420000}"/>
    <cellStyle name="계산 11 5" xfId="18056" xr:uid="{00000000-0005-0000-0000-000073420000}"/>
    <cellStyle name="계산 11 6" xfId="18057" xr:uid="{00000000-0005-0000-0000-000074420000}"/>
    <cellStyle name="계산 11 7" xfId="18058" xr:uid="{00000000-0005-0000-0000-000075420000}"/>
    <cellStyle name="계산 11 8" xfId="18059" xr:uid="{00000000-0005-0000-0000-000076420000}"/>
    <cellStyle name="계산 11 9" xfId="18060" xr:uid="{00000000-0005-0000-0000-000077420000}"/>
    <cellStyle name="계산 12" xfId="2192" xr:uid="{00000000-0005-0000-0000-000078420000}"/>
    <cellStyle name="계산 12 10" xfId="18062" xr:uid="{00000000-0005-0000-0000-000079420000}"/>
    <cellStyle name="계산 12 11" xfId="18063" xr:uid="{00000000-0005-0000-0000-00007A420000}"/>
    <cellStyle name="계산 12 12" xfId="18064" xr:uid="{00000000-0005-0000-0000-00007B420000}"/>
    <cellStyle name="계산 12 13" xfId="18065" xr:uid="{00000000-0005-0000-0000-00007C420000}"/>
    <cellStyle name="계산 12 14" xfId="18066" xr:uid="{00000000-0005-0000-0000-00007D420000}"/>
    <cellStyle name="계산 12 15" xfId="18061" xr:uid="{00000000-0005-0000-0000-00007E420000}"/>
    <cellStyle name="계산 12 2" xfId="2193" xr:uid="{00000000-0005-0000-0000-00007F420000}"/>
    <cellStyle name="계산 12 2 2" xfId="18067" xr:uid="{00000000-0005-0000-0000-000080420000}"/>
    <cellStyle name="계산 12 3" xfId="18068" xr:uid="{00000000-0005-0000-0000-000081420000}"/>
    <cellStyle name="계산 12 4" xfId="18069" xr:uid="{00000000-0005-0000-0000-000082420000}"/>
    <cellStyle name="계산 12 5" xfId="18070" xr:uid="{00000000-0005-0000-0000-000083420000}"/>
    <cellStyle name="계산 12 6" xfId="18071" xr:uid="{00000000-0005-0000-0000-000084420000}"/>
    <cellStyle name="계산 12 7" xfId="18072" xr:uid="{00000000-0005-0000-0000-000085420000}"/>
    <cellStyle name="계산 12 8" xfId="18073" xr:uid="{00000000-0005-0000-0000-000086420000}"/>
    <cellStyle name="계산 12 9" xfId="18074" xr:uid="{00000000-0005-0000-0000-000087420000}"/>
    <cellStyle name="계산 13" xfId="2194" xr:uid="{00000000-0005-0000-0000-000088420000}"/>
    <cellStyle name="계산 13 10" xfId="18076" xr:uid="{00000000-0005-0000-0000-000089420000}"/>
    <cellStyle name="계산 13 11" xfId="18077" xr:uid="{00000000-0005-0000-0000-00008A420000}"/>
    <cellStyle name="계산 13 12" xfId="18078" xr:uid="{00000000-0005-0000-0000-00008B420000}"/>
    <cellStyle name="계산 13 13" xfId="18079" xr:uid="{00000000-0005-0000-0000-00008C420000}"/>
    <cellStyle name="계산 13 14" xfId="18080" xr:uid="{00000000-0005-0000-0000-00008D420000}"/>
    <cellStyle name="계산 13 15" xfId="18075" xr:uid="{00000000-0005-0000-0000-00008E420000}"/>
    <cellStyle name="계산 13 2" xfId="2195" xr:uid="{00000000-0005-0000-0000-00008F420000}"/>
    <cellStyle name="계산 13 2 2" xfId="18081" xr:uid="{00000000-0005-0000-0000-000090420000}"/>
    <cellStyle name="계산 13 3" xfId="18082" xr:uid="{00000000-0005-0000-0000-000091420000}"/>
    <cellStyle name="계산 13 4" xfId="18083" xr:uid="{00000000-0005-0000-0000-000092420000}"/>
    <cellStyle name="계산 13 5" xfId="18084" xr:uid="{00000000-0005-0000-0000-000093420000}"/>
    <cellStyle name="계산 13 6" xfId="18085" xr:uid="{00000000-0005-0000-0000-000094420000}"/>
    <cellStyle name="계산 13 7" xfId="18086" xr:uid="{00000000-0005-0000-0000-000095420000}"/>
    <cellStyle name="계산 13 8" xfId="18087" xr:uid="{00000000-0005-0000-0000-000096420000}"/>
    <cellStyle name="계산 13 9" xfId="18088" xr:uid="{00000000-0005-0000-0000-000097420000}"/>
    <cellStyle name="계산 14" xfId="2196" xr:uid="{00000000-0005-0000-0000-000098420000}"/>
    <cellStyle name="계산 14 10" xfId="18090" xr:uid="{00000000-0005-0000-0000-000099420000}"/>
    <cellStyle name="계산 14 11" xfId="18091" xr:uid="{00000000-0005-0000-0000-00009A420000}"/>
    <cellStyle name="계산 14 12" xfId="18092" xr:uid="{00000000-0005-0000-0000-00009B420000}"/>
    <cellStyle name="계산 14 13" xfId="18093" xr:uid="{00000000-0005-0000-0000-00009C420000}"/>
    <cellStyle name="계산 14 14" xfId="18094" xr:uid="{00000000-0005-0000-0000-00009D420000}"/>
    <cellStyle name="계산 14 15" xfId="18089" xr:uid="{00000000-0005-0000-0000-00009E420000}"/>
    <cellStyle name="계산 14 2" xfId="2197" xr:uid="{00000000-0005-0000-0000-00009F420000}"/>
    <cellStyle name="계산 14 2 2" xfId="18095" xr:uid="{00000000-0005-0000-0000-0000A0420000}"/>
    <cellStyle name="계산 14 3" xfId="18096" xr:uid="{00000000-0005-0000-0000-0000A1420000}"/>
    <cellStyle name="계산 14 4" xfId="18097" xr:uid="{00000000-0005-0000-0000-0000A2420000}"/>
    <cellStyle name="계산 14 5" xfId="18098" xr:uid="{00000000-0005-0000-0000-0000A3420000}"/>
    <cellStyle name="계산 14 6" xfId="18099" xr:uid="{00000000-0005-0000-0000-0000A4420000}"/>
    <cellStyle name="계산 14 7" xfId="18100" xr:uid="{00000000-0005-0000-0000-0000A5420000}"/>
    <cellStyle name="계산 14 8" xfId="18101" xr:uid="{00000000-0005-0000-0000-0000A6420000}"/>
    <cellStyle name="계산 14 9" xfId="18102" xr:uid="{00000000-0005-0000-0000-0000A7420000}"/>
    <cellStyle name="계산 15" xfId="2198" xr:uid="{00000000-0005-0000-0000-0000A8420000}"/>
    <cellStyle name="계산 15 10" xfId="18104" xr:uid="{00000000-0005-0000-0000-0000A9420000}"/>
    <cellStyle name="계산 15 11" xfId="18105" xr:uid="{00000000-0005-0000-0000-0000AA420000}"/>
    <cellStyle name="계산 15 12" xfId="18106" xr:uid="{00000000-0005-0000-0000-0000AB420000}"/>
    <cellStyle name="계산 15 13" xfId="18107" xr:uid="{00000000-0005-0000-0000-0000AC420000}"/>
    <cellStyle name="계산 15 14" xfId="18108" xr:uid="{00000000-0005-0000-0000-0000AD420000}"/>
    <cellStyle name="계산 15 15" xfId="18103" xr:uid="{00000000-0005-0000-0000-0000AE420000}"/>
    <cellStyle name="계산 15 2" xfId="2199" xr:uid="{00000000-0005-0000-0000-0000AF420000}"/>
    <cellStyle name="계산 15 2 2" xfId="18109" xr:uid="{00000000-0005-0000-0000-0000B0420000}"/>
    <cellStyle name="계산 15 3" xfId="18110" xr:uid="{00000000-0005-0000-0000-0000B1420000}"/>
    <cellStyle name="계산 15 4" xfId="18111" xr:uid="{00000000-0005-0000-0000-0000B2420000}"/>
    <cellStyle name="계산 15 5" xfId="18112" xr:uid="{00000000-0005-0000-0000-0000B3420000}"/>
    <cellStyle name="계산 15 6" xfId="18113" xr:uid="{00000000-0005-0000-0000-0000B4420000}"/>
    <cellStyle name="계산 15 7" xfId="18114" xr:uid="{00000000-0005-0000-0000-0000B5420000}"/>
    <cellStyle name="계산 15 8" xfId="18115" xr:uid="{00000000-0005-0000-0000-0000B6420000}"/>
    <cellStyle name="계산 15 9" xfId="18116" xr:uid="{00000000-0005-0000-0000-0000B7420000}"/>
    <cellStyle name="계산 16" xfId="2200" xr:uid="{00000000-0005-0000-0000-0000B8420000}"/>
    <cellStyle name="계산 16 10" xfId="18118" xr:uid="{00000000-0005-0000-0000-0000B9420000}"/>
    <cellStyle name="계산 16 11" xfId="18119" xr:uid="{00000000-0005-0000-0000-0000BA420000}"/>
    <cellStyle name="계산 16 12" xfId="18120" xr:uid="{00000000-0005-0000-0000-0000BB420000}"/>
    <cellStyle name="계산 16 13" xfId="18121" xr:uid="{00000000-0005-0000-0000-0000BC420000}"/>
    <cellStyle name="계산 16 14" xfId="18122" xr:uid="{00000000-0005-0000-0000-0000BD420000}"/>
    <cellStyle name="계산 16 15" xfId="18117" xr:uid="{00000000-0005-0000-0000-0000BE420000}"/>
    <cellStyle name="계산 16 2" xfId="2201" xr:uid="{00000000-0005-0000-0000-0000BF420000}"/>
    <cellStyle name="계산 16 2 2" xfId="18123" xr:uid="{00000000-0005-0000-0000-0000C0420000}"/>
    <cellStyle name="계산 16 3" xfId="18124" xr:uid="{00000000-0005-0000-0000-0000C1420000}"/>
    <cellStyle name="계산 16 4" xfId="18125" xr:uid="{00000000-0005-0000-0000-0000C2420000}"/>
    <cellStyle name="계산 16 5" xfId="18126" xr:uid="{00000000-0005-0000-0000-0000C3420000}"/>
    <cellStyle name="계산 16 6" xfId="18127" xr:uid="{00000000-0005-0000-0000-0000C4420000}"/>
    <cellStyle name="계산 16 7" xfId="18128" xr:uid="{00000000-0005-0000-0000-0000C5420000}"/>
    <cellStyle name="계산 16 8" xfId="18129" xr:uid="{00000000-0005-0000-0000-0000C6420000}"/>
    <cellStyle name="계산 16 9" xfId="18130" xr:uid="{00000000-0005-0000-0000-0000C7420000}"/>
    <cellStyle name="계산 17" xfId="2202" xr:uid="{00000000-0005-0000-0000-0000C8420000}"/>
    <cellStyle name="계산 17 10" xfId="18132" xr:uid="{00000000-0005-0000-0000-0000C9420000}"/>
    <cellStyle name="계산 17 11" xfId="18133" xr:uid="{00000000-0005-0000-0000-0000CA420000}"/>
    <cellStyle name="계산 17 12" xfId="18134" xr:uid="{00000000-0005-0000-0000-0000CB420000}"/>
    <cellStyle name="계산 17 13" xfId="18135" xr:uid="{00000000-0005-0000-0000-0000CC420000}"/>
    <cellStyle name="계산 17 14" xfId="18136" xr:uid="{00000000-0005-0000-0000-0000CD420000}"/>
    <cellStyle name="계산 17 15" xfId="18131" xr:uid="{00000000-0005-0000-0000-0000CE420000}"/>
    <cellStyle name="계산 17 2" xfId="2203" xr:uid="{00000000-0005-0000-0000-0000CF420000}"/>
    <cellStyle name="계산 17 2 2" xfId="18137" xr:uid="{00000000-0005-0000-0000-0000D0420000}"/>
    <cellStyle name="계산 17 3" xfId="18138" xr:uid="{00000000-0005-0000-0000-0000D1420000}"/>
    <cellStyle name="계산 17 4" xfId="18139" xr:uid="{00000000-0005-0000-0000-0000D2420000}"/>
    <cellStyle name="계산 17 5" xfId="18140" xr:uid="{00000000-0005-0000-0000-0000D3420000}"/>
    <cellStyle name="계산 17 6" xfId="18141" xr:uid="{00000000-0005-0000-0000-0000D4420000}"/>
    <cellStyle name="계산 17 7" xfId="18142" xr:uid="{00000000-0005-0000-0000-0000D5420000}"/>
    <cellStyle name="계산 17 8" xfId="18143" xr:uid="{00000000-0005-0000-0000-0000D6420000}"/>
    <cellStyle name="계산 17 9" xfId="18144" xr:uid="{00000000-0005-0000-0000-0000D7420000}"/>
    <cellStyle name="계산 18" xfId="2204" xr:uid="{00000000-0005-0000-0000-0000D8420000}"/>
    <cellStyle name="계산 18 10" xfId="18146" xr:uid="{00000000-0005-0000-0000-0000D9420000}"/>
    <cellStyle name="계산 18 11" xfId="18147" xr:uid="{00000000-0005-0000-0000-0000DA420000}"/>
    <cellStyle name="계산 18 12" xfId="18148" xr:uid="{00000000-0005-0000-0000-0000DB420000}"/>
    <cellStyle name="계산 18 13" xfId="18149" xr:uid="{00000000-0005-0000-0000-0000DC420000}"/>
    <cellStyle name="계산 18 14" xfId="18150" xr:uid="{00000000-0005-0000-0000-0000DD420000}"/>
    <cellStyle name="계산 18 15" xfId="18145" xr:uid="{00000000-0005-0000-0000-0000DE420000}"/>
    <cellStyle name="계산 18 2" xfId="2205" xr:uid="{00000000-0005-0000-0000-0000DF420000}"/>
    <cellStyle name="계산 18 2 2" xfId="18151" xr:uid="{00000000-0005-0000-0000-0000E0420000}"/>
    <cellStyle name="계산 18 3" xfId="18152" xr:uid="{00000000-0005-0000-0000-0000E1420000}"/>
    <cellStyle name="계산 18 4" xfId="18153" xr:uid="{00000000-0005-0000-0000-0000E2420000}"/>
    <cellStyle name="계산 18 5" xfId="18154" xr:uid="{00000000-0005-0000-0000-0000E3420000}"/>
    <cellStyle name="계산 18 6" xfId="18155" xr:uid="{00000000-0005-0000-0000-0000E4420000}"/>
    <cellStyle name="계산 18 7" xfId="18156" xr:uid="{00000000-0005-0000-0000-0000E5420000}"/>
    <cellStyle name="계산 18 8" xfId="18157" xr:uid="{00000000-0005-0000-0000-0000E6420000}"/>
    <cellStyle name="계산 18 9" xfId="18158" xr:uid="{00000000-0005-0000-0000-0000E7420000}"/>
    <cellStyle name="계산 19" xfId="2206" xr:uid="{00000000-0005-0000-0000-0000E8420000}"/>
    <cellStyle name="계산 19 10" xfId="18160" xr:uid="{00000000-0005-0000-0000-0000E9420000}"/>
    <cellStyle name="계산 19 11" xfId="18161" xr:uid="{00000000-0005-0000-0000-0000EA420000}"/>
    <cellStyle name="계산 19 12" xfId="18162" xr:uid="{00000000-0005-0000-0000-0000EB420000}"/>
    <cellStyle name="계산 19 13" xfId="18163" xr:uid="{00000000-0005-0000-0000-0000EC420000}"/>
    <cellStyle name="계산 19 14" xfId="18164" xr:uid="{00000000-0005-0000-0000-0000ED420000}"/>
    <cellStyle name="계산 19 15" xfId="18159" xr:uid="{00000000-0005-0000-0000-0000EE420000}"/>
    <cellStyle name="계산 19 2" xfId="2207" xr:uid="{00000000-0005-0000-0000-0000EF420000}"/>
    <cellStyle name="계산 19 2 2" xfId="18165" xr:uid="{00000000-0005-0000-0000-0000F0420000}"/>
    <cellStyle name="계산 19 3" xfId="18166" xr:uid="{00000000-0005-0000-0000-0000F1420000}"/>
    <cellStyle name="계산 19 4" xfId="18167" xr:uid="{00000000-0005-0000-0000-0000F2420000}"/>
    <cellStyle name="계산 19 5" xfId="18168" xr:uid="{00000000-0005-0000-0000-0000F3420000}"/>
    <cellStyle name="계산 19 6" xfId="18169" xr:uid="{00000000-0005-0000-0000-0000F4420000}"/>
    <cellStyle name="계산 19 7" xfId="18170" xr:uid="{00000000-0005-0000-0000-0000F5420000}"/>
    <cellStyle name="계산 19 8" xfId="18171" xr:uid="{00000000-0005-0000-0000-0000F6420000}"/>
    <cellStyle name="계산 19 9" xfId="18172" xr:uid="{00000000-0005-0000-0000-0000F7420000}"/>
    <cellStyle name="계산 2" xfId="2208" xr:uid="{00000000-0005-0000-0000-0000F8420000}"/>
    <cellStyle name="계산 2 10" xfId="18174" xr:uid="{00000000-0005-0000-0000-0000F9420000}"/>
    <cellStyle name="계산 2 11" xfId="18175" xr:uid="{00000000-0005-0000-0000-0000FA420000}"/>
    <cellStyle name="계산 2 12" xfId="18176" xr:uid="{00000000-0005-0000-0000-0000FB420000}"/>
    <cellStyle name="계산 2 13" xfId="18177" xr:uid="{00000000-0005-0000-0000-0000FC420000}"/>
    <cellStyle name="계산 2 14" xfId="18178" xr:uid="{00000000-0005-0000-0000-0000FD420000}"/>
    <cellStyle name="계산 2 15" xfId="18173" xr:uid="{00000000-0005-0000-0000-0000FE420000}"/>
    <cellStyle name="계산 2 16" xfId="27958" xr:uid="{00000000-0005-0000-0000-0000FF420000}"/>
    <cellStyle name="계산 2 2" xfId="2209" xr:uid="{00000000-0005-0000-0000-000000430000}"/>
    <cellStyle name="계산 2 2 2" xfId="18179" xr:uid="{00000000-0005-0000-0000-000001430000}"/>
    <cellStyle name="계산 2 3" xfId="18180" xr:uid="{00000000-0005-0000-0000-000002430000}"/>
    <cellStyle name="계산 2 4" xfId="18181" xr:uid="{00000000-0005-0000-0000-000003430000}"/>
    <cellStyle name="계산 2 5" xfId="18182" xr:uid="{00000000-0005-0000-0000-000004430000}"/>
    <cellStyle name="계산 2 6" xfId="18183" xr:uid="{00000000-0005-0000-0000-000005430000}"/>
    <cellStyle name="계산 2 7" xfId="18184" xr:uid="{00000000-0005-0000-0000-000006430000}"/>
    <cellStyle name="계산 2 8" xfId="18185" xr:uid="{00000000-0005-0000-0000-000007430000}"/>
    <cellStyle name="계산 2 9" xfId="18186" xr:uid="{00000000-0005-0000-0000-000008430000}"/>
    <cellStyle name="계산 20" xfId="2210" xr:uid="{00000000-0005-0000-0000-000009430000}"/>
    <cellStyle name="계산 20 10" xfId="18188" xr:uid="{00000000-0005-0000-0000-00000A430000}"/>
    <cellStyle name="계산 20 11" xfId="18189" xr:uid="{00000000-0005-0000-0000-00000B430000}"/>
    <cellStyle name="계산 20 12" xfId="18190" xr:uid="{00000000-0005-0000-0000-00000C430000}"/>
    <cellStyle name="계산 20 13" xfId="18191" xr:uid="{00000000-0005-0000-0000-00000D430000}"/>
    <cellStyle name="계산 20 14" xfId="18192" xr:uid="{00000000-0005-0000-0000-00000E430000}"/>
    <cellStyle name="계산 20 15" xfId="18187" xr:uid="{00000000-0005-0000-0000-00000F430000}"/>
    <cellStyle name="계산 20 2" xfId="2211" xr:uid="{00000000-0005-0000-0000-000010430000}"/>
    <cellStyle name="계산 20 2 2" xfId="18193" xr:uid="{00000000-0005-0000-0000-000011430000}"/>
    <cellStyle name="계산 20 3" xfId="18194" xr:uid="{00000000-0005-0000-0000-000012430000}"/>
    <cellStyle name="계산 20 4" xfId="18195" xr:uid="{00000000-0005-0000-0000-000013430000}"/>
    <cellStyle name="계산 20 5" xfId="18196" xr:uid="{00000000-0005-0000-0000-000014430000}"/>
    <cellStyle name="계산 20 6" xfId="18197" xr:uid="{00000000-0005-0000-0000-000015430000}"/>
    <cellStyle name="계산 20 7" xfId="18198" xr:uid="{00000000-0005-0000-0000-000016430000}"/>
    <cellStyle name="계산 20 8" xfId="18199" xr:uid="{00000000-0005-0000-0000-000017430000}"/>
    <cellStyle name="계산 20 9" xfId="18200" xr:uid="{00000000-0005-0000-0000-000018430000}"/>
    <cellStyle name="계산 21" xfId="2212" xr:uid="{00000000-0005-0000-0000-000019430000}"/>
    <cellStyle name="계산 21 10" xfId="18202" xr:uid="{00000000-0005-0000-0000-00001A430000}"/>
    <cellStyle name="계산 21 11" xfId="18203" xr:uid="{00000000-0005-0000-0000-00001B430000}"/>
    <cellStyle name="계산 21 12" xfId="18204" xr:uid="{00000000-0005-0000-0000-00001C430000}"/>
    <cellStyle name="계산 21 13" xfId="18205" xr:uid="{00000000-0005-0000-0000-00001D430000}"/>
    <cellStyle name="계산 21 14" xfId="18206" xr:uid="{00000000-0005-0000-0000-00001E430000}"/>
    <cellStyle name="계산 21 15" xfId="18201" xr:uid="{00000000-0005-0000-0000-00001F430000}"/>
    <cellStyle name="계산 21 2" xfId="2213" xr:uid="{00000000-0005-0000-0000-000020430000}"/>
    <cellStyle name="계산 21 2 2" xfId="18207" xr:uid="{00000000-0005-0000-0000-000021430000}"/>
    <cellStyle name="계산 21 3" xfId="18208" xr:uid="{00000000-0005-0000-0000-000022430000}"/>
    <cellStyle name="계산 21 4" xfId="18209" xr:uid="{00000000-0005-0000-0000-000023430000}"/>
    <cellStyle name="계산 21 5" xfId="18210" xr:uid="{00000000-0005-0000-0000-000024430000}"/>
    <cellStyle name="계산 21 6" xfId="18211" xr:uid="{00000000-0005-0000-0000-000025430000}"/>
    <cellStyle name="계산 21 7" xfId="18212" xr:uid="{00000000-0005-0000-0000-000026430000}"/>
    <cellStyle name="계산 21 8" xfId="18213" xr:uid="{00000000-0005-0000-0000-000027430000}"/>
    <cellStyle name="계산 21 9" xfId="18214" xr:uid="{00000000-0005-0000-0000-000028430000}"/>
    <cellStyle name="계산 22" xfId="2214" xr:uid="{00000000-0005-0000-0000-000029430000}"/>
    <cellStyle name="계산 22 10" xfId="18216" xr:uid="{00000000-0005-0000-0000-00002A430000}"/>
    <cellStyle name="계산 22 11" xfId="18217" xr:uid="{00000000-0005-0000-0000-00002B430000}"/>
    <cellStyle name="계산 22 12" xfId="18218" xr:uid="{00000000-0005-0000-0000-00002C430000}"/>
    <cellStyle name="계산 22 13" xfId="18219" xr:uid="{00000000-0005-0000-0000-00002D430000}"/>
    <cellStyle name="계산 22 14" xfId="18220" xr:uid="{00000000-0005-0000-0000-00002E430000}"/>
    <cellStyle name="계산 22 15" xfId="18215" xr:uid="{00000000-0005-0000-0000-00002F430000}"/>
    <cellStyle name="계산 22 2" xfId="2215" xr:uid="{00000000-0005-0000-0000-000030430000}"/>
    <cellStyle name="계산 22 2 2" xfId="18221" xr:uid="{00000000-0005-0000-0000-000031430000}"/>
    <cellStyle name="계산 22 3" xfId="18222" xr:uid="{00000000-0005-0000-0000-000032430000}"/>
    <cellStyle name="계산 22 4" xfId="18223" xr:uid="{00000000-0005-0000-0000-000033430000}"/>
    <cellStyle name="계산 22 5" xfId="18224" xr:uid="{00000000-0005-0000-0000-000034430000}"/>
    <cellStyle name="계산 22 6" xfId="18225" xr:uid="{00000000-0005-0000-0000-000035430000}"/>
    <cellStyle name="계산 22 7" xfId="18226" xr:uid="{00000000-0005-0000-0000-000036430000}"/>
    <cellStyle name="계산 22 8" xfId="18227" xr:uid="{00000000-0005-0000-0000-000037430000}"/>
    <cellStyle name="계산 22 9" xfId="18228" xr:uid="{00000000-0005-0000-0000-000038430000}"/>
    <cellStyle name="계산 23" xfId="2216" xr:uid="{00000000-0005-0000-0000-000039430000}"/>
    <cellStyle name="계산 23 10" xfId="18230" xr:uid="{00000000-0005-0000-0000-00003A430000}"/>
    <cellStyle name="계산 23 11" xfId="18231" xr:uid="{00000000-0005-0000-0000-00003B430000}"/>
    <cellStyle name="계산 23 12" xfId="18232" xr:uid="{00000000-0005-0000-0000-00003C430000}"/>
    <cellStyle name="계산 23 13" xfId="18233" xr:uid="{00000000-0005-0000-0000-00003D430000}"/>
    <cellStyle name="계산 23 14" xfId="18234" xr:uid="{00000000-0005-0000-0000-00003E430000}"/>
    <cellStyle name="계산 23 15" xfId="18229" xr:uid="{00000000-0005-0000-0000-00003F430000}"/>
    <cellStyle name="계산 23 2" xfId="2217" xr:uid="{00000000-0005-0000-0000-000040430000}"/>
    <cellStyle name="계산 23 2 2" xfId="18235" xr:uid="{00000000-0005-0000-0000-000041430000}"/>
    <cellStyle name="계산 23 3" xfId="18236" xr:uid="{00000000-0005-0000-0000-000042430000}"/>
    <cellStyle name="계산 23 4" xfId="18237" xr:uid="{00000000-0005-0000-0000-000043430000}"/>
    <cellStyle name="계산 23 5" xfId="18238" xr:uid="{00000000-0005-0000-0000-000044430000}"/>
    <cellStyle name="계산 23 6" xfId="18239" xr:uid="{00000000-0005-0000-0000-000045430000}"/>
    <cellStyle name="계산 23 7" xfId="18240" xr:uid="{00000000-0005-0000-0000-000046430000}"/>
    <cellStyle name="계산 23 8" xfId="18241" xr:uid="{00000000-0005-0000-0000-000047430000}"/>
    <cellStyle name="계산 23 9" xfId="18242" xr:uid="{00000000-0005-0000-0000-000048430000}"/>
    <cellStyle name="계산 24" xfId="2218" xr:uid="{00000000-0005-0000-0000-000049430000}"/>
    <cellStyle name="계산 24 10" xfId="18244" xr:uid="{00000000-0005-0000-0000-00004A430000}"/>
    <cellStyle name="계산 24 11" xfId="18245" xr:uid="{00000000-0005-0000-0000-00004B430000}"/>
    <cellStyle name="계산 24 12" xfId="18246" xr:uid="{00000000-0005-0000-0000-00004C430000}"/>
    <cellStyle name="계산 24 13" xfId="18247" xr:uid="{00000000-0005-0000-0000-00004D430000}"/>
    <cellStyle name="계산 24 14" xfId="18248" xr:uid="{00000000-0005-0000-0000-00004E430000}"/>
    <cellStyle name="계산 24 15" xfId="18243" xr:uid="{00000000-0005-0000-0000-00004F430000}"/>
    <cellStyle name="계산 24 2" xfId="2219" xr:uid="{00000000-0005-0000-0000-000050430000}"/>
    <cellStyle name="계산 24 2 2" xfId="18249" xr:uid="{00000000-0005-0000-0000-000051430000}"/>
    <cellStyle name="계산 24 3" xfId="18250" xr:uid="{00000000-0005-0000-0000-000052430000}"/>
    <cellStyle name="계산 24 4" xfId="18251" xr:uid="{00000000-0005-0000-0000-000053430000}"/>
    <cellStyle name="계산 24 5" xfId="18252" xr:uid="{00000000-0005-0000-0000-000054430000}"/>
    <cellStyle name="계산 24 6" xfId="18253" xr:uid="{00000000-0005-0000-0000-000055430000}"/>
    <cellStyle name="계산 24 7" xfId="18254" xr:uid="{00000000-0005-0000-0000-000056430000}"/>
    <cellStyle name="계산 24 8" xfId="18255" xr:uid="{00000000-0005-0000-0000-000057430000}"/>
    <cellStyle name="계산 24 9" xfId="18256" xr:uid="{00000000-0005-0000-0000-000058430000}"/>
    <cellStyle name="계산 25" xfId="2220" xr:uid="{00000000-0005-0000-0000-000059430000}"/>
    <cellStyle name="계산 25 10" xfId="18258" xr:uid="{00000000-0005-0000-0000-00005A430000}"/>
    <cellStyle name="계산 25 11" xfId="18259" xr:uid="{00000000-0005-0000-0000-00005B430000}"/>
    <cellStyle name="계산 25 12" xfId="18260" xr:uid="{00000000-0005-0000-0000-00005C430000}"/>
    <cellStyle name="계산 25 13" xfId="18261" xr:uid="{00000000-0005-0000-0000-00005D430000}"/>
    <cellStyle name="계산 25 14" xfId="18262" xr:uid="{00000000-0005-0000-0000-00005E430000}"/>
    <cellStyle name="계산 25 15" xfId="18257" xr:uid="{00000000-0005-0000-0000-00005F430000}"/>
    <cellStyle name="계산 25 2" xfId="2221" xr:uid="{00000000-0005-0000-0000-000060430000}"/>
    <cellStyle name="계산 25 2 2" xfId="18263" xr:uid="{00000000-0005-0000-0000-000061430000}"/>
    <cellStyle name="계산 25 3" xfId="18264" xr:uid="{00000000-0005-0000-0000-000062430000}"/>
    <cellStyle name="계산 25 4" xfId="18265" xr:uid="{00000000-0005-0000-0000-000063430000}"/>
    <cellStyle name="계산 25 5" xfId="18266" xr:uid="{00000000-0005-0000-0000-000064430000}"/>
    <cellStyle name="계산 25 6" xfId="18267" xr:uid="{00000000-0005-0000-0000-000065430000}"/>
    <cellStyle name="계산 25 7" xfId="18268" xr:uid="{00000000-0005-0000-0000-000066430000}"/>
    <cellStyle name="계산 25 8" xfId="18269" xr:uid="{00000000-0005-0000-0000-000067430000}"/>
    <cellStyle name="계산 25 9" xfId="18270" xr:uid="{00000000-0005-0000-0000-000068430000}"/>
    <cellStyle name="계산 26" xfId="2222" xr:uid="{00000000-0005-0000-0000-000069430000}"/>
    <cellStyle name="계산 26 10" xfId="18272" xr:uid="{00000000-0005-0000-0000-00006A430000}"/>
    <cellStyle name="계산 26 11" xfId="18273" xr:uid="{00000000-0005-0000-0000-00006B430000}"/>
    <cellStyle name="계산 26 12" xfId="18274" xr:uid="{00000000-0005-0000-0000-00006C430000}"/>
    <cellStyle name="계산 26 13" xfId="18275" xr:uid="{00000000-0005-0000-0000-00006D430000}"/>
    <cellStyle name="계산 26 14" xfId="18276" xr:uid="{00000000-0005-0000-0000-00006E430000}"/>
    <cellStyle name="계산 26 15" xfId="18271" xr:uid="{00000000-0005-0000-0000-00006F430000}"/>
    <cellStyle name="계산 26 2" xfId="2223" xr:uid="{00000000-0005-0000-0000-000070430000}"/>
    <cellStyle name="계산 26 2 2" xfId="18277" xr:uid="{00000000-0005-0000-0000-000071430000}"/>
    <cellStyle name="계산 26 3" xfId="18278" xr:uid="{00000000-0005-0000-0000-000072430000}"/>
    <cellStyle name="계산 26 4" xfId="18279" xr:uid="{00000000-0005-0000-0000-000073430000}"/>
    <cellStyle name="계산 26 5" xfId="18280" xr:uid="{00000000-0005-0000-0000-000074430000}"/>
    <cellStyle name="계산 26 6" xfId="18281" xr:uid="{00000000-0005-0000-0000-000075430000}"/>
    <cellStyle name="계산 26 7" xfId="18282" xr:uid="{00000000-0005-0000-0000-000076430000}"/>
    <cellStyle name="계산 26 8" xfId="18283" xr:uid="{00000000-0005-0000-0000-000077430000}"/>
    <cellStyle name="계산 26 9" xfId="18284" xr:uid="{00000000-0005-0000-0000-000078430000}"/>
    <cellStyle name="계산 27" xfId="2224" xr:uid="{00000000-0005-0000-0000-000079430000}"/>
    <cellStyle name="계산 27 10" xfId="18286" xr:uid="{00000000-0005-0000-0000-00007A430000}"/>
    <cellStyle name="계산 27 11" xfId="18287" xr:uid="{00000000-0005-0000-0000-00007B430000}"/>
    <cellStyle name="계산 27 12" xfId="18288" xr:uid="{00000000-0005-0000-0000-00007C430000}"/>
    <cellStyle name="계산 27 13" xfId="18289" xr:uid="{00000000-0005-0000-0000-00007D430000}"/>
    <cellStyle name="계산 27 14" xfId="18290" xr:uid="{00000000-0005-0000-0000-00007E430000}"/>
    <cellStyle name="계산 27 15" xfId="18285" xr:uid="{00000000-0005-0000-0000-00007F430000}"/>
    <cellStyle name="계산 27 2" xfId="2225" xr:uid="{00000000-0005-0000-0000-000080430000}"/>
    <cellStyle name="계산 27 2 2" xfId="18291" xr:uid="{00000000-0005-0000-0000-000081430000}"/>
    <cellStyle name="계산 27 3" xfId="18292" xr:uid="{00000000-0005-0000-0000-000082430000}"/>
    <cellStyle name="계산 27 4" xfId="18293" xr:uid="{00000000-0005-0000-0000-000083430000}"/>
    <cellStyle name="계산 27 5" xfId="18294" xr:uid="{00000000-0005-0000-0000-000084430000}"/>
    <cellStyle name="계산 27 6" xfId="18295" xr:uid="{00000000-0005-0000-0000-000085430000}"/>
    <cellStyle name="계산 27 7" xfId="18296" xr:uid="{00000000-0005-0000-0000-000086430000}"/>
    <cellStyle name="계산 27 8" xfId="18297" xr:uid="{00000000-0005-0000-0000-000087430000}"/>
    <cellStyle name="계산 27 9" xfId="18298" xr:uid="{00000000-0005-0000-0000-000088430000}"/>
    <cellStyle name="계산 28" xfId="2226" xr:uid="{00000000-0005-0000-0000-000089430000}"/>
    <cellStyle name="계산 28 10" xfId="18300" xr:uid="{00000000-0005-0000-0000-00008A430000}"/>
    <cellStyle name="계산 28 11" xfId="18301" xr:uid="{00000000-0005-0000-0000-00008B430000}"/>
    <cellStyle name="계산 28 12" xfId="18302" xr:uid="{00000000-0005-0000-0000-00008C430000}"/>
    <cellStyle name="계산 28 13" xfId="18303" xr:uid="{00000000-0005-0000-0000-00008D430000}"/>
    <cellStyle name="계산 28 14" xfId="18304" xr:uid="{00000000-0005-0000-0000-00008E430000}"/>
    <cellStyle name="계산 28 15" xfId="18299" xr:uid="{00000000-0005-0000-0000-00008F430000}"/>
    <cellStyle name="계산 28 2" xfId="2227" xr:uid="{00000000-0005-0000-0000-000090430000}"/>
    <cellStyle name="계산 28 2 2" xfId="18305" xr:uid="{00000000-0005-0000-0000-000091430000}"/>
    <cellStyle name="계산 28 3" xfId="18306" xr:uid="{00000000-0005-0000-0000-000092430000}"/>
    <cellStyle name="계산 28 4" xfId="18307" xr:uid="{00000000-0005-0000-0000-000093430000}"/>
    <cellStyle name="계산 28 5" xfId="18308" xr:uid="{00000000-0005-0000-0000-000094430000}"/>
    <cellStyle name="계산 28 6" xfId="18309" xr:uid="{00000000-0005-0000-0000-000095430000}"/>
    <cellStyle name="계산 28 7" xfId="18310" xr:uid="{00000000-0005-0000-0000-000096430000}"/>
    <cellStyle name="계산 28 8" xfId="18311" xr:uid="{00000000-0005-0000-0000-000097430000}"/>
    <cellStyle name="계산 28 9" xfId="18312" xr:uid="{00000000-0005-0000-0000-000098430000}"/>
    <cellStyle name="계산 29" xfId="2228" xr:uid="{00000000-0005-0000-0000-000099430000}"/>
    <cellStyle name="계산 29 10" xfId="18314" xr:uid="{00000000-0005-0000-0000-00009A430000}"/>
    <cellStyle name="계산 29 11" xfId="18315" xr:uid="{00000000-0005-0000-0000-00009B430000}"/>
    <cellStyle name="계산 29 12" xfId="18316" xr:uid="{00000000-0005-0000-0000-00009C430000}"/>
    <cellStyle name="계산 29 13" xfId="18317" xr:uid="{00000000-0005-0000-0000-00009D430000}"/>
    <cellStyle name="계산 29 14" xfId="18318" xr:uid="{00000000-0005-0000-0000-00009E430000}"/>
    <cellStyle name="계산 29 15" xfId="18313" xr:uid="{00000000-0005-0000-0000-00009F430000}"/>
    <cellStyle name="계산 29 2" xfId="2229" xr:uid="{00000000-0005-0000-0000-0000A0430000}"/>
    <cellStyle name="계산 29 2 2" xfId="18319" xr:uid="{00000000-0005-0000-0000-0000A1430000}"/>
    <cellStyle name="계산 29 3" xfId="18320" xr:uid="{00000000-0005-0000-0000-0000A2430000}"/>
    <cellStyle name="계산 29 4" xfId="18321" xr:uid="{00000000-0005-0000-0000-0000A3430000}"/>
    <cellStyle name="계산 29 5" xfId="18322" xr:uid="{00000000-0005-0000-0000-0000A4430000}"/>
    <cellStyle name="계산 29 6" xfId="18323" xr:uid="{00000000-0005-0000-0000-0000A5430000}"/>
    <cellStyle name="계산 29 7" xfId="18324" xr:uid="{00000000-0005-0000-0000-0000A6430000}"/>
    <cellStyle name="계산 29 8" xfId="18325" xr:uid="{00000000-0005-0000-0000-0000A7430000}"/>
    <cellStyle name="계산 29 9" xfId="18326" xr:uid="{00000000-0005-0000-0000-0000A8430000}"/>
    <cellStyle name="계산 3" xfId="2230" xr:uid="{00000000-0005-0000-0000-0000A9430000}"/>
    <cellStyle name="계산 3 10" xfId="18328" xr:uid="{00000000-0005-0000-0000-0000AA430000}"/>
    <cellStyle name="계산 3 11" xfId="18329" xr:uid="{00000000-0005-0000-0000-0000AB430000}"/>
    <cellStyle name="계산 3 12" xfId="18330" xr:uid="{00000000-0005-0000-0000-0000AC430000}"/>
    <cellStyle name="계산 3 13" xfId="18331" xr:uid="{00000000-0005-0000-0000-0000AD430000}"/>
    <cellStyle name="계산 3 14" xfId="18332" xr:uid="{00000000-0005-0000-0000-0000AE430000}"/>
    <cellStyle name="계산 3 15" xfId="18327" xr:uid="{00000000-0005-0000-0000-0000AF430000}"/>
    <cellStyle name="계산 3 16" xfId="28214" xr:uid="{00000000-0005-0000-0000-0000B0430000}"/>
    <cellStyle name="계산 3 2" xfId="2231" xr:uid="{00000000-0005-0000-0000-0000B1430000}"/>
    <cellStyle name="계산 3 2 2" xfId="18333" xr:uid="{00000000-0005-0000-0000-0000B2430000}"/>
    <cellStyle name="계산 3 3" xfId="18334" xr:uid="{00000000-0005-0000-0000-0000B3430000}"/>
    <cellStyle name="계산 3 4" xfId="18335" xr:uid="{00000000-0005-0000-0000-0000B4430000}"/>
    <cellStyle name="계산 3 5" xfId="18336" xr:uid="{00000000-0005-0000-0000-0000B5430000}"/>
    <cellStyle name="계산 3 6" xfId="18337" xr:uid="{00000000-0005-0000-0000-0000B6430000}"/>
    <cellStyle name="계산 3 7" xfId="18338" xr:uid="{00000000-0005-0000-0000-0000B7430000}"/>
    <cellStyle name="계산 3 8" xfId="18339" xr:uid="{00000000-0005-0000-0000-0000B8430000}"/>
    <cellStyle name="계산 3 9" xfId="18340" xr:uid="{00000000-0005-0000-0000-0000B9430000}"/>
    <cellStyle name="계산 30" xfId="2232" xr:uid="{00000000-0005-0000-0000-0000BA430000}"/>
    <cellStyle name="계산 30 10" xfId="18342" xr:uid="{00000000-0005-0000-0000-0000BB430000}"/>
    <cellStyle name="계산 30 11" xfId="18343" xr:uid="{00000000-0005-0000-0000-0000BC430000}"/>
    <cellStyle name="계산 30 12" xfId="18344" xr:uid="{00000000-0005-0000-0000-0000BD430000}"/>
    <cellStyle name="계산 30 13" xfId="18345" xr:uid="{00000000-0005-0000-0000-0000BE430000}"/>
    <cellStyle name="계산 30 14" xfId="18346" xr:uid="{00000000-0005-0000-0000-0000BF430000}"/>
    <cellStyle name="계산 30 15" xfId="18341" xr:uid="{00000000-0005-0000-0000-0000C0430000}"/>
    <cellStyle name="계산 30 2" xfId="2233" xr:uid="{00000000-0005-0000-0000-0000C1430000}"/>
    <cellStyle name="계산 30 2 2" xfId="18347" xr:uid="{00000000-0005-0000-0000-0000C2430000}"/>
    <cellStyle name="계산 30 3" xfId="18348" xr:uid="{00000000-0005-0000-0000-0000C3430000}"/>
    <cellStyle name="계산 30 4" xfId="18349" xr:uid="{00000000-0005-0000-0000-0000C4430000}"/>
    <cellStyle name="계산 30 5" xfId="18350" xr:uid="{00000000-0005-0000-0000-0000C5430000}"/>
    <cellStyle name="계산 30 6" xfId="18351" xr:uid="{00000000-0005-0000-0000-0000C6430000}"/>
    <cellStyle name="계산 30 7" xfId="18352" xr:uid="{00000000-0005-0000-0000-0000C7430000}"/>
    <cellStyle name="계산 30 8" xfId="18353" xr:uid="{00000000-0005-0000-0000-0000C8430000}"/>
    <cellStyle name="계산 30 9" xfId="18354" xr:uid="{00000000-0005-0000-0000-0000C9430000}"/>
    <cellStyle name="계산 31" xfId="2234" xr:uid="{00000000-0005-0000-0000-0000CA430000}"/>
    <cellStyle name="계산 31 10" xfId="18356" xr:uid="{00000000-0005-0000-0000-0000CB430000}"/>
    <cellStyle name="계산 31 11" xfId="18357" xr:uid="{00000000-0005-0000-0000-0000CC430000}"/>
    <cellStyle name="계산 31 12" xfId="18358" xr:uid="{00000000-0005-0000-0000-0000CD430000}"/>
    <cellStyle name="계산 31 13" xfId="18359" xr:uid="{00000000-0005-0000-0000-0000CE430000}"/>
    <cellStyle name="계산 31 14" xfId="18360" xr:uid="{00000000-0005-0000-0000-0000CF430000}"/>
    <cellStyle name="계산 31 15" xfId="18355" xr:uid="{00000000-0005-0000-0000-0000D0430000}"/>
    <cellStyle name="계산 31 2" xfId="2235" xr:uid="{00000000-0005-0000-0000-0000D1430000}"/>
    <cellStyle name="계산 31 2 2" xfId="18361" xr:uid="{00000000-0005-0000-0000-0000D2430000}"/>
    <cellStyle name="계산 31 3" xfId="18362" xr:uid="{00000000-0005-0000-0000-0000D3430000}"/>
    <cellStyle name="계산 31 4" xfId="18363" xr:uid="{00000000-0005-0000-0000-0000D4430000}"/>
    <cellStyle name="계산 31 5" xfId="18364" xr:uid="{00000000-0005-0000-0000-0000D5430000}"/>
    <cellStyle name="계산 31 6" xfId="18365" xr:uid="{00000000-0005-0000-0000-0000D6430000}"/>
    <cellStyle name="계산 31 7" xfId="18366" xr:uid="{00000000-0005-0000-0000-0000D7430000}"/>
    <cellStyle name="계산 31 8" xfId="18367" xr:uid="{00000000-0005-0000-0000-0000D8430000}"/>
    <cellStyle name="계산 31 9" xfId="18368" xr:uid="{00000000-0005-0000-0000-0000D9430000}"/>
    <cellStyle name="계산 32" xfId="2236" xr:uid="{00000000-0005-0000-0000-0000DA430000}"/>
    <cellStyle name="계산 32 10" xfId="18370" xr:uid="{00000000-0005-0000-0000-0000DB430000}"/>
    <cellStyle name="계산 32 11" xfId="18371" xr:uid="{00000000-0005-0000-0000-0000DC430000}"/>
    <cellStyle name="계산 32 12" xfId="18372" xr:uid="{00000000-0005-0000-0000-0000DD430000}"/>
    <cellStyle name="계산 32 13" xfId="18373" xr:uid="{00000000-0005-0000-0000-0000DE430000}"/>
    <cellStyle name="계산 32 14" xfId="18374" xr:uid="{00000000-0005-0000-0000-0000DF430000}"/>
    <cellStyle name="계산 32 15" xfId="18369" xr:uid="{00000000-0005-0000-0000-0000E0430000}"/>
    <cellStyle name="계산 32 2" xfId="2237" xr:uid="{00000000-0005-0000-0000-0000E1430000}"/>
    <cellStyle name="계산 32 2 2" xfId="18375" xr:uid="{00000000-0005-0000-0000-0000E2430000}"/>
    <cellStyle name="계산 32 3" xfId="18376" xr:uid="{00000000-0005-0000-0000-0000E3430000}"/>
    <cellStyle name="계산 32 4" xfId="18377" xr:uid="{00000000-0005-0000-0000-0000E4430000}"/>
    <cellStyle name="계산 32 5" xfId="18378" xr:uid="{00000000-0005-0000-0000-0000E5430000}"/>
    <cellStyle name="계산 32 6" xfId="18379" xr:uid="{00000000-0005-0000-0000-0000E6430000}"/>
    <cellStyle name="계산 32 7" xfId="18380" xr:uid="{00000000-0005-0000-0000-0000E7430000}"/>
    <cellStyle name="계산 32 8" xfId="18381" xr:uid="{00000000-0005-0000-0000-0000E8430000}"/>
    <cellStyle name="계산 32 9" xfId="18382" xr:uid="{00000000-0005-0000-0000-0000E9430000}"/>
    <cellStyle name="계산 33" xfId="2238" xr:uid="{00000000-0005-0000-0000-0000EA430000}"/>
    <cellStyle name="계산 33 10" xfId="18384" xr:uid="{00000000-0005-0000-0000-0000EB430000}"/>
    <cellStyle name="계산 33 11" xfId="18385" xr:uid="{00000000-0005-0000-0000-0000EC430000}"/>
    <cellStyle name="계산 33 12" xfId="18386" xr:uid="{00000000-0005-0000-0000-0000ED430000}"/>
    <cellStyle name="계산 33 13" xfId="18387" xr:uid="{00000000-0005-0000-0000-0000EE430000}"/>
    <cellStyle name="계산 33 14" xfId="18388" xr:uid="{00000000-0005-0000-0000-0000EF430000}"/>
    <cellStyle name="계산 33 15" xfId="18383" xr:uid="{00000000-0005-0000-0000-0000F0430000}"/>
    <cellStyle name="계산 33 2" xfId="2239" xr:uid="{00000000-0005-0000-0000-0000F1430000}"/>
    <cellStyle name="계산 33 2 2" xfId="18389" xr:uid="{00000000-0005-0000-0000-0000F2430000}"/>
    <cellStyle name="계산 33 3" xfId="18390" xr:uid="{00000000-0005-0000-0000-0000F3430000}"/>
    <cellStyle name="계산 33 4" xfId="18391" xr:uid="{00000000-0005-0000-0000-0000F4430000}"/>
    <cellStyle name="계산 33 5" xfId="18392" xr:uid="{00000000-0005-0000-0000-0000F5430000}"/>
    <cellStyle name="계산 33 6" xfId="18393" xr:uid="{00000000-0005-0000-0000-0000F6430000}"/>
    <cellStyle name="계산 33 7" xfId="18394" xr:uid="{00000000-0005-0000-0000-0000F7430000}"/>
    <cellStyle name="계산 33 8" xfId="18395" xr:uid="{00000000-0005-0000-0000-0000F8430000}"/>
    <cellStyle name="계산 33 9" xfId="18396" xr:uid="{00000000-0005-0000-0000-0000F9430000}"/>
    <cellStyle name="계산 34" xfId="2240" xr:uid="{00000000-0005-0000-0000-0000FA430000}"/>
    <cellStyle name="계산 34 10" xfId="18398" xr:uid="{00000000-0005-0000-0000-0000FB430000}"/>
    <cellStyle name="계산 34 11" xfId="18399" xr:uid="{00000000-0005-0000-0000-0000FC430000}"/>
    <cellStyle name="계산 34 12" xfId="18400" xr:uid="{00000000-0005-0000-0000-0000FD430000}"/>
    <cellStyle name="계산 34 13" xfId="18401" xr:uid="{00000000-0005-0000-0000-0000FE430000}"/>
    <cellStyle name="계산 34 14" xfId="18402" xr:uid="{00000000-0005-0000-0000-0000FF430000}"/>
    <cellStyle name="계산 34 15" xfId="18397" xr:uid="{00000000-0005-0000-0000-000000440000}"/>
    <cellStyle name="계산 34 2" xfId="2241" xr:uid="{00000000-0005-0000-0000-000001440000}"/>
    <cellStyle name="계산 34 2 2" xfId="18403" xr:uid="{00000000-0005-0000-0000-000002440000}"/>
    <cellStyle name="계산 34 3" xfId="18404" xr:uid="{00000000-0005-0000-0000-000003440000}"/>
    <cellStyle name="계산 34 4" xfId="18405" xr:uid="{00000000-0005-0000-0000-000004440000}"/>
    <cellStyle name="계산 34 5" xfId="18406" xr:uid="{00000000-0005-0000-0000-000005440000}"/>
    <cellStyle name="계산 34 6" xfId="18407" xr:uid="{00000000-0005-0000-0000-000006440000}"/>
    <cellStyle name="계산 34 7" xfId="18408" xr:uid="{00000000-0005-0000-0000-000007440000}"/>
    <cellStyle name="계산 34 8" xfId="18409" xr:uid="{00000000-0005-0000-0000-000008440000}"/>
    <cellStyle name="계산 34 9" xfId="18410" xr:uid="{00000000-0005-0000-0000-000009440000}"/>
    <cellStyle name="계산 35" xfId="2242" xr:uid="{00000000-0005-0000-0000-00000A440000}"/>
    <cellStyle name="계산 35 10" xfId="18412" xr:uid="{00000000-0005-0000-0000-00000B440000}"/>
    <cellStyle name="계산 35 11" xfId="18413" xr:uid="{00000000-0005-0000-0000-00000C440000}"/>
    <cellStyle name="계산 35 12" xfId="18414" xr:uid="{00000000-0005-0000-0000-00000D440000}"/>
    <cellStyle name="계산 35 13" xfId="18415" xr:uid="{00000000-0005-0000-0000-00000E440000}"/>
    <cellStyle name="계산 35 14" xfId="18416" xr:uid="{00000000-0005-0000-0000-00000F440000}"/>
    <cellStyle name="계산 35 15" xfId="18411" xr:uid="{00000000-0005-0000-0000-000010440000}"/>
    <cellStyle name="계산 35 2" xfId="2243" xr:uid="{00000000-0005-0000-0000-000011440000}"/>
    <cellStyle name="계산 35 2 2" xfId="18417" xr:uid="{00000000-0005-0000-0000-000012440000}"/>
    <cellStyle name="계산 35 3" xfId="18418" xr:uid="{00000000-0005-0000-0000-000013440000}"/>
    <cellStyle name="계산 35 4" xfId="18419" xr:uid="{00000000-0005-0000-0000-000014440000}"/>
    <cellStyle name="계산 35 5" xfId="18420" xr:uid="{00000000-0005-0000-0000-000015440000}"/>
    <cellStyle name="계산 35 6" xfId="18421" xr:uid="{00000000-0005-0000-0000-000016440000}"/>
    <cellStyle name="계산 35 7" xfId="18422" xr:uid="{00000000-0005-0000-0000-000017440000}"/>
    <cellStyle name="계산 35 8" xfId="18423" xr:uid="{00000000-0005-0000-0000-000018440000}"/>
    <cellStyle name="계산 35 9" xfId="18424" xr:uid="{00000000-0005-0000-0000-000019440000}"/>
    <cellStyle name="계산 36" xfId="2244" xr:uid="{00000000-0005-0000-0000-00001A440000}"/>
    <cellStyle name="계산 36 10" xfId="18426" xr:uid="{00000000-0005-0000-0000-00001B440000}"/>
    <cellStyle name="계산 36 11" xfId="18427" xr:uid="{00000000-0005-0000-0000-00001C440000}"/>
    <cellStyle name="계산 36 12" xfId="18428" xr:uid="{00000000-0005-0000-0000-00001D440000}"/>
    <cellStyle name="계산 36 13" xfId="18429" xr:uid="{00000000-0005-0000-0000-00001E440000}"/>
    <cellStyle name="계산 36 14" xfId="18430" xr:uid="{00000000-0005-0000-0000-00001F440000}"/>
    <cellStyle name="계산 36 15" xfId="18425" xr:uid="{00000000-0005-0000-0000-000020440000}"/>
    <cellStyle name="계산 36 2" xfId="2245" xr:uid="{00000000-0005-0000-0000-000021440000}"/>
    <cellStyle name="계산 36 2 2" xfId="18431" xr:uid="{00000000-0005-0000-0000-000022440000}"/>
    <cellStyle name="계산 36 3" xfId="18432" xr:uid="{00000000-0005-0000-0000-000023440000}"/>
    <cellStyle name="계산 36 4" xfId="18433" xr:uid="{00000000-0005-0000-0000-000024440000}"/>
    <cellStyle name="계산 36 5" xfId="18434" xr:uid="{00000000-0005-0000-0000-000025440000}"/>
    <cellStyle name="계산 36 6" xfId="18435" xr:uid="{00000000-0005-0000-0000-000026440000}"/>
    <cellStyle name="계산 36 7" xfId="18436" xr:uid="{00000000-0005-0000-0000-000027440000}"/>
    <cellStyle name="계산 36 8" xfId="18437" xr:uid="{00000000-0005-0000-0000-000028440000}"/>
    <cellStyle name="계산 36 9" xfId="18438" xr:uid="{00000000-0005-0000-0000-000029440000}"/>
    <cellStyle name="계산 37" xfId="2246" xr:uid="{00000000-0005-0000-0000-00002A440000}"/>
    <cellStyle name="계산 37 10" xfId="18440" xr:uid="{00000000-0005-0000-0000-00002B440000}"/>
    <cellStyle name="계산 37 11" xfId="18441" xr:uid="{00000000-0005-0000-0000-00002C440000}"/>
    <cellStyle name="계산 37 12" xfId="18442" xr:uid="{00000000-0005-0000-0000-00002D440000}"/>
    <cellStyle name="계산 37 13" xfId="18443" xr:uid="{00000000-0005-0000-0000-00002E440000}"/>
    <cellStyle name="계산 37 14" xfId="18444" xr:uid="{00000000-0005-0000-0000-00002F440000}"/>
    <cellStyle name="계산 37 15" xfId="18439" xr:uid="{00000000-0005-0000-0000-000030440000}"/>
    <cellStyle name="계산 37 2" xfId="2247" xr:uid="{00000000-0005-0000-0000-000031440000}"/>
    <cellStyle name="계산 37 2 2" xfId="18445" xr:uid="{00000000-0005-0000-0000-000032440000}"/>
    <cellStyle name="계산 37 3" xfId="18446" xr:uid="{00000000-0005-0000-0000-000033440000}"/>
    <cellStyle name="계산 37 4" xfId="18447" xr:uid="{00000000-0005-0000-0000-000034440000}"/>
    <cellStyle name="계산 37 5" xfId="18448" xr:uid="{00000000-0005-0000-0000-000035440000}"/>
    <cellStyle name="계산 37 6" xfId="18449" xr:uid="{00000000-0005-0000-0000-000036440000}"/>
    <cellStyle name="계산 37 7" xfId="18450" xr:uid="{00000000-0005-0000-0000-000037440000}"/>
    <cellStyle name="계산 37 8" xfId="18451" xr:uid="{00000000-0005-0000-0000-000038440000}"/>
    <cellStyle name="계산 37 9" xfId="18452" xr:uid="{00000000-0005-0000-0000-000039440000}"/>
    <cellStyle name="계산 38" xfId="2248" xr:uid="{00000000-0005-0000-0000-00003A440000}"/>
    <cellStyle name="계산 38 10" xfId="18454" xr:uid="{00000000-0005-0000-0000-00003B440000}"/>
    <cellStyle name="계산 38 11" xfId="18455" xr:uid="{00000000-0005-0000-0000-00003C440000}"/>
    <cellStyle name="계산 38 12" xfId="18456" xr:uid="{00000000-0005-0000-0000-00003D440000}"/>
    <cellStyle name="계산 38 13" xfId="18457" xr:uid="{00000000-0005-0000-0000-00003E440000}"/>
    <cellStyle name="계산 38 14" xfId="18458" xr:uid="{00000000-0005-0000-0000-00003F440000}"/>
    <cellStyle name="계산 38 15" xfId="18453" xr:uid="{00000000-0005-0000-0000-000040440000}"/>
    <cellStyle name="계산 38 2" xfId="2249" xr:uid="{00000000-0005-0000-0000-000041440000}"/>
    <cellStyle name="계산 38 2 2" xfId="18459" xr:uid="{00000000-0005-0000-0000-000042440000}"/>
    <cellStyle name="계산 38 3" xfId="18460" xr:uid="{00000000-0005-0000-0000-000043440000}"/>
    <cellStyle name="계산 38 4" xfId="18461" xr:uid="{00000000-0005-0000-0000-000044440000}"/>
    <cellStyle name="계산 38 5" xfId="18462" xr:uid="{00000000-0005-0000-0000-000045440000}"/>
    <cellStyle name="계산 38 6" xfId="18463" xr:uid="{00000000-0005-0000-0000-000046440000}"/>
    <cellStyle name="계산 38 7" xfId="18464" xr:uid="{00000000-0005-0000-0000-000047440000}"/>
    <cellStyle name="계산 38 8" xfId="18465" xr:uid="{00000000-0005-0000-0000-000048440000}"/>
    <cellStyle name="계산 38 9" xfId="18466" xr:uid="{00000000-0005-0000-0000-000049440000}"/>
    <cellStyle name="계산 39" xfId="2250" xr:uid="{00000000-0005-0000-0000-00004A440000}"/>
    <cellStyle name="계산 39 10" xfId="18468" xr:uid="{00000000-0005-0000-0000-00004B440000}"/>
    <cellStyle name="계산 39 11" xfId="18469" xr:uid="{00000000-0005-0000-0000-00004C440000}"/>
    <cellStyle name="계산 39 12" xfId="18470" xr:uid="{00000000-0005-0000-0000-00004D440000}"/>
    <cellStyle name="계산 39 13" xfId="18471" xr:uid="{00000000-0005-0000-0000-00004E440000}"/>
    <cellStyle name="계산 39 14" xfId="18472" xr:uid="{00000000-0005-0000-0000-00004F440000}"/>
    <cellStyle name="계산 39 15" xfId="18467" xr:uid="{00000000-0005-0000-0000-000050440000}"/>
    <cellStyle name="계산 39 2" xfId="2251" xr:uid="{00000000-0005-0000-0000-000051440000}"/>
    <cellStyle name="계산 39 2 2" xfId="18473" xr:uid="{00000000-0005-0000-0000-000052440000}"/>
    <cellStyle name="계산 39 3" xfId="18474" xr:uid="{00000000-0005-0000-0000-000053440000}"/>
    <cellStyle name="계산 39 4" xfId="18475" xr:uid="{00000000-0005-0000-0000-000054440000}"/>
    <cellStyle name="계산 39 5" xfId="18476" xr:uid="{00000000-0005-0000-0000-000055440000}"/>
    <cellStyle name="계산 39 6" xfId="18477" xr:uid="{00000000-0005-0000-0000-000056440000}"/>
    <cellStyle name="계산 39 7" xfId="18478" xr:uid="{00000000-0005-0000-0000-000057440000}"/>
    <cellStyle name="계산 39 8" xfId="18479" xr:uid="{00000000-0005-0000-0000-000058440000}"/>
    <cellStyle name="계산 39 9" xfId="18480" xr:uid="{00000000-0005-0000-0000-000059440000}"/>
    <cellStyle name="계산 4" xfId="2252" xr:uid="{00000000-0005-0000-0000-00005A440000}"/>
    <cellStyle name="계산 4 10" xfId="18482" xr:uid="{00000000-0005-0000-0000-00005B440000}"/>
    <cellStyle name="계산 4 11" xfId="18483" xr:uid="{00000000-0005-0000-0000-00005C440000}"/>
    <cellStyle name="계산 4 12" xfId="18484" xr:uid="{00000000-0005-0000-0000-00005D440000}"/>
    <cellStyle name="계산 4 13" xfId="18485" xr:uid="{00000000-0005-0000-0000-00005E440000}"/>
    <cellStyle name="계산 4 14" xfId="18486" xr:uid="{00000000-0005-0000-0000-00005F440000}"/>
    <cellStyle name="계산 4 15" xfId="18481" xr:uid="{00000000-0005-0000-0000-000060440000}"/>
    <cellStyle name="계산 4 16" xfId="27876" xr:uid="{00000000-0005-0000-0000-000061440000}"/>
    <cellStyle name="계산 4 16 2" xfId="28279" xr:uid="{00000000-0005-0000-0000-000062440000}"/>
    <cellStyle name="계산 4 2" xfId="2253" xr:uid="{00000000-0005-0000-0000-000063440000}"/>
    <cellStyle name="계산 4 2 2" xfId="18487" xr:uid="{00000000-0005-0000-0000-000064440000}"/>
    <cellStyle name="계산 4 2 3" xfId="28235" xr:uid="{00000000-0005-0000-0000-000065440000}"/>
    <cellStyle name="계산 4 2 3 2" xfId="28299" xr:uid="{00000000-0005-0000-0000-000066440000}"/>
    <cellStyle name="계산 4 3" xfId="18488" xr:uid="{00000000-0005-0000-0000-000067440000}"/>
    <cellStyle name="계산 4 4" xfId="18489" xr:uid="{00000000-0005-0000-0000-000068440000}"/>
    <cellStyle name="계산 4 5" xfId="18490" xr:uid="{00000000-0005-0000-0000-000069440000}"/>
    <cellStyle name="계산 4 6" xfId="18491" xr:uid="{00000000-0005-0000-0000-00006A440000}"/>
    <cellStyle name="계산 4 7" xfId="18492" xr:uid="{00000000-0005-0000-0000-00006B440000}"/>
    <cellStyle name="계산 4 8" xfId="18493" xr:uid="{00000000-0005-0000-0000-00006C440000}"/>
    <cellStyle name="계산 4 9" xfId="18494" xr:uid="{00000000-0005-0000-0000-00006D440000}"/>
    <cellStyle name="계산 40" xfId="2254" xr:uid="{00000000-0005-0000-0000-00006E440000}"/>
    <cellStyle name="계산 40 10" xfId="18496" xr:uid="{00000000-0005-0000-0000-00006F440000}"/>
    <cellStyle name="계산 40 11" xfId="18497" xr:uid="{00000000-0005-0000-0000-000070440000}"/>
    <cellStyle name="계산 40 12" xfId="18498" xr:uid="{00000000-0005-0000-0000-000071440000}"/>
    <cellStyle name="계산 40 13" xfId="18499" xr:uid="{00000000-0005-0000-0000-000072440000}"/>
    <cellStyle name="계산 40 14" xfId="18500" xr:uid="{00000000-0005-0000-0000-000073440000}"/>
    <cellStyle name="계산 40 15" xfId="18495" xr:uid="{00000000-0005-0000-0000-000074440000}"/>
    <cellStyle name="계산 40 2" xfId="2255" xr:uid="{00000000-0005-0000-0000-000075440000}"/>
    <cellStyle name="계산 40 2 2" xfId="18501" xr:uid="{00000000-0005-0000-0000-000076440000}"/>
    <cellStyle name="계산 40 3" xfId="18502" xr:uid="{00000000-0005-0000-0000-000077440000}"/>
    <cellStyle name="계산 40 4" xfId="18503" xr:uid="{00000000-0005-0000-0000-000078440000}"/>
    <cellStyle name="계산 40 5" xfId="18504" xr:uid="{00000000-0005-0000-0000-000079440000}"/>
    <cellStyle name="계산 40 6" xfId="18505" xr:uid="{00000000-0005-0000-0000-00007A440000}"/>
    <cellStyle name="계산 40 7" xfId="18506" xr:uid="{00000000-0005-0000-0000-00007B440000}"/>
    <cellStyle name="계산 40 8" xfId="18507" xr:uid="{00000000-0005-0000-0000-00007C440000}"/>
    <cellStyle name="계산 40 9" xfId="18508" xr:uid="{00000000-0005-0000-0000-00007D440000}"/>
    <cellStyle name="계산 41" xfId="2256" xr:uid="{00000000-0005-0000-0000-00007E440000}"/>
    <cellStyle name="계산 41 10" xfId="18510" xr:uid="{00000000-0005-0000-0000-00007F440000}"/>
    <cellStyle name="계산 41 11" xfId="18511" xr:uid="{00000000-0005-0000-0000-000080440000}"/>
    <cellStyle name="계산 41 12" xfId="18512" xr:uid="{00000000-0005-0000-0000-000081440000}"/>
    <cellStyle name="계산 41 13" xfId="18513" xr:uid="{00000000-0005-0000-0000-000082440000}"/>
    <cellStyle name="계산 41 14" xfId="18514" xr:uid="{00000000-0005-0000-0000-000083440000}"/>
    <cellStyle name="계산 41 15" xfId="18509" xr:uid="{00000000-0005-0000-0000-000084440000}"/>
    <cellStyle name="계산 41 2" xfId="2257" xr:uid="{00000000-0005-0000-0000-000085440000}"/>
    <cellStyle name="계산 41 2 2" xfId="18515" xr:uid="{00000000-0005-0000-0000-000086440000}"/>
    <cellStyle name="계산 41 3" xfId="18516" xr:uid="{00000000-0005-0000-0000-000087440000}"/>
    <cellStyle name="계산 41 4" xfId="18517" xr:uid="{00000000-0005-0000-0000-000088440000}"/>
    <cellStyle name="계산 41 5" xfId="18518" xr:uid="{00000000-0005-0000-0000-000089440000}"/>
    <cellStyle name="계산 41 6" xfId="18519" xr:uid="{00000000-0005-0000-0000-00008A440000}"/>
    <cellStyle name="계산 41 7" xfId="18520" xr:uid="{00000000-0005-0000-0000-00008B440000}"/>
    <cellStyle name="계산 41 8" xfId="18521" xr:uid="{00000000-0005-0000-0000-00008C440000}"/>
    <cellStyle name="계산 41 9" xfId="18522" xr:uid="{00000000-0005-0000-0000-00008D440000}"/>
    <cellStyle name="계산 42" xfId="2258" xr:uid="{00000000-0005-0000-0000-00008E440000}"/>
    <cellStyle name="계산 42 10" xfId="18524" xr:uid="{00000000-0005-0000-0000-00008F440000}"/>
    <cellStyle name="계산 42 11" xfId="18525" xr:uid="{00000000-0005-0000-0000-000090440000}"/>
    <cellStyle name="계산 42 12" xfId="18526" xr:uid="{00000000-0005-0000-0000-000091440000}"/>
    <cellStyle name="계산 42 13" xfId="18527" xr:uid="{00000000-0005-0000-0000-000092440000}"/>
    <cellStyle name="계산 42 14" xfId="18528" xr:uid="{00000000-0005-0000-0000-000093440000}"/>
    <cellStyle name="계산 42 15" xfId="18523" xr:uid="{00000000-0005-0000-0000-000094440000}"/>
    <cellStyle name="계산 42 2" xfId="2259" xr:uid="{00000000-0005-0000-0000-000095440000}"/>
    <cellStyle name="계산 42 2 2" xfId="18529" xr:uid="{00000000-0005-0000-0000-000096440000}"/>
    <cellStyle name="계산 42 3" xfId="18530" xr:uid="{00000000-0005-0000-0000-000097440000}"/>
    <cellStyle name="계산 42 4" xfId="18531" xr:uid="{00000000-0005-0000-0000-000098440000}"/>
    <cellStyle name="계산 42 5" xfId="18532" xr:uid="{00000000-0005-0000-0000-000099440000}"/>
    <cellStyle name="계산 42 6" xfId="18533" xr:uid="{00000000-0005-0000-0000-00009A440000}"/>
    <cellStyle name="계산 42 7" xfId="18534" xr:uid="{00000000-0005-0000-0000-00009B440000}"/>
    <cellStyle name="계산 42 8" xfId="18535" xr:uid="{00000000-0005-0000-0000-00009C440000}"/>
    <cellStyle name="계산 42 9" xfId="18536" xr:uid="{00000000-0005-0000-0000-00009D440000}"/>
    <cellStyle name="계산 43" xfId="2260" xr:uid="{00000000-0005-0000-0000-00009E440000}"/>
    <cellStyle name="계산 43 10" xfId="18538" xr:uid="{00000000-0005-0000-0000-00009F440000}"/>
    <cellStyle name="계산 43 11" xfId="18539" xr:uid="{00000000-0005-0000-0000-0000A0440000}"/>
    <cellStyle name="계산 43 12" xfId="18540" xr:uid="{00000000-0005-0000-0000-0000A1440000}"/>
    <cellStyle name="계산 43 13" xfId="18541" xr:uid="{00000000-0005-0000-0000-0000A2440000}"/>
    <cellStyle name="계산 43 14" xfId="18542" xr:uid="{00000000-0005-0000-0000-0000A3440000}"/>
    <cellStyle name="계산 43 15" xfId="18537" xr:uid="{00000000-0005-0000-0000-0000A4440000}"/>
    <cellStyle name="계산 43 2" xfId="2261" xr:uid="{00000000-0005-0000-0000-0000A5440000}"/>
    <cellStyle name="계산 43 2 2" xfId="18543" xr:uid="{00000000-0005-0000-0000-0000A6440000}"/>
    <cellStyle name="계산 43 3" xfId="18544" xr:uid="{00000000-0005-0000-0000-0000A7440000}"/>
    <cellStyle name="계산 43 4" xfId="18545" xr:uid="{00000000-0005-0000-0000-0000A8440000}"/>
    <cellStyle name="계산 43 5" xfId="18546" xr:uid="{00000000-0005-0000-0000-0000A9440000}"/>
    <cellStyle name="계산 43 6" xfId="18547" xr:uid="{00000000-0005-0000-0000-0000AA440000}"/>
    <cellStyle name="계산 43 7" xfId="18548" xr:uid="{00000000-0005-0000-0000-0000AB440000}"/>
    <cellStyle name="계산 43 8" xfId="18549" xr:uid="{00000000-0005-0000-0000-0000AC440000}"/>
    <cellStyle name="계산 43 9" xfId="18550" xr:uid="{00000000-0005-0000-0000-0000AD440000}"/>
    <cellStyle name="계산 44" xfId="2262" xr:uid="{00000000-0005-0000-0000-0000AE440000}"/>
    <cellStyle name="계산 44 2" xfId="18551" xr:uid="{00000000-0005-0000-0000-0000AF440000}"/>
    <cellStyle name="계산 45" xfId="2263" xr:uid="{00000000-0005-0000-0000-0000B0440000}"/>
    <cellStyle name="계산 45 2" xfId="18552" xr:uid="{00000000-0005-0000-0000-0000B1440000}"/>
    <cellStyle name="계산 46" xfId="2187" xr:uid="{00000000-0005-0000-0000-0000B2440000}"/>
    <cellStyle name="계산 47" xfId="18032" xr:uid="{00000000-0005-0000-0000-0000B3440000}"/>
    <cellStyle name="계산 48" xfId="27629" xr:uid="{00000000-0005-0000-0000-0000B4440000}"/>
    <cellStyle name="계산 5" xfId="2264" xr:uid="{00000000-0005-0000-0000-0000B5440000}"/>
    <cellStyle name="계산 5 10" xfId="18554" xr:uid="{00000000-0005-0000-0000-0000B6440000}"/>
    <cellStyle name="계산 5 11" xfId="18555" xr:uid="{00000000-0005-0000-0000-0000B7440000}"/>
    <cellStyle name="계산 5 12" xfId="18556" xr:uid="{00000000-0005-0000-0000-0000B8440000}"/>
    <cellStyle name="계산 5 13" xfId="18557" xr:uid="{00000000-0005-0000-0000-0000B9440000}"/>
    <cellStyle name="계산 5 14" xfId="18558" xr:uid="{00000000-0005-0000-0000-0000BA440000}"/>
    <cellStyle name="계산 5 15" xfId="18553" xr:uid="{00000000-0005-0000-0000-0000BB440000}"/>
    <cellStyle name="계산 5 2" xfId="2265" xr:uid="{00000000-0005-0000-0000-0000BC440000}"/>
    <cellStyle name="계산 5 2 2" xfId="18559" xr:uid="{00000000-0005-0000-0000-0000BD440000}"/>
    <cellStyle name="계산 5 3" xfId="18560" xr:uid="{00000000-0005-0000-0000-0000BE440000}"/>
    <cellStyle name="계산 5 4" xfId="18561" xr:uid="{00000000-0005-0000-0000-0000BF440000}"/>
    <cellStyle name="계산 5 5" xfId="18562" xr:uid="{00000000-0005-0000-0000-0000C0440000}"/>
    <cellStyle name="계산 5 6" xfId="18563" xr:uid="{00000000-0005-0000-0000-0000C1440000}"/>
    <cellStyle name="계산 5 7" xfId="18564" xr:uid="{00000000-0005-0000-0000-0000C2440000}"/>
    <cellStyle name="계산 5 8" xfId="18565" xr:uid="{00000000-0005-0000-0000-0000C3440000}"/>
    <cellStyle name="계산 5 9" xfId="18566" xr:uid="{00000000-0005-0000-0000-0000C4440000}"/>
    <cellStyle name="계산 6" xfId="2266" xr:uid="{00000000-0005-0000-0000-0000C5440000}"/>
    <cellStyle name="계산 6 10" xfId="18568" xr:uid="{00000000-0005-0000-0000-0000C6440000}"/>
    <cellStyle name="계산 6 11" xfId="18569" xr:uid="{00000000-0005-0000-0000-0000C7440000}"/>
    <cellStyle name="계산 6 12" xfId="18570" xr:uid="{00000000-0005-0000-0000-0000C8440000}"/>
    <cellStyle name="계산 6 13" xfId="18571" xr:uid="{00000000-0005-0000-0000-0000C9440000}"/>
    <cellStyle name="계산 6 14" xfId="18572" xr:uid="{00000000-0005-0000-0000-0000CA440000}"/>
    <cellStyle name="계산 6 15" xfId="18567" xr:uid="{00000000-0005-0000-0000-0000CB440000}"/>
    <cellStyle name="계산 6 2" xfId="2267" xr:uid="{00000000-0005-0000-0000-0000CC440000}"/>
    <cellStyle name="계산 6 2 2" xfId="18573" xr:uid="{00000000-0005-0000-0000-0000CD440000}"/>
    <cellStyle name="계산 6 3" xfId="18574" xr:uid="{00000000-0005-0000-0000-0000CE440000}"/>
    <cellStyle name="계산 6 4" xfId="18575" xr:uid="{00000000-0005-0000-0000-0000CF440000}"/>
    <cellStyle name="계산 6 5" xfId="18576" xr:uid="{00000000-0005-0000-0000-0000D0440000}"/>
    <cellStyle name="계산 6 6" xfId="18577" xr:uid="{00000000-0005-0000-0000-0000D1440000}"/>
    <cellStyle name="계산 6 7" xfId="18578" xr:uid="{00000000-0005-0000-0000-0000D2440000}"/>
    <cellStyle name="계산 6 8" xfId="18579" xr:uid="{00000000-0005-0000-0000-0000D3440000}"/>
    <cellStyle name="계산 6 9" xfId="18580" xr:uid="{00000000-0005-0000-0000-0000D4440000}"/>
    <cellStyle name="계산 7" xfId="2268" xr:uid="{00000000-0005-0000-0000-0000D5440000}"/>
    <cellStyle name="계산 7 10" xfId="18582" xr:uid="{00000000-0005-0000-0000-0000D6440000}"/>
    <cellStyle name="계산 7 11" xfId="18583" xr:uid="{00000000-0005-0000-0000-0000D7440000}"/>
    <cellStyle name="계산 7 12" xfId="18584" xr:uid="{00000000-0005-0000-0000-0000D8440000}"/>
    <cellStyle name="계산 7 13" xfId="18585" xr:uid="{00000000-0005-0000-0000-0000D9440000}"/>
    <cellStyle name="계산 7 14" xfId="18586" xr:uid="{00000000-0005-0000-0000-0000DA440000}"/>
    <cellStyle name="계산 7 15" xfId="18581" xr:uid="{00000000-0005-0000-0000-0000DB440000}"/>
    <cellStyle name="계산 7 2" xfId="2269" xr:uid="{00000000-0005-0000-0000-0000DC440000}"/>
    <cellStyle name="계산 7 2 2" xfId="18587" xr:uid="{00000000-0005-0000-0000-0000DD440000}"/>
    <cellStyle name="계산 7 3" xfId="18588" xr:uid="{00000000-0005-0000-0000-0000DE440000}"/>
    <cellStyle name="계산 7 4" xfId="18589" xr:uid="{00000000-0005-0000-0000-0000DF440000}"/>
    <cellStyle name="계산 7 5" xfId="18590" xr:uid="{00000000-0005-0000-0000-0000E0440000}"/>
    <cellStyle name="계산 7 6" xfId="18591" xr:uid="{00000000-0005-0000-0000-0000E1440000}"/>
    <cellStyle name="계산 7 7" xfId="18592" xr:uid="{00000000-0005-0000-0000-0000E2440000}"/>
    <cellStyle name="계산 7 8" xfId="18593" xr:uid="{00000000-0005-0000-0000-0000E3440000}"/>
    <cellStyle name="계산 7 9" xfId="18594" xr:uid="{00000000-0005-0000-0000-0000E4440000}"/>
    <cellStyle name="계산 8" xfId="2270" xr:uid="{00000000-0005-0000-0000-0000E5440000}"/>
    <cellStyle name="계산 8 10" xfId="18596" xr:uid="{00000000-0005-0000-0000-0000E6440000}"/>
    <cellStyle name="계산 8 11" xfId="18597" xr:uid="{00000000-0005-0000-0000-0000E7440000}"/>
    <cellStyle name="계산 8 12" xfId="18598" xr:uid="{00000000-0005-0000-0000-0000E8440000}"/>
    <cellStyle name="계산 8 13" xfId="18599" xr:uid="{00000000-0005-0000-0000-0000E9440000}"/>
    <cellStyle name="계산 8 14" xfId="18600" xr:uid="{00000000-0005-0000-0000-0000EA440000}"/>
    <cellStyle name="계산 8 15" xfId="18595" xr:uid="{00000000-0005-0000-0000-0000EB440000}"/>
    <cellStyle name="계산 8 2" xfId="2271" xr:uid="{00000000-0005-0000-0000-0000EC440000}"/>
    <cellStyle name="계산 8 2 2" xfId="18601" xr:uid="{00000000-0005-0000-0000-0000ED440000}"/>
    <cellStyle name="계산 8 3" xfId="18602" xr:uid="{00000000-0005-0000-0000-0000EE440000}"/>
    <cellStyle name="계산 8 4" xfId="18603" xr:uid="{00000000-0005-0000-0000-0000EF440000}"/>
    <cellStyle name="계산 8 5" xfId="18604" xr:uid="{00000000-0005-0000-0000-0000F0440000}"/>
    <cellStyle name="계산 8 6" xfId="18605" xr:uid="{00000000-0005-0000-0000-0000F1440000}"/>
    <cellStyle name="계산 8 7" xfId="18606" xr:uid="{00000000-0005-0000-0000-0000F2440000}"/>
    <cellStyle name="계산 8 8" xfId="18607" xr:uid="{00000000-0005-0000-0000-0000F3440000}"/>
    <cellStyle name="계산 8 9" xfId="18608" xr:uid="{00000000-0005-0000-0000-0000F4440000}"/>
    <cellStyle name="계산 9" xfId="2272" xr:uid="{00000000-0005-0000-0000-0000F5440000}"/>
    <cellStyle name="계산 9 10" xfId="18610" xr:uid="{00000000-0005-0000-0000-0000F6440000}"/>
    <cellStyle name="계산 9 11" xfId="18611" xr:uid="{00000000-0005-0000-0000-0000F7440000}"/>
    <cellStyle name="계산 9 12" xfId="18612" xr:uid="{00000000-0005-0000-0000-0000F8440000}"/>
    <cellStyle name="계산 9 13" xfId="18613" xr:uid="{00000000-0005-0000-0000-0000F9440000}"/>
    <cellStyle name="계산 9 14" xfId="18614" xr:uid="{00000000-0005-0000-0000-0000FA440000}"/>
    <cellStyle name="계산 9 15" xfId="18609" xr:uid="{00000000-0005-0000-0000-0000FB440000}"/>
    <cellStyle name="계산 9 2" xfId="2273" xr:uid="{00000000-0005-0000-0000-0000FC440000}"/>
    <cellStyle name="계산 9 2 2" xfId="18615" xr:uid="{00000000-0005-0000-0000-0000FD440000}"/>
    <cellStyle name="계산 9 3" xfId="18616" xr:uid="{00000000-0005-0000-0000-0000FE440000}"/>
    <cellStyle name="계산 9 4" xfId="18617" xr:uid="{00000000-0005-0000-0000-0000FF440000}"/>
    <cellStyle name="계산 9 5" xfId="18618" xr:uid="{00000000-0005-0000-0000-000000450000}"/>
    <cellStyle name="계산 9 6" xfId="18619" xr:uid="{00000000-0005-0000-0000-000001450000}"/>
    <cellStyle name="계산 9 7" xfId="18620" xr:uid="{00000000-0005-0000-0000-000002450000}"/>
    <cellStyle name="계산 9 8" xfId="18621" xr:uid="{00000000-0005-0000-0000-000003450000}"/>
    <cellStyle name="계산 9 9" xfId="18622" xr:uid="{00000000-0005-0000-0000-000004450000}"/>
    <cellStyle name="길수" xfId="27959" xr:uid="{00000000-0005-0000-0000-000005450000}"/>
    <cellStyle name="나쁨 10" xfId="2275" xr:uid="{00000000-0005-0000-0000-000006450000}"/>
    <cellStyle name="나쁨 10 10" xfId="18625" xr:uid="{00000000-0005-0000-0000-000007450000}"/>
    <cellStyle name="나쁨 10 11" xfId="18626" xr:uid="{00000000-0005-0000-0000-000008450000}"/>
    <cellStyle name="나쁨 10 12" xfId="18627" xr:uid="{00000000-0005-0000-0000-000009450000}"/>
    <cellStyle name="나쁨 10 13" xfId="18628" xr:uid="{00000000-0005-0000-0000-00000A450000}"/>
    <cellStyle name="나쁨 10 14" xfId="18629" xr:uid="{00000000-0005-0000-0000-00000B450000}"/>
    <cellStyle name="나쁨 10 15" xfId="18624" xr:uid="{00000000-0005-0000-0000-00000C450000}"/>
    <cellStyle name="나쁨 10 2" xfId="2276" xr:uid="{00000000-0005-0000-0000-00000D450000}"/>
    <cellStyle name="나쁨 10 2 2" xfId="18630" xr:uid="{00000000-0005-0000-0000-00000E450000}"/>
    <cellStyle name="나쁨 10 3" xfId="18631" xr:uid="{00000000-0005-0000-0000-00000F450000}"/>
    <cellStyle name="나쁨 10 4" xfId="18632" xr:uid="{00000000-0005-0000-0000-000010450000}"/>
    <cellStyle name="나쁨 10 5" xfId="18633" xr:uid="{00000000-0005-0000-0000-000011450000}"/>
    <cellStyle name="나쁨 10 6" xfId="18634" xr:uid="{00000000-0005-0000-0000-000012450000}"/>
    <cellStyle name="나쁨 10 7" xfId="18635" xr:uid="{00000000-0005-0000-0000-000013450000}"/>
    <cellStyle name="나쁨 10 8" xfId="18636" xr:uid="{00000000-0005-0000-0000-000014450000}"/>
    <cellStyle name="나쁨 10 9" xfId="18637" xr:uid="{00000000-0005-0000-0000-000015450000}"/>
    <cellStyle name="나쁨 11" xfId="2277" xr:uid="{00000000-0005-0000-0000-000016450000}"/>
    <cellStyle name="나쁨 11 10" xfId="18639" xr:uid="{00000000-0005-0000-0000-000017450000}"/>
    <cellStyle name="나쁨 11 11" xfId="18640" xr:uid="{00000000-0005-0000-0000-000018450000}"/>
    <cellStyle name="나쁨 11 12" xfId="18641" xr:uid="{00000000-0005-0000-0000-000019450000}"/>
    <cellStyle name="나쁨 11 13" xfId="18642" xr:uid="{00000000-0005-0000-0000-00001A450000}"/>
    <cellStyle name="나쁨 11 14" xfId="18643" xr:uid="{00000000-0005-0000-0000-00001B450000}"/>
    <cellStyle name="나쁨 11 15" xfId="18638" xr:uid="{00000000-0005-0000-0000-00001C450000}"/>
    <cellStyle name="나쁨 11 2" xfId="2278" xr:uid="{00000000-0005-0000-0000-00001D450000}"/>
    <cellStyle name="나쁨 11 2 2" xfId="18644" xr:uid="{00000000-0005-0000-0000-00001E450000}"/>
    <cellStyle name="나쁨 11 3" xfId="18645" xr:uid="{00000000-0005-0000-0000-00001F450000}"/>
    <cellStyle name="나쁨 11 4" xfId="18646" xr:uid="{00000000-0005-0000-0000-000020450000}"/>
    <cellStyle name="나쁨 11 5" xfId="18647" xr:uid="{00000000-0005-0000-0000-000021450000}"/>
    <cellStyle name="나쁨 11 6" xfId="18648" xr:uid="{00000000-0005-0000-0000-000022450000}"/>
    <cellStyle name="나쁨 11 7" xfId="18649" xr:uid="{00000000-0005-0000-0000-000023450000}"/>
    <cellStyle name="나쁨 11 8" xfId="18650" xr:uid="{00000000-0005-0000-0000-000024450000}"/>
    <cellStyle name="나쁨 11 9" xfId="18651" xr:uid="{00000000-0005-0000-0000-000025450000}"/>
    <cellStyle name="나쁨 12" xfId="2279" xr:uid="{00000000-0005-0000-0000-000026450000}"/>
    <cellStyle name="나쁨 12 10" xfId="18653" xr:uid="{00000000-0005-0000-0000-000027450000}"/>
    <cellStyle name="나쁨 12 11" xfId="18654" xr:uid="{00000000-0005-0000-0000-000028450000}"/>
    <cellStyle name="나쁨 12 12" xfId="18655" xr:uid="{00000000-0005-0000-0000-000029450000}"/>
    <cellStyle name="나쁨 12 13" xfId="18656" xr:uid="{00000000-0005-0000-0000-00002A450000}"/>
    <cellStyle name="나쁨 12 14" xfId="18657" xr:uid="{00000000-0005-0000-0000-00002B450000}"/>
    <cellStyle name="나쁨 12 15" xfId="18652" xr:uid="{00000000-0005-0000-0000-00002C450000}"/>
    <cellStyle name="나쁨 12 2" xfId="2280" xr:uid="{00000000-0005-0000-0000-00002D450000}"/>
    <cellStyle name="나쁨 12 2 2" xfId="18658" xr:uid="{00000000-0005-0000-0000-00002E450000}"/>
    <cellStyle name="나쁨 12 3" xfId="18659" xr:uid="{00000000-0005-0000-0000-00002F450000}"/>
    <cellStyle name="나쁨 12 4" xfId="18660" xr:uid="{00000000-0005-0000-0000-000030450000}"/>
    <cellStyle name="나쁨 12 5" xfId="18661" xr:uid="{00000000-0005-0000-0000-000031450000}"/>
    <cellStyle name="나쁨 12 6" xfId="18662" xr:uid="{00000000-0005-0000-0000-000032450000}"/>
    <cellStyle name="나쁨 12 7" xfId="18663" xr:uid="{00000000-0005-0000-0000-000033450000}"/>
    <cellStyle name="나쁨 12 8" xfId="18664" xr:uid="{00000000-0005-0000-0000-000034450000}"/>
    <cellStyle name="나쁨 12 9" xfId="18665" xr:uid="{00000000-0005-0000-0000-000035450000}"/>
    <cellStyle name="나쁨 13" xfId="2281" xr:uid="{00000000-0005-0000-0000-000036450000}"/>
    <cellStyle name="나쁨 13 10" xfId="18667" xr:uid="{00000000-0005-0000-0000-000037450000}"/>
    <cellStyle name="나쁨 13 11" xfId="18668" xr:uid="{00000000-0005-0000-0000-000038450000}"/>
    <cellStyle name="나쁨 13 12" xfId="18669" xr:uid="{00000000-0005-0000-0000-000039450000}"/>
    <cellStyle name="나쁨 13 13" xfId="18670" xr:uid="{00000000-0005-0000-0000-00003A450000}"/>
    <cellStyle name="나쁨 13 14" xfId="18671" xr:uid="{00000000-0005-0000-0000-00003B450000}"/>
    <cellStyle name="나쁨 13 15" xfId="18666" xr:uid="{00000000-0005-0000-0000-00003C450000}"/>
    <cellStyle name="나쁨 13 2" xfId="2282" xr:uid="{00000000-0005-0000-0000-00003D450000}"/>
    <cellStyle name="나쁨 13 2 2" xfId="18672" xr:uid="{00000000-0005-0000-0000-00003E450000}"/>
    <cellStyle name="나쁨 13 3" xfId="18673" xr:uid="{00000000-0005-0000-0000-00003F450000}"/>
    <cellStyle name="나쁨 13 4" xfId="18674" xr:uid="{00000000-0005-0000-0000-000040450000}"/>
    <cellStyle name="나쁨 13 5" xfId="18675" xr:uid="{00000000-0005-0000-0000-000041450000}"/>
    <cellStyle name="나쁨 13 6" xfId="18676" xr:uid="{00000000-0005-0000-0000-000042450000}"/>
    <cellStyle name="나쁨 13 7" xfId="18677" xr:uid="{00000000-0005-0000-0000-000043450000}"/>
    <cellStyle name="나쁨 13 8" xfId="18678" xr:uid="{00000000-0005-0000-0000-000044450000}"/>
    <cellStyle name="나쁨 13 9" xfId="18679" xr:uid="{00000000-0005-0000-0000-000045450000}"/>
    <cellStyle name="나쁨 14" xfId="2283" xr:uid="{00000000-0005-0000-0000-000046450000}"/>
    <cellStyle name="나쁨 14 10" xfId="18681" xr:uid="{00000000-0005-0000-0000-000047450000}"/>
    <cellStyle name="나쁨 14 11" xfId="18682" xr:uid="{00000000-0005-0000-0000-000048450000}"/>
    <cellStyle name="나쁨 14 12" xfId="18683" xr:uid="{00000000-0005-0000-0000-000049450000}"/>
    <cellStyle name="나쁨 14 13" xfId="18684" xr:uid="{00000000-0005-0000-0000-00004A450000}"/>
    <cellStyle name="나쁨 14 14" xfId="18685" xr:uid="{00000000-0005-0000-0000-00004B450000}"/>
    <cellStyle name="나쁨 14 15" xfId="18680" xr:uid="{00000000-0005-0000-0000-00004C450000}"/>
    <cellStyle name="나쁨 14 2" xfId="2284" xr:uid="{00000000-0005-0000-0000-00004D450000}"/>
    <cellStyle name="나쁨 14 2 2" xfId="18686" xr:uid="{00000000-0005-0000-0000-00004E450000}"/>
    <cellStyle name="나쁨 14 3" xfId="18687" xr:uid="{00000000-0005-0000-0000-00004F450000}"/>
    <cellStyle name="나쁨 14 4" xfId="18688" xr:uid="{00000000-0005-0000-0000-000050450000}"/>
    <cellStyle name="나쁨 14 5" xfId="18689" xr:uid="{00000000-0005-0000-0000-000051450000}"/>
    <cellStyle name="나쁨 14 6" xfId="18690" xr:uid="{00000000-0005-0000-0000-000052450000}"/>
    <cellStyle name="나쁨 14 7" xfId="18691" xr:uid="{00000000-0005-0000-0000-000053450000}"/>
    <cellStyle name="나쁨 14 8" xfId="18692" xr:uid="{00000000-0005-0000-0000-000054450000}"/>
    <cellStyle name="나쁨 14 9" xfId="18693" xr:uid="{00000000-0005-0000-0000-000055450000}"/>
    <cellStyle name="나쁨 15" xfId="2285" xr:uid="{00000000-0005-0000-0000-000056450000}"/>
    <cellStyle name="나쁨 15 10" xfId="18695" xr:uid="{00000000-0005-0000-0000-000057450000}"/>
    <cellStyle name="나쁨 15 11" xfId="18696" xr:uid="{00000000-0005-0000-0000-000058450000}"/>
    <cellStyle name="나쁨 15 12" xfId="18697" xr:uid="{00000000-0005-0000-0000-000059450000}"/>
    <cellStyle name="나쁨 15 13" xfId="18698" xr:uid="{00000000-0005-0000-0000-00005A450000}"/>
    <cellStyle name="나쁨 15 14" xfId="18699" xr:uid="{00000000-0005-0000-0000-00005B450000}"/>
    <cellStyle name="나쁨 15 15" xfId="18694" xr:uid="{00000000-0005-0000-0000-00005C450000}"/>
    <cellStyle name="나쁨 15 2" xfId="2286" xr:uid="{00000000-0005-0000-0000-00005D450000}"/>
    <cellStyle name="나쁨 15 2 2" xfId="18700" xr:uid="{00000000-0005-0000-0000-00005E450000}"/>
    <cellStyle name="나쁨 15 3" xfId="18701" xr:uid="{00000000-0005-0000-0000-00005F450000}"/>
    <cellStyle name="나쁨 15 4" xfId="18702" xr:uid="{00000000-0005-0000-0000-000060450000}"/>
    <cellStyle name="나쁨 15 5" xfId="18703" xr:uid="{00000000-0005-0000-0000-000061450000}"/>
    <cellStyle name="나쁨 15 6" xfId="18704" xr:uid="{00000000-0005-0000-0000-000062450000}"/>
    <cellStyle name="나쁨 15 7" xfId="18705" xr:uid="{00000000-0005-0000-0000-000063450000}"/>
    <cellStyle name="나쁨 15 8" xfId="18706" xr:uid="{00000000-0005-0000-0000-000064450000}"/>
    <cellStyle name="나쁨 15 9" xfId="18707" xr:uid="{00000000-0005-0000-0000-000065450000}"/>
    <cellStyle name="나쁨 16" xfId="2287" xr:uid="{00000000-0005-0000-0000-000066450000}"/>
    <cellStyle name="나쁨 16 10" xfId="18709" xr:uid="{00000000-0005-0000-0000-000067450000}"/>
    <cellStyle name="나쁨 16 11" xfId="18710" xr:uid="{00000000-0005-0000-0000-000068450000}"/>
    <cellStyle name="나쁨 16 12" xfId="18711" xr:uid="{00000000-0005-0000-0000-000069450000}"/>
    <cellStyle name="나쁨 16 13" xfId="18712" xr:uid="{00000000-0005-0000-0000-00006A450000}"/>
    <cellStyle name="나쁨 16 14" xfId="18713" xr:uid="{00000000-0005-0000-0000-00006B450000}"/>
    <cellStyle name="나쁨 16 15" xfId="18708" xr:uid="{00000000-0005-0000-0000-00006C450000}"/>
    <cellStyle name="나쁨 16 2" xfId="2288" xr:uid="{00000000-0005-0000-0000-00006D450000}"/>
    <cellStyle name="나쁨 16 2 2" xfId="18714" xr:uid="{00000000-0005-0000-0000-00006E450000}"/>
    <cellStyle name="나쁨 16 3" xfId="18715" xr:uid="{00000000-0005-0000-0000-00006F450000}"/>
    <cellStyle name="나쁨 16 4" xfId="18716" xr:uid="{00000000-0005-0000-0000-000070450000}"/>
    <cellStyle name="나쁨 16 5" xfId="18717" xr:uid="{00000000-0005-0000-0000-000071450000}"/>
    <cellStyle name="나쁨 16 6" xfId="18718" xr:uid="{00000000-0005-0000-0000-000072450000}"/>
    <cellStyle name="나쁨 16 7" xfId="18719" xr:uid="{00000000-0005-0000-0000-000073450000}"/>
    <cellStyle name="나쁨 16 8" xfId="18720" xr:uid="{00000000-0005-0000-0000-000074450000}"/>
    <cellStyle name="나쁨 16 9" xfId="18721" xr:uid="{00000000-0005-0000-0000-000075450000}"/>
    <cellStyle name="나쁨 17" xfId="2289" xr:uid="{00000000-0005-0000-0000-000076450000}"/>
    <cellStyle name="나쁨 17 10" xfId="18723" xr:uid="{00000000-0005-0000-0000-000077450000}"/>
    <cellStyle name="나쁨 17 11" xfId="18724" xr:uid="{00000000-0005-0000-0000-000078450000}"/>
    <cellStyle name="나쁨 17 12" xfId="18725" xr:uid="{00000000-0005-0000-0000-000079450000}"/>
    <cellStyle name="나쁨 17 13" xfId="18726" xr:uid="{00000000-0005-0000-0000-00007A450000}"/>
    <cellStyle name="나쁨 17 14" xfId="18727" xr:uid="{00000000-0005-0000-0000-00007B450000}"/>
    <cellStyle name="나쁨 17 15" xfId="18722" xr:uid="{00000000-0005-0000-0000-00007C450000}"/>
    <cellStyle name="나쁨 17 2" xfId="2290" xr:uid="{00000000-0005-0000-0000-00007D450000}"/>
    <cellStyle name="나쁨 17 2 2" xfId="18728" xr:uid="{00000000-0005-0000-0000-00007E450000}"/>
    <cellStyle name="나쁨 17 3" xfId="18729" xr:uid="{00000000-0005-0000-0000-00007F450000}"/>
    <cellStyle name="나쁨 17 4" xfId="18730" xr:uid="{00000000-0005-0000-0000-000080450000}"/>
    <cellStyle name="나쁨 17 5" xfId="18731" xr:uid="{00000000-0005-0000-0000-000081450000}"/>
    <cellStyle name="나쁨 17 6" xfId="18732" xr:uid="{00000000-0005-0000-0000-000082450000}"/>
    <cellStyle name="나쁨 17 7" xfId="18733" xr:uid="{00000000-0005-0000-0000-000083450000}"/>
    <cellStyle name="나쁨 17 8" xfId="18734" xr:uid="{00000000-0005-0000-0000-000084450000}"/>
    <cellStyle name="나쁨 17 9" xfId="18735" xr:uid="{00000000-0005-0000-0000-000085450000}"/>
    <cellStyle name="나쁨 18" xfId="2291" xr:uid="{00000000-0005-0000-0000-000086450000}"/>
    <cellStyle name="나쁨 18 10" xfId="18737" xr:uid="{00000000-0005-0000-0000-000087450000}"/>
    <cellStyle name="나쁨 18 11" xfId="18738" xr:uid="{00000000-0005-0000-0000-000088450000}"/>
    <cellStyle name="나쁨 18 12" xfId="18739" xr:uid="{00000000-0005-0000-0000-000089450000}"/>
    <cellStyle name="나쁨 18 13" xfId="18740" xr:uid="{00000000-0005-0000-0000-00008A450000}"/>
    <cellStyle name="나쁨 18 14" xfId="18741" xr:uid="{00000000-0005-0000-0000-00008B450000}"/>
    <cellStyle name="나쁨 18 15" xfId="18736" xr:uid="{00000000-0005-0000-0000-00008C450000}"/>
    <cellStyle name="나쁨 18 2" xfId="2292" xr:uid="{00000000-0005-0000-0000-00008D450000}"/>
    <cellStyle name="나쁨 18 2 2" xfId="18742" xr:uid="{00000000-0005-0000-0000-00008E450000}"/>
    <cellStyle name="나쁨 18 3" xfId="18743" xr:uid="{00000000-0005-0000-0000-00008F450000}"/>
    <cellStyle name="나쁨 18 4" xfId="18744" xr:uid="{00000000-0005-0000-0000-000090450000}"/>
    <cellStyle name="나쁨 18 5" xfId="18745" xr:uid="{00000000-0005-0000-0000-000091450000}"/>
    <cellStyle name="나쁨 18 6" xfId="18746" xr:uid="{00000000-0005-0000-0000-000092450000}"/>
    <cellStyle name="나쁨 18 7" xfId="18747" xr:uid="{00000000-0005-0000-0000-000093450000}"/>
    <cellStyle name="나쁨 18 8" xfId="18748" xr:uid="{00000000-0005-0000-0000-000094450000}"/>
    <cellStyle name="나쁨 18 9" xfId="18749" xr:uid="{00000000-0005-0000-0000-000095450000}"/>
    <cellStyle name="나쁨 19" xfId="2293" xr:uid="{00000000-0005-0000-0000-000096450000}"/>
    <cellStyle name="나쁨 19 10" xfId="18751" xr:uid="{00000000-0005-0000-0000-000097450000}"/>
    <cellStyle name="나쁨 19 11" xfId="18752" xr:uid="{00000000-0005-0000-0000-000098450000}"/>
    <cellStyle name="나쁨 19 12" xfId="18753" xr:uid="{00000000-0005-0000-0000-000099450000}"/>
    <cellStyle name="나쁨 19 13" xfId="18754" xr:uid="{00000000-0005-0000-0000-00009A450000}"/>
    <cellStyle name="나쁨 19 14" xfId="18755" xr:uid="{00000000-0005-0000-0000-00009B450000}"/>
    <cellStyle name="나쁨 19 15" xfId="18750" xr:uid="{00000000-0005-0000-0000-00009C450000}"/>
    <cellStyle name="나쁨 19 2" xfId="2294" xr:uid="{00000000-0005-0000-0000-00009D450000}"/>
    <cellStyle name="나쁨 19 2 2" xfId="18756" xr:uid="{00000000-0005-0000-0000-00009E450000}"/>
    <cellStyle name="나쁨 19 3" xfId="18757" xr:uid="{00000000-0005-0000-0000-00009F450000}"/>
    <cellStyle name="나쁨 19 4" xfId="18758" xr:uid="{00000000-0005-0000-0000-0000A0450000}"/>
    <cellStyle name="나쁨 19 5" xfId="18759" xr:uid="{00000000-0005-0000-0000-0000A1450000}"/>
    <cellStyle name="나쁨 19 6" xfId="18760" xr:uid="{00000000-0005-0000-0000-0000A2450000}"/>
    <cellStyle name="나쁨 19 7" xfId="18761" xr:uid="{00000000-0005-0000-0000-0000A3450000}"/>
    <cellStyle name="나쁨 19 8" xfId="18762" xr:uid="{00000000-0005-0000-0000-0000A4450000}"/>
    <cellStyle name="나쁨 19 9" xfId="18763" xr:uid="{00000000-0005-0000-0000-0000A5450000}"/>
    <cellStyle name="나쁨 2" xfId="2295" xr:uid="{00000000-0005-0000-0000-0000A6450000}"/>
    <cellStyle name="나쁨 2 10" xfId="18765" xr:uid="{00000000-0005-0000-0000-0000A7450000}"/>
    <cellStyle name="나쁨 2 11" xfId="18766" xr:uid="{00000000-0005-0000-0000-0000A8450000}"/>
    <cellStyle name="나쁨 2 12" xfId="18767" xr:uid="{00000000-0005-0000-0000-0000A9450000}"/>
    <cellStyle name="나쁨 2 13" xfId="18768" xr:uid="{00000000-0005-0000-0000-0000AA450000}"/>
    <cellStyle name="나쁨 2 14" xfId="18769" xr:uid="{00000000-0005-0000-0000-0000AB450000}"/>
    <cellStyle name="나쁨 2 15" xfId="18764" xr:uid="{00000000-0005-0000-0000-0000AC450000}"/>
    <cellStyle name="나쁨 2 16" xfId="27960" xr:uid="{00000000-0005-0000-0000-0000AD450000}"/>
    <cellStyle name="나쁨 2 2" xfId="2296" xr:uid="{00000000-0005-0000-0000-0000AE450000}"/>
    <cellStyle name="나쁨 2 2 2" xfId="18770" xr:uid="{00000000-0005-0000-0000-0000AF450000}"/>
    <cellStyle name="나쁨 2 3" xfId="18771" xr:uid="{00000000-0005-0000-0000-0000B0450000}"/>
    <cellStyle name="나쁨 2 4" xfId="18772" xr:uid="{00000000-0005-0000-0000-0000B1450000}"/>
    <cellStyle name="나쁨 2 5" xfId="18773" xr:uid="{00000000-0005-0000-0000-0000B2450000}"/>
    <cellStyle name="나쁨 2 6" xfId="18774" xr:uid="{00000000-0005-0000-0000-0000B3450000}"/>
    <cellStyle name="나쁨 2 7" xfId="18775" xr:uid="{00000000-0005-0000-0000-0000B4450000}"/>
    <cellStyle name="나쁨 2 8" xfId="18776" xr:uid="{00000000-0005-0000-0000-0000B5450000}"/>
    <cellStyle name="나쁨 2 9" xfId="18777" xr:uid="{00000000-0005-0000-0000-0000B6450000}"/>
    <cellStyle name="나쁨 20" xfId="2297" xr:uid="{00000000-0005-0000-0000-0000B7450000}"/>
    <cellStyle name="나쁨 20 10" xfId="18779" xr:uid="{00000000-0005-0000-0000-0000B8450000}"/>
    <cellStyle name="나쁨 20 11" xfId="18780" xr:uid="{00000000-0005-0000-0000-0000B9450000}"/>
    <cellStyle name="나쁨 20 12" xfId="18781" xr:uid="{00000000-0005-0000-0000-0000BA450000}"/>
    <cellStyle name="나쁨 20 13" xfId="18782" xr:uid="{00000000-0005-0000-0000-0000BB450000}"/>
    <cellStyle name="나쁨 20 14" xfId="18783" xr:uid="{00000000-0005-0000-0000-0000BC450000}"/>
    <cellStyle name="나쁨 20 15" xfId="18778" xr:uid="{00000000-0005-0000-0000-0000BD450000}"/>
    <cellStyle name="나쁨 20 2" xfId="2298" xr:uid="{00000000-0005-0000-0000-0000BE450000}"/>
    <cellStyle name="나쁨 20 2 2" xfId="18784" xr:uid="{00000000-0005-0000-0000-0000BF450000}"/>
    <cellStyle name="나쁨 20 3" xfId="18785" xr:uid="{00000000-0005-0000-0000-0000C0450000}"/>
    <cellStyle name="나쁨 20 4" xfId="18786" xr:uid="{00000000-0005-0000-0000-0000C1450000}"/>
    <cellStyle name="나쁨 20 5" xfId="18787" xr:uid="{00000000-0005-0000-0000-0000C2450000}"/>
    <cellStyle name="나쁨 20 6" xfId="18788" xr:uid="{00000000-0005-0000-0000-0000C3450000}"/>
    <cellStyle name="나쁨 20 7" xfId="18789" xr:uid="{00000000-0005-0000-0000-0000C4450000}"/>
    <cellStyle name="나쁨 20 8" xfId="18790" xr:uid="{00000000-0005-0000-0000-0000C5450000}"/>
    <cellStyle name="나쁨 20 9" xfId="18791" xr:uid="{00000000-0005-0000-0000-0000C6450000}"/>
    <cellStyle name="나쁨 21" xfId="2299" xr:uid="{00000000-0005-0000-0000-0000C7450000}"/>
    <cellStyle name="나쁨 21 10" xfId="18793" xr:uid="{00000000-0005-0000-0000-0000C8450000}"/>
    <cellStyle name="나쁨 21 11" xfId="18794" xr:uid="{00000000-0005-0000-0000-0000C9450000}"/>
    <cellStyle name="나쁨 21 12" xfId="18795" xr:uid="{00000000-0005-0000-0000-0000CA450000}"/>
    <cellStyle name="나쁨 21 13" xfId="18796" xr:uid="{00000000-0005-0000-0000-0000CB450000}"/>
    <cellStyle name="나쁨 21 14" xfId="18797" xr:uid="{00000000-0005-0000-0000-0000CC450000}"/>
    <cellStyle name="나쁨 21 15" xfId="18792" xr:uid="{00000000-0005-0000-0000-0000CD450000}"/>
    <cellStyle name="나쁨 21 2" xfId="2300" xr:uid="{00000000-0005-0000-0000-0000CE450000}"/>
    <cellStyle name="나쁨 21 2 2" xfId="18798" xr:uid="{00000000-0005-0000-0000-0000CF450000}"/>
    <cellStyle name="나쁨 21 3" xfId="18799" xr:uid="{00000000-0005-0000-0000-0000D0450000}"/>
    <cellStyle name="나쁨 21 4" xfId="18800" xr:uid="{00000000-0005-0000-0000-0000D1450000}"/>
    <cellStyle name="나쁨 21 5" xfId="18801" xr:uid="{00000000-0005-0000-0000-0000D2450000}"/>
    <cellStyle name="나쁨 21 6" xfId="18802" xr:uid="{00000000-0005-0000-0000-0000D3450000}"/>
    <cellStyle name="나쁨 21 7" xfId="18803" xr:uid="{00000000-0005-0000-0000-0000D4450000}"/>
    <cellStyle name="나쁨 21 8" xfId="18804" xr:uid="{00000000-0005-0000-0000-0000D5450000}"/>
    <cellStyle name="나쁨 21 9" xfId="18805" xr:uid="{00000000-0005-0000-0000-0000D6450000}"/>
    <cellStyle name="나쁨 22" xfId="2301" xr:uid="{00000000-0005-0000-0000-0000D7450000}"/>
    <cellStyle name="나쁨 22 10" xfId="18807" xr:uid="{00000000-0005-0000-0000-0000D8450000}"/>
    <cellStyle name="나쁨 22 11" xfId="18808" xr:uid="{00000000-0005-0000-0000-0000D9450000}"/>
    <cellStyle name="나쁨 22 12" xfId="18809" xr:uid="{00000000-0005-0000-0000-0000DA450000}"/>
    <cellStyle name="나쁨 22 13" xfId="18810" xr:uid="{00000000-0005-0000-0000-0000DB450000}"/>
    <cellStyle name="나쁨 22 14" xfId="18811" xr:uid="{00000000-0005-0000-0000-0000DC450000}"/>
    <cellStyle name="나쁨 22 15" xfId="18806" xr:uid="{00000000-0005-0000-0000-0000DD450000}"/>
    <cellStyle name="나쁨 22 2" xfId="2302" xr:uid="{00000000-0005-0000-0000-0000DE450000}"/>
    <cellStyle name="나쁨 22 2 2" xfId="18812" xr:uid="{00000000-0005-0000-0000-0000DF450000}"/>
    <cellStyle name="나쁨 22 3" xfId="18813" xr:uid="{00000000-0005-0000-0000-0000E0450000}"/>
    <cellStyle name="나쁨 22 4" xfId="18814" xr:uid="{00000000-0005-0000-0000-0000E1450000}"/>
    <cellStyle name="나쁨 22 5" xfId="18815" xr:uid="{00000000-0005-0000-0000-0000E2450000}"/>
    <cellStyle name="나쁨 22 6" xfId="18816" xr:uid="{00000000-0005-0000-0000-0000E3450000}"/>
    <cellStyle name="나쁨 22 7" xfId="18817" xr:uid="{00000000-0005-0000-0000-0000E4450000}"/>
    <cellStyle name="나쁨 22 8" xfId="18818" xr:uid="{00000000-0005-0000-0000-0000E5450000}"/>
    <cellStyle name="나쁨 22 9" xfId="18819" xr:uid="{00000000-0005-0000-0000-0000E6450000}"/>
    <cellStyle name="나쁨 23" xfId="2303" xr:uid="{00000000-0005-0000-0000-0000E7450000}"/>
    <cellStyle name="나쁨 23 10" xfId="18821" xr:uid="{00000000-0005-0000-0000-0000E8450000}"/>
    <cellStyle name="나쁨 23 11" xfId="18822" xr:uid="{00000000-0005-0000-0000-0000E9450000}"/>
    <cellStyle name="나쁨 23 12" xfId="18823" xr:uid="{00000000-0005-0000-0000-0000EA450000}"/>
    <cellStyle name="나쁨 23 13" xfId="18824" xr:uid="{00000000-0005-0000-0000-0000EB450000}"/>
    <cellStyle name="나쁨 23 14" xfId="18825" xr:uid="{00000000-0005-0000-0000-0000EC450000}"/>
    <cellStyle name="나쁨 23 15" xfId="18820" xr:uid="{00000000-0005-0000-0000-0000ED450000}"/>
    <cellStyle name="나쁨 23 2" xfId="2304" xr:uid="{00000000-0005-0000-0000-0000EE450000}"/>
    <cellStyle name="나쁨 23 2 2" xfId="18826" xr:uid="{00000000-0005-0000-0000-0000EF450000}"/>
    <cellStyle name="나쁨 23 3" xfId="18827" xr:uid="{00000000-0005-0000-0000-0000F0450000}"/>
    <cellStyle name="나쁨 23 4" xfId="18828" xr:uid="{00000000-0005-0000-0000-0000F1450000}"/>
    <cellStyle name="나쁨 23 5" xfId="18829" xr:uid="{00000000-0005-0000-0000-0000F2450000}"/>
    <cellStyle name="나쁨 23 6" xfId="18830" xr:uid="{00000000-0005-0000-0000-0000F3450000}"/>
    <cellStyle name="나쁨 23 7" xfId="18831" xr:uid="{00000000-0005-0000-0000-0000F4450000}"/>
    <cellStyle name="나쁨 23 8" xfId="18832" xr:uid="{00000000-0005-0000-0000-0000F5450000}"/>
    <cellStyle name="나쁨 23 9" xfId="18833" xr:uid="{00000000-0005-0000-0000-0000F6450000}"/>
    <cellStyle name="나쁨 24" xfId="2305" xr:uid="{00000000-0005-0000-0000-0000F7450000}"/>
    <cellStyle name="나쁨 24 10" xfId="18835" xr:uid="{00000000-0005-0000-0000-0000F8450000}"/>
    <cellStyle name="나쁨 24 11" xfId="18836" xr:uid="{00000000-0005-0000-0000-0000F9450000}"/>
    <cellStyle name="나쁨 24 12" xfId="18837" xr:uid="{00000000-0005-0000-0000-0000FA450000}"/>
    <cellStyle name="나쁨 24 13" xfId="18838" xr:uid="{00000000-0005-0000-0000-0000FB450000}"/>
    <cellStyle name="나쁨 24 14" xfId="18839" xr:uid="{00000000-0005-0000-0000-0000FC450000}"/>
    <cellStyle name="나쁨 24 15" xfId="18834" xr:uid="{00000000-0005-0000-0000-0000FD450000}"/>
    <cellStyle name="나쁨 24 2" xfId="2306" xr:uid="{00000000-0005-0000-0000-0000FE450000}"/>
    <cellStyle name="나쁨 24 2 2" xfId="18840" xr:uid="{00000000-0005-0000-0000-0000FF450000}"/>
    <cellStyle name="나쁨 24 3" xfId="18841" xr:uid="{00000000-0005-0000-0000-000000460000}"/>
    <cellStyle name="나쁨 24 4" xfId="18842" xr:uid="{00000000-0005-0000-0000-000001460000}"/>
    <cellStyle name="나쁨 24 5" xfId="18843" xr:uid="{00000000-0005-0000-0000-000002460000}"/>
    <cellStyle name="나쁨 24 6" xfId="18844" xr:uid="{00000000-0005-0000-0000-000003460000}"/>
    <cellStyle name="나쁨 24 7" xfId="18845" xr:uid="{00000000-0005-0000-0000-000004460000}"/>
    <cellStyle name="나쁨 24 8" xfId="18846" xr:uid="{00000000-0005-0000-0000-000005460000}"/>
    <cellStyle name="나쁨 24 9" xfId="18847" xr:uid="{00000000-0005-0000-0000-000006460000}"/>
    <cellStyle name="나쁨 25" xfId="2307" xr:uid="{00000000-0005-0000-0000-000007460000}"/>
    <cellStyle name="나쁨 25 10" xfId="18849" xr:uid="{00000000-0005-0000-0000-000008460000}"/>
    <cellStyle name="나쁨 25 11" xfId="18850" xr:uid="{00000000-0005-0000-0000-000009460000}"/>
    <cellStyle name="나쁨 25 12" xfId="18851" xr:uid="{00000000-0005-0000-0000-00000A460000}"/>
    <cellStyle name="나쁨 25 13" xfId="18852" xr:uid="{00000000-0005-0000-0000-00000B460000}"/>
    <cellStyle name="나쁨 25 14" xfId="18853" xr:uid="{00000000-0005-0000-0000-00000C460000}"/>
    <cellStyle name="나쁨 25 15" xfId="18848" xr:uid="{00000000-0005-0000-0000-00000D460000}"/>
    <cellStyle name="나쁨 25 2" xfId="2308" xr:uid="{00000000-0005-0000-0000-00000E460000}"/>
    <cellStyle name="나쁨 25 2 2" xfId="18854" xr:uid="{00000000-0005-0000-0000-00000F460000}"/>
    <cellStyle name="나쁨 25 3" xfId="18855" xr:uid="{00000000-0005-0000-0000-000010460000}"/>
    <cellStyle name="나쁨 25 4" xfId="18856" xr:uid="{00000000-0005-0000-0000-000011460000}"/>
    <cellStyle name="나쁨 25 5" xfId="18857" xr:uid="{00000000-0005-0000-0000-000012460000}"/>
    <cellStyle name="나쁨 25 6" xfId="18858" xr:uid="{00000000-0005-0000-0000-000013460000}"/>
    <cellStyle name="나쁨 25 7" xfId="18859" xr:uid="{00000000-0005-0000-0000-000014460000}"/>
    <cellStyle name="나쁨 25 8" xfId="18860" xr:uid="{00000000-0005-0000-0000-000015460000}"/>
    <cellStyle name="나쁨 25 9" xfId="18861" xr:uid="{00000000-0005-0000-0000-000016460000}"/>
    <cellStyle name="나쁨 26" xfId="2309" xr:uid="{00000000-0005-0000-0000-000017460000}"/>
    <cellStyle name="나쁨 26 10" xfId="18863" xr:uid="{00000000-0005-0000-0000-000018460000}"/>
    <cellStyle name="나쁨 26 11" xfId="18864" xr:uid="{00000000-0005-0000-0000-000019460000}"/>
    <cellStyle name="나쁨 26 12" xfId="18865" xr:uid="{00000000-0005-0000-0000-00001A460000}"/>
    <cellStyle name="나쁨 26 13" xfId="18866" xr:uid="{00000000-0005-0000-0000-00001B460000}"/>
    <cellStyle name="나쁨 26 14" xfId="18867" xr:uid="{00000000-0005-0000-0000-00001C460000}"/>
    <cellStyle name="나쁨 26 15" xfId="18862" xr:uid="{00000000-0005-0000-0000-00001D460000}"/>
    <cellStyle name="나쁨 26 2" xfId="2310" xr:uid="{00000000-0005-0000-0000-00001E460000}"/>
    <cellStyle name="나쁨 26 2 2" xfId="18868" xr:uid="{00000000-0005-0000-0000-00001F460000}"/>
    <cellStyle name="나쁨 26 3" xfId="18869" xr:uid="{00000000-0005-0000-0000-000020460000}"/>
    <cellStyle name="나쁨 26 4" xfId="18870" xr:uid="{00000000-0005-0000-0000-000021460000}"/>
    <cellStyle name="나쁨 26 5" xfId="18871" xr:uid="{00000000-0005-0000-0000-000022460000}"/>
    <cellStyle name="나쁨 26 6" xfId="18872" xr:uid="{00000000-0005-0000-0000-000023460000}"/>
    <cellStyle name="나쁨 26 7" xfId="18873" xr:uid="{00000000-0005-0000-0000-000024460000}"/>
    <cellStyle name="나쁨 26 8" xfId="18874" xr:uid="{00000000-0005-0000-0000-000025460000}"/>
    <cellStyle name="나쁨 26 9" xfId="18875" xr:uid="{00000000-0005-0000-0000-000026460000}"/>
    <cellStyle name="나쁨 27" xfId="2311" xr:uid="{00000000-0005-0000-0000-000027460000}"/>
    <cellStyle name="나쁨 27 10" xfId="18877" xr:uid="{00000000-0005-0000-0000-000028460000}"/>
    <cellStyle name="나쁨 27 11" xfId="18878" xr:uid="{00000000-0005-0000-0000-000029460000}"/>
    <cellStyle name="나쁨 27 12" xfId="18879" xr:uid="{00000000-0005-0000-0000-00002A460000}"/>
    <cellStyle name="나쁨 27 13" xfId="18880" xr:uid="{00000000-0005-0000-0000-00002B460000}"/>
    <cellStyle name="나쁨 27 14" xfId="18881" xr:uid="{00000000-0005-0000-0000-00002C460000}"/>
    <cellStyle name="나쁨 27 15" xfId="18876" xr:uid="{00000000-0005-0000-0000-00002D460000}"/>
    <cellStyle name="나쁨 27 2" xfId="2312" xr:uid="{00000000-0005-0000-0000-00002E460000}"/>
    <cellStyle name="나쁨 27 2 2" xfId="18882" xr:uid="{00000000-0005-0000-0000-00002F460000}"/>
    <cellStyle name="나쁨 27 3" xfId="18883" xr:uid="{00000000-0005-0000-0000-000030460000}"/>
    <cellStyle name="나쁨 27 4" xfId="18884" xr:uid="{00000000-0005-0000-0000-000031460000}"/>
    <cellStyle name="나쁨 27 5" xfId="18885" xr:uid="{00000000-0005-0000-0000-000032460000}"/>
    <cellStyle name="나쁨 27 6" xfId="18886" xr:uid="{00000000-0005-0000-0000-000033460000}"/>
    <cellStyle name="나쁨 27 7" xfId="18887" xr:uid="{00000000-0005-0000-0000-000034460000}"/>
    <cellStyle name="나쁨 27 8" xfId="18888" xr:uid="{00000000-0005-0000-0000-000035460000}"/>
    <cellStyle name="나쁨 27 9" xfId="18889" xr:uid="{00000000-0005-0000-0000-000036460000}"/>
    <cellStyle name="나쁨 28" xfId="2313" xr:uid="{00000000-0005-0000-0000-000037460000}"/>
    <cellStyle name="나쁨 28 10" xfId="18891" xr:uid="{00000000-0005-0000-0000-000038460000}"/>
    <cellStyle name="나쁨 28 11" xfId="18892" xr:uid="{00000000-0005-0000-0000-000039460000}"/>
    <cellStyle name="나쁨 28 12" xfId="18893" xr:uid="{00000000-0005-0000-0000-00003A460000}"/>
    <cellStyle name="나쁨 28 13" xfId="18894" xr:uid="{00000000-0005-0000-0000-00003B460000}"/>
    <cellStyle name="나쁨 28 14" xfId="18895" xr:uid="{00000000-0005-0000-0000-00003C460000}"/>
    <cellStyle name="나쁨 28 15" xfId="18890" xr:uid="{00000000-0005-0000-0000-00003D460000}"/>
    <cellStyle name="나쁨 28 2" xfId="2314" xr:uid="{00000000-0005-0000-0000-00003E460000}"/>
    <cellStyle name="나쁨 28 2 2" xfId="18896" xr:uid="{00000000-0005-0000-0000-00003F460000}"/>
    <cellStyle name="나쁨 28 3" xfId="18897" xr:uid="{00000000-0005-0000-0000-000040460000}"/>
    <cellStyle name="나쁨 28 4" xfId="18898" xr:uid="{00000000-0005-0000-0000-000041460000}"/>
    <cellStyle name="나쁨 28 5" xfId="18899" xr:uid="{00000000-0005-0000-0000-000042460000}"/>
    <cellStyle name="나쁨 28 6" xfId="18900" xr:uid="{00000000-0005-0000-0000-000043460000}"/>
    <cellStyle name="나쁨 28 7" xfId="18901" xr:uid="{00000000-0005-0000-0000-000044460000}"/>
    <cellStyle name="나쁨 28 8" xfId="18902" xr:uid="{00000000-0005-0000-0000-000045460000}"/>
    <cellStyle name="나쁨 28 9" xfId="18903" xr:uid="{00000000-0005-0000-0000-000046460000}"/>
    <cellStyle name="나쁨 29" xfId="2315" xr:uid="{00000000-0005-0000-0000-000047460000}"/>
    <cellStyle name="나쁨 29 10" xfId="18905" xr:uid="{00000000-0005-0000-0000-000048460000}"/>
    <cellStyle name="나쁨 29 11" xfId="18906" xr:uid="{00000000-0005-0000-0000-000049460000}"/>
    <cellStyle name="나쁨 29 12" xfId="18907" xr:uid="{00000000-0005-0000-0000-00004A460000}"/>
    <cellStyle name="나쁨 29 13" xfId="18908" xr:uid="{00000000-0005-0000-0000-00004B460000}"/>
    <cellStyle name="나쁨 29 14" xfId="18909" xr:uid="{00000000-0005-0000-0000-00004C460000}"/>
    <cellStyle name="나쁨 29 15" xfId="18904" xr:uid="{00000000-0005-0000-0000-00004D460000}"/>
    <cellStyle name="나쁨 29 2" xfId="2316" xr:uid="{00000000-0005-0000-0000-00004E460000}"/>
    <cellStyle name="나쁨 29 2 2" xfId="18910" xr:uid="{00000000-0005-0000-0000-00004F460000}"/>
    <cellStyle name="나쁨 29 3" xfId="18911" xr:uid="{00000000-0005-0000-0000-000050460000}"/>
    <cellStyle name="나쁨 29 4" xfId="18912" xr:uid="{00000000-0005-0000-0000-000051460000}"/>
    <cellStyle name="나쁨 29 5" xfId="18913" xr:uid="{00000000-0005-0000-0000-000052460000}"/>
    <cellStyle name="나쁨 29 6" xfId="18914" xr:uid="{00000000-0005-0000-0000-000053460000}"/>
    <cellStyle name="나쁨 29 7" xfId="18915" xr:uid="{00000000-0005-0000-0000-000054460000}"/>
    <cellStyle name="나쁨 29 8" xfId="18916" xr:uid="{00000000-0005-0000-0000-000055460000}"/>
    <cellStyle name="나쁨 29 9" xfId="18917" xr:uid="{00000000-0005-0000-0000-000056460000}"/>
    <cellStyle name="나쁨 3" xfId="2317" xr:uid="{00000000-0005-0000-0000-000057460000}"/>
    <cellStyle name="나쁨 3 10" xfId="18919" xr:uid="{00000000-0005-0000-0000-000058460000}"/>
    <cellStyle name="나쁨 3 11" xfId="18920" xr:uid="{00000000-0005-0000-0000-000059460000}"/>
    <cellStyle name="나쁨 3 12" xfId="18921" xr:uid="{00000000-0005-0000-0000-00005A460000}"/>
    <cellStyle name="나쁨 3 13" xfId="18922" xr:uid="{00000000-0005-0000-0000-00005B460000}"/>
    <cellStyle name="나쁨 3 14" xfId="18923" xr:uid="{00000000-0005-0000-0000-00005C460000}"/>
    <cellStyle name="나쁨 3 15" xfId="18918" xr:uid="{00000000-0005-0000-0000-00005D460000}"/>
    <cellStyle name="나쁨 3 16" xfId="28215" xr:uid="{00000000-0005-0000-0000-00005E460000}"/>
    <cellStyle name="나쁨 3 2" xfId="2318" xr:uid="{00000000-0005-0000-0000-00005F460000}"/>
    <cellStyle name="나쁨 3 2 2" xfId="18924" xr:uid="{00000000-0005-0000-0000-000060460000}"/>
    <cellStyle name="나쁨 3 3" xfId="18925" xr:uid="{00000000-0005-0000-0000-000061460000}"/>
    <cellStyle name="나쁨 3 4" xfId="18926" xr:uid="{00000000-0005-0000-0000-000062460000}"/>
    <cellStyle name="나쁨 3 5" xfId="18927" xr:uid="{00000000-0005-0000-0000-000063460000}"/>
    <cellStyle name="나쁨 3 6" xfId="18928" xr:uid="{00000000-0005-0000-0000-000064460000}"/>
    <cellStyle name="나쁨 3 7" xfId="18929" xr:uid="{00000000-0005-0000-0000-000065460000}"/>
    <cellStyle name="나쁨 3 8" xfId="18930" xr:uid="{00000000-0005-0000-0000-000066460000}"/>
    <cellStyle name="나쁨 3 9" xfId="18931" xr:uid="{00000000-0005-0000-0000-000067460000}"/>
    <cellStyle name="나쁨 30" xfId="2319" xr:uid="{00000000-0005-0000-0000-000068460000}"/>
    <cellStyle name="나쁨 30 10" xfId="18933" xr:uid="{00000000-0005-0000-0000-000069460000}"/>
    <cellStyle name="나쁨 30 11" xfId="18934" xr:uid="{00000000-0005-0000-0000-00006A460000}"/>
    <cellStyle name="나쁨 30 12" xfId="18935" xr:uid="{00000000-0005-0000-0000-00006B460000}"/>
    <cellStyle name="나쁨 30 13" xfId="18936" xr:uid="{00000000-0005-0000-0000-00006C460000}"/>
    <cellStyle name="나쁨 30 14" xfId="18937" xr:uid="{00000000-0005-0000-0000-00006D460000}"/>
    <cellStyle name="나쁨 30 15" xfId="18932" xr:uid="{00000000-0005-0000-0000-00006E460000}"/>
    <cellStyle name="나쁨 30 2" xfId="2320" xr:uid="{00000000-0005-0000-0000-00006F460000}"/>
    <cellStyle name="나쁨 30 2 2" xfId="18938" xr:uid="{00000000-0005-0000-0000-000070460000}"/>
    <cellStyle name="나쁨 30 3" xfId="18939" xr:uid="{00000000-0005-0000-0000-000071460000}"/>
    <cellStyle name="나쁨 30 4" xfId="18940" xr:uid="{00000000-0005-0000-0000-000072460000}"/>
    <cellStyle name="나쁨 30 5" xfId="18941" xr:uid="{00000000-0005-0000-0000-000073460000}"/>
    <cellStyle name="나쁨 30 6" xfId="18942" xr:uid="{00000000-0005-0000-0000-000074460000}"/>
    <cellStyle name="나쁨 30 7" xfId="18943" xr:uid="{00000000-0005-0000-0000-000075460000}"/>
    <cellStyle name="나쁨 30 8" xfId="18944" xr:uid="{00000000-0005-0000-0000-000076460000}"/>
    <cellStyle name="나쁨 30 9" xfId="18945" xr:uid="{00000000-0005-0000-0000-000077460000}"/>
    <cellStyle name="나쁨 31" xfId="2321" xr:uid="{00000000-0005-0000-0000-000078460000}"/>
    <cellStyle name="나쁨 31 10" xfId="18947" xr:uid="{00000000-0005-0000-0000-000079460000}"/>
    <cellStyle name="나쁨 31 11" xfId="18948" xr:uid="{00000000-0005-0000-0000-00007A460000}"/>
    <cellStyle name="나쁨 31 12" xfId="18949" xr:uid="{00000000-0005-0000-0000-00007B460000}"/>
    <cellStyle name="나쁨 31 13" xfId="18950" xr:uid="{00000000-0005-0000-0000-00007C460000}"/>
    <cellStyle name="나쁨 31 14" xfId="18951" xr:uid="{00000000-0005-0000-0000-00007D460000}"/>
    <cellStyle name="나쁨 31 15" xfId="18946" xr:uid="{00000000-0005-0000-0000-00007E460000}"/>
    <cellStyle name="나쁨 31 2" xfId="2322" xr:uid="{00000000-0005-0000-0000-00007F460000}"/>
    <cellStyle name="나쁨 31 2 2" xfId="18952" xr:uid="{00000000-0005-0000-0000-000080460000}"/>
    <cellStyle name="나쁨 31 3" xfId="18953" xr:uid="{00000000-0005-0000-0000-000081460000}"/>
    <cellStyle name="나쁨 31 4" xfId="18954" xr:uid="{00000000-0005-0000-0000-000082460000}"/>
    <cellStyle name="나쁨 31 5" xfId="18955" xr:uid="{00000000-0005-0000-0000-000083460000}"/>
    <cellStyle name="나쁨 31 6" xfId="18956" xr:uid="{00000000-0005-0000-0000-000084460000}"/>
    <cellStyle name="나쁨 31 7" xfId="18957" xr:uid="{00000000-0005-0000-0000-000085460000}"/>
    <cellStyle name="나쁨 31 8" xfId="18958" xr:uid="{00000000-0005-0000-0000-000086460000}"/>
    <cellStyle name="나쁨 31 9" xfId="18959" xr:uid="{00000000-0005-0000-0000-000087460000}"/>
    <cellStyle name="나쁨 32" xfId="2323" xr:uid="{00000000-0005-0000-0000-000088460000}"/>
    <cellStyle name="나쁨 32 10" xfId="18961" xr:uid="{00000000-0005-0000-0000-000089460000}"/>
    <cellStyle name="나쁨 32 11" xfId="18962" xr:uid="{00000000-0005-0000-0000-00008A460000}"/>
    <cellStyle name="나쁨 32 12" xfId="18963" xr:uid="{00000000-0005-0000-0000-00008B460000}"/>
    <cellStyle name="나쁨 32 13" xfId="18964" xr:uid="{00000000-0005-0000-0000-00008C460000}"/>
    <cellStyle name="나쁨 32 14" xfId="18965" xr:uid="{00000000-0005-0000-0000-00008D460000}"/>
    <cellStyle name="나쁨 32 15" xfId="18960" xr:uid="{00000000-0005-0000-0000-00008E460000}"/>
    <cellStyle name="나쁨 32 2" xfId="2324" xr:uid="{00000000-0005-0000-0000-00008F460000}"/>
    <cellStyle name="나쁨 32 2 2" xfId="18966" xr:uid="{00000000-0005-0000-0000-000090460000}"/>
    <cellStyle name="나쁨 32 3" xfId="18967" xr:uid="{00000000-0005-0000-0000-000091460000}"/>
    <cellStyle name="나쁨 32 4" xfId="18968" xr:uid="{00000000-0005-0000-0000-000092460000}"/>
    <cellStyle name="나쁨 32 5" xfId="18969" xr:uid="{00000000-0005-0000-0000-000093460000}"/>
    <cellStyle name="나쁨 32 6" xfId="18970" xr:uid="{00000000-0005-0000-0000-000094460000}"/>
    <cellStyle name="나쁨 32 7" xfId="18971" xr:uid="{00000000-0005-0000-0000-000095460000}"/>
    <cellStyle name="나쁨 32 8" xfId="18972" xr:uid="{00000000-0005-0000-0000-000096460000}"/>
    <cellStyle name="나쁨 32 9" xfId="18973" xr:uid="{00000000-0005-0000-0000-000097460000}"/>
    <cellStyle name="나쁨 33" xfId="2325" xr:uid="{00000000-0005-0000-0000-000098460000}"/>
    <cellStyle name="나쁨 33 10" xfId="18975" xr:uid="{00000000-0005-0000-0000-000099460000}"/>
    <cellStyle name="나쁨 33 11" xfId="18976" xr:uid="{00000000-0005-0000-0000-00009A460000}"/>
    <cellStyle name="나쁨 33 12" xfId="18977" xr:uid="{00000000-0005-0000-0000-00009B460000}"/>
    <cellStyle name="나쁨 33 13" xfId="18978" xr:uid="{00000000-0005-0000-0000-00009C460000}"/>
    <cellStyle name="나쁨 33 14" xfId="18979" xr:uid="{00000000-0005-0000-0000-00009D460000}"/>
    <cellStyle name="나쁨 33 15" xfId="18974" xr:uid="{00000000-0005-0000-0000-00009E460000}"/>
    <cellStyle name="나쁨 33 2" xfId="2326" xr:uid="{00000000-0005-0000-0000-00009F460000}"/>
    <cellStyle name="나쁨 33 2 2" xfId="18980" xr:uid="{00000000-0005-0000-0000-0000A0460000}"/>
    <cellStyle name="나쁨 33 3" xfId="18981" xr:uid="{00000000-0005-0000-0000-0000A1460000}"/>
    <cellStyle name="나쁨 33 4" xfId="18982" xr:uid="{00000000-0005-0000-0000-0000A2460000}"/>
    <cellStyle name="나쁨 33 5" xfId="18983" xr:uid="{00000000-0005-0000-0000-0000A3460000}"/>
    <cellStyle name="나쁨 33 6" xfId="18984" xr:uid="{00000000-0005-0000-0000-0000A4460000}"/>
    <cellStyle name="나쁨 33 7" xfId="18985" xr:uid="{00000000-0005-0000-0000-0000A5460000}"/>
    <cellStyle name="나쁨 33 8" xfId="18986" xr:uid="{00000000-0005-0000-0000-0000A6460000}"/>
    <cellStyle name="나쁨 33 9" xfId="18987" xr:uid="{00000000-0005-0000-0000-0000A7460000}"/>
    <cellStyle name="나쁨 34" xfId="2327" xr:uid="{00000000-0005-0000-0000-0000A8460000}"/>
    <cellStyle name="나쁨 34 10" xfId="18989" xr:uid="{00000000-0005-0000-0000-0000A9460000}"/>
    <cellStyle name="나쁨 34 11" xfId="18990" xr:uid="{00000000-0005-0000-0000-0000AA460000}"/>
    <cellStyle name="나쁨 34 12" xfId="18991" xr:uid="{00000000-0005-0000-0000-0000AB460000}"/>
    <cellStyle name="나쁨 34 13" xfId="18992" xr:uid="{00000000-0005-0000-0000-0000AC460000}"/>
    <cellStyle name="나쁨 34 14" xfId="18993" xr:uid="{00000000-0005-0000-0000-0000AD460000}"/>
    <cellStyle name="나쁨 34 15" xfId="18988" xr:uid="{00000000-0005-0000-0000-0000AE460000}"/>
    <cellStyle name="나쁨 34 2" xfId="2328" xr:uid="{00000000-0005-0000-0000-0000AF460000}"/>
    <cellStyle name="나쁨 34 2 2" xfId="18994" xr:uid="{00000000-0005-0000-0000-0000B0460000}"/>
    <cellStyle name="나쁨 34 3" xfId="18995" xr:uid="{00000000-0005-0000-0000-0000B1460000}"/>
    <cellStyle name="나쁨 34 4" xfId="18996" xr:uid="{00000000-0005-0000-0000-0000B2460000}"/>
    <cellStyle name="나쁨 34 5" xfId="18997" xr:uid="{00000000-0005-0000-0000-0000B3460000}"/>
    <cellStyle name="나쁨 34 6" xfId="18998" xr:uid="{00000000-0005-0000-0000-0000B4460000}"/>
    <cellStyle name="나쁨 34 7" xfId="18999" xr:uid="{00000000-0005-0000-0000-0000B5460000}"/>
    <cellStyle name="나쁨 34 8" xfId="19000" xr:uid="{00000000-0005-0000-0000-0000B6460000}"/>
    <cellStyle name="나쁨 34 9" xfId="19001" xr:uid="{00000000-0005-0000-0000-0000B7460000}"/>
    <cellStyle name="나쁨 35" xfId="2329" xr:uid="{00000000-0005-0000-0000-0000B8460000}"/>
    <cellStyle name="나쁨 35 10" xfId="19003" xr:uid="{00000000-0005-0000-0000-0000B9460000}"/>
    <cellStyle name="나쁨 35 11" xfId="19004" xr:uid="{00000000-0005-0000-0000-0000BA460000}"/>
    <cellStyle name="나쁨 35 12" xfId="19005" xr:uid="{00000000-0005-0000-0000-0000BB460000}"/>
    <cellStyle name="나쁨 35 13" xfId="19006" xr:uid="{00000000-0005-0000-0000-0000BC460000}"/>
    <cellStyle name="나쁨 35 14" xfId="19007" xr:uid="{00000000-0005-0000-0000-0000BD460000}"/>
    <cellStyle name="나쁨 35 15" xfId="19002" xr:uid="{00000000-0005-0000-0000-0000BE460000}"/>
    <cellStyle name="나쁨 35 2" xfId="2330" xr:uid="{00000000-0005-0000-0000-0000BF460000}"/>
    <cellStyle name="나쁨 35 2 2" xfId="19008" xr:uid="{00000000-0005-0000-0000-0000C0460000}"/>
    <cellStyle name="나쁨 35 3" xfId="19009" xr:uid="{00000000-0005-0000-0000-0000C1460000}"/>
    <cellStyle name="나쁨 35 4" xfId="19010" xr:uid="{00000000-0005-0000-0000-0000C2460000}"/>
    <cellStyle name="나쁨 35 5" xfId="19011" xr:uid="{00000000-0005-0000-0000-0000C3460000}"/>
    <cellStyle name="나쁨 35 6" xfId="19012" xr:uid="{00000000-0005-0000-0000-0000C4460000}"/>
    <cellStyle name="나쁨 35 7" xfId="19013" xr:uid="{00000000-0005-0000-0000-0000C5460000}"/>
    <cellStyle name="나쁨 35 8" xfId="19014" xr:uid="{00000000-0005-0000-0000-0000C6460000}"/>
    <cellStyle name="나쁨 35 9" xfId="19015" xr:uid="{00000000-0005-0000-0000-0000C7460000}"/>
    <cellStyle name="나쁨 36" xfId="2331" xr:uid="{00000000-0005-0000-0000-0000C8460000}"/>
    <cellStyle name="나쁨 36 10" xfId="19017" xr:uid="{00000000-0005-0000-0000-0000C9460000}"/>
    <cellStyle name="나쁨 36 11" xfId="19018" xr:uid="{00000000-0005-0000-0000-0000CA460000}"/>
    <cellStyle name="나쁨 36 12" xfId="19019" xr:uid="{00000000-0005-0000-0000-0000CB460000}"/>
    <cellStyle name="나쁨 36 13" xfId="19020" xr:uid="{00000000-0005-0000-0000-0000CC460000}"/>
    <cellStyle name="나쁨 36 14" xfId="19021" xr:uid="{00000000-0005-0000-0000-0000CD460000}"/>
    <cellStyle name="나쁨 36 15" xfId="19016" xr:uid="{00000000-0005-0000-0000-0000CE460000}"/>
    <cellStyle name="나쁨 36 2" xfId="2332" xr:uid="{00000000-0005-0000-0000-0000CF460000}"/>
    <cellStyle name="나쁨 36 2 2" xfId="19022" xr:uid="{00000000-0005-0000-0000-0000D0460000}"/>
    <cellStyle name="나쁨 36 3" xfId="19023" xr:uid="{00000000-0005-0000-0000-0000D1460000}"/>
    <cellStyle name="나쁨 36 4" xfId="19024" xr:uid="{00000000-0005-0000-0000-0000D2460000}"/>
    <cellStyle name="나쁨 36 5" xfId="19025" xr:uid="{00000000-0005-0000-0000-0000D3460000}"/>
    <cellStyle name="나쁨 36 6" xfId="19026" xr:uid="{00000000-0005-0000-0000-0000D4460000}"/>
    <cellStyle name="나쁨 36 7" xfId="19027" xr:uid="{00000000-0005-0000-0000-0000D5460000}"/>
    <cellStyle name="나쁨 36 8" xfId="19028" xr:uid="{00000000-0005-0000-0000-0000D6460000}"/>
    <cellStyle name="나쁨 36 9" xfId="19029" xr:uid="{00000000-0005-0000-0000-0000D7460000}"/>
    <cellStyle name="나쁨 37" xfId="2333" xr:uid="{00000000-0005-0000-0000-0000D8460000}"/>
    <cellStyle name="나쁨 37 10" xfId="19031" xr:uid="{00000000-0005-0000-0000-0000D9460000}"/>
    <cellStyle name="나쁨 37 11" xfId="19032" xr:uid="{00000000-0005-0000-0000-0000DA460000}"/>
    <cellStyle name="나쁨 37 12" xfId="19033" xr:uid="{00000000-0005-0000-0000-0000DB460000}"/>
    <cellStyle name="나쁨 37 13" xfId="19034" xr:uid="{00000000-0005-0000-0000-0000DC460000}"/>
    <cellStyle name="나쁨 37 14" xfId="19035" xr:uid="{00000000-0005-0000-0000-0000DD460000}"/>
    <cellStyle name="나쁨 37 15" xfId="19030" xr:uid="{00000000-0005-0000-0000-0000DE460000}"/>
    <cellStyle name="나쁨 37 2" xfId="2334" xr:uid="{00000000-0005-0000-0000-0000DF460000}"/>
    <cellStyle name="나쁨 37 2 2" xfId="19036" xr:uid="{00000000-0005-0000-0000-0000E0460000}"/>
    <cellStyle name="나쁨 37 3" xfId="19037" xr:uid="{00000000-0005-0000-0000-0000E1460000}"/>
    <cellStyle name="나쁨 37 4" xfId="19038" xr:uid="{00000000-0005-0000-0000-0000E2460000}"/>
    <cellStyle name="나쁨 37 5" xfId="19039" xr:uid="{00000000-0005-0000-0000-0000E3460000}"/>
    <cellStyle name="나쁨 37 6" xfId="19040" xr:uid="{00000000-0005-0000-0000-0000E4460000}"/>
    <cellStyle name="나쁨 37 7" xfId="19041" xr:uid="{00000000-0005-0000-0000-0000E5460000}"/>
    <cellStyle name="나쁨 37 8" xfId="19042" xr:uid="{00000000-0005-0000-0000-0000E6460000}"/>
    <cellStyle name="나쁨 37 9" xfId="19043" xr:uid="{00000000-0005-0000-0000-0000E7460000}"/>
    <cellStyle name="나쁨 38" xfId="2335" xr:uid="{00000000-0005-0000-0000-0000E8460000}"/>
    <cellStyle name="나쁨 38 10" xfId="19045" xr:uid="{00000000-0005-0000-0000-0000E9460000}"/>
    <cellStyle name="나쁨 38 11" xfId="19046" xr:uid="{00000000-0005-0000-0000-0000EA460000}"/>
    <cellStyle name="나쁨 38 12" xfId="19047" xr:uid="{00000000-0005-0000-0000-0000EB460000}"/>
    <cellStyle name="나쁨 38 13" xfId="19048" xr:uid="{00000000-0005-0000-0000-0000EC460000}"/>
    <cellStyle name="나쁨 38 14" xfId="19049" xr:uid="{00000000-0005-0000-0000-0000ED460000}"/>
    <cellStyle name="나쁨 38 15" xfId="19044" xr:uid="{00000000-0005-0000-0000-0000EE460000}"/>
    <cellStyle name="나쁨 38 2" xfId="2336" xr:uid="{00000000-0005-0000-0000-0000EF460000}"/>
    <cellStyle name="나쁨 38 2 2" xfId="19050" xr:uid="{00000000-0005-0000-0000-0000F0460000}"/>
    <cellStyle name="나쁨 38 3" xfId="19051" xr:uid="{00000000-0005-0000-0000-0000F1460000}"/>
    <cellStyle name="나쁨 38 4" xfId="19052" xr:uid="{00000000-0005-0000-0000-0000F2460000}"/>
    <cellStyle name="나쁨 38 5" xfId="19053" xr:uid="{00000000-0005-0000-0000-0000F3460000}"/>
    <cellStyle name="나쁨 38 6" xfId="19054" xr:uid="{00000000-0005-0000-0000-0000F4460000}"/>
    <cellStyle name="나쁨 38 7" xfId="19055" xr:uid="{00000000-0005-0000-0000-0000F5460000}"/>
    <cellStyle name="나쁨 38 8" xfId="19056" xr:uid="{00000000-0005-0000-0000-0000F6460000}"/>
    <cellStyle name="나쁨 38 9" xfId="19057" xr:uid="{00000000-0005-0000-0000-0000F7460000}"/>
    <cellStyle name="나쁨 39" xfId="2337" xr:uid="{00000000-0005-0000-0000-0000F8460000}"/>
    <cellStyle name="나쁨 39 10" xfId="19059" xr:uid="{00000000-0005-0000-0000-0000F9460000}"/>
    <cellStyle name="나쁨 39 11" xfId="19060" xr:uid="{00000000-0005-0000-0000-0000FA460000}"/>
    <cellStyle name="나쁨 39 12" xfId="19061" xr:uid="{00000000-0005-0000-0000-0000FB460000}"/>
    <cellStyle name="나쁨 39 13" xfId="19062" xr:uid="{00000000-0005-0000-0000-0000FC460000}"/>
    <cellStyle name="나쁨 39 14" xfId="19063" xr:uid="{00000000-0005-0000-0000-0000FD460000}"/>
    <cellStyle name="나쁨 39 15" xfId="19058" xr:uid="{00000000-0005-0000-0000-0000FE460000}"/>
    <cellStyle name="나쁨 39 2" xfId="2338" xr:uid="{00000000-0005-0000-0000-0000FF460000}"/>
    <cellStyle name="나쁨 39 2 2" xfId="19064" xr:uid="{00000000-0005-0000-0000-000000470000}"/>
    <cellStyle name="나쁨 39 3" xfId="19065" xr:uid="{00000000-0005-0000-0000-000001470000}"/>
    <cellStyle name="나쁨 39 4" xfId="19066" xr:uid="{00000000-0005-0000-0000-000002470000}"/>
    <cellStyle name="나쁨 39 5" xfId="19067" xr:uid="{00000000-0005-0000-0000-000003470000}"/>
    <cellStyle name="나쁨 39 6" xfId="19068" xr:uid="{00000000-0005-0000-0000-000004470000}"/>
    <cellStyle name="나쁨 39 7" xfId="19069" xr:uid="{00000000-0005-0000-0000-000005470000}"/>
    <cellStyle name="나쁨 39 8" xfId="19070" xr:uid="{00000000-0005-0000-0000-000006470000}"/>
    <cellStyle name="나쁨 39 9" xfId="19071" xr:uid="{00000000-0005-0000-0000-000007470000}"/>
    <cellStyle name="나쁨 4" xfId="2339" xr:uid="{00000000-0005-0000-0000-000008470000}"/>
    <cellStyle name="나쁨 4 10" xfId="19073" xr:uid="{00000000-0005-0000-0000-000009470000}"/>
    <cellStyle name="나쁨 4 11" xfId="19074" xr:uid="{00000000-0005-0000-0000-00000A470000}"/>
    <cellStyle name="나쁨 4 12" xfId="19075" xr:uid="{00000000-0005-0000-0000-00000B470000}"/>
    <cellStyle name="나쁨 4 13" xfId="19076" xr:uid="{00000000-0005-0000-0000-00000C470000}"/>
    <cellStyle name="나쁨 4 14" xfId="19077" xr:uid="{00000000-0005-0000-0000-00000D470000}"/>
    <cellStyle name="나쁨 4 15" xfId="19072" xr:uid="{00000000-0005-0000-0000-00000E470000}"/>
    <cellStyle name="나쁨 4 16" xfId="27877" xr:uid="{00000000-0005-0000-0000-00000F470000}"/>
    <cellStyle name="나쁨 4 2" xfId="2340" xr:uid="{00000000-0005-0000-0000-000010470000}"/>
    <cellStyle name="나쁨 4 2 2" xfId="19078" xr:uid="{00000000-0005-0000-0000-000011470000}"/>
    <cellStyle name="나쁨 4 3" xfId="19079" xr:uid="{00000000-0005-0000-0000-000012470000}"/>
    <cellStyle name="나쁨 4 4" xfId="19080" xr:uid="{00000000-0005-0000-0000-000013470000}"/>
    <cellStyle name="나쁨 4 5" xfId="19081" xr:uid="{00000000-0005-0000-0000-000014470000}"/>
    <cellStyle name="나쁨 4 6" xfId="19082" xr:uid="{00000000-0005-0000-0000-000015470000}"/>
    <cellStyle name="나쁨 4 7" xfId="19083" xr:uid="{00000000-0005-0000-0000-000016470000}"/>
    <cellStyle name="나쁨 4 8" xfId="19084" xr:uid="{00000000-0005-0000-0000-000017470000}"/>
    <cellStyle name="나쁨 4 9" xfId="19085" xr:uid="{00000000-0005-0000-0000-000018470000}"/>
    <cellStyle name="나쁨 40" xfId="2341" xr:uid="{00000000-0005-0000-0000-000019470000}"/>
    <cellStyle name="나쁨 40 10" xfId="19087" xr:uid="{00000000-0005-0000-0000-00001A470000}"/>
    <cellStyle name="나쁨 40 11" xfId="19088" xr:uid="{00000000-0005-0000-0000-00001B470000}"/>
    <cellStyle name="나쁨 40 12" xfId="19089" xr:uid="{00000000-0005-0000-0000-00001C470000}"/>
    <cellStyle name="나쁨 40 13" xfId="19090" xr:uid="{00000000-0005-0000-0000-00001D470000}"/>
    <cellStyle name="나쁨 40 14" xfId="19091" xr:uid="{00000000-0005-0000-0000-00001E470000}"/>
    <cellStyle name="나쁨 40 15" xfId="19086" xr:uid="{00000000-0005-0000-0000-00001F470000}"/>
    <cellStyle name="나쁨 40 2" xfId="2342" xr:uid="{00000000-0005-0000-0000-000020470000}"/>
    <cellStyle name="나쁨 40 2 2" xfId="19092" xr:uid="{00000000-0005-0000-0000-000021470000}"/>
    <cellStyle name="나쁨 40 3" xfId="19093" xr:uid="{00000000-0005-0000-0000-000022470000}"/>
    <cellStyle name="나쁨 40 4" xfId="19094" xr:uid="{00000000-0005-0000-0000-000023470000}"/>
    <cellStyle name="나쁨 40 5" xfId="19095" xr:uid="{00000000-0005-0000-0000-000024470000}"/>
    <cellStyle name="나쁨 40 6" xfId="19096" xr:uid="{00000000-0005-0000-0000-000025470000}"/>
    <cellStyle name="나쁨 40 7" xfId="19097" xr:uid="{00000000-0005-0000-0000-000026470000}"/>
    <cellStyle name="나쁨 40 8" xfId="19098" xr:uid="{00000000-0005-0000-0000-000027470000}"/>
    <cellStyle name="나쁨 40 9" xfId="19099" xr:uid="{00000000-0005-0000-0000-000028470000}"/>
    <cellStyle name="나쁨 41" xfId="2343" xr:uid="{00000000-0005-0000-0000-000029470000}"/>
    <cellStyle name="나쁨 41 10" xfId="19101" xr:uid="{00000000-0005-0000-0000-00002A470000}"/>
    <cellStyle name="나쁨 41 11" xfId="19102" xr:uid="{00000000-0005-0000-0000-00002B470000}"/>
    <cellStyle name="나쁨 41 12" xfId="19103" xr:uid="{00000000-0005-0000-0000-00002C470000}"/>
    <cellStyle name="나쁨 41 13" xfId="19104" xr:uid="{00000000-0005-0000-0000-00002D470000}"/>
    <cellStyle name="나쁨 41 14" xfId="19105" xr:uid="{00000000-0005-0000-0000-00002E470000}"/>
    <cellStyle name="나쁨 41 15" xfId="19100" xr:uid="{00000000-0005-0000-0000-00002F470000}"/>
    <cellStyle name="나쁨 41 2" xfId="2344" xr:uid="{00000000-0005-0000-0000-000030470000}"/>
    <cellStyle name="나쁨 41 2 2" xfId="19106" xr:uid="{00000000-0005-0000-0000-000031470000}"/>
    <cellStyle name="나쁨 41 3" xfId="19107" xr:uid="{00000000-0005-0000-0000-000032470000}"/>
    <cellStyle name="나쁨 41 4" xfId="19108" xr:uid="{00000000-0005-0000-0000-000033470000}"/>
    <cellStyle name="나쁨 41 5" xfId="19109" xr:uid="{00000000-0005-0000-0000-000034470000}"/>
    <cellStyle name="나쁨 41 6" xfId="19110" xr:uid="{00000000-0005-0000-0000-000035470000}"/>
    <cellStyle name="나쁨 41 7" xfId="19111" xr:uid="{00000000-0005-0000-0000-000036470000}"/>
    <cellStyle name="나쁨 41 8" xfId="19112" xr:uid="{00000000-0005-0000-0000-000037470000}"/>
    <cellStyle name="나쁨 41 9" xfId="19113" xr:uid="{00000000-0005-0000-0000-000038470000}"/>
    <cellStyle name="나쁨 42" xfId="2345" xr:uid="{00000000-0005-0000-0000-000039470000}"/>
    <cellStyle name="나쁨 42 10" xfId="19115" xr:uid="{00000000-0005-0000-0000-00003A470000}"/>
    <cellStyle name="나쁨 42 11" xfId="19116" xr:uid="{00000000-0005-0000-0000-00003B470000}"/>
    <cellStyle name="나쁨 42 12" xfId="19117" xr:uid="{00000000-0005-0000-0000-00003C470000}"/>
    <cellStyle name="나쁨 42 13" xfId="19118" xr:uid="{00000000-0005-0000-0000-00003D470000}"/>
    <cellStyle name="나쁨 42 14" xfId="19119" xr:uid="{00000000-0005-0000-0000-00003E470000}"/>
    <cellStyle name="나쁨 42 15" xfId="19114" xr:uid="{00000000-0005-0000-0000-00003F470000}"/>
    <cellStyle name="나쁨 42 2" xfId="2346" xr:uid="{00000000-0005-0000-0000-000040470000}"/>
    <cellStyle name="나쁨 42 2 2" xfId="19120" xr:uid="{00000000-0005-0000-0000-000041470000}"/>
    <cellStyle name="나쁨 42 3" xfId="19121" xr:uid="{00000000-0005-0000-0000-000042470000}"/>
    <cellStyle name="나쁨 42 4" xfId="19122" xr:uid="{00000000-0005-0000-0000-000043470000}"/>
    <cellStyle name="나쁨 42 5" xfId="19123" xr:uid="{00000000-0005-0000-0000-000044470000}"/>
    <cellStyle name="나쁨 42 6" xfId="19124" xr:uid="{00000000-0005-0000-0000-000045470000}"/>
    <cellStyle name="나쁨 42 7" xfId="19125" xr:uid="{00000000-0005-0000-0000-000046470000}"/>
    <cellStyle name="나쁨 42 8" xfId="19126" xr:uid="{00000000-0005-0000-0000-000047470000}"/>
    <cellStyle name="나쁨 42 9" xfId="19127" xr:uid="{00000000-0005-0000-0000-000048470000}"/>
    <cellStyle name="나쁨 43" xfId="2347" xr:uid="{00000000-0005-0000-0000-000049470000}"/>
    <cellStyle name="나쁨 43 10" xfId="19129" xr:uid="{00000000-0005-0000-0000-00004A470000}"/>
    <cellStyle name="나쁨 43 11" xfId="19130" xr:uid="{00000000-0005-0000-0000-00004B470000}"/>
    <cellStyle name="나쁨 43 12" xfId="19131" xr:uid="{00000000-0005-0000-0000-00004C470000}"/>
    <cellStyle name="나쁨 43 13" xfId="19132" xr:uid="{00000000-0005-0000-0000-00004D470000}"/>
    <cellStyle name="나쁨 43 14" xfId="19133" xr:uid="{00000000-0005-0000-0000-00004E470000}"/>
    <cellStyle name="나쁨 43 15" xfId="19128" xr:uid="{00000000-0005-0000-0000-00004F470000}"/>
    <cellStyle name="나쁨 43 2" xfId="2348" xr:uid="{00000000-0005-0000-0000-000050470000}"/>
    <cellStyle name="나쁨 43 2 2" xfId="19134" xr:uid="{00000000-0005-0000-0000-000051470000}"/>
    <cellStyle name="나쁨 43 3" xfId="19135" xr:uid="{00000000-0005-0000-0000-000052470000}"/>
    <cellStyle name="나쁨 43 4" xfId="19136" xr:uid="{00000000-0005-0000-0000-000053470000}"/>
    <cellStyle name="나쁨 43 5" xfId="19137" xr:uid="{00000000-0005-0000-0000-000054470000}"/>
    <cellStyle name="나쁨 43 6" xfId="19138" xr:uid="{00000000-0005-0000-0000-000055470000}"/>
    <cellStyle name="나쁨 43 7" xfId="19139" xr:uid="{00000000-0005-0000-0000-000056470000}"/>
    <cellStyle name="나쁨 43 8" xfId="19140" xr:uid="{00000000-0005-0000-0000-000057470000}"/>
    <cellStyle name="나쁨 43 9" xfId="19141" xr:uid="{00000000-0005-0000-0000-000058470000}"/>
    <cellStyle name="나쁨 44" xfId="2349" xr:uid="{00000000-0005-0000-0000-000059470000}"/>
    <cellStyle name="나쁨 44 2" xfId="19142" xr:uid="{00000000-0005-0000-0000-00005A470000}"/>
    <cellStyle name="나쁨 45" xfId="2350" xr:uid="{00000000-0005-0000-0000-00005B470000}"/>
    <cellStyle name="나쁨 45 2" xfId="19143" xr:uid="{00000000-0005-0000-0000-00005C470000}"/>
    <cellStyle name="나쁨 46" xfId="2274" xr:uid="{00000000-0005-0000-0000-00005D470000}"/>
    <cellStyle name="나쁨 47" xfId="18623" xr:uid="{00000000-0005-0000-0000-00005E470000}"/>
    <cellStyle name="나쁨 5" xfId="2351" xr:uid="{00000000-0005-0000-0000-00005F470000}"/>
    <cellStyle name="나쁨 5 10" xfId="19145" xr:uid="{00000000-0005-0000-0000-000060470000}"/>
    <cellStyle name="나쁨 5 11" xfId="19146" xr:uid="{00000000-0005-0000-0000-000061470000}"/>
    <cellStyle name="나쁨 5 12" xfId="19147" xr:uid="{00000000-0005-0000-0000-000062470000}"/>
    <cellStyle name="나쁨 5 13" xfId="19148" xr:uid="{00000000-0005-0000-0000-000063470000}"/>
    <cellStyle name="나쁨 5 14" xfId="19149" xr:uid="{00000000-0005-0000-0000-000064470000}"/>
    <cellStyle name="나쁨 5 15" xfId="19144" xr:uid="{00000000-0005-0000-0000-000065470000}"/>
    <cellStyle name="나쁨 5 2" xfId="2352" xr:uid="{00000000-0005-0000-0000-000066470000}"/>
    <cellStyle name="나쁨 5 2 2" xfId="19150" xr:uid="{00000000-0005-0000-0000-000067470000}"/>
    <cellStyle name="나쁨 5 3" xfId="19151" xr:uid="{00000000-0005-0000-0000-000068470000}"/>
    <cellStyle name="나쁨 5 4" xfId="19152" xr:uid="{00000000-0005-0000-0000-000069470000}"/>
    <cellStyle name="나쁨 5 5" xfId="19153" xr:uid="{00000000-0005-0000-0000-00006A470000}"/>
    <cellStyle name="나쁨 5 6" xfId="19154" xr:uid="{00000000-0005-0000-0000-00006B470000}"/>
    <cellStyle name="나쁨 5 7" xfId="19155" xr:uid="{00000000-0005-0000-0000-00006C470000}"/>
    <cellStyle name="나쁨 5 8" xfId="19156" xr:uid="{00000000-0005-0000-0000-00006D470000}"/>
    <cellStyle name="나쁨 5 9" xfId="19157" xr:uid="{00000000-0005-0000-0000-00006E470000}"/>
    <cellStyle name="나쁨 6" xfId="2353" xr:uid="{00000000-0005-0000-0000-00006F470000}"/>
    <cellStyle name="나쁨 6 10" xfId="19159" xr:uid="{00000000-0005-0000-0000-000070470000}"/>
    <cellStyle name="나쁨 6 11" xfId="19160" xr:uid="{00000000-0005-0000-0000-000071470000}"/>
    <cellStyle name="나쁨 6 12" xfId="19161" xr:uid="{00000000-0005-0000-0000-000072470000}"/>
    <cellStyle name="나쁨 6 13" xfId="19162" xr:uid="{00000000-0005-0000-0000-000073470000}"/>
    <cellStyle name="나쁨 6 14" xfId="19163" xr:uid="{00000000-0005-0000-0000-000074470000}"/>
    <cellStyle name="나쁨 6 15" xfId="19158" xr:uid="{00000000-0005-0000-0000-000075470000}"/>
    <cellStyle name="나쁨 6 2" xfId="2354" xr:uid="{00000000-0005-0000-0000-000076470000}"/>
    <cellStyle name="나쁨 6 2 2" xfId="19164" xr:uid="{00000000-0005-0000-0000-000077470000}"/>
    <cellStyle name="나쁨 6 3" xfId="19165" xr:uid="{00000000-0005-0000-0000-000078470000}"/>
    <cellStyle name="나쁨 6 4" xfId="19166" xr:uid="{00000000-0005-0000-0000-000079470000}"/>
    <cellStyle name="나쁨 6 5" xfId="19167" xr:uid="{00000000-0005-0000-0000-00007A470000}"/>
    <cellStyle name="나쁨 6 6" xfId="19168" xr:uid="{00000000-0005-0000-0000-00007B470000}"/>
    <cellStyle name="나쁨 6 7" xfId="19169" xr:uid="{00000000-0005-0000-0000-00007C470000}"/>
    <cellStyle name="나쁨 6 8" xfId="19170" xr:uid="{00000000-0005-0000-0000-00007D470000}"/>
    <cellStyle name="나쁨 6 9" xfId="19171" xr:uid="{00000000-0005-0000-0000-00007E470000}"/>
    <cellStyle name="나쁨 7" xfId="2355" xr:uid="{00000000-0005-0000-0000-00007F470000}"/>
    <cellStyle name="나쁨 7 10" xfId="19173" xr:uid="{00000000-0005-0000-0000-000080470000}"/>
    <cellStyle name="나쁨 7 11" xfId="19174" xr:uid="{00000000-0005-0000-0000-000081470000}"/>
    <cellStyle name="나쁨 7 12" xfId="19175" xr:uid="{00000000-0005-0000-0000-000082470000}"/>
    <cellStyle name="나쁨 7 13" xfId="19176" xr:uid="{00000000-0005-0000-0000-000083470000}"/>
    <cellStyle name="나쁨 7 14" xfId="19177" xr:uid="{00000000-0005-0000-0000-000084470000}"/>
    <cellStyle name="나쁨 7 15" xfId="19172" xr:uid="{00000000-0005-0000-0000-000085470000}"/>
    <cellStyle name="나쁨 7 2" xfId="2356" xr:uid="{00000000-0005-0000-0000-000086470000}"/>
    <cellStyle name="나쁨 7 2 2" xfId="19178" xr:uid="{00000000-0005-0000-0000-000087470000}"/>
    <cellStyle name="나쁨 7 3" xfId="19179" xr:uid="{00000000-0005-0000-0000-000088470000}"/>
    <cellStyle name="나쁨 7 4" xfId="19180" xr:uid="{00000000-0005-0000-0000-000089470000}"/>
    <cellStyle name="나쁨 7 5" xfId="19181" xr:uid="{00000000-0005-0000-0000-00008A470000}"/>
    <cellStyle name="나쁨 7 6" xfId="19182" xr:uid="{00000000-0005-0000-0000-00008B470000}"/>
    <cellStyle name="나쁨 7 7" xfId="19183" xr:uid="{00000000-0005-0000-0000-00008C470000}"/>
    <cellStyle name="나쁨 7 8" xfId="19184" xr:uid="{00000000-0005-0000-0000-00008D470000}"/>
    <cellStyle name="나쁨 7 9" xfId="19185" xr:uid="{00000000-0005-0000-0000-00008E470000}"/>
    <cellStyle name="나쁨 8" xfId="2357" xr:uid="{00000000-0005-0000-0000-00008F470000}"/>
    <cellStyle name="나쁨 8 10" xfId="19187" xr:uid="{00000000-0005-0000-0000-000090470000}"/>
    <cellStyle name="나쁨 8 11" xfId="19188" xr:uid="{00000000-0005-0000-0000-000091470000}"/>
    <cellStyle name="나쁨 8 12" xfId="19189" xr:uid="{00000000-0005-0000-0000-000092470000}"/>
    <cellStyle name="나쁨 8 13" xfId="19190" xr:uid="{00000000-0005-0000-0000-000093470000}"/>
    <cellStyle name="나쁨 8 14" xfId="19191" xr:uid="{00000000-0005-0000-0000-000094470000}"/>
    <cellStyle name="나쁨 8 15" xfId="19186" xr:uid="{00000000-0005-0000-0000-000095470000}"/>
    <cellStyle name="나쁨 8 2" xfId="2358" xr:uid="{00000000-0005-0000-0000-000096470000}"/>
    <cellStyle name="나쁨 8 2 2" xfId="19192" xr:uid="{00000000-0005-0000-0000-000097470000}"/>
    <cellStyle name="나쁨 8 3" xfId="19193" xr:uid="{00000000-0005-0000-0000-000098470000}"/>
    <cellStyle name="나쁨 8 4" xfId="19194" xr:uid="{00000000-0005-0000-0000-000099470000}"/>
    <cellStyle name="나쁨 8 5" xfId="19195" xr:uid="{00000000-0005-0000-0000-00009A470000}"/>
    <cellStyle name="나쁨 8 6" xfId="19196" xr:uid="{00000000-0005-0000-0000-00009B470000}"/>
    <cellStyle name="나쁨 8 7" xfId="19197" xr:uid="{00000000-0005-0000-0000-00009C470000}"/>
    <cellStyle name="나쁨 8 8" xfId="19198" xr:uid="{00000000-0005-0000-0000-00009D470000}"/>
    <cellStyle name="나쁨 8 9" xfId="19199" xr:uid="{00000000-0005-0000-0000-00009E470000}"/>
    <cellStyle name="나쁨 9" xfId="2359" xr:uid="{00000000-0005-0000-0000-00009F470000}"/>
    <cellStyle name="나쁨 9 10" xfId="19201" xr:uid="{00000000-0005-0000-0000-0000A0470000}"/>
    <cellStyle name="나쁨 9 11" xfId="19202" xr:uid="{00000000-0005-0000-0000-0000A1470000}"/>
    <cellStyle name="나쁨 9 12" xfId="19203" xr:uid="{00000000-0005-0000-0000-0000A2470000}"/>
    <cellStyle name="나쁨 9 13" xfId="19204" xr:uid="{00000000-0005-0000-0000-0000A3470000}"/>
    <cellStyle name="나쁨 9 14" xfId="19205" xr:uid="{00000000-0005-0000-0000-0000A4470000}"/>
    <cellStyle name="나쁨 9 15" xfId="19200" xr:uid="{00000000-0005-0000-0000-0000A5470000}"/>
    <cellStyle name="나쁨 9 2" xfId="2360" xr:uid="{00000000-0005-0000-0000-0000A6470000}"/>
    <cellStyle name="나쁨 9 2 2" xfId="19206" xr:uid="{00000000-0005-0000-0000-0000A7470000}"/>
    <cellStyle name="나쁨 9 3" xfId="19207" xr:uid="{00000000-0005-0000-0000-0000A8470000}"/>
    <cellStyle name="나쁨 9 4" xfId="19208" xr:uid="{00000000-0005-0000-0000-0000A9470000}"/>
    <cellStyle name="나쁨 9 5" xfId="19209" xr:uid="{00000000-0005-0000-0000-0000AA470000}"/>
    <cellStyle name="나쁨 9 6" xfId="19210" xr:uid="{00000000-0005-0000-0000-0000AB470000}"/>
    <cellStyle name="나쁨 9 7" xfId="19211" xr:uid="{00000000-0005-0000-0000-0000AC470000}"/>
    <cellStyle name="나쁨 9 8" xfId="19212" xr:uid="{00000000-0005-0000-0000-0000AD470000}"/>
    <cellStyle name="나쁨 9 9" xfId="19213" xr:uid="{00000000-0005-0000-0000-0000AE470000}"/>
    <cellStyle name="날짜" xfId="27961" xr:uid="{00000000-0005-0000-0000-0000AF470000}"/>
    <cellStyle name="날짜 2" xfId="28216" xr:uid="{00000000-0005-0000-0000-0000B0470000}"/>
    <cellStyle name="데이터없음" xfId="27962" xr:uid="{00000000-0005-0000-0000-0000B1470000}"/>
    <cellStyle name="뒤에 오는 하이퍼링크_11호선2002" xfId="27963" xr:uid="{00000000-0005-0000-0000-0000B2470000}"/>
    <cellStyle name="똿뗦먛귟 [0.00]_PRODUCT DETAIL Q1" xfId="27964" xr:uid="{00000000-0005-0000-0000-0000B3470000}"/>
    <cellStyle name="똿뗦먛귟_PRODUCT DETAIL Q1" xfId="27965" xr:uid="{00000000-0005-0000-0000-0000B4470000}"/>
    <cellStyle name="메모 10" xfId="2362" xr:uid="{00000000-0005-0000-0000-0000B5470000}"/>
    <cellStyle name="메모 10 10" xfId="19216" xr:uid="{00000000-0005-0000-0000-0000B6470000}"/>
    <cellStyle name="메모 10 11" xfId="19217" xr:uid="{00000000-0005-0000-0000-0000B7470000}"/>
    <cellStyle name="메모 10 12" xfId="19218" xr:uid="{00000000-0005-0000-0000-0000B8470000}"/>
    <cellStyle name="메모 10 13" xfId="19219" xr:uid="{00000000-0005-0000-0000-0000B9470000}"/>
    <cellStyle name="메모 10 14" xfId="19220" xr:uid="{00000000-0005-0000-0000-0000BA470000}"/>
    <cellStyle name="메모 10 15" xfId="19215" xr:uid="{00000000-0005-0000-0000-0000BB470000}"/>
    <cellStyle name="메모 10 16" xfId="27618" xr:uid="{00000000-0005-0000-0000-0000BC470000}"/>
    <cellStyle name="메모 10 2" xfId="2363" xr:uid="{00000000-0005-0000-0000-0000BD470000}"/>
    <cellStyle name="메모 10 2 2" xfId="19221" xr:uid="{00000000-0005-0000-0000-0000BE470000}"/>
    <cellStyle name="메모 10 3" xfId="19222" xr:uid="{00000000-0005-0000-0000-0000BF470000}"/>
    <cellStyle name="메모 10 4" xfId="19223" xr:uid="{00000000-0005-0000-0000-0000C0470000}"/>
    <cellStyle name="메모 10 5" xfId="19224" xr:uid="{00000000-0005-0000-0000-0000C1470000}"/>
    <cellStyle name="메모 10 6" xfId="19225" xr:uid="{00000000-0005-0000-0000-0000C2470000}"/>
    <cellStyle name="메모 10 7" xfId="19226" xr:uid="{00000000-0005-0000-0000-0000C3470000}"/>
    <cellStyle name="메모 10 8" xfId="19227" xr:uid="{00000000-0005-0000-0000-0000C4470000}"/>
    <cellStyle name="메모 10 9" xfId="19228" xr:uid="{00000000-0005-0000-0000-0000C5470000}"/>
    <cellStyle name="메모 11" xfId="2364" xr:uid="{00000000-0005-0000-0000-0000C6470000}"/>
    <cellStyle name="메모 11 10" xfId="19230" xr:uid="{00000000-0005-0000-0000-0000C7470000}"/>
    <cellStyle name="메모 11 11" xfId="19231" xr:uid="{00000000-0005-0000-0000-0000C8470000}"/>
    <cellStyle name="메모 11 12" xfId="19232" xr:uid="{00000000-0005-0000-0000-0000C9470000}"/>
    <cellStyle name="메모 11 13" xfId="19233" xr:uid="{00000000-0005-0000-0000-0000CA470000}"/>
    <cellStyle name="메모 11 14" xfId="19234" xr:uid="{00000000-0005-0000-0000-0000CB470000}"/>
    <cellStyle name="메모 11 15" xfId="19229" xr:uid="{00000000-0005-0000-0000-0000CC470000}"/>
    <cellStyle name="메모 11 16" xfId="27617" xr:uid="{00000000-0005-0000-0000-0000CD470000}"/>
    <cellStyle name="메모 11 2" xfId="2365" xr:uid="{00000000-0005-0000-0000-0000CE470000}"/>
    <cellStyle name="메모 11 2 2" xfId="19235" xr:uid="{00000000-0005-0000-0000-0000CF470000}"/>
    <cellStyle name="메모 11 3" xfId="19236" xr:uid="{00000000-0005-0000-0000-0000D0470000}"/>
    <cellStyle name="메모 11 4" xfId="19237" xr:uid="{00000000-0005-0000-0000-0000D1470000}"/>
    <cellStyle name="메모 11 5" xfId="19238" xr:uid="{00000000-0005-0000-0000-0000D2470000}"/>
    <cellStyle name="메모 11 6" xfId="19239" xr:uid="{00000000-0005-0000-0000-0000D3470000}"/>
    <cellStyle name="메모 11 7" xfId="19240" xr:uid="{00000000-0005-0000-0000-0000D4470000}"/>
    <cellStyle name="메모 11 8" xfId="19241" xr:uid="{00000000-0005-0000-0000-0000D5470000}"/>
    <cellStyle name="메모 11 9" xfId="19242" xr:uid="{00000000-0005-0000-0000-0000D6470000}"/>
    <cellStyle name="메모 12" xfId="2366" xr:uid="{00000000-0005-0000-0000-0000D7470000}"/>
    <cellStyle name="메모 12 10" xfId="19244" xr:uid="{00000000-0005-0000-0000-0000D8470000}"/>
    <cellStyle name="메모 12 11" xfId="19245" xr:uid="{00000000-0005-0000-0000-0000D9470000}"/>
    <cellStyle name="메모 12 12" xfId="19246" xr:uid="{00000000-0005-0000-0000-0000DA470000}"/>
    <cellStyle name="메모 12 13" xfId="19247" xr:uid="{00000000-0005-0000-0000-0000DB470000}"/>
    <cellStyle name="메모 12 14" xfId="19248" xr:uid="{00000000-0005-0000-0000-0000DC470000}"/>
    <cellStyle name="메모 12 15" xfId="19243" xr:uid="{00000000-0005-0000-0000-0000DD470000}"/>
    <cellStyle name="메모 12 16" xfId="27616" xr:uid="{00000000-0005-0000-0000-0000DE470000}"/>
    <cellStyle name="메모 12 2" xfId="2367" xr:uid="{00000000-0005-0000-0000-0000DF470000}"/>
    <cellStyle name="메모 12 2 2" xfId="19249" xr:uid="{00000000-0005-0000-0000-0000E0470000}"/>
    <cellStyle name="메모 12 3" xfId="19250" xr:uid="{00000000-0005-0000-0000-0000E1470000}"/>
    <cellStyle name="메모 12 4" xfId="19251" xr:uid="{00000000-0005-0000-0000-0000E2470000}"/>
    <cellStyle name="메모 12 5" xfId="19252" xr:uid="{00000000-0005-0000-0000-0000E3470000}"/>
    <cellStyle name="메모 12 6" xfId="19253" xr:uid="{00000000-0005-0000-0000-0000E4470000}"/>
    <cellStyle name="메모 12 7" xfId="19254" xr:uid="{00000000-0005-0000-0000-0000E5470000}"/>
    <cellStyle name="메모 12 8" xfId="19255" xr:uid="{00000000-0005-0000-0000-0000E6470000}"/>
    <cellStyle name="메모 12 9" xfId="19256" xr:uid="{00000000-0005-0000-0000-0000E7470000}"/>
    <cellStyle name="메모 13" xfId="2368" xr:uid="{00000000-0005-0000-0000-0000E8470000}"/>
    <cellStyle name="메모 13 10" xfId="19258" xr:uid="{00000000-0005-0000-0000-0000E9470000}"/>
    <cellStyle name="메모 13 11" xfId="19259" xr:uid="{00000000-0005-0000-0000-0000EA470000}"/>
    <cellStyle name="메모 13 12" xfId="19260" xr:uid="{00000000-0005-0000-0000-0000EB470000}"/>
    <cellStyle name="메모 13 13" xfId="19261" xr:uid="{00000000-0005-0000-0000-0000EC470000}"/>
    <cellStyle name="메모 13 14" xfId="19262" xr:uid="{00000000-0005-0000-0000-0000ED470000}"/>
    <cellStyle name="메모 13 15" xfId="19257" xr:uid="{00000000-0005-0000-0000-0000EE470000}"/>
    <cellStyle name="메모 13 16" xfId="27615" xr:uid="{00000000-0005-0000-0000-0000EF470000}"/>
    <cellStyle name="메모 13 2" xfId="2369" xr:uid="{00000000-0005-0000-0000-0000F0470000}"/>
    <cellStyle name="메모 13 2 2" xfId="19263" xr:uid="{00000000-0005-0000-0000-0000F1470000}"/>
    <cellStyle name="메모 13 3" xfId="19264" xr:uid="{00000000-0005-0000-0000-0000F2470000}"/>
    <cellStyle name="메모 13 4" xfId="19265" xr:uid="{00000000-0005-0000-0000-0000F3470000}"/>
    <cellStyle name="메모 13 5" xfId="19266" xr:uid="{00000000-0005-0000-0000-0000F4470000}"/>
    <cellStyle name="메모 13 6" xfId="19267" xr:uid="{00000000-0005-0000-0000-0000F5470000}"/>
    <cellStyle name="메모 13 7" xfId="19268" xr:uid="{00000000-0005-0000-0000-0000F6470000}"/>
    <cellStyle name="메모 13 8" xfId="19269" xr:uid="{00000000-0005-0000-0000-0000F7470000}"/>
    <cellStyle name="메모 13 9" xfId="19270" xr:uid="{00000000-0005-0000-0000-0000F8470000}"/>
    <cellStyle name="메모 14" xfId="2370" xr:uid="{00000000-0005-0000-0000-0000F9470000}"/>
    <cellStyle name="메모 14 10" xfId="19272" xr:uid="{00000000-0005-0000-0000-0000FA470000}"/>
    <cellStyle name="메모 14 11" xfId="19273" xr:uid="{00000000-0005-0000-0000-0000FB470000}"/>
    <cellStyle name="메모 14 12" xfId="19274" xr:uid="{00000000-0005-0000-0000-0000FC470000}"/>
    <cellStyle name="메모 14 13" xfId="19275" xr:uid="{00000000-0005-0000-0000-0000FD470000}"/>
    <cellStyle name="메모 14 14" xfId="19276" xr:uid="{00000000-0005-0000-0000-0000FE470000}"/>
    <cellStyle name="메모 14 15" xfId="19271" xr:uid="{00000000-0005-0000-0000-0000FF470000}"/>
    <cellStyle name="메모 14 16" xfId="27614" xr:uid="{00000000-0005-0000-0000-000000480000}"/>
    <cellStyle name="메모 14 2" xfId="2371" xr:uid="{00000000-0005-0000-0000-000001480000}"/>
    <cellStyle name="메모 14 2 2" xfId="19277" xr:uid="{00000000-0005-0000-0000-000002480000}"/>
    <cellStyle name="메모 14 3" xfId="19278" xr:uid="{00000000-0005-0000-0000-000003480000}"/>
    <cellStyle name="메모 14 4" xfId="19279" xr:uid="{00000000-0005-0000-0000-000004480000}"/>
    <cellStyle name="메모 14 5" xfId="19280" xr:uid="{00000000-0005-0000-0000-000005480000}"/>
    <cellStyle name="메모 14 6" xfId="19281" xr:uid="{00000000-0005-0000-0000-000006480000}"/>
    <cellStyle name="메모 14 7" xfId="19282" xr:uid="{00000000-0005-0000-0000-000007480000}"/>
    <cellStyle name="메모 14 8" xfId="19283" xr:uid="{00000000-0005-0000-0000-000008480000}"/>
    <cellStyle name="메모 14 9" xfId="19284" xr:uid="{00000000-0005-0000-0000-000009480000}"/>
    <cellStyle name="메모 15" xfId="2372" xr:uid="{00000000-0005-0000-0000-00000A480000}"/>
    <cellStyle name="메모 15 10" xfId="19286" xr:uid="{00000000-0005-0000-0000-00000B480000}"/>
    <cellStyle name="메모 15 11" xfId="19287" xr:uid="{00000000-0005-0000-0000-00000C480000}"/>
    <cellStyle name="메모 15 12" xfId="19288" xr:uid="{00000000-0005-0000-0000-00000D480000}"/>
    <cellStyle name="메모 15 13" xfId="19289" xr:uid="{00000000-0005-0000-0000-00000E480000}"/>
    <cellStyle name="메모 15 14" xfId="19290" xr:uid="{00000000-0005-0000-0000-00000F480000}"/>
    <cellStyle name="메모 15 15" xfId="19285" xr:uid="{00000000-0005-0000-0000-000010480000}"/>
    <cellStyle name="메모 15 16" xfId="27613" xr:uid="{00000000-0005-0000-0000-000011480000}"/>
    <cellStyle name="메모 15 2" xfId="2373" xr:uid="{00000000-0005-0000-0000-000012480000}"/>
    <cellStyle name="메모 15 2 2" xfId="19291" xr:uid="{00000000-0005-0000-0000-000013480000}"/>
    <cellStyle name="메모 15 3" xfId="19292" xr:uid="{00000000-0005-0000-0000-000014480000}"/>
    <cellStyle name="메모 15 4" xfId="19293" xr:uid="{00000000-0005-0000-0000-000015480000}"/>
    <cellStyle name="메모 15 5" xfId="19294" xr:uid="{00000000-0005-0000-0000-000016480000}"/>
    <cellStyle name="메모 15 6" xfId="19295" xr:uid="{00000000-0005-0000-0000-000017480000}"/>
    <cellStyle name="메모 15 7" xfId="19296" xr:uid="{00000000-0005-0000-0000-000018480000}"/>
    <cellStyle name="메모 15 8" xfId="19297" xr:uid="{00000000-0005-0000-0000-000019480000}"/>
    <cellStyle name="메모 15 9" xfId="19298" xr:uid="{00000000-0005-0000-0000-00001A480000}"/>
    <cellStyle name="메모 16" xfId="2374" xr:uid="{00000000-0005-0000-0000-00001B480000}"/>
    <cellStyle name="메모 16 10" xfId="19300" xr:uid="{00000000-0005-0000-0000-00001C480000}"/>
    <cellStyle name="메모 16 11" xfId="19301" xr:uid="{00000000-0005-0000-0000-00001D480000}"/>
    <cellStyle name="메모 16 12" xfId="19302" xr:uid="{00000000-0005-0000-0000-00001E480000}"/>
    <cellStyle name="메모 16 13" xfId="19303" xr:uid="{00000000-0005-0000-0000-00001F480000}"/>
    <cellStyle name="메모 16 14" xfId="19304" xr:uid="{00000000-0005-0000-0000-000020480000}"/>
    <cellStyle name="메모 16 15" xfId="19299" xr:uid="{00000000-0005-0000-0000-000021480000}"/>
    <cellStyle name="메모 16 16" xfId="27612" xr:uid="{00000000-0005-0000-0000-000022480000}"/>
    <cellStyle name="메모 16 2" xfId="2375" xr:uid="{00000000-0005-0000-0000-000023480000}"/>
    <cellStyle name="메모 16 2 2" xfId="19305" xr:uid="{00000000-0005-0000-0000-000024480000}"/>
    <cellStyle name="메모 16 3" xfId="19306" xr:uid="{00000000-0005-0000-0000-000025480000}"/>
    <cellStyle name="메모 16 4" xfId="19307" xr:uid="{00000000-0005-0000-0000-000026480000}"/>
    <cellStyle name="메모 16 5" xfId="19308" xr:uid="{00000000-0005-0000-0000-000027480000}"/>
    <cellStyle name="메모 16 6" xfId="19309" xr:uid="{00000000-0005-0000-0000-000028480000}"/>
    <cellStyle name="메모 16 7" xfId="19310" xr:uid="{00000000-0005-0000-0000-000029480000}"/>
    <cellStyle name="메모 16 8" xfId="19311" xr:uid="{00000000-0005-0000-0000-00002A480000}"/>
    <cellStyle name="메모 16 9" xfId="19312" xr:uid="{00000000-0005-0000-0000-00002B480000}"/>
    <cellStyle name="메모 17" xfId="2376" xr:uid="{00000000-0005-0000-0000-00002C480000}"/>
    <cellStyle name="메모 17 10" xfId="19314" xr:uid="{00000000-0005-0000-0000-00002D480000}"/>
    <cellStyle name="메모 17 11" xfId="19315" xr:uid="{00000000-0005-0000-0000-00002E480000}"/>
    <cellStyle name="메모 17 12" xfId="19316" xr:uid="{00000000-0005-0000-0000-00002F480000}"/>
    <cellStyle name="메모 17 13" xfId="19317" xr:uid="{00000000-0005-0000-0000-000030480000}"/>
    <cellStyle name="메모 17 14" xfId="19318" xr:uid="{00000000-0005-0000-0000-000031480000}"/>
    <cellStyle name="메모 17 15" xfId="19313" xr:uid="{00000000-0005-0000-0000-000032480000}"/>
    <cellStyle name="메모 17 16" xfId="27611" xr:uid="{00000000-0005-0000-0000-000033480000}"/>
    <cellStyle name="메모 17 2" xfId="2377" xr:uid="{00000000-0005-0000-0000-000034480000}"/>
    <cellStyle name="메모 17 2 2" xfId="19319" xr:uid="{00000000-0005-0000-0000-000035480000}"/>
    <cellStyle name="메모 17 3" xfId="19320" xr:uid="{00000000-0005-0000-0000-000036480000}"/>
    <cellStyle name="메모 17 4" xfId="19321" xr:uid="{00000000-0005-0000-0000-000037480000}"/>
    <cellStyle name="메모 17 5" xfId="19322" xr:uid="{00000000-0005-0000-0000-000038480000}"/>
    <cellStyle name="메모 17 6" xfId="19323" xr:uid="{00000000-0005-0000-0000-000039480000}"/>
    <cellStyle name="메모 17 7" xfId="19324" xr:uid="{00000000-0005-0000-0000-00003A480000}"/>
    <cellStyle name="메모 17 8" xfId="19325" xr:uid="{00000000-0005-0000-0000-00003B480000}"/>
    <cellStyle name="메모 17 9" xfId="19326" xr:uid="{00000000-0005-0000-0000-00003C480000}"/>
    <cellStyle name="메모 18" xfId="2378" xr:uid="{00000000-0005-0000-0000-00003D480000}"/>
    <cellStyle name="메모 18 10" xfId="19328" xr:uid="{00000000-0005-0000-0000-00003E480000}"/>
    <cellStyle name="메모 18 11" xfId="19329" xr:uid="{00000000-0005-0000-0000-00003F480000}"/>
    <cellStyle name="메모 18 12" xfId="19330" xr:uid="{00000000-0005-0000-0000-000040480000}"/>
    <cellStyle name="메모 18 13" xfId="19331" xr:uid="{00000000-0005-0000-0000-000041480000}"/>
    <cellStyle name="메모 18 14" xfId="19332" xr:uid="{00000000-0005-0000-0000-000042480000}"/>
    <cellStyle name="메모 18 15" xfId="19327" xr:uid="{00000000-0005-0000-0000-000043480000}"/>
    <cellStyle name="메모 18 16" xfId="27610" xr:uid="{00000000-0005-0000-0000-000044480000}"/>
    <cellStyle name="메모 18 2" xfId="2379" xr:uid="{00000000-0005-0000-0000-000045480000}"/>
    <cellStyle name="메모 18 2 2" xfId="19333" xr:uid="{00000000-0005-0000-0000-000046480000}"/>
    <cellStyle name="메모 18 3" xfId="19334" xr:uid="{00000000-0005-0000-0000-000047480000}"/>
    <cellStyle name="메모 18 4" xfId="19335" xr:uid="{00000000-0005-0000-0000-000048480000}"/>
    <cellStyle name="메모 18 5" xfId="19336" xr:uid="{00000000-0005-0000-0000-000049480000}"/>
    <cellStyle name="메모 18 6" xfId="19337" xr:uid="{00000000-0005-0000-0000-00004A480000}"/>
    <cellStyle name="메모 18 7" xfId="19338" xr:uid="{00000000-0005-0000-0000-00004B480000}"/>
    <cellStyle name="메모 18 8" xfId="19339" xr:uid="{00000000-0005-0000-0000-00004C480000}"/>
    <cellStyle name="메모 18 9" xfId="19340" xr:uid="{00000000-0005-0000-0000-00004D480000}"/>
    <cellStyle name="메모 19" xfId="2380" xr:uid="{00000000-0005-0000-0000-00004E480000}"/>
    <cellStyle name="메모 19 10" xfId="19342" xr:uid="{00000000-0005-0000-0000-00004F480000}"/>
    <cellStyle name="메모 19 11" xfId="19343" xr:uid="{00000000-0005-0000-0000-000050480000}"/>
    <cellStyle name="메모 19 12" xfId="19344" xr:uid="{00000000-0005-0000-0000-000051480000}"/>
    <cellStyle name="메모 19 13" xfId="19345" xr:uid="{00000000-0005-0000-0000-000052480000}"/>
    <cellStyle name="메모 19 14" xfId="19346" xr:uid="{00000000-0005-0000-0000-000053480000}"/>
    <cellStyle name="메모 19 15" xfId="19341" xr:uid="{00000000-0005-0000-0000-000054480000}"/>
    <cellStyle name="메모 19 16" xfId="27609" xr:uid="{00000000-0005-0000-0000-000055480000}"/>
    <cellStyle name="메모 19 2" xfId="2381" xr:uid="{00000000-0005-0000-0000-000056480000}"/>
    <cellStyle name="메모 19 2 2" xfId="19347" xr:uid="{00000000-0005-0000-0000-000057480000}"/>
    <cellStyle name="메모 19 3" xfId="19348" xr:uid="{00000000-0005-0000-0000-000058480000}"/>
    <cellStyle name="메모 19 4" xfId="19349" xr:uid="{00000000-0005-0000-0000-000059480000}"/>
    <cellStyle name="메모 19 5" xfId="19350" xr:uid="{00000000-0005-0000-0000-00005A480000}"/>
    <cellStyle name="메모 19 6" xfId="19351" xr:uid="{00000000-0005-0000-0000-00005B480000}"/>
    <cellStyle name="메모 19 7" xfId="19352" xr:uid="{00000000-0005-0000-0000-00005C480000}"/>
    <cellStyle name="메모 19 8" xfId="19353" xr:uid="{00000000-0005-0000-0000-00005D480000}"/>
    <cellStyle name="메모 19 9" xfId="19354" xr:uid="{00000000-0005-0000-0000-00005E480000}"/>
    <cellStyle name="메모 2" xfId="2382" xr:uid="{00000000-0005-0000-0000-00005F480000}"/>
    <cellStyle name="메모 2 10" xfId="19356" xr:uid="{00000000-0005-0000-0000-000060480000}"/>
    <cellStyle name="메모 2 11" xfId="19357" xr:uid="{00000000-0005-0000-0000-000061480000}"/>
    <cellStyle name="메모 2 12" xfId="19358" xr:uid="{00000000-0005-0000-0000-000062480000}"/>
    <cellStyle name="메모 2 13" xfId="19359" xr:uid="{00000000-0005-0000-0000-000063480000}"/>
    <cellStyle name="메모 2 14" xfId="19360" xr:uid="{00000000-0005-0000-0000-000064480000}"/>
    <cellStyle name="메모 2 15" xfId="19355" xr:uid="{00000000-0005-0000-0000-000065480000}"/>
    <cellStyle name="메모 2 16" xfId="27608" xr:uid="{00000000-0005-0000-0000-000066480000}"/>
    <cellStyle name="메모 2 2" xfId="2383" xr:uid="{00000000-0005-0000-0000-000067480000}"/>
    <cellStyle name="메모 2 2 2" xfId="19361" xr:uid="{00000000-0005-0000-0000-000068480000}"/>
    <cellStyle name="메모 2 3" xfId="19362" xr:uid="{00000000-0005-0000-0000-000069480000}"/>
    <cellStyle name="메모 2 4" xfId="19363" xr:uid="{00000000-0005-0000-0000-00006A480000}"/>
    <cellStyle name="메모 2 5" xfId="19364" xr:uid="{00000000-0005-0000-0000-00006B480000}"/>
    <cellStyle name="메모 2 6" xfId="19365" xr:uid="{00000000-0005-0000-0000-00006C480000}"/>
    <cellStyle name="메모 2 7" xfId="19366" xr:uid="{00000000-0005-0000-0000-00006D480000}"/>
    <cellStyle name="메모 2 8" xfId="19367" xr:uid="{00000000-0005-0000-0000-00006E480000}"/>
    <cellStyle name="메모 2 9" xfId="19368" xr:uid="{00000000-0005-0000-0000-00006F480000}"/>
    <cellStyle name="메모 20" xfId="2384" xr:uid="{00000000-0005-0000-0000-000070480000}"/>
    <cellStyle name="메모 20 10" xfId="19370" xr:uid="{00000000-0005-0000-0000-000071480000}"/>
    <cellStyle name="메모 20 11" xfId="19371" xr:uid="{00000000-0005-0000-0000-000072480000}"/>
    <cellStyle name="메모 20 12" xfId="19372" xr:uid="{00000000-0005-0000-0000-000073480000}"/>
    <cellStyle name="메모 20 13" xfId="19373" xr:uid="{00000000-0005-0000-0000-000074480000}"/>
    <cellStyle name="메모 20 14" xfId="19374" xr:uid="{00000000-0005-0000-0000-000075480000}"/>
    <cellStyle name="메모 20 15" xfId="19369" xr:uid="{00000000-0005-0000-0000-000076480000}"/>
    <cellStyle name="메모 20 16" xfId="27607" xr:uid="{00000000-0005-0000-0000-000077480000}"/>
    <cellStyle name="메모 20 2" xfId="2385" xr:uid="{00000000-0005-0000-0000-000078480000}"/>
    <cellStyle name="메모 20 2 2" xfId="19375" xr:uid="{00000000-0005-0000-0000-000079480000}"/>
    <cellStyle name="메모 20 3" xfId="19376" xr:uid="{00000000-0005-0000-0000-00007A480000}"/>
    <cellStyle name="메모 20 4" xfId="19377" xr:uid="{00000000-0005-0000-0000-00007B480000}"/>
    <cellStyle name="메모 20 5" xfId="19378" xr:uid="{00000000-0005-0000-0000-00007C480000}"/>
    <cellStyle name="메모 20 6" xfId="19379" xr:uid="{00000000-0005-0000-0000-00007D480000}"/>
    <cellStyle name="메모 20 7" xfId="19380" xr:uid="{00000000-0005-0000-0000-00007E480000}"/>
    <cellStyle name="메모 20 8" xfId="19381" xr:uid="{00000000-0005-0000-0000-00007F480000}"/>
    <cellStyle name="메모 20 9" xfId="19382" xr:uid="{00000000-0005-0000-0000-000080480000}"/>
    <cellStyle name="메모 21" xfId="2386" xr:uid="{00000000-0005-0000-0000-000081480000}"/>
    <cellStyle name="메모 21 10" xfId="19384" xr:uid="{00000000-0005-0000-0000-000082480000}"/>
    <cellStyle name="메모 21 11" xfId="19385" xr:uid="{00000000-0005-0000-0000-000083480000}"/>
    <cellStyle name="메모 21 12" xfId="19386" xr:uid="{00000000-0005-0000-0000-000084480000}"/>
    <cellStyle name="메모 21 13" xfId="19387" xr:uid="{00000000-0005-0000-0000-000085480000}"/>
    <cellStyle name="메모 21 14" xfId="19388" xr:uid="{00000000-0005-0000-0000-000086480000}"/>
    <cellStyle name="메모 21 15" xfId="19383" xr:uid="{00000000-0005-0000-0000-000087480000}"/>
    <cellStyle name="메모 21 16" xfId="27606" xr:uid="{00000000-0005-0000-0000-000088480000}"/>
    <cellStyle name="메모 21 2" xfId="2387" xr:uid="{00000000-0005-0000-0000-000089480000}"/>
    <cellStyle name="메모 21 2 2" xfId="19389" xr:uid="{00000000-0005-0000-0000-00008A480000}"/>
    <cellStyle name="메모 21 3" xfId="19390" xr:uid="{00000000-0005-0000-0000-00008B480000}"/>
    <cellStyle name="메모 21 4" xfId="19391" xr:uid="{00000000-0005-0000-0000-00008C480000}"/>
    <cellStyle name="메모 21 5" xfId="19392" xr:uid="{00000000-0005-0000-0000-00008D480000}"/>
    <cellStyle name="메모 21 6" xfId="19393" xr:uid="{00000000-0005-0000-0000-00008E480000}"/>
    <cellStyle name="메모 21 7" xfId="19394" xr:uid="{00000000-0005-0000-0000-00008F480000}"/>
    <cellStyle name="메모 21 8" xfId="19395" xr:uid="{00000000-0005-0000-0000-000090480000}"/>
    <cellStyle name="메모 21 9" xfId="19396" xr:uid="{00000000-0005-0000-0000-000091480000}"/>
    <cellStyle name="메모 22" xfId="2388" xr:uid="{00000000-0005-0000-0000-000092480000}"/>
    <cellStyle name="메모 22 10" xfId="19398" xr:uid="{00000000-0005-0000-0000-000093480000}"/>
    <cellStyle name="메모 22 11" xfId="19399" xr:uid="{00000000-0005-0000-0000-000094480000}"/>
    <cellStyle name="메모 22 12" xfId="19400" xr:uid="{00000000-0005-0000-0000-000095480000}"/>
    <cellStyle name="메모 22 13" xfId="19401" xr:uid="{00000000-0005-0000-0000-000096480000}"/>
    <cellStyle name="메모 22 14" xfId="19402" xr:uid="{00000000-0005-0000-0000-000097480000}"/>
    <cellStyle name="메모 22 15" xfId="19397" xr:uid="{00000000-0005-0000-0000-000098480000}"/>
    <cellStyle name="메모 22 16" xfId="27605" xr:uid="{00000000-0005-0000-0000-000099480000}"/>
    <cellStyle name="메모 22 2" xfId="2389" xr:uid="{00000000-0005-0000-0000-00009A480000}"/>
    <cellStyle name="메모 22 2 2" xfId="19403" xr:uid="{00000000-0005-0000-0000-00009B480000}"/>
    <cellStyle name="메모 22 3" xfId="19404" xr:uid="{00000000-0005-0000-0000-00009C480000}"/>
    <cellStyle name="메모 22 4" xfId="19405" xr:uid="{00000000-0005-0000-0000-00009D480000}"/>
    <cellStyle name="메모 22 5" xfId="19406" xr:uid="{00000000-0005-0000-0000-00009E480000}"/>
    <cellStyle name="메모 22 6" xfId="19407" xr:uid="{00000000-0005-0000-0000-00009F480000}"/>
    <cellStyle name="메모 22 7" xfId="19408" xr:uid="{00000000-0005-0000-0000-0000A0480000}"/>
    <cellStyle name="메모 22 8" xfId="19409" xr:uid="{00000000-0005-0000-0000-0000A1480000}"/>
    <cellStyle name="메모 22 9" xfId="19410" xr:uid="{00000000-0005-0000-0000-0000A2480000}"/>
    <cellStyle name="메모 23" xfId="2390" xr:uid="{00000000-0005-0000-0000-0000A3480000}"/>
    <cellStyle name="메모 23 10" xfId="19412" xr:uid="{00000000-0005-0000-0000-0000A4480000}"/>
    <cellStyle name="메모 23 11" xfId="19413" xr:uid="{00000000-0005-0000-0000-0000A5480000}"/>
    <cellStyle name="메모 23 12" xfId="19414" xr:uid="{00000000-0005-0000-0000-0000A6480000}"/>
    <cellStyle name="메모 23 13" xfId="19415" xr:uid="{00000000-0005-0000-0000-0000A7480000}"/>
    <cellStyle name="메모 23 14" xfId="19416" xr:uid="{00000000-0005-0000-0000-0000A8480000}"/>
    <cellStyle name="메모 23 15" xfId="19411" xr:uid="{00000000-0005-0000-0000-0000A9480000}"/>
    <cellStyle name="메모 23 16" xfId="27604" xr:uid="{00000000-0005-0000-0000-0000AA480000}"/>
    <cellStyle name="메모 23 2" xfId="2391" xr:uid="{00000000-0005-0000-0000-0000AB480000}"/>
    <cellStyle name="메모 23 2 2" xfId="19417" xr:uid="{00000000-0005-0000-0000-0000AC480000}"/>
    <cellStyle name="메모 23 3" xfId="19418" xr:uid="{00000000-0005-0000-0000-0000AD480000}"/>
    <cellStyle name="메모 23 4" xfId="19419" xr:uid="{00000000-0005-0000-0000-0000AE480000}"/>
    <cellStyle name="메모 23 5" xfId="19420" xr:uid="{00000000-0005-0000-0000-0000AF480000}"/>
    <cellStyle name="메모 23 6" xfId="19421" xr:uid="{00000000-0005-0000-0000-0000B0480000}"/>
    <cellStyle name="메모 23 7" xfId="19422" xr:uid="{00000000-0005-0000-0000-0000B1480000}"/>
    <cellStyle name="메모 23 8" xfId="19423" xr:uid="{00000000-0005-0000-0000-0000B2480000}"/>
    <cellStyle name="메모 23 9" xfId="19424" xr:uid="{00000000-0005-0000-0000-0000B3480000}"/>
    <cellStyle name="메모 24" xfId="2392" xr:uid="{00000000-0005-0000-0000-0000B4480000}"/>
    <cellStyle name="메모 24 10" xfId="19426" xr:uid="{00000000-0005-0000-0000-0000B5480000}"/>
    <cellStyle name="메모 24 11" xfId="19427" xr:uid="{00000000-0005-0000-0000-0000B6480000}"/>
    <cellStyle name="메모 24 12" xfId="19428" xr:uid="{00000000-0005-0000-0000-0000B7480000}"/>
    <cellStyle name="메모 24 13" xfId="19429" xr:uid="{00000000-0005-0000-0000-0000B8480000}"/>
    <cellStyle name="메모 24 14" xfId="19430" xr:uid="{00000000-0005-0000-0000-0000B9480000}"/>
    <cellStyle name="메모 24 15" xfId="19425" xr:uid="{00000000-0005-0000-0000-0000BA480000}"/>
    <cellStyle name="메모 24 16" xfId="27603" xr:uid="{00000000-0005-0000-0000-0000BB480000}"/>
    <cellStyle name="메모 24 2" xfId="2393" xr:uid="{00000000-0005-0000-0000-0000BC480000}"/>
    <cellStyle name="메모 24 2 2" xfId="19431" xr:uid="{00000000-0005-0000-0000-0000BD480000}"/>
    <cellStyle name="메모 24 3" xfId="19432" xr:uid="{00000000-0005-0000-0000-0000BE480000}"/>
    <cellStyle name="메모 24 4" xfId="19433" xr:uid="{00000000-0005-0000-0000-0000BF480000}"/>
    <cellStyle name="메모 24 5" xfId="19434" xr:uid="{00000000-0005-0000-0000-0000C0480000}"/>
    <cellStyle name="메모 24 6" xfId="19435" xr:uid="{00000000-0005-0000-0000-0000C1480000}"/>
    <cellStyle name="메모 24 7" xfId="19436" xr:uid="{00000000-0005-0000-0000-0000C2480000}"/>
    <cellStyle name="메모 24 8" xfId="19437" xr:uid="{00000000-0005-0000-0000-0000C3480000}"/>
    <cellStyle name="메모 24 9" xfId="19438" xr:uid="{00000000-0005-0000-0000-0000C4480000}"/>
    <cellStyle name="메모 25" xfId="2394" xr:uid="{00000000-0005-0000-0000-0000C5480000}"/>
    <cellStyle name="메모 25 10" xfId="19440" xr:uid="{00000000-0005-0000-0000-0000C6480000}"/>
    <cellStyle name="메모 25 11" xfId="19441" xr:uid="{00000000-0005-0000-0000-0000C7480000}"/>
    <cellStyle name="메모 25 12" xfId="19442" xr:uid="{00000000-0005-0000-0000-0000C8480000}"/>
    <cellStyle name="메모 25 13" xfId="19443" xr:uid="{00000000-0005-0000-0000-0000C9480000}"/>
    <cellStyle name="메모 25 14" xfId="19444" xr:uid="{00000000-0005-0000-0000-0000CA480000}"/>
    <cellStyle name="메모 25 15" xfId="19439" xr:uid="{00000000-0005-0000-0000-0000CB480000}"/>
    <cellStyle name="메모 25 16" xfId="27602" xr:uid="{00000000-0005-0000-0000-0000CC480000}"/>
    <cellStyle name="메모 25 2" xfId="2395" xr:uid="{00000000-0005-0000-0000-0000CD480000}"/>
    <cellStyle name="메모 25 2 2" xfId="19445" xr:uid="{00000000-0005-0000-0000-0000CE480000}"/>
    <cellStyle name="메모 25 3" xfId="19446" xr:uid="{00000000-0005-0000-0000-0000CF480000}"/>
    <cellStyle name="메모 25 4" xfId="19447" xr:uid="{00000000-0005-0000-0000-0000D0480000}"/>
    <cellStyle name="메모 25 5" xfId="19448" xr:uid="{00000000-0005-0000-0000-0000D1480000}"/>
    <cellStyle name="메모 25 6" xfId="19449" xr:uid="{00000000-0005-0000-0000-0000D2480000}"/>
    <cellStyle name="메모 25 7" xfId="19450" xr:uid="{00000000-0005-0000-0000-0000D3480000}"/>
    <cellStyle name="메모 25 8" xfId="19451" xr:uid="{00000000-0005-0000-0000-0000D4480000}"/>
    <cellStyle name="메모 25 9" xfId="19452" xr:uid="{00000000-0005-0000-0000-0000D5480000}"/>
    <cellStyle name="메모 26" xfId="2396" xr:uid="{00000000-0005-0000-0000-0000D6480000}"/>
    <cellStyle name="메모 26 10" xfId="19454" xr:uid="{00000000-0005-0000-0000-0000D7480000}"/>
    <cellStyle name="메모 26 11" xfId="19455" xr:uid="{00000000-0005-0000-0000-0000D8480000}"/>
    <cellStyle name="메모 26 12" xfId="19456" xr:uid="{00000000-0005-0000-0000-0000D9480000}"/>
    <cellStyle name="메모 26 13" xfId="19457" xr:uid="{00000000-0005-0000-0000-0000DA480000}"/>
    <cellStyle name="메모 26 14" xfId="19458" xr:uid="{00000000-0005-0000-0000-0000DB480000}"/>
    <cellStyle name="메모 26 15" xfId="19453" xr:uid="{00000000-0005-0000-0000-0000DC480000}"/>
    <cellStyle name="메모 26 16" xfId="27601" xr:uid="{00000000-0005-0000-0000-0000DD480000}"/>
    <cellStyle name="메모 26 2" xfId="2397" xr:uid="{00000000-0005-0000-0000-0000DE480000}"/>
    <cellStyle name="메모 26 2 2" xfId="19459" xr:uid="{00000000-0005-0000-0000-0000DF480000}"/>
    <cellStyle name="메모 26 3" xfId="19460" xr:uid="{00000000-0005-0000-0000-0000E0480000}"/>
    <cellStyle name="메모 26 4" xfId="19461" xr:uid="{00000000-0005-0000-0000-0000E1480000}"/>
    <cellStyle name="메모 26 5" xfId="19462" xr:uid="{00000000-0005-0000-0000-0000E2480000}"/>
    <cellStyle name="메모 26 6" xfId="19463" xr:uid="{00000000-0005-0000-0000-0000E3480000}"/>
    <cellStyle name="메모 26 7" xfId="19464" xr:uid="{00000000-0005-0000-0000-0000E4480000}"/>
    <cellStyle name="메모 26 8" xfId="19465" xr:uid="{00000000-0005-0000-0000-0000E5480000}"/>
    <cellStyle name="메모 26 9" xfId="19466" xr:uid="{00000000-0005-0000-0000-0000E6480000}"/>
    <cellStyle name="메모 27" xfId="2398" xr:uid="{00000000-0005-0000-0000-0000E7480000}"/>
    <cellStyle name="메모 27 10" xfId="19468" xr:uid="{00000000-0005-0000-0000-0000E8480000}"/>
    <cellStyle name="메모 27 11" xfId="19469" xr:uid="{00000000-0005-0000-0000-0000E9480000}"/>
    <cellStyle name="메모 27 12" xfId="19470" xr:uid="{00000000-0005-0000-0000-0000EA480000}"/>
    <cellStyle name="메모 27 13" xfId="19471" xr:uid="{00000000-0005-0000-0000-0000EB480000}"/>
    <cellStyle name="메모 27 14" xfId="19472" xr:uid="{00000000-0005-0000-0000-0000EC480000}"/>
    <cellStyle name="메모 27 15" xfId="19467" xr:uid="{00000000-0005-0000-0000-0000ED480000}"/>
    <cellStyle name="메모 27 16" xfId="27600" xr:uid="{00000000-0005-0000-0000-0000EE480000}"/>
    <cellStyle name="메모 27 2" xfId="2399" xr:uid="{00000000-0005-0000-0000-0000EF480000}"/>
    <cellStyle name="메모 27 2 2" xfId="19473" xr:uid="{00000000-0005-0000-0000-0000F0480000}"/>
    <cellStyle name="메모 27 3" xfId="19474" xr:uid="{00000000-0005-0000-0000-0000F1480000}"/>
    <cellStyle name="메모 27 4" xfId="19475" xr:uid="{00000000-0005-0000-0000-0000F2480000}"/>
    <cellStyle name="메모 27 5" xfId="19476" xr:uid="{00000000-0005-0000-0000-0000F3480000}"/>
    <cellStyle name="메모 27 6" xfId="19477" xr:uid="{00000000-0005-0000-0000-0000F4480000}"/>
    <cellStyle name="메모 27 7" xfId="19478" xr:uid="{00000000-0005-0000-0000-0000F5480000}"/>
    <cellStyle name="메모 27 8" xfId="19479" xr:uid="{00000000-0005-0000-0000-0000F6480000}"/>
    <cellStyle name="메모 27 9" xfId="19480" xr:uid="{00000000-0005-0000-0000-0000F7480000}"/>
    <cellStyle name="메모 28" xfId="2400" xr:uid="{00000000-0005-0000-0000-0000F8480000}"/>
    <cellStyle name="메모 28 10" xfId="19482" xr:uid="{00000000-0005-0000-0000-0000F9480000}"/>
    <cellStyle name="메모 28 11" xfId="19483" xr:uid="{00000000-0005-0000-0000-0000FA480000}"/>
    <cellStyle name="메모 28 12" xfId="19484" xr:uid="{00000000-0005-0000-0000-0000FB480000}"/>
    <cellStyle name="메모 28 13" xfId="19485" xr:uid="{00000000-0005-0000-0000-0000FC480000}"/>
    <cellStyle name="메모 28 14" xfId="19486" xr:uid="{00000000-0005-0000-0000-0000FD480000}"/>
    <cellStyle name="메모 28 15" xfId="19481" xr:uid="{00000000-0005-0000-0000-0000FE480000}"/>
    <cellStyle name="메모 28 16" xfId="27599" xr:uid="{00000000-0005-0000-0000-0000FF480000}"/>
    <cellStyle name="메모 28 2" xfId="2401" xr:uid="{00000000-0005-0000-0000-000000490000}"/>
    <cellStyle name="메모 28 2 2" xfId="19487" xr:uid="{00000000-0005-0000-0000-000001490000}"/>
    <cellStyle name="메모 28 3" xfId="19488" xr:uid="{00000000-0005-0000-0000-000002490000}"/>
    <cellStyle name="메모 28 4" xfId="19489" xr:uid="{00000000-0005-0000-0000-000003490000}"/>
    <cellStyle name="메모 28 5" xfId="19490" xr:uid="{00000000-0005-0000-0000-000004490000}"/>
    <cellStyle name="메모 28 6" xfId="19491" xr:uid="{00000000-0005-0000-0000-000005490000}"/>
    <cellStyle name="메모 28 7" xfId="19492" xr:uid="{00000000-0005-0000-0000-000006490000}"/>
    <cellStyle name="메모 28 8" xfId="19493" xr:uid="{00000000-0005-0000-0000-000007490000}"/>
    <cellStyle name="메모 28 9" xfId="19494" xr:uid="{00000000-0005-0000-0000-000008490000}"/>
    <cellStyle name="메모 29" xfId="2402" xr:uid="{00000000-0005-0000-0000-000009490000}"/>
    <cellStyle name="메모 29 10" xfId="19496" xr:uid="{00000000-0005-0000-0000-00000A490000}"/>
    <cellStyle name="메모 29 11" xfId="19497" xr:uid="{00000000-0005-0000-0000-00000B490000}"/>
    <cellStyle name="메모 29 12" xfId="19498" xr:uid="{00000000-0005-0000-0000-00000C490000}"/>
    <cellStyle name="메모 29 13" xfId="19499" xr:uid="{00000000-0005-0000-0000-00000D490000}"/>
    <cellStyle name="메모 29 14" xfId="19500" xr:uid="{00000000-0005-0000-0000-00000E490000}"/>
    <cellStyle name="메모 29 15" xfId="19495" xr:uid="{00000000-0005-0000-0000-00000F490000}"/>
    <cellStyle name="메모 29 16" xfId="27598" xr:uid="{00000000-0005-0000-0000-000010490000}"/>
    <cellStyle name="메모 29 2" xfId="2403" xr:uid="{00000000-0005-0000-0000-000011490000}"/>
    <cellStyle name="메모 29 2 2" xfId="19501" xr:uid="{00000000-0005-0000-0000-000012490000}"/>
    <cellStyle name="메모 29 3" xfId="19502" xr:uid="{00000000-0005-0000-0000-000013490000}"/>
    <cellStyle name="메모 29 4" xfId="19503" xr:uid="{00000000-0005-0000-0000-000014490000}"/>
    <cellStyle name="메모 29 5" xfId="19504" xr:uid="{00000000-0005-0000-0000-000015490000}"/>
    <cellStyle name="메모 29 6" xfId="19505" xr:uid="{00000000-0005-0000-0000-000016490000}"/>
    <cellStyle name="메모 29 7" xfId="19506" xr:uid="{00000000-0005-0000-0000-000017490000}"/>
    <cellStyle name="메모 29 8" xfId="19507" xr:uid="{00000000-0005-0000-0000-000018490000}"/>
    <cellStyle name="메모 29 9" xfId="19508" xr:uid="{00000000-0005-0000-0000-000019490000}"/>
    <cellStyle name="메모 3" xfId="2404" xr:uid="{00000000-0005-0000-0000-00001A490000}"/>
    <cellStyle name="메모 3 10" xfId="19510" xr:uid="{00000000-0005-0000-0000-00001B490000}"/>
    <cellStyle name="메모 3 11" xfId="19511" xr:uid="{00000000-0005-0000-0000-00001C490000}"/>
    <cellStyle name="메모 3 12" xfId="19512" xr:uid="{00000000-0005-0000-0000-00001D490000}"/>
    <cellStyle name="메모 3 13" xfId="19513" xr:uid="{00000000-0005-0000-0000-00001E490000}"/>
    <cellStyle name="메모 3 14" xfId="19514" xr:uid="{00000000-0005-0000-0000-00001F490000}"/>
    <cellStyle name="메모 3 15" xfId="19509" xr:uid="{00000000-0005-0000-0000-000020490000}"/>
    <cellStyle name="메모 3 16" xfId="27597" xr:uid="{00000000-0005-0000-0000-000021490000}"/>
    <cellStyle name="메모 3 2" xfId="2405" xr:uid="{00000000-0005-0000-0000-000022490000}"/>
    <cellStyle name="메모 3 2 2" xfId="19515" xr:uid="{00000000-0005-0000-0000-000023490000}"/>
    <cellStyle name="메모 3 3" xfId="19516" xr:uid="{00000000-0005-0000-0000-000024490000}"/>
    <cellStyle name="메모 3 4" xfId="19517" xr:uid="{00000000-0005-0000-0000-000025490000}"/>
    <cellStyle name="메모 3 5" xfId="19518" xr:uid="{00000000-0005-0000-0000-000026490000}"/>
    <cellStyle name="메모 3 6" xfId="19519" xr:uid="{00000000-0005-0000-0000-000027490000}"/>
    <cellStyle name="메모 3 7" xfId="19520" xr:uid="{00000000-0005-0000-0000-000028490000}"/>
    <cellStyle name="메모 3 8" xfId="19521" xr:uid="{00000000-0005-0000-0000-000029490000}"/>
    <cellStyle name="메모 3 9" xfId="19522" xr:uid="{00000000-0005-0000-0000-00002A490000}"/>
    <cellStyle name="메모 30" xfId="2406" xr:uid="{00000000-0005-0000-0000-00002B490000}"/>
    <cellStyle name="메모 30 10" xfId="19524" xr:uid="{00000000-0005-0000-0000-00002C490000}"/>
    <cellStyle name="메모 30 11" xfId="19525" xr:uid="{00000000-0005-0000-0000-00002D490000}"/>
    <cellStyle name="메모 30 12" xfId="19526" xr:uid="{00000000-0005-0000-0000-00002E490000}"/>
    <cellStyle name="메모 30 13" xfId="19527" xr:uid="{00000000-0005-0000-0000-00002F490000}"/>
    <cellStyle name="메모 30 14" xfId="19528" xr:uid="{00000000-0005-0000-0000-000030490000}"/>
    <cellStyle name="메모 30 15" xfId="19523" xr:uid="{00000000-0005-0000-0000-000031490000}"/>
    <cellStyle name="메모 30 16" xfId="27596" xr:uid="{00000000-0005-0000-0000-000032490000}"/>
    <cellStyle name="메모 30 2" xfId="2407" xr:uid="{00000000-0005-0000-0000-000033490000}"/>
    <cellStyle name="메모 30 2 2" xfId="19529" xr:uid="{00000000-0005-0000-0000-000034490000}"/>
    <cellStyle name="메모 30 3" xfId="19530" xr:uid="{00000000-0005-0000-0000-000035490000}"/>
    <cellStyle name="메모 30 4" xfId="19531" xr:uid="{00000000-0005-0000-0000-000036490000}"/>
    <cellStyle name="메모 30 5" xfId="19532" xr:uid="{00000000-0005-0000-0000-000037490000}"/>
    <cellStyle name="메모 30 6" xfId="19533" xr:uid="{00000000-0005-0000-0000-000038490000}"/>
    <cellStyle name="메모 30 7" xfId="19534" xr:uid="{00000000-0005-0000-0000-000039490000}"/>
    <cellStyle name="메모 30 8" xfId="19535" xr:uid="{00000000-0005-0000-0000-00003A490000}"/>
    <cellStyle name="메모 30 9" xfId="19536" xr:uid="{00000000-0005-0000-0000-00003B490000}"/>
    <cellStyle name="메모 31" xfId="2408" xr:uid="{00000000-0005-0000-0000-00003C490000}"/>
    <cellStyle name="메모 31 10" xfId="19538" xr:uid="{00000000-0005-0000-0000-00003D490000}"/>
    <cellStyle name="메모 31 11" xfId="19539" xr:uid="{00000000-0005-0000-0000-00003E490000}"/>
    <cellStyle name="메모 31 12" xfId="19540" xr:uid="{00000000-0005-0000-0000-00003F490000}"/>
    <cellStyle name="메모 31 13" xfId="19541" xr:uid="{00000000-0005-0000-0000-000040490000}"/>
    <cellStyle name="메모 31 14" xfId="19542" xr:uid="{00000000-0005-0000-0000-000041490000}"/>
    <cellStyle name="메모 31 15" xfId="19537" xr:uid="{00000000-0005-0000-0000-000042490000}"/>
    <cellStyle name="메모 31 16" xfId="27595" xr:uid="{00000000-0005-0000-0000-000043490000}"/>
    <cellStyle name="메모 31 2" xfId="2409" xr:uid="{00000000-0005-0000-0000-000044490000}"/>
    <cellStyle name="메모 31 2 2" xfId="19543" xr:uid="{00000000-0005-0000-0000-000045490000}"/>
    <cellStyle name="메모 31 3" xfId="19544" xr:uid="{00000000-0005-0000-0000-000046490000}"/>
    <cellStyle name="메모 31 4" xfId="19545" xr:uid="{00000000-0005-0000-0000-000047490000}"/>
    <cellStyle name="메모 31 5" xfId="19546" xr:uid="{00000000-0005-0000-0000-000048490000}"/>
    <cellStyle name="메모 31 6" xfId="19547" xr:uid="{00000000-0005-0000-0000-000049490000}"/>
    <cellStyle name="메모 31 7" xfId="19548" xr:uid="{00000000-0005-0000-0000-00004A490000}"/>
    <cellStyle name="메모 31 8" xfId="19549" xr:uid="{00000000-0005-0000-0000-00004B490000}"/>
    <cellStyle name="메모 31 9" xfId="19550" xr:uid="{00000000-0005-0000-0000-00004C490000}"/>
    <cellStyle name="메모 32" xfId="2410" xr:uid="{00000000-0005-0000-0000-00004D490000}"/>
    <cellStyle name="메모 32 10" xfId="19552" xr:uid="{00000000-0005-0000-0000-00004E490000}"/>
    <cellStyle name="메모 32 11" xfId="19553" xr:uid="{00000000-0005-0000-0000-00004F490000}"/>
    <cellStyle name="메모 32 12" xfId="19554" xr:uid="{00000000-0005-0000-0000-000050490000}"/>
    <cellStyle name="메모 32 13" xfId="19555" xr:uid="{00000000-0005-0000-0000-000051490000}"/>
    <cellStyle name="메모 32 14" xfId="19556" xr:uid="{00000000-0005-0000-0000-000052490000}"/>
    <cellStyle name="메모 32 15" xfId="19551" xr:uid="{00000000-0005-0000-0000-000053490000}"/>
    <cellStyle name="메모 32 16" xfId="27594" xr:uid="{00000000-0005-0000-0000-000054490000}"/>
    <cellStyle name="메모 32 2" xfId="2411" xr:uid="{00000000-0005-0000-0000-000055490000}"/>
    <cellStyle name="메모 32 2 2" xfId="19557" xr:uid="{00000000-0005-0000-0000-000056490000}"/>
    <cellStyle name="메모 32 3" xfId="19558" xr:uid="{00000000-0005-0000-0000-000057490000}"/>
    <cellStyle name="메모 32 4" xfId="19559" xr:uid="{00000000-0005-0000-0000-000058490000}"/>
    <cellStyle name="메모 32 5" xfId="19560" xr:uid="{00000000-0005-0000-0000-000059490000}"/>
    <cellStyle name="메모 32 6" xfId="19561" xr:uid="{00000000-0005-0000-0000-00005A490000}"/>
    <cellStyle name="메모 32 7" xfId="19562" xr:uid="{00000000-0005-0000-0000-00005B490000}"/>
    <cellStyle name="메모 32 8" xfId="19563" xr:uid="{00000000-0005-0000-0000-00005C490000}"/>
    <cellStyle name="메모 32 9" xfId="19564" xr:uid="{00000000-0005-0000-0000-00005D490000}"/>
    <cellStyle name="메모 33" xfId="2412" xr:uid="{00000000-0005-0000-0000-00005E490000}"/>
    <cellStyle name="메모 33 10" xfId="19566" xr:uid="{00000000-0005-0000-0000-00005F490000}"/>
    <cellStyle name="메모 33 11" xfId="19567" xr:uid="{00000000-0005-0000-0000-000060490000}"/>
    <cellStyle name="메모 33 12" xfId="19568" xr:uid="{00000000-0005-0000-0000-000061490000}"/>
    <cellStyle name="메모 33 13" xfId="19569" xr:uid="{00000000-0005-0000-0000-000062490000}"/>
    <cellStyle name="메모 33 14" xfId="19570" xr:uid="{00000000-0005-0000-0000-000063490000}"/>
    <cellStyle name="메모 33 15" xfId="19565" xr:uid="{00000000-0005-0000-0000-000064490000}"/>
    <cellStyle name="메모 33 16" xfId="27593" xr:uid="{00000000-0005-0000-0000-000065490000}"/>
    <cellStyle name="메모 33 2" xfId="2413" xr:uid="{00000000-0005-0000-0000-000066490000}"/>
    <cellStyle name="메모 33 2 2" xfId="19571" xr:uid="{00000000-0005-0000-0000-000067490000}"/>
    <cellStyle name="메모 33 3" xfId="19572" xr:uid="{00000000-0005-0000-0000-000068490000}"/>
    <cellStyle name="메모 33 4" xfId="19573" xr:uid="{00000000-0005-0000-0000-000069490000}"/>
    <cellStyle name="메모 33 5" xfId="19574" xr:uid="{00000000-0005-0000-0000-00006A490000}"/>
    <cellStyle name="메모 33 6" xfId="19575" xr:uid="{00000000-0005-0000-0000-00006B490000}"/>
    <cellStyle name="메모 33 7" xfId="19576" xr:uid="{00000000-0005-0000-0000-00006C490000}"/>
    <cellStyle name="메모 33 8" xfId="19577" xr:uid="{00000000-0005-0000-0000-00006D490000}"/>
    <cellStyle name="메모 33 9" xfId="19578" xr:uid="{00000000-0005-0000-0000-00006E490000}"/>
    <cellStyle name="메모 34" xfId="2414" xr:uid="{00000000-0005-0000-0000-00006F490000}"/>
    <cellStyle name="메모 34 10" xfId="19580" xr:uid="{00000000-0005-0000-0000-000070490000}"/>
    <cellStyle name="메모 34 11" xfId="19581" xr:uid="{00000000-0005-0000-0000-000071490000}"/>
    <cellStyle name="메모 34 12" xfId="19582" xr:uid="{00000000-0005-0000-0000-000072490000}"/>
    <cellStyle name="메모 34 13" xfId="19583" xr:uid="{00000000-0005-0000-0000-000073490000}"/>
    <cellStyle name="메모 34 14" xfId="19584" xr:uid="{00000000-0005-0000-0000-000074490000}"/>
    <cellStyle name="메모 34 15" xfId="19579" xr:uid="{00000000-0005-0000-0000-000075490000}"/>
    <cellStyle name="메모 34 16" xfId="27592" xr:uid="{00000000-0005-0000-0000-000076490000}"/>
    <cellStyle name="메모 34 2" xfId="2415" xr:uid="{00000000-0005-0000-0000-000077490000}"/>
    <cellStyle name="메모 34 2 2" xfId="19585" xr:uid="{00000000-0005-0000-0000-000078490000}"/>
    <cellStyle name="메모 34 3" xfId="19586" xr:uid="{00000000-0005-0000-0000-000079490000}"/>
    <cellStyle name="메모 34 4" xfId="19587" xr:uid="{00000000-0005-0000-0000-00007A490000}"/>
    <cellStyle name="메모 34 5" xfId="19588" xr:uid="{00000000-0005-0000-0000-00007B490000}"/>
    <cellStyle name="메모 34 6" xfId="19589" xr:uid="{00000000-0005-0000-0000-00007C490000}"/>
    <cellStyle name="메모 34 7" xfId="19590" xr:uid="{00000000-0005-0000-0000-00007D490000}"/>
    <cellStyle name="메모 34 8" xfId="19591" xr:uid="{00000000-0005-0000-0000-00007E490000}"/>
    <cellStyle name="메모 34 9" xfId="19592" xr:uid="{00000000-0005-0000-0000-00007F490000}"/>
    <cellStyle name="메모 35" xfId="2416" xr:uid="{00000000-0005-0000-0000-000080490000}"/>
    <cellStyle name="메모 35 10" xfId="19594" xr:uid="{00000000-0005-0000-0000-000081490000}"/>
    <cellStyle name="메모 35 11" xfId="19595" xr:uid="{00000000-0005-0000-0000-000082490000}"/>
    <cellStyle name="메모 35 12" xfId="19596" xr:uid="{00000000-0005-0000-0000-000083490000}"/>
    <cellStyle name="메모 35 13" xfId="19597" xr:uid="{00000000-0005-0000-0000-000084490000}"/>
    <cellStyle name="메모 35 14" xfId="19598" xr:uid="{00000000-0005-0000-0000-000085490000}"/>
    <cellStyle name="메모 35 15" xfId="19593" xr:uid="{00000000-0005-0000-0000-000086490000}"/>
    <cellStyle name="메모 35 16" xfId="27591" xr:uid="{00000000-0005-0000-0000-000087490000}"/>
    <cellStyle name="메모 35 2" xfId="2417" xr:uid="{00000000-0005-0000-0000-000088490000}"/>
    <cellStyle name="메모 35 2 2" xfId="19599" xr:uid="{00000000-0005-0000-0000-000089490000}"/>
    <cellStyle name="메모 35 3" xfId="19600" xr:uid="{00000000-0005-0000-0000-00008A490000}"/>
    <cellStyle name="메모 35 4" xfId="19601" xr:uid="{00000000-0005-0000-0000-00008B490000}"/>
    <cellStyle name="메모 35 5" xfId="19602" xr:uid="{00000000-0005-0000-0000-00008C490000}"/>
    <cellStyle name="메모 35 6" xfId="19603" xr:uid="{00000000-0005-0000-0000-00008D490000}"/>
    <cellStyle name="메모 35 7" xfId="19604" xr:uid="{00000000-0005-0000-0000-00008E490000}"/>
    <cellStyle name="메모 35 8" xfId="19605" xr:uid="{00000000-0005-0000-0000-00008F490000}"/>
    <cellStyle name="메모 35 9" xfId="19606" xr:uid="{00000000-0005-0000-0000-000090490000}"/>
    <cellStyle name="메모 36" xfId="2418" xr:uid="{00000000-0005-0000-0000-000091490000}"/>
    <cellStyle name="메모 36 10" xfId="19608" xr:uid="{00000000-0005-0000-0000-000092490000}"/>
    <cellStyle name="메모 36 11" xfId="19609" xr:uid="{00000000-0005-0000-0000-000093490000}"/>
    <cellStyle name="메모 36 12" xfId="19610" xr:uid="{00000000-0005-0000-0000-000094490000}"/>
    <cellStyle name="메모 36 13" xfId="19611" xr:uid="{00000000-0005-0000-0000-000095490000}"/>
    <cellStyle name="메모 36 14" xfId="19612" xr:uid="{00000000-0005-0000-0000-000096490000}"/>
    <cellStyle name="메모 36 15" xfId="19607" xr:uid="{00000000-0005-0000-0000-000097490000}"/>
    <cellStyle name="메모 36 16" xfId="27590" xr:uid="{00000000-0005-0000-0000-000098490000}"/>
    <cellStyle name="메모 36 2" xfId="2419" xr:uid="{00000000-0005-0000-0000-000099490000}"/>
    <cellStyle name="메모 36 2 2" xfId="19613" xr:uid="{00000000-0005-0000-0000-00009A490000}"/>
    <cellStyle name="메모 36 3" xfId="19614" xr:uid="{00000000-0005-0000-0000-00009B490000}"/>
    <cellStyle name="메모 36 4" xfId="19615" xr:uid="{00000000-0005-0000-0000-00009C490000}"/>
    <cellStyle name="메모 36 5" xfId="19616" xr:uid="{00000000-0005-0000-0000-00009D490000}"/>
    <cellStyle name="메모 36 6" xfId="19617" xr:uid="{00000000-0005-0000-0000-00009E490000}"/>
    <cellStyle name="메모 36 7" xfId="19618" xr:uid="{00000000-0005-0000-0000-00009F490000}"/>
    <cellStyle name="메모 36 8" xfId="19619" xr:uid="{00000000-0005-0000-0000-0000A0490000}"/>
    <cellStyle name="메모 36 9" xfId="19620" xr:uid="{00000000-0005-0000-0000-0000A1490000}"/>
    <cellStyle name="메모 37" xfId="2420" xr:uid="{00000000-0005-0000-0000-0000A2490000}"/>
    <cellStyle name="메모 37 10" xfId="19622" xr:uid="{00000000-0005-0000-0000-0000A3490000}"/>
    <cellStyle name="메모 37 11" xfId="19623" xr:uid="{00000000-0005-0000-0000-0000A4490000}"/>
    <cellStyle name="메모 37 12" xfId="19624" xr:uid="{00000000-0005-0000-0000-0000A5490000}"/>
    <cellStyle name="메모 37 13" xfId="19625" xr:uid="{00000000-0005-0000-0000-0000A6490000}"/>
    <cellStyle name="메모 37 14" xfId="19626" xr:uid="{00000000-0005-0000-0000-0000A7490000}"/>
    <cellStyle name="메모 37 15" xfId="19621" xr:uid="{00000000-0005-0000-0000-0000A8490000}"/>
    <cellStyle name="메모 37 16" xfId="27589" xr:uid="{00000000-0005-0000-0000-0000A9490000}"/>
    <cellStyle name="메모 37 2" xfId="2421" xr:uid="{00000000-0005-0000-0000-0000AA490000}"/>
    <cellStyle name="메모 37 2 2" xfId="19627" xr:uid="{00000000-0005-0000-0000-0000AB490000}"/>
    <cellStyle name="메모 37 3" xfId="19628" xr:uid="{00000000-0005-0000-0000-0000AC490000}"/>
    <cellStyle name="메모 37 4" xfId="19629" xr:uid="{00000000-0005-0000-0000-0000AD490000}"/>
    <cellStyle name="메모 37 5" xfId="19630" xr:uid="{00000000-0005-0000-0000-0000AE490000}"/>
    <cellStyle name="메모 37 6" xfId="19631" xr:uid="{00000000-0005-0000-0000-0000AF490000}"/>
    <cellStyle name="메모 37 7" xfId="19632" xr:uid="{00000000-0005-0000-0000-0000B0490000}"/>
    <cellStyle name="메모 37 8" xfId="19633" xr:uid="{00000000-0005-0000-0000-0000B1490000}"/>
    <cellStyle name="메모 37 9" xfId="19634" xr:uid="{00000000-0005-0000-0000-0000B2490000}"/>
    <cellStyle name="메모 38" xfId="2422" xr:uid="{00000000-0005-0000-0000-0000B3490000}"/>
    <cellStyle name="메모 38 10" xfId="19636" xr:uid="{00000000-0005-0000-0000-0000B4490000}"/>
    <cellStyle name="메모 38 11" xfId="19637" xr:uid="{00000000-0005-0000-0000-0000B5490000}"/>
    <cellStyle name="메모 38 12" xfId="19638" xr:uid="{00000000-0005-0000-0000-0000B6490000}"/>
    <cellStyle name="메모 38 13" xfId="19639" xr:uid="{00000000-0005-0000-0000-0000B7490000}"/>
    <cellStyle name="메모 38 14" xfId="19640" xr:uid="{00000000-0005-0000-0000-0000B8490000}"/>
    <cellStyle name="메모 38 15" xfId="19635" xr:uid="{00000000-0005-0000-0000-0000B9490000}"/>
    <cellStyle name="메모 38 16" xfId="27588" xr:uid="{00000000-0005-0000-0000-0000BA490000}"/>
    <cellStyle name="메모 38 2" xfId="2423" xr:uid="{00000000-0005-0000-0000-0000BB490000}"/>
    <cellStyle name="메모 38 2 2" xfId="19641" xr:uid="{00000000-0005-0000-0000-0000BC490000}"/>
    <cellStyle name="메모 38 3" xfId="19642" xr:uid="{00000000-0005-0000-0000-0000BD490000}"/>
    <cellStyle name="메모 38 4" xfId="19643" xr:uid="{00000000-0005-0000-0000-0000BE490000}"/>
    <cellStyle name="메모 38 5" xfId="19644" xr:uid="{00000000-0005-0000-0000-0000BF490000}"/>
    <cellStyle name="메모 38 6" xfId="19645" xr:uid="{00000000-0005-0000-0000-0000C0490000}"/>
    <cellStyle name="메모 38 7" xfId="19646" xr:uid="{00000000-0005-0000-0000-0000C1490000}"/>
    <cellStyle name="메모 38 8" xfId="19647" xr:uid="{00000000-0005-0000-0000-0000C2490000}"/>
    <cellStyle name="메모 38 9" xfId="19648" xr:uid="{00000000-0005-0000-0000-0000C3490000}"/>
    <cellStyle name="메모 39" xfId="2424" xr:uid="{00000000-0005-0000-0000-0000C4490000}"/>
    <cellStyle name="메모 39 10" xfId="19650" xr:uid="{00000000-0005-0000-0000-0000C5490000}"/>
    <cellStyle name="메모 39 11" xfId="19651" xr:uid="{00000000-0005-0000-0000-0000C6490000}"/>
    <cellStyle name="메모 39 12" xfId="19652" xr:uid="{00000000-0005-0000-0000-0000C7490000}"/>
    <cellStyle name="메모 39 13" xfId="19653" xr:uid="{00000000-0005-0000-0000-0000C8490000}"/>
    <cellStyle name="메모 39 14" xfId="19654" xr:uid="{00000000-0005-0000-0000-0000C9490000}"/>
    <cellStyle name="메모 39 15" xfId="19649" xr:uid="{00000000-0005-0000-0000-0000CA490000}"/>
    <cellStyle name="메모 39 16" xfId="27587" xr:uid="{00000000-0005-0000-0000-0000CB490000}"/>
    <cellStyle name="메모 39 2" xfId="2425" xr:uid="{00000000-0005-0000-0000-0000CC490000}"/>
    <cellStyle name="메모 39 2 2" xfId="19655" xr:uid="{00000000-0005-0000-0000-0000CD490000}"/>
    <cellStyle name="메모 39 3" xfId="19656" xr:uid="{00000000-0005-0000-0000-0000CE490000}"/>
    <cellStyle name="메모 39 4" xfId="19657" xr:uid="{00000000-0005-0000-0000-0000CF490000}"/>
    <cellStyle name="메모 39 5" xfId="19658" xr:uid="{00000000-0005-0000-0000-0000D0490000}"/>
    <cellStyle name="메모 39 6" xfId="19659" xr:uid="{00000000-0005-0000-0000-0000D1490000}"/>
    <cellStyle name="메모 39 7" xfId="19660" xr:uid="{00000000-0005-0000-0000-0000D2490000}"/>
    <cellStyle name="메모 39 8" xfId="19661" xr:uid="{00000000-0005-0000-0000-0000D3490000}"/>
    <cellStyle name="메모 39 9" xfId="19662" xr:uid="{00000000-0005-0000-0000-0000D4490000}"/>
    <cellStyle name="메모 4" xfId="2426" xr:uid="{00000000-0005-0000-0000-0000D5490000}"/>
    <cellStyle name="메모 4 10" xfId="19664" xr:uid="{00000000-0005-0000-0000-0000D6490000}"/>
    <cellStyle name="메모 4 11" xfId="19665" xr:uid="{00000000-0005-0000-0000-0000D7490000}"/>
    <cellStyle name="메모 4 12" xfId="19666" xr:uid="{00000000-0005-0000-0000-0000D8490000}"/>
    <cellStyle name="메모 4 13" xfId="19667" xr:uid="{00000000-0005-0000-0000-0000D9490000}"/>
    <cellStyle name="메모 4 14" xfId="19668" xr:uid="{00000000-0005-0000-0000-0000DA490000}"/>
    <cellStyle name="메모 4 15" xfId="19663" xr:uid="{00000000-0005-0000-0000-0000DB490000}"/>
    <cellStyle name="메모 4 16" xfId="27586" xr:uid="{00000000-0005-0000-0000-0000DC490000}"/>
    <cellStyle name="메모 4 17" xfId="27878" xr:uid="{00000000-0005-0000-0000-0000DD490000}"/>
    <cellStyle name="메모 4 17 2" xfId="28280" xr:uid="{00000000-0005-0000-0000-0000DE490000}"/>
    <cellStyle name="메모 4 2" xfId="2427" xr:uid="{00000000-0005-0000-0000-0000DF490000}"/>
    <cellStyle name="메모 4 2 2" xfId="19669" xr:uid="{00000000-0005-0000-0000-0000E0490000}"/>
    <cellStyle name="메모 4 2 3" xfId="28242" xr:uid="{00000000-0005-0000-0000-0000E1490000}"/>
    <cellStyle name="메모 4 2 3 2" xfId="28302" xr:uid="{00000000-0005-0000-0000-0000E2490000}"/>
    <cellStyle name="메모 4 3" xfId="19670" xr:uid="{00000000-0005-0000-0000-0000E3490000}"/>
    <cellStyle name="메모 4 4" xfId="19671" xr:uid="{00000000-0005-0000-0000-0000E4490000}"/>
    <cellStyle name="메모 4 5" xfId="19672" xr:uid="{00000000-0005-0000-0000-0000E5490000}"/>
    <cellStyle name="메모 4 6" xfId="19673" xr:uid="{00000000-0005-0000-0000-0000E6490000}"/>
    <cellStyle name="메모 4 7" xfId="19674" xr:uid="{00000000-0005-0000-0000-0000E7490000}"/>
    <cellStyle name="메모 4 8" xfId="19675" xr:uid="{00000000-0005-0000-0000-0000E8490000}"/>
    <cellStyle name="메모 4 9" xfId="19676" xr:uid="{00000000-0005-0000-0000-0000E9490000}"/>
    <cellStyle name="메모 40" xfId="2428" xr:uid="{00000000-0005-0000-0000-0000EA490000}"/>
    <cellStyle name="메모 40 10" xfId="19678" xr:uid="{00000000-0005-0000-0000-0000EB490000}"/>
    <cellStyle name="메모 40 11" xfId="19679" xr:uid="{00000000-0005-0000-0000-0000EC490000}"/>
    <cellStyle name="메모 40 12" xfId="19680" xr:uid="{00000000-0005-0000-0000-0000ED490000}"/>
    <cellStyle name="메모 40 13" xfId="19681" xr:uid="{00000000-0005-0000-0000-0000EE490000}"/>
    <cellStyle name="메모 40 14" xfId="19682" xr:uid="{00000000-0005-0000-0000-0000EF490000}"/>
    <cellStyle name="메모 40 15" xfId="19677" xr:uid="{00000000-0005-0000-0000-0000F0490000}"/>
    <cellStyle name="메모 40 16" xfId="27585" xr:uid="{00000000-0005-0000-0000-0000F1490000}"/>
    <cellStyle name="메모 40 2" xfId="2429" xr:uid="{00000000-0005-0000-0000-0000F2490000}"/>
    <cellStyle name="메모 40 2 2" xfId="19683" xr:uid="{00000000-0005-0000-0000-0000F3490000}"/>
    <cellStyle name="메모 40 3" xfId="19684" xr:uid="{00000000-0005-0000-0000-0000F4490000}"/>
    <cellStyle name="메모 40 4" xfId="19685" xr:uid="{00000000-0005-0000-0000-0000F5490000}"/>
    <cellStyle name="메모 40 5" xfId="19686" xr:uid="{00000000-0005-0000-0000-0000F6490000}"/>
    <cellStyle name="메모 40 6" xfId="19687" xr:uid="{00000000-0005-0000-0000-0000F7490000}"/>
    <cellStyle name="메모 40 7" xfId="19688" xr:uid="{00000000-0005-0000-0000-0000F8490000}"/>
    <cellStyle name="메모 40 8" xfId="19689" xr:uid="{00000000-0005-0000-0000-0000F9490000}"/>
    <cellStyle name="메모 40 9" xfId="19690" xr:uid="{00000000-0005-0000-0000-0000FA490000}"/>
    <cellStyle name="메모 41" xfId="2430" xr:uid="{00000000-0005-0000-0000-0000FB490000}"/>
    <cellStyle name="메모 41 10" xfId="19692" xr:uid="{00000000-0005-0000-0000-0000FC490000}"/>
    <cellStyle name="메모 41 11" xfId="19693" xr:uid="{00000000-0005-0000-0000-0000FD490000}"/>
    <cellStyle name="메모 41 12" xfId="19694" xr:uid="{00000000-0005-0000-0000-0000FE490000}"/>
    <cellStyle name="메모 41 13" xfId="19695" xr:uid="{00000000-0005-0000-0000-0000FF490000}"/>
    <cellStyle name="메모 41 14" xfId="19696" xr:uid="{00000000-0005-0000-0000-0000004A0000}"/>
    <cellStyle name="메모 41 15" xfId="19691" xr:uid="{00000000-0005-0000-0000-0000014A0000}"/>
    <cellStyle name="메모 41 16" xfId="27584" xr:uid="{00000000-0005-0000-0000-0000024A0000}"/>
    <cellStyle name="메모 41 2" xfId="2431" xr:uid="{00000000-0005-0000-0000-0000034A0000}"/>
    <cellStyle name="메모 41 2 2" xfId="19697" xr:uid="{00000000-0005-0000-0000-0000044A0000}"/>
    <cellStyle name="메모 41 3" xfId="19698" xr:uid="{00000000-0005-0000-0000-0000054A0000}"/>
    <cellStyle name="메모 41 4" xfId="19699" xr:uid="{00000000-0005-0000-0000-0000064A0000}"/>
    <cellStyle name="메모 41 5" xfId="19700" xr:uid="{00000000-0005-0000-0000-0000074A0000}"/>
    <cellStyle name="메모 41 6" xfId="19701" xr:uid="{00000000-0005-0000-0000-0000084A0000}"/>
    <cellStyle name="메모 41 7" xfId="19702" xr:uid="{00000000-0005-0000-0000-0000094A0000}"/>
    <cellStyle name="메모 41 8" xfId="19703" xr:uid="{00000000-0005-0000-0000-00000A4A0000}"/>
    <cellStyle name="메모 41 9" xfId="19704" xr:uid="{00000000-0005-0000-0000-00000B4A0000}"/>
    <cellStyle name="메모 42" xfId="2432" xr:uid="{00000000-0005-0000-0000-00000C4A0000}"/>
    <cellStyle name="메모 42 10" xfId="19706" xr:uid="{00000000-0005-0000-0000-00000D4A0000}"/>
    <cellStyle name="메모 42 11" xfId="19707" xr:uid="{00000000-0005-0000-0000-00000E4A0000}"/>
    <cellStyle name="메모 42 12" xfId="19708" xr:uid="{00000000-0005-0000-0000-00000F4A0000}"/>
    <cellStyle name="메모 42 13" xfId="19709" xr:uid="{00000000-0005-0000-0000-0000104A0000}"/>
    <cellStyle name="메모 42 14" xfId="19710" xr:uid="{00000000-0005-0000-0000-0000114A0000}"/>
    <cellStyle name="메모 42 15" xfId="19705" xr:uid="{00000000-0005-0000-0000-0000124A0000}"/>
    <cellStyle name="메모 42 16" xfId="27583" xr:uid="{00000000-0005-0000-0000-0000134A0000}"/>
    <cellStyle name="메모 42 2" xfId="2433" xr:uid="{00000000-0005-0000-0000-0000144A0000}"/>
    <cellStyle name="메모 42 2 2" xfId="19711" xr:uid="{00000000-0005-0000-0000-0000154A0000}"/>
    <cellStyle name="메모 42 3" xfId="19712" xr:uid="{00000000-0005-0000-0000-0000164A0000}"/>
    <cellStyle name="메모 42 4" xfId="19713" xr:uid="{00000000-0005-0000-0000-0000174A0000}"/>
    <cellStyle name="메모 42 5" xfId="19714" xr:uid="{00000000-0005-0000-0000-0000184A0000}"/>
    <cellStyle name="메모 42 6" xfId="19715" xr:uid="{00000000-0005-0000-0000-0000194A0000}"/>
    <cellStyle name="메모 42 7" xfId="19716" xr:uid="{00000000-0005-0000-0000-00001A4A0000}"/>
    <cellStyle name="메모 42 8" xfId="19717" xr:uid="{00000000-0005-0000-0000-00001B4A0000}"/>
    <cellStyle name="메모 42 9" xfId="19718" xr:uid="{00000000-0005-0000-0000-00001C4A0000}"/>
    <cellStyle name="메모 43" xfId="2434" xr:uid="{00000000-0005-0000-0000-00001D4A0000}"/>
    <cellStyle name="메모 43 10" xfId="19720" xr:uid="{00000000-0005-0000-0000-00001E4A0000}"/>
    <cellStyle name="메모 43 11" xfId="19721" xr:uid="{00000000-0005-0000-0000-00001F4A0000}"/>
    <cellStyle name="메모 43 12" xfId="19722" xr:uid="{00000000-0005-0000-0000-0000204A0000}"/>
    <cellStyle name="메모 43 13" xfId="19723" xr:uid="{00000000-0005-0000-0000-0000214A0000}"/>
    <cellStyle name="메모 43 14" xfId="19724" xr:uid="{00000000-0005-0000-0000-0000224A0000}"/>
    <cellStyle name="메모 43 15" xfId="19719" xr:uid="{00000000-0005-0000-0000-0000234A0000}"/>
    <cellStyle name="메모 43 16" xfId="27582" xr:uid="{00000000-0005-0000-0000-0000244A0000}"/>
    <cellStyle name="메모 43 2" xfId="2435" xr:uid="{00000000-0005-0000-0000-0000254A0000}"/>
    <cellStyle name="메모 43 2 2" xfId="19725" xr:uid="{00000000-0005-0000-0000-0000264A0000}"/>
    <cellStyle name="메모 43 3" xfId="19726" xr:uid="{00000000-0005-0000-0000-0000274A0000}"/>
    <cellStyle name="메모 43 4" xfId="19727" xr:uid="{00000000-0005-0000-0000-0000284A0000}"/>
    <cellStyle name="메모 43 5" xfId="19728" xr:uid="{00000000-0005-0000-0000-0000294A0000}"/>
    <cellStyle name="메모 43 6" xfId="19729" xr:uid="{00000000-0005-0000-0000-00002A4A0000}"/>
    <cellStyle name="메모 43 7" xfId="19730" xr:uid="{00000000-0005-0000-0000-00002B4A0000}"/>
    <cellStyle name="메모 43 8" xfId="19731" xr:uid="{00000000-0005-0000-0000-00002C4A0000}"/>
    <cellStyle name="메모 43 9" xfId="19732" xr:uid="{00000000-0005-0000-0000-00002D4A0000}"/>
    <cellStyle name="메모 44" xfId="2436" xr:uid="{00000000-0005-0000-0000-00002E4A0000}"/>
    <cellStyle name="메모 44 2" xfId="19733" xr:uid="{00000000-0005-0000-0000-00002F4A0000}"/>
    <cellStyle name="메모 44 3" xfId="27581" xr:uid="{00000000-0005-0000-0000-0000304A0000}"/>
    <cellStyle name="메모 45" xfId="2437" xr:uid="{00000000-0005-0000-0000-0000314A0000}"/>
    <cellStyle name="메모 45 2" xfId="19734" xr:uid="{00000000-0005-0000-0000-0000324A0000}"/>
    <cellStyle name="메모 45 3" xfId="27580" xr:uid="{00000000-0005-0000-0000-0000334A0000}"/>
    <cellStyle name="메모 46" xfId="2438" xr:uid="{00000000-0005-0000-0000-0000344A0000}"/>
    <cellStyle name="메모 46 2" xfId="19735" xr:uid="{00000000-0005-0000-0000-0000354A0000}"/>
    <cellStyle name="메모 47" xfId="2361" xr:uid="{00000000-0005-0000-0000-0000364A0000}"/>
    <cellStyle name="메모 47 2" xfId="19736" xr:uid="{00000000-0005-0000-0000-0000374A0000}"/>
    <cellStyle name="메모 48" xfId="19737" xr:uid="{00000000-0005-0000-0000-0000384A0000}"/>
    <cellStyle name="메모 49" xfId="19738" xr:uid="{00000000-0005-0000-0000-0000394A0000}"/>
    <cellStyle name="메모 5" xfId="2439" xr:uid="{00000000-0005-0000-0000-00003A4A0000}"/>
    <cellStyle name="메모 5 10" xfId="19740" xr:uid="{00000000-0005-0000-0000-00003B4A0000}"/>
    <cellStyle name="메모 5 11" xfId="19741" xr:uid="{00000000-0005-0000-0000-00003C4A0000}"/>
    <cellStyle name="메모 5 12" xfId="19742" xr:uid="{00000000-0005-0000-0000-00003D4A0000}"/>
    <cellStyle name="메모 5 13" xfId="19743" xr:uid="{00000000-0005-0000-0000-00003E4A0000}"/>
    <cellStyle name="메모 5 14" xfId="19744" xr:uid="{00000000-0005-0000-0000-00003F4A0000}"/>
    <cellStyle name="메모 5 15" xfId="19739" xr:uid="{00000000-0005-0000-0000-0000404A0000}"/>
    <cellStyle name="메모 5 16" xfId="27579" xr:uid="{00000000-0005-0000-0000-0000414A0000}"/>
    <cellStyle name="메모 5 2" xfId="2440" xr:uid="{00000000-0005-0000-0000-0000424A0000}"/>
    <cellStyle name="메모 5 2 2" xfId="19745" xr:uid="{00000000-0005-0000-0000-0000434A0000}"/>
    <cellStyle name="메모 5 3" xfId="19746" xr:uid="{00000000-0005-0000-0000-0000444A0000}"/>
    <cellStyle name="메모 5 4" xfId="19747" xr:uid="{00000000-0005-0000-0000-0000454A0000}"/>
    <cellStyle name="메모 5 5" xfId="19748" xr:uid="{00000000-0005-0000-0000-0000464A0000}"/>
    <cellStyle name="메모 5 6" xfId="19749" xr:uid="{00000000-0005-0000-0000-0000474A0000}"/>
    <cellStyle name="메모 5 7" xfId="19750" xr:uid="{00000000-0005-0000-0000-0000484A0000}"/>
    <cellStyle name="메모 5 8" xfId="19751" xr:uid="{00000000-0005-0000-0000-0000494A0000}"/>
    <cellStyle name="메모 5 9" xfId="19752" xr:uid="{00000000-0005-0000-0000-00004A4A0000}"/>
    <cellStyle name="메모 50" xfId="19753" xr:uid="{00000000-0005-0000-0000-00004B4A0000}"/>
    <cellStyle name="메모 51" xfId="19754" xr:uid="{00000000-0005-0000-0000-00004C4A0000}"/>
    <cellStyle name="메모 52" xfId="19755" xr:uid="{00000000-0005-0000-0000-00004D4A0000}"/>
    <cellStyle name="메모 53" xfId="19756" xr:uid="{00000000-0005-0000-0000-00004E4A0000}"/>
    <cellStyle name="메모 54" xfId="19757" xr:uid="{00000000-0005-0000-0000-00004F4A0000}"/>
    <cellStyle name="메모 55" xfId="19758" xr:uid="{00000000-0005-0000-0000-0000504A0000}"/>
    <cellStyle name="메모 56" xfId="19759" xr:uid="{00000000-0005-0000-0000-0000514A0000}"/>
    <cellStyle name="메모 57" xfId="19760" xr:uid="{00000000-0005-0000-0000-0000524A0000}"/>
    <cellStyle name="메모 58" xfId="19761" xr:uid="{00000000-0005-0000-0000-0000534A0000}"/>
    <cellStyle name="메모 59" xfId="19214" xr:uid="{00000000-0005-0000-0000-0000544A0000}"/>
    <cellStyle name="메모 6" xfId="2441" xr:uid="{00000000-0005-0000-0000-0000554A0000}"/>
    <cellStyle name="메모 6 10" xfId="19763" xr:uid="{00000000-0005-0000-0000-0000564A0000}"/>
    <cellStyle name="메모 6 11" xfId="19764" xr:uid="{00000000-0005-0000-0000-0000574A0000}"/>
    <cellStyle name="메모 6 12" xfId="19765" xr:uid="{00000000-0005-0000-0000-0000584A0000}"/>
    <cellStyle name="메모 6 13" xfId="19766" xr:uid="{00000000-0005-0000-0000-0000594A0000}"/>
    <cellStyle name="메모 6 14" xfId="19767" xr:uid="{00000000-0005-0000-0000-00005A4A0000}"/>
    <cellStyle name="메모 6 15" xfId="19762" xr:uid="{00000000-0005-0000-0000-00005B4A0000}"/>
    <cellStyle name="메모 6 16" xfId="27578" xr:uid="{00000000-0005-0000-0000-00005C4A0000}"/>
    <cellStyle name="메모 6 2" xfId="2442" xr:uid="{00000000-0005-0000-0000-00005D4A0000}"/>
    <cellStyle name="메모 6 2 2" xfId="19768" xr:uid="{00000000-0005-0000-0000-00005E4A0000}"/>
    <cellStyle name="메모 6 3" xfId="19769" xr:uid="{00000000-0005-0000-0000-00005F4A0000}"/>
    <cellStyle name="메모 6 4" xfId="19770" xr:uid="{00000000-0005-0000-0000-0000604A0000}"/>
    <cellStyle name="메모 6 5" xfId="19771" xr:uid="{00000000-0005-0000-0000-0000614A0000}"/>
    <cellStyle name="메모 6 6" xfId="19772" xr:uid="{00000000-0005-0000-0000-0000624A0000}"/>
    <cellStyle name="메모 6 7" xfId="19773" xr:uid="{00000000-0005-0000-0000-0000634A0000}"/>
    <cellStyle name="메모 6 8" xfId="19774" xr:uid="{00000000-0005-0000-0000-0000644A0000}"/>
    <cellStyle name="메모 6 9" xfId="19775" xr:uid="{00000000-0005-0000-0000-0000654A0000}"/>
    <cellStyle name="메모 60" xfId="27628" xr:uid="{00000000-0005-0000-0000-0000664A0000}"/>
    <cellStyle name="메모 7" xfId="2443" xr:uid="{00000000-0005-0000-0000-0000674A0000}"/>
    <cellStyle name="메모 7 10" xfId="19777" xr:uid="{00000000-0005-0000-0000-0000684A0000}"/>
    <cellStyle name="메모 7 11" xfId="19778" xr:uid="{00000000-0005-0000-0000-0000694A0000}"/>
    <cellStyle name="메모 7 12" xfId="19779" xr:uid="{00000000-0005-0000-0000-00006A4A0000}"/>
    <cellStyle name="메모 7 13" xfId="19780" xr:uid="{00000000-0005-0000-0000-00006B4A0000}"/>
    <cellStyle name="메모 7 14" xfId="19781" xr:uid="{00000000-0005-0000-0000-00006C4A0000}"/>
    <cellStyle name="메모 7 15" xfId="19776" xr:uid="{00000000-0005-0000-0000-00006D4A0000}"/>
    <cellStyle name="메모 7 16" xfId="27577" xr:uid="{00000000-0005-0000-0000-00006E4A0000}"/>
    <cellStyle name="메모 7 2" xfId="2444" xr:uid="{00000000-0005-0000-0000-00006F4A0000}"/>
    <cellStyle name="메모 7 2 2" xfId="19782" xr:uid="{00000000-0005-0000-0000-0000704A0000}"/>
    <cellStyle name="메모 7 3" xfId="19783" xr:uid="{00000000-0005-0000-0000-0000714A0000}"/>
    <cellStyle name="메모 7 4" xfId="19784" xr:uid="{00000000-0005-0000-0000-0000724A0000}"/>
    <cellStyle name="메모 7 5" xfId="19785" xr:uid="{00000000-0005-0000-0000-0000734A0000}"/>
    <cellStyle name="메모 7 6" xfId="19786" xr:uid="{00000000-0005-0000-0000-0000744A0000}"/>
    <cellStyle name="메모 7 7" xfId="19787" xr:uid="{00000000-0005-0000-0000-0000754A0000}"/>
    <cellStyle name="메모 7 8" xfId="19788" xr:uid="{00000000-0005-0000-0000-0000764A0000}"/>
    <cellStyle name="메모 7 9" xfId="19789" xr:uid="{00000000-0005-0000-0000-0000774A0000}"/>
    <cellStyle name="메모 8" xfId="2445" xr:uid="{00000000-0005-0000-0000-0000784A0000}"/>
    <cellStyle name="메모 8 10" xfId="19791" xr:uid="{00000000-0005-0000-0000-0000794A0000}"/>
    <cellStyle name="메모 8 11" xfId="19792" xr:uid="{00000000-0005-0000-0000-00007A4A0000}"/>
    <cellStyle name="메모 8 12" xfId="19793" xr:uid="{00000000-0005-0000-0000-00007B4A0000}"/>
    <cellStyle name="메모 8 13" xfId="19794" xr:uid="{00000000-0005-0000-0000-00007C4A0000}"/>
    <cellStyle name="메모 8 14" xfId="19795" xr:uid="{00000000-0005-0000-0000-00007D4A0000}"/>
    <cellStyle name="메모 8 15" xfId="19790" xr:uid="{00000000-0005-0000-0000-00007E4A0000}"/>
    <cellStyle name="메모 8 16" xfId="27576" xr:uid="{00000000-0005-0000-0000-00007F4A0000}"/>
    <cellStyle name="메모 8 2" xfId="2446" xr:uid="{00000000-0005-0000-0000-0000804A0000}"/>
    <cellStyle name="메모 8 2 2" xfId="19796" xr:uid="{00000000-0005-0000-0000-0000814A0000}"/>
    <cellStyle name="메모 8 3" xfId="19797" xr:uid="{00000000-0005-0000-0000-0000824A0000}"/>
    <cellStyle name="메모 8 4" xfId="19798" xr:uid="{00000000-0005-0000-0000-0000834A0000}"/>
    <cellStyle name="메모 8 5" xfId="19799" xr:uid="{00000000-0005-0000-0000-0000844A0000}"/>
    <cellStyle name="메모 8 6" xfId="19800" xr:uid="{00000000-0005-0000-0000-0000854A0000}"/>
    <cellStyle name="메모 8 7" xfId="19801" xr:uid="{00000000-0005-0000-0000-0000864A0000}"/>
    <cellStyle name="메모 8 8" xfId="19802" xr:uid="{00000000-0005-0000-0000-0000874A0000}"/>
    <cellStyle name="메모 8 9" xfId="19803" xr:uid="{00000000-0005-0000-0000-0000884A0000}"/>
    <cellStyle name="메모 9" xfId="2447" xr:uid="{00000000-0005-0000-0000-0000894A0000}"/>
    <cellStyle name="메모 9 10" xfId="19805" xr:uid="{00000000-0005-0000-0000-00008A4A0000}"/>
    <cellStyle name="메모 9 11" xfId="19806" xr:uid="{00000000-0005-0000-0000-00008B4A0000}"/>
    <cellStyle name="메모 9 12" xfId="19807" xr:uid="{00000000-0005-0000-0000-00008C4A0000}"/>
    <cellStyle name="메모 9 13" xfId="19808" xr:uid="{00000000-0005-0000-0000-00008D4A0000}"/>
    <cellStyle name="메모 9 14" xfId="19809" xr:uid="{00000000-0005-0000-0000-00008E4A0000}"/>
    <cellStyle name="메모 9 15" xfId="19804" xr:uid="{00000000-0005-0000-0000-00008F4A0000}"/>
    <cellStyle name="메모 9 16" xfId="27575" xr:uid="{00000000-0005-0000-0000-0000904A0000}"/>
    <cellStyle name="메모 9 2" xfId="2448" xr:uid="{00000000-0005-0000-0000-0000914A0000}"/>
    <cellStyle name="메모 9 2 2" xfId="19810" xr:uid="{00000000-0005-0000-0000-0000924A0000}"/>
    <cellStyle name="메모 9 3" xfId="19811" xr:uid="{00000000-0005-0000-0000-0000934A0000}"/>
    <cellStyle name="메모 9 4" xfId="19812" xr:uid="{00000000-0005-0000-0000-0000944A0000}"/>
    <cellStyle name="메모 9 5" xfId="19813" xr:uid="{00000000-0005-0000-0000-0000954A0000}"/>
    <cellStyle name="메모 9 6" xfId="19814" xr:uid="{00000000-0005-0000-0000-0000964A0000}"/>
    <cellStyle name="메모 9 7" xfId="19815" xr:uid="{00000000-0005-0000-0000-0000974A0000}"/>
    <cellStyle name="메모 9 8" xfId="19816" xr:uid="{00000000-0005-0000-0000-0000984A0000}"/>
    <cellStyle name="메모 9 9" xfId="19817" xr:uid="{00000000-0005-0000-0000-0000994A0000}"/>
    <cellStyle name="믅됞 [0.00]_PRODUCT DETAIL Q1" xfId="27966" xr:uid="{00000000-0005-0000-0000-00009A4A0000}"/>
    <cellStyle name="믅됞_PRODUCT DETAIL Q1" xfId="27967" xr:uid="{00000000-0005-0000-0000-00009B4A0000}"/>
    <cellStyle name="백분율" xfId="4" builtinId="5"/>
    <cellStyle name="백분율 2" xfId="27845" xr:uid="{00000000-0005-0000-0000-00009D4A0000}"/>
    <cellStyle name="백분율 2 2" xfId="28244" xr:uid="{00000000-0005-0000-0000-00009E4A0000}"/>
    <cellStyle name="백분율 2 3" xfId="27924" xr:uid="{00000000-0005-0000-0000-00009F4A0000}"/>
    <cellStyle name="백분율 3" xfId="27844" xr:uid="{00000000-0005-0000-0000-0000A04A0000}"/>
    <cellStyle name="백분율 3 2" xfId="27908" xr:uid="{00000000-0005-0000-0000-0000A14A0000}"/>
    <cellStyle name="백분율 4" xfId="27848" xr:uid="{00000000-0005-0000-0000-0000A24A0000}"/>
    <cellStyle name="보고서 제목" xfId="27968" xr:uid="{00000000-0005-0000-0000-0000A34A0000}"/>
    <cellStyle name="보통 10" xfId="2450" xr:uid="{00000000-0005-0000-0000-0000A44A0000}"/>
    <cellStyle name="보통 10 10" xfId="19820" xr:uid="{00000000-0005-0000-0000-0000A54A0000}"/>
    <cellStyle name="보통 10 11" xfId="19821" xr:uid="{00000000-0005-0000-0000-0000A64A0000}"/>
    <cellStyle name="보통 10 12" xfId="19822" xr:uid="{00000000-0005-0000-0000-0000A74A0000}"/>
    <cellStyle name="보통 10 13" xfId="19823" xr:uid="{00000000-0005-0000-0000-0000A84A0000}"/>
    <cellStyle name="보통 10 14" xfId="19824" xr:uid="{00000000-0005-0000-0000-0000A94A0000}"/>
    <cellStyle name="보통 10 15" xfId="19819" xr:uid="{00000000-0005-0000-0000-0000AA4A0000}"/>
    <cellStyle name="보통 10 2" xfId="2451" xr:uid="{00000000-0005-0000-0000-0000AB4A0000}"/>
    <cellStyle name="보통 10 2 2" xfId="19825" xr:uid="{00000000-0005-0000-0000-0000AC4A0000}"/>
    <cellStyle name="보통 10 3" xfId="19826" xr:uid="{00000000-0005-0000-0000-0000AD4A0000}"/>
    <cellStyle name="보통 10 4" xfId="19827" xr:uid="{00000000-0005-0000-0000-0000AE4A0000}"/>
    <cellStyle name="보통 10 5" xfId="19828" xr:uid="{00000000-0005-0000-0000-0000AF4A0000}"/>
    <cellStyle name="보통 10 6" xfId="19829" xr:uid="{00000000-0005-0000-0000-0000B04A0000}"/>
    <cellStyle name="보통 10 7" xfId="19830" xr:uid="{00000000-0005-0000-0000-0000B14A0000}"/>
    <cellStyle name="보통 10 8" xfId="19831" xr:uid="{00000000-0005-0000-0000-0000B24A0000}"/>
    <cellStyle name="보통 10 9" xfId="19832" xr:uid="{00000000-0005-0000-0000-0000B34A0000}"/>
    <cellStyle name="보통 11" xfId="2452" xr:uid="{00000000-0005-0000-0000-0000B44A0000}"/>
    <cellStyle name="보통 11 10" xfId="19834" xr:uid="{00000000-0005-0000-0000-0000B54A0000}"/>
    <cellStyle name="보통 11 11" xfId="19835" xr:uid="{00000000-0005-0000-0000-0000B64A0000}"/>
    <cellStyle name="보통 11 12" xfId="19836" xr:uid="{00000000-0005-0000-0000-0000B74A0000}"/>
    <cellStyle name="보통 11 13" xfId="19837" xr:uid="{00000000-0005-0000-0000-0000B84A0000}"/>
    <cellStyle name="보통 11 14" xfId="19838" xr:uid="{00000000-0005-0000-0000-0000B94A0000}"/>
    <cellStyle name="보통 11 15" xfId="19833" xr:uid="{00000000-0005-0000-0000-0000BA4A0000}"/>
    <cellStyle name="보통 11 2" xfId="2453" xr:uid="{00000000-0005-0000-0000-0000BB4A0000}"/>
    <cellStyle name="보통 11 2 2" xfId="19839" xr:uid="{00000000-0005-0000-0000-0000BC4A0000}"/>
    <cellStyle name="보통 11 3" xfId="19840" xr:uid="{00000000-0005-0000-0000-0000BD4A0000}"/>
    <cellStyle name="보통 11 4" xfId="19841" xr:uid="{00000000-0005-0000-0000-0000BE4A0000}"/>
    <cellStyle name="보통 11 5" xfId="19842" xr:uid="{00000000-0005-0000-0000-0000BF4A0000}"/>
    <cellStyle name="보통 11 6" xfId="19843" xr:uid="{00000000-0005-0000-0000-0000C04A0000}"/>
    <cellStyle name="보통 11 7" xfId="19844" xr:uid="{00000000-0005-0000-0000-0000C14A0000}"/>
    <cellStyle name="보통 11 8" xfId="19845" xr:uid="{00000000-0005-0000-0000-0000C24A0000}"/>
    <cellStyle name="보통 11 9" xfId="19846" xr:uid="{00000000-0005-0000-0000-0000C34A0000}"/>
    <cellStyle name="보통 12" xfId="2454" xr:uid="{00000000-0005-0000-0000-0000C44A0000}"/>
    <cellStyle name="보통 12 10" xfId="19848" xr:uid="{00000000-0005-0000-0000-0000C54A0000}"/>
    <cellStyle name="보통 12 11" xfId="19849" xr:uid="{00000000-0005-0000-0000-0000C64A0000}"/>
    <cellStyle name="보통 12 12" xfId="19850" xr:uid="{00000000-0005-0000-0000-0000C74A0000}"/>
    <cellStyle name="보통 12 13" xfId="19851" xr:uid="{00000000-0005-0000-0000-0000C84A0000}"/>
    <cellStyle name="보통 12 14" xfId="19852" xr:uid="{00000000-0005-0000-0000-0000C94A0000}"/>
    <cellStyle name="보통 12 15" xfId="19847" xr:uid="{00000000-0005-0000-0000-0000CA4A0000}"/>
    <cellStyle name="보통 12 2" xfId="2455" xr:uid="{00000000-0005-0000-0000-0000CB4A0000}"/>
    <cellStyle name="보통 12 2 2" xfId="19853" xr:uid="{00000000-0005-0000-0000-0000CC4A0000}"/>
    <cellStyle name="보통 12 3" xfId="19854" xr:uid="{00000000-0005-0000-0000-0000CD4A0000}"/>
    <cellStyle name="보통 12 4" xfId="19855" xr:uid="{00000000-0005-0000-0000-0000CE4A0000}"/>
    <cellStyle name="보통 12 5" xfId="19856" xr:uid="{00000000-0005-0000-0000-0000CF4A0000}"/>
    <cellStyle name="보통 12 6" xfId="19857" xr:uid="{00000000-0005-0000-0000-0000D04A0000}"/>
    <cellStyle name="보통 12 7" xfId="19858" xr:uid="{00000000-0005-0000-0000-0000D14A0000}"/>
    <cellStyle name="보통 12 8" xfId="19859" xr:uid="{00000000-0005-0000-0000-0000D24A0000}"/>
    <cellStyle name="보통 12 9" xfId="19860" xr:uid="{00000000-0005-0000-0000-0000D34A0000}"/>
    <cellStyle name="보통 13" xfId="2456" xr:uid="{00000000-0005-0000-0000-0000D44A0000}"/>
    <cellStyle name="보통 13 10" xfId="19862" xr:uid="{00000000-0005-0000-0000-0000D54A0000}"/>
    <cellStyle name="보통 13 11" xfId="19863" xr:uid="{00000000-0005-0000-0000-0000D64A0000}"/>
    <cellStyle name="보통 13 12" xfId="19864" xr:uid="{00000000-0005-0000-0000-0000D74A0000}"/>
    <cellStyle name="보통 13 13" xfId="19865" xr:uid="{00000000-0005-0000-0000-0000D84A0000}"/>
    <cellStyle name="보통 13 14" xfId="19866" xr:uid="{00000000-0005-0000-0000-0000D94A0000}"/>
    <cellStyle name="보통 13 15" xfId="19861" xr:uid="{00000000-0005-0000-0000-0000DA4A0000}"/>
    <cellStyle name="보통 13 2" xfId="2457" xr:uid="{00000000-0005-0000-0000-0000DB4A0000}"/>
    <cellStyle name="보통 13 2 2" xfId="19867" xr:uid="{00000000-0005-0000-0000-0000DC4A0000}"/>
    <cellStyle name="보통 13 3" xfId="19868" xr:uid="{00000000-0005-0000-0000-0000DD4A0000}"/>
    <cellStyle name="보통 13 4" xfId="19869" xr:uid="{00000000-0005-0000-0000-0000DE4A0000}"/>
    <cellStyle name="보통 13 5" xfId="19870" xr:uid="{00000000-0005-0000-0000-0000DF4A0000}"/>
    <cellStyle name="보통 13 6" xfId="19871" xr:uid="{00000000-0005-0000-0000-0000E04A0000}"/>
    <cellStyle name="보통 13 7" xfId="19872" xr:uid="{00000000-0005-0000-0000-0000E14A0000}"/>
    <cellStyle name="보통 13 8" xfId="19873" xr:uid="{00000000-0005-0000-0000-0000E24A0000}"/>
    <cellStyle name="보통 13 9" xfId="19874" xr:uid="{00000000-0005-0000-0000-0000E34A0000}"/>
    <cellStyle name="보통 14" xfId="2458" xr:uid="{00000000-0005-0000-0000-0000E44A0000}"/>
    <cellStyle name="보통 14 10" xfId="19876" xr:uid="{00000000-0005-0000-0000-0000E54A0000}"/>
    <cellStyle name="보통 14 11" xfId="19877" xr:uid="{00000000-0005-0000-0000-0000E64A0000}"/>
    <cellStyle name="보통 14 12" xfId="19878" xr:uid="{00000000-0005-0000-0000-0000E74A0000}"/>
    <cellStyle name="보통 14 13" xfId="19879" xr:uid="{00000000-0005-0000-0000-0000E84A0000}"/>
    <cellStyle name="보통 14 14" xfId="19880" xr:uid="{00000000-0005-0000-0000-0000E94A0000}"/>
    <cellStyle name="보통 14 15" xfId="19875" xr:uid="{00000000-0005-0000-0000-0000EA4A0000}"/>
    <cellStyle name="보통 14 2" xfId="2459" xr:uid="{00000000-0005-0000-0000-0000EB4A0000}"/>
    <cellStyle name="보통 14 2 2" xfId="19881" xr:uid="{00000000-0005-0000-0000-0000EC4A0000}"/>
    <cellStyle name="보통 14 3" xfId="19882" xr:uid="{00000000-0005-0000-0000-0000ED4A0000}"/>
    <cellStyle name="보통 14 4" xfId="19883" xr:uid="{00000000-0005-0000-0000-0000EE4A0000}"/>
    <cellStyle name="보통 14 5" xfId="19884" xr:uid="{00000000-0005-0000-0000-0000EF4A0000}"/>
    <cellStyle name="보통 14 6" xfId="19885" xr:uid="{00000000-0005-0000-0000-0000F04A0000}"/>
    <cellStyle name="보통 14 7" xfId="19886" xr:uid="{00000000-0005-0000-0000-0000F14A0000}"/>
    <cellStyle name="보통 14 8" xfId="19887" xr:uid="{00000000-0005-0000-0000-0000F24A0000}"/>
    <cellStyle name="보통 14 9" xfId="19888" xr:uid="{00000000-0005-0000-0000-0000F34A0000}"/>
    <cellStyle name="보통 15" xfId="2460" xr:uid="{00000000-0005-0000-0000-0000F44A0000}"/>
    <cellStyle name="보통 15 10" xfId="19890" xr:uid="{00000000-0005-0000-0000-0000F54A0000}"/>
    <cellStyle name="보통 15 11" xfId="19891" xr:uid="{00000000-0005-0000-0000-0000F64A0000}"/>
    <cellStyle name="보통 15 12" xfId="19892" xr:uid="{00000000-0005-0000-0000-0000F74A0000}"/>
    <cellStyle name="보통 15 13" xfId="19893" xr:uid="{00000000-0005-0000-0000-0000F84A0000}"/>
    <cellStyle name="보통 15 14" xfId="19894" xr:uid="{00000000-0005-0000-0000-0000F94A0000}"/>
    <cellStyle name="보통 15 15" xfId="19889" xr:uid="{00000000-0005-0000-0000-0000FA4A0000}"/>
    <cellStyle name="보통 15 2" xfId="2461" xr:uid="{00000000-0005-0000-0000-0000FB4A0000}"/>
    <cellStyle name="보통 15 2 2" xfId="19895" xr:uid="{00000000-0005-0000-0000-0000FC4A0000}"/>
    <cellStyle name="보통 15 3" xfId="19896" xr:uid="{00000000-0005-0000-0000-0000FD4A0000}"/>
    <cellStyle name="보통 15 4" xfId="19897" xr:uid="{00000000-0005-0000-0000-0000FE4A0000}"/>
    <cellStyle name="보통 15 5" xfId="19898" xr:uid="{00000000-0005-0000-0000-0000FF4A0000}"/>
    <cellStyle name="보통 15 6" xfId="19899" xr:uid="{00000000-0005-0000-0000-0000004B0000}"/>
    <cellStyle name="보통 15 7" xfId="19900" xr:uid="{00000000-0005-0000-0000-0000014B0000}"/>
    <cellStyle name="보통 15 8" xfId="19901" xr:uid="{00000000-0005-0000-0000-0000024B0000}"/>
    <cellStyle name="보통 15 9" xfId="19902" xr:uid="{00000000-0005-0000-0000-0000034B0000}"/>
    <cellStyle name="보통 16" xfId="2462" xr:uid="{00000000-0005-0000-0000-0000044B0000}"/>
    <cellStyle name="보통 16 10" xfId="19904" xr:uid="{00000000-0005-0000-0000-0000054B0000}"/>
    <cellStyle name="보통 16 11" xfId="19905" xr:uid="{00000000-0005-0000-0000-0000064B0000}"/>
    <cellStyle name="보통 16 12" xfId="19906" xr:uid="{00000000-0005-0000-0000-0000074B0000}"/>
    <cellStyle name="보통 16 13" xfId="19907" xr:uid="{00000000-0005-0000-0000-0000084B0000}"/>
    <cellStyle name="보통 16 14" xfId="19908" xr:uid="{00000000-0005-0000-0000-0000094B0000}"/>
    <cellStyle name="보통 16 15" xfId="19903" xr:uid="{00000000-0005-0000-0000-00000A4B0000}"/>
    <cellStyle name="보통 16 2" xfId="2463" xr:uid="{00000000-0005-0000-0000-00000B4B0000}"/>
    <cellStyle name="보통 16 2 2" xfId="19909" xr:uid="{00000000-0005-0000-0000-00000C4B0000}"/>
    <cellStyle name="보통 16 3" xfId="19910" xr:uid="{00000000-0005-0000-0000-00000D4B0000}"/>
    <cellStyle name="보통 16 4" xfId="19911" xr:uid="{00000000-0005-0000-0000-00000E4B0000}"/>
    <cellStyle name="보통 16 5" xfId="19912" xr:uid="{00000000-0005-0000-0000-00000F4B0000}"/>
    <cellStyle name="보통 16 6" xfId="19913" xr:uid="{00000000-0005-0000-0000-0000104B0000}"/>
    <cellStyle name="보통 16 7" xfId="19914" xr:uid="{00000000-0005-0000-0000-0000114B0000}"/>
    <cellStyle name="보통 16 8" xfId="19915" xr:uid="{00000000-0005-0000-0000-0000124B0000}"/>
    <cellStyle name="보통 16 9" xfId="19916" xr:uid="{00000000-0005-0000-0000-0000134B0000}"/>
    <cellStyle name="보통 17" xfId="2464" xr:uid="{00000000-0005-0000-0000-0000144B0000}"/>
    <cellStyle name="보통 17 10" xfId="19918" xr:uid="{00000000-0005-0000-0000-0000154B0000}"/>
    <cellStyle name="보통 17 11" xfId="19919" xr:uid="{00000000-0005-0000-0000-0000164B0000}"/>
    <cellStyle name="보통 17 12" xfId="19920" xr:uid="{00000000-0005-0000-0000-0000174B0000}"/>
    <cellStyle name="보통 17 13" xfId="19921" xr:uid="{00000000-0005-0000-0000-0000184B0000}"/>
    <cellStyle name="보통 17 14" xfId="19922" xr:uid="{00000000-0005-0000-0000-0000194B0000}"/>
    <cellStyle name="보통 17 15" xfId="19917" xr:uid="{00000000-0005-0000-0000-00001A4B0000}"/>
    <cellStyle name="보통 17 2" xfId="2465" xr:uid="{00000000-0005-0000-0000-00001B4B0000}"/>
    <cellStyle name="보통 17 2 2" xfId="19923" xr:uid="{00000000-0005-0000-0000-00001C4B0000}"/>
    <cellStyle name="보통 17 3" xfId="19924" xr:uid="{00000000-0005-0000-0000-00001D4B0000}"/>
    <cellStyle name="보통 17 4" xfId="19925" xr:uid="{00000000-0005-0000-0000-00001E4B0000}"/>
    <cellStyle name="보통 17 5" xfId="19926" xr:uid="{00000000-0005-0000-0000-00001F4B0000}"/>
    <cellStyle name="보통 17 6" xfId="19927" xr:uid="{00000000-0005-0000-0000-0000204B0000}"/>
    <cellStyle name="보통 17 7" xfId="19928" xr:uid="{00000000-0005-0000-0000-0000214B0000}"/>
    <cellStyle name="보통 17 8" xfId="19929" xr:uid="{00000000-0005-0000-0000-0000224B0000}"/>
    <cellStyle name="보통 17 9" xfId="19930" xr:uid="{00000000-0005-0000-0000-0000234B0000}"/>
    <cellStyle name="보통 18" xfId="2466" xr:uid="{00000000-0005-0000-0000-0000244B0000}"/>
    <cellStyle name="보통 18 10" xfId="19932" xr:uid="{00000000-0005-0000-0000-0000254B0000}"/>
    <cellStyle name="보통 18 11" xfId="19933" xr:uid="{00000000-0005-0000-0000-0000264B0000}"/>
    <cellStyle name="보통 18 12" xfId="19934" xr:uid="{00000000-0005-0000-0000-0000274B0000}"/>
    <cellStyle name="보통 18 13" xfId="19935" xr:uid="{00000000-0005-0000-0000-0000284B0000}"/>
    <cellStyle name="보통 18 14" xfId="19936" xr:uid="{00000000-0005-0000-0000-0000294B0000}"/>
    <cellStyle name="보통 18 15" xfId="19931" xr:uid="{00000000-0005-0000-0000-00002A4B0000}"/>
    <cellStyle name="보통 18 2" xfId="2467" xr:uid="{00000000-0005-0000-0000-00002B4B0000}"/>
    <cellStyle name="보통 18 2 2" xfId="19937" xr:uid="{00000000-0005-0000-0000-00002C4B0000}"/>
    <cellStyle name="보통 18 3" xfId="19938" xr:uid="{00000000-0005-0000-0000-00002D4B0000}"/>
    <cellStyle name="보통 18 4" xfId="19939" xr:uid="{00000000-0005-0000-0000-00002E4B0000}"/>
    <cellStyle name="보통 18 5" xfId="19940" xr:uid="{00000000-0005-0000-0000-00002F4B0000}"/>
    <cellStyle name="보통 18 6" xfId="19941" xr:uid="{00000000-0005-0000-0000-0000304B0000}"/>
    <cellStyle name="보통 18 7" xfId="19942" xr:uid="{00000000-0005-0000-0000-0000314B0000}"/>
    <cellStyle name="보통 18 8" xfId="19943" xr:uid="{00000000-0005-0000-0000-0000324B0000}"/>
    <cellStyle name="보통 18 9" xfId="19944" xr:uid="{00000000-0005-0000-0000-0000334B0000}"/>
    <cellStyle name="보통 19" xfId="2468" xr:uid="{00000000-0005-0000-0000-0000344B0000}"/>
    <cellStyle name="보통 19 10" xfId="19946" xr:uid="{00000000-0005-0000-0000-0000354B0000}"/>
    <cellStyle name="보통 19 11" xfId="19947" xr:uid="{00000000-0005-0000-0000-0000364B0000}"/>
    <cellStyle name="보통 19 12" xfId="19948" xr:uid="{00000000-0005-0000-0000-0000374B0000}"/>
    <cellStyle name="보통 19 13" xfId="19949" xr:uid="{00000000-0005-0000-0000-0000384B0000}"/>
    <cellStyle name="보통 19 14" xfId="19950" xr:uid="{00000000-0005-0000-0000-0000394B0000}"/>
    <cellStyle name="보통 19 15" xfId="19945" xr:uid="{00000000-0005-0000-0000-00003A4B0000}"/>
    <cellStyle name="보통 19 2" xfId="2469" xr:uid="{00000000-0005-0000-0000-00003B4B0000}"/>
    <cellStyle name="보통 19 2 2" xfId="19951" xr:uid="{00000000-0005-0000-0000-00003C4B0000}"/>
    <cellStyle name="보통 19 3" xfId="19952" xr:uid="{00000000-0005-0000-0000-00003D4B0000}"/>
    <cellStyle name="보통 19 4" xfId="19953" xr:uid="{00000000-0005-0000-0000-00003E4B0000}"/>
    <cellStyle name="보통 19 5" xfId="19954" xr:uid="{00000000-0005-0000-0000-00003F4B0000}"/>
    <cellStyle name="보통 19 6" xfId="19955" xr:uid="{00000000-0005-0000-0000-0000404B0000}"/>
    <cellStyle name="보통 19 7" xfId="19956" xr:uid="{00000000-0005-0000-0000-0000414B0000}"/>
    <cellStyle name="보통 19 8" xfId="19957" xr:uid="{00000000-0005-0000-0000-0000424B0000}"/>
    <cellStyle name="보통 19 9" xfId="19958" xr:uid="{00000000-0005-0000-0000-0000434B0000}"/>
    <cellStyle name="보통 2" xfId="2470" xr:uid="{00000000-0005-0000-0000-0000444B0000}"/>
    <cellStyle name="보통 2 10" xfId="19960" xr:uid="{00000000-0005-0000-0000-0000454B0000}"/>
    <cellStyle name="보통 2 11" xfId="19961" xr:uid="{00000000-0005-0000-0000-0000464B0000}"/>
    <cellStyle name="보통 2 12" xfId="19962" xr:uid="{00000000-0005-0000-0000-0000474B0000}"/>
    <cellStyle name="보통 2 13" xfId="19963" xr:uid="{00000000-0005-0000-0000-0000484B0000}"/>
    <cellStyle name="보통 2 14" xfId="19964" xr:uid="{00000000-0005-0000-0000-0000494B0000}"/>
    <cellStyle name="보통 2 15" xfId="19959" xr:uid="{00000000-0005-0000-0000-00004A4B0000}"/>
    <cellStyle name="보통 2 16" xfId="27969" xr:uid="{00000000-0005-0000-0000-00004B4B0000}"/>
    <cellStyle name="보통 2 2" xfId="2471" xr:uid="{00000000-0005-0000-0000-00004C4B0000}"/>
    <cellStyle name="보통 2 2 2" xfId="19965" xr:uid="{00000000-0005-0000-0000-00004D4B0000}"/>
    <cellStyle name="보통 2 3" xfId="19966" xr:uid="{00000000-0005-0000-0000-00004E4B0000}"/>
    <cellStyle name="보통 2 4" xfId="19967" xr:uid="{00000000-0005-0000-0000-00004F4B0000}"/>
    <cellStyle name="보통 2 5" xfId="19968" xr:uid="{00000000-0005-0000-0000-0000504B0000}"/>
    <cellStyle name="보통 2 6" xfId="19969" xr:uid="{00000000-0005-0000-0000-0000514B0000}"/>
    <cellStyle name="보통 2 7" xfId="19970" xr:uid="{00000000-0005-0000-0000-0000524B0000}"/>
    <cellStyle name="보통 2 8" xfId="19971" xr:uid="{00000000-0005-0000-0000-0000534B0000}"/>
    <cellStyle name="보통 2 9" xfId="19972" xr:uid="{00000000-0005-0000-0000-0000544B0000}"/>
    <cellStyle name="보통 20" xfId="2472" xr:uid="{00000000-0005-0000-0000-0000554B0000}"/>
    <cellStyle name="보통 20 10" xfId="19974" xr:uid="{00000000-0005-0000-0000-0000564B0000}"/>
    <cellStyle name="보통 20 11" xfId="19975" xr:uid="{00000000-0005-0000-0000-0000574B0000}"/>
    <cellStyle name="보통 20 12" xfId="19976" xr:uid="{00000000-0005-0000-0000-0000584B0000}"/>
    <cellStyle name="보통 20 13" xfId="19977" xr:uid="{00000000-0005-0000-0000-0000594B0000}"/>
    <cellStyle name="보통 20 14" xfId="19978" xr:uid="{00000000-0005-0000-0000-00005A4B0000}"/>
    <cellStyle name="보통 20 15" xfId="19973" xr:uid="{00000000-0005-0000-0000-00005B4B0000}"/>
    <cellStyle name="보통 20 2" xfId="2473" xr:uid="{00000000-0005-0000-0000-00005C4B0000}"/>
    <cellStyle name="보통 20 2 2" xfId="19979" xr:uid="{00000000-0005-0000-0000-00005D4B0000}"/>
    <cellStyle name="보통 20 3" xfId="19980" xr:uid="{00000000-0005-0000-0000-00005E4B0000}"/>
    <cellStyle name="보통 20 4" xfId="19981" xr:uid="{00000000-0005-0000-0000-00005F4B0000}"/>
    <cellStyle name="보통 20 5" xfId="19982" xr:uid="{00000000-0005-0000-0000-0000604B0000}"/>
    <cellStyle name="보통 20 6" xfId="19983" xr:uid="{00000000-0005-0000-0000-0000614B0000}"/>
    <cellStyle name="보통 20 7" xfId="19984" xr:uid="{00000000-0005-0000-0000-0000624B0000}"/>
    <cellStyle name="보통 20 8" xfId="19985" xr:uid="{00000000-0005-0000-0000-0000634B0000}"/>
    <cellStyle name="보통 20 9" xfId="19986" xr:uid="{00000000-0005-0000-0000-0000644B0000}"/>
    <cellStyle name="보통 21" xfId="2474" xr:uid="{00000000-0005-0000-0000-0000654B0000}"/>
    <cellStyle name="보통 21 10" xfId="19988" xr:uid="{00000000-0005-0000-0000-0000664B0000}"/>
    <cellStyle name="보통 21 11" xfId="19989" xr:uid="{00000000-0005-0000-0000-0000674B0000}"/>
    <cellStyle name="보통 21 12" xfId="19990" xr:uid="{00000000-0005-0000-0000-0000684B0000}"/>
    <cellStyle name="보통 21 13" xfId="19991" xr:uid="{00000000-0005-0000-0000-0000694B0000}"/>
    <cellStyle name="보통 21 14" xfId="19992" xr:uid="{00000000-0005-0000-0000-00006A4B0000}"/>
    <cellStyle name="보통 21 15" xfId="19987" xr:uid="{00000000-0005-0000-0000-00006B4B0000}"/>
    <cellStyle name="보통 21 2" xfId="2475" xr:uid="{00000000-0005-0000-0000-00006C4B0000}"/>
    <cellStyle name="보통 21 2 2" xfId="19993" xr:uid="{00000000-0005-0000-0000-00006D4B0000}"/>
    <cellStyle name="보통 21 3" xfId="19994" xr:uid="{00000000-0005-0000-0000-00006E4B0000}"/>
    <cellStyle name="보통 21 4" xfId="19995" xr:uid="{00000000-0005-0000-0000-00006F4B0000}"/>
    <cellStyle name="보통 21 5" xfId="19996" xr:uid="{00000000-0005-0000-0000-0000704B0000}"/>
    <cellStyle name="보통 21 6" xfId="19997" xr:uid="{00000000-0005-0000-0000-0000714B0000}"/>
    <cellStyle name="보통 21 7" xfId="19998" xr:uid="{00000000-0005-0000-0000-0000724B0000}"/>
    <cellStyle name="보통 21 8" xfId="19999" xr:uid="{00000000-0005-0000-0000-0000734B0000}"/>
    <cellStyle name="보통 21 9" xfId="20000" xr:uid="{00000000-0005-0000-0000-0000744B0000}"/>
    <cellStyle name="보통 22" xfId="2476" xr:uid="{00000000-0005-0000-0000-0000754B0000}"/>
    <cellStyle name="보통 22 10" xfId="20002" xr:uid="{00000000-0005-0000-0000-0000764B0000}"/>
    <cellStyle name="보통 22 11" xfId="20003" xr:uid="{00000000-0005-0000-0000-0000774B0000}"/>
    <cellStyle name="보통 22 12" xfId="20004" xr:uid="{00000000-0005-0000-0000-0000784B0000}"/>
    <cellStyle name="보통 22 13" xfId="20005" xr:uid="{00000000-0005-0000-0000-0000794B0000}"/>
    <cellStyle name="보통 22 14" xfId="20006" xr:uid="{00000000-0005-0000-0000-00007A4B0000}"/>
    <cellStyle name="보통 22 15" xfId="20001" xr:uid="{00000000-0005-0000-0000-00007B4B0000}"/>
    <cellStyle name="보통 22 2" xfId="2477" xr:uid="{00000000-0005-0000-0000-00007C4B0000}"/>
    <cellStyle name="보통 22 2 2" xfId="20007" xr:uid="{00000000-0005-0000-0000-00007D4B0000}"/>
    <cellStyle name="보통 22 3" xfId="20008" xr:uid="{00000000-0005-0000-0000-00007E4B0000}"/>
    <cellStyle name="보통 22 4" xfId="20009" xr:uid="{00000000-0005-0000-0000-00007F4B0000}"/>
    <cellStyle name="보통 22 5" xfId="20010" xr:uid="{00000000-0005-0000-0000-0000804B0000}"/>
    <cellStyle name="보통 22 6" xfId="20011" xr:uid="{00000000-0005-0000-0000-0000814B0000}"/>
    <cellStyle name="보통 22 7" xfId="20012" xr:uid="{00000000-0005-0000-0000-0000824B0000}"/>
    <cellStyle name="보통 22 8" xfId="20013" xr:uid="{00000000-0005-0000-0000-0000834B0000}"/>
    <cellStyle name="보통 22 9" xfId="20014" xr:uid="{00000000-0005-0000-0000-0000844B0000}"/>
    <cellStyle name="보통 23" xfId="2478" xr:uid="{00000000-0005-0000-0000-0000854B0000}"/>
    <cellStyle name="보통 23 10" xfId="20016" xr:uid="{00000000-0005-0000-0000-0000864B0000}"/>
    <cellStyle name="보통 23 11" xfId="20017" xr:uid="{00000000-0005-0000-0000-0000874B0000}"/>
    <cellStyle name="보통 23 12" xfId="20018" xr:uid="{00000000-0005-0000-0000-0000884B0000}"/>
    <cellStyle name="보통 23 13" xfId="20019" xr:uid="{00000000-0005-0000-0000-0000894B0000}"/>
    <cellStyle name="보통 23 14" xfId="20020" xr:uid="{00000000-0005-0000-0000-00008A4B0000}"/>
    <cellStyle name="보통 23 15" xfId="20015" xr:uid="{00000000-0005-0000-0000-00008B4B0000}"/>
    <cellStyle name="보통 23 2" xfId="2479" xr:uid="{00000000-0005-0000-0000-00008C4B0000}"/>
    <cellStyle name="보통 23 2 2" xfId="20021" xr:uid="{00000000-0005-0000-0000-00008D4B0000}"/>
    <cellStyle name="보통 23 3" xfId="20022" xr:uid="{00000000-0005-0000-0000-00008E4B0000}"/>
    <cellStyle name="보통 23 4" xfId="20023" xr:uid="{00000000-0005-0000-0000-00008F4B0000}"/>
    <cellStyle name="보통 23 5" xfId="20024" xr:uid="{00000000-0005-0000-0000-0000904B0000}"/>
    <cellStyle name="보통 23 6" xfId="20025" xr:uid="{00000000-0005-0000-0000-0000914B0000}"/>
    <cellStyle name="보통 23 7" xfId="20026" xr:uid="{00000000-0005-0000-0000-0000924B0000}"/>
    <cellStyle name="보통 23 8" xfId="20027" xr:uid="{00000000-0005-0000-0000-0000934B0000}"/>
    <cellStyle name="보통 23 9" xfId="20028" xr:uid="{00000000-0005-0000-0000-0000944B0000}"/>
    <cellStyle name="보통 24" xfId="2480" xr:uid="{00000000-0005-0000-0000-0000954B0000}"/>
    <cellStyle name="보통 24 10" xfId="20030" xr:uid="{00000000-0005-0000-0000-0000964B0000}"/>
    <cellStyle name="보통 24 11" xfId="20031" xr:uid="{00000000-0005-0000-0000-0000974B0000}"/>
    <cellStyle name="보통 24 12" xfId="20032" xr:uid="{00000000-0005-0000-0000-0000984B0000}"/>
    <cellStyle name="보통 24 13" xfId="20033" xr:uid="{00000000-0005-0000-0000-0000994B0000}"/>
    <cellStyle name="보통 24 14" xfId="20034" xr:uid="{00000000-0005-0000-0000-00009A4B0000}"/>
    <cellStyle name="보통 24 15" xfId="20029" xr:uid="{00000000-0005-0000-0000-00009B4B0000}"/>
    <cellStyle name="보통 24 2" xfId="2481" xr:uid="{00000000-0005-0000-0000-00009C4B0000}"/>
    <cellStyle name="보통 24 2 2" xfId="20035" xr:uid="{00000000-0005-0000-0000-00009D4B0000}"/>
    <cellStyle name="보통 24 3" xfId="20036" xr:uid="{00000000-0005-0000-0000-00009E4B0000}"/>
    <cellStyle name="보통 24 4" xfId="20037" xr:uid="{00000000-0005-0000-0000-00009F4B0000}"/>
    <cellStyle name="보통 24 5" xfId="20038" xr:uid="{00000000-0005-0000-0000-0000A04B0000}"/>
    <cellStyle name="보통 24 6" xfId="20039" xr:uid="{00000000-0005-0000-0000-0000A14B0000}"/>
    <cellStyle name="보통 24 7" xfId="20040" xr:uid="{00000000-0005-0000-0000-0000A24B0000}"/>
    <cellStyle name="보통 24 8" xfId="20041" xr:uid="{00000000-0005-0000-0000-0000A34B0000}"/>
    <cellStyle name="보통 24 9" xfId="20042" xr:uid="{00000000-0005-0000-0000-0000A44B0000}"/>
    <cellStyle name="보통 25" xfId="2482" xr:uid="{00000000-0005-0000-0000-0000A54B0000}"/>
    <cellStyle name="보통 25 10" xfId="20044" xr:uid="{00000000-0005-0000-0000-0000A64B0000}"/>
    <cellStyle name="보통 25 11" xfId="20045" xr:uid="{00000000-0005-0000-0000-0000A74B0000}"/>
    <cellStyle name="보통 25 12" xfId="20046" xr:uid="{00000000-0005-0000-0000-0000A84B0000}"/>
    <cellStyle name="보통 25 13" xfId="20047" xr:uid="{00000000-0005-0000-0000-0000A94B0000}"/>
    <cellStyle name="보통 25 14" xfId="20048" xr:uid="{00000000-0005-0000-0000-0000AA4B0000}"/>
    <cellStyle name="보통 25 15" xfId="20043" xr:uid="{00000000-0005-0000-0000-0000AB4B0000}"/>
    <cellStyle name="보통 25 2" xfId="2483" xr:uid="{00000000-0005-0000-0000-0000AC4B0000}"/>
    <cellStyle name="보통 25 2 2" xfId="20049" xr:uid="{00000000-0005-0000-0000-0000AD4B0000}"/>
    <cellStyle name="보통 25 3" xfId="20050" xr:uid="{00000000-0005-0000-0000-0000AE4B0000}"/>
    <cellStyle name="보통 25 4" xfId="20051" xr:uid="{00000000-0005-0000-0000-0000AF4B0000}"/>
    <cellStyle name="보통 25 5" xfId="20052" xr:uid="{00000000-0005-0000-0000-0000B04B0000}"/>
    <cellStyle name="보통 25 6" xfId="20053" xr:uid="{00000000-0005-0000-0000-0000B14B0000}"/>
    <cellStyle name="보통 25 7" xfId="20054" xr:uid="{00000000-0005-0000-0000-0000B24B0000}"/>
    <cellStyle name="보통 25 8" xfId="20055" xr:uid="{00000000-0005-0000-0000-0000B34B0000}"/>
    <cellStyle name="보통 25 9" xfId="20056" xr:uid="{00000000-0005-0000-0000-0000B44B0000}"/>
    <cellStyle name="보통 26" xfId="2484" xr:uid="{00000000-0005-0000-0000-0000B54B0000}"/>
    <cellStyle name="보통 26 10" xfId="20058" xr:uid="{00000000-0005-0000-0000-0000B64B0000}"/>
    <cellStyle name="보통 26 11" xfId="20059" xr:uid="{00000000-0005-0000-0000-0000B74B0000}"/>
    <cellStyle name="보통 26 12" xfId="20060" xr:uid="{00000000-0005-0000-0000-0000B84B0000}"/>
    <cellStyle name="보통 26 13" xfId="20061" xr:uid="{00000000-0005-0000-0000-0000B94B0000}"/>
    <cellStyle name="보통 26 14" xfId="20062" xr:uid="{00000000-0005-0000-0000-0000BA4B0000}"/>
    <cellStyle name="보통 26 15" xfId="20057" xr:uid="{00000000-0005-0000-0000-0000BB4B0000}"/>
    <cellStyle name="보통 26 2" xfId="2485" xr:uid="{00000000-0005-0000-0000-0000BC4B0000}"/>
    <cellStyle name="보통 26 2 2" xfId="20063" xr:uid="{00000000-0005-0000-0000-0000BD4B0000}"/>
    <cellStyle name="보통 26 3" xfId="20064" xr:uid="{00000000-0005-0000-0000-0000BE4B0000}"/>
    <cellStyle name="보통 26 4" xfId="20065" xr:uid="{00000000-0005-0000-0000-0000BF4B0000}"/>
    <cellStyle name="보통 26 5" xfId="20066" xr:uid="{00000000-0005-0000-0000-0000C04B0000}"/>
    <cellStyle name="보통 26 6" xfId="20067" xr:uid="{00000000-0005-0000-0000-0000C14B0000}"/>
    <cellStyle name="보통 26 7" xfId="20068" xr:uid="{00000000-0005-0000-0000-0000C24B0000}"/>
    <cellStyle name="보통 26 8" xfId="20069" xr:uid="{00000000-0005-0000-0000-0000C34B0000}"/>
    <cellStyle name="보통 26 9" xfId="20070" xr:uid="{00000000-0005-0000-0000-0000C44B0000}"/>
    <cellStyle name="보통 27" xfId="2486" xr:uid="{00000000-0005-0000-0000-0000C54B0000}"/>
    <cellStyle name="보통 27 10" xfId="20072" xr:uid="{00000000-0005-0000-0000-0000C64B0000}"/>
    <cellStyle name="보통 27 11" xfId="20073" xr:uid="{00000000-0005-0000-0000-0000C74B0000}"/>
    <cellStyle name="보통 27 12" xfId="20074" xr:uid="{00000000-0005-0000-0000-0000C84B0000}"/>
    <cellStyle name="보통 27 13" xfId="20075" xr:uid="{00000000-0005-0000-0000-0000C94B0000}"/>
    <cellStyle name="보통 27 14" xfId="20076" xr:uid="{00000000-0005-0000-0000-0000CA4B0000}"/>
    <cellStyle name="보통 27 15" xfId="20071" xr:uid="{00000000-0005-0000-0000-0000CB4B0000}"/>
    <cellStyle name="보통 27 2" xfId="2487" xr:uid="{00000000-0005-0000-0000-0000CC4B0000}"/>
    <cellStyle name="보통 27 2 2" xfId="20077" xr:uid="{00000000-0005-0000-0000-0000CD4B0000}"/>
    <cellStyle name="보통 27 3" xfId="20078" xr:uid="{00000000-0005-0000-0000-0000CE4B0000}"/>
    <cellStyle name="보통 27 4" xfId="20079" xr:uid="{00000000-0005-0000-0000-0000CF4B0000}"/>
    <cellStyle name="보통 27 5" xfId="20080" xr:uid="{00000000-0005-0000-0000-0000D04B0000}"/>
    <cellStyle name="보통 27 6" xfId="20081" xr:uid="{00000000-0005-0000-0000-0000D14B0000}"/>
    <cellStyle name="보통 27 7" xfId="20082" xr:uid="{00000000-0005-0000-0000-0000D24B0000}"/>
    <cellStyle name="보통 27 8" xfId="20083" xr:uid="{00000000-0005-0000-0000-0000D34B0000}"/>
    <cellStyle name="보통 27 9" xfId="20084" xr:uid="{00000000-0005-0000-0000-0000D44B0000}"/>
    <cellStyle name="보통 28" xfId="2488" xr:uid="{00000000-0005-0000-0000-0000D54B0000}"/>
    <cellStyle name="보통 28 10" xfId="20086" xr:uid="{00000000-0005-0000-0000-0000D64B0000}"/>
    <cellStyle name="보통 28 11" xfId="20087" xr:uid="{00000000-0005-0000-0000-0000D74B0000}"/>
    <cellStyle name="보통 28 12" xfId="20088" xr:uid="{00000000-0005-0000-0000-0000D84B0000}"/>
    <cellStyle name="보통 28 13" xfId="20089" xr:uid="{00000000-0005-0000-0000-0000D94B0000}"/>
    <cellStyle name="보통 28 14" xfId="20090" xr:uid="{00000000-0005-0000-0000-0000DA4B0000}"/>
    <cellStyle name="보통 28 15" xfId="20085" xr:uid="{00000000-0005-0000-0000-0000DB4B0000}"/>
    <cellStyle name="보통 28 2" xfId="2489" xr:uid="{00000000-0005-0000-0000-0000DC4B0000}"/>
    <cellStyle name="보통 28 2 2" xfId="20091" xr:uid="{00000000-0005-0000-0000-0000DD4B0000}"/>
    <cellStyle name="보통 28 3" xfId="20092" xr:uid="{00000000-0005-0000-0000-0000DE4B0000}"/>
    <cellStyle name="보통 28 4" xfId="20093" xr:uid="{00000000-0005-0000-0000-0000DF4B0000}"/>
    <cellStyle name="보통 28 5" xfId="20094" xr:uid="{00000000-0005-0000-0000-0000E04B0000}"/>
    <cellStyle name="보통 28 6" xfId="20095" xr:uid="{00000000-0005-0000-0000-0000E14B0000}"/>
    <cellStyle name="보통 28 7" xfId="20096" xr:uid="{00000000-0005-0000-0000-0000E24B0000}"/>
    <cellStyle name="보통 28 8" xfId="20097" xr:uid="{00000000-0005-0000-0000-0000E34B0000}"/>
    <cellStyle name="보통 28 9" xfId="20098" xr:uid="{00000000-0005-0000-0000-0000E44B0000}"/>
    <cellStyle name="보통 29" xfId="2490" xr:uid="{00000000-0005-0000-0000-0000E54B0000}"/>
    <cellStyle name="보통 29 10" xfId="20100" xr:uid="{00000000-0005-0000-0000-0000E64B0000}"/>
    <cellStyle name="보통 29 11" xfId="20101" xr:uid="{00000000-0005-0000-0000-0000E74B0000}"/>
    <cellStyle name="보통 29 12" xfId="20102" xr:uid="{00000000-0005-0000-0000-0000E84B0000}"/>
    <cellStyle name="보통 29 13" xfId="20103" xr:uid="{00000000-0005-0000-0000-0000E94B0000}"/>
    <cellStyle name="보통 29 14" xfId="20104" xr:uid="{00000000-0005-0000-0000-0000EA4B0000}"/>
    <cellStyle name="보통 29 15" xfId="20099" xr:uid="{00000000-0005-0000-0000-0000EB4B0000}"/>
    <cellStyle name="보통 29 2" xfId="2491" xr:uid="{00000000-0005-0000-0000-0000EC4B0000}"/>
    <cellStyle name="보통 29 2 2" xfId="20105" xr:uid="{00000000-0005-0000-0000-0000ED4B0000}"/>
    <cellStyle name="보통 29 3" xfId="20106" xr:uid="{00000000-0005-0000-0000-0000EE4B0000}"/>
    <cellStyle name="보통 29 4" xfId="20107" xr:uid="{00000000-0005-0000-0000-0000EF4B0000}"/>
    <cellStyle name="보통 29 5" xfId="20108" xr:uid="{00000000-0005-0000-0000-0000F04B0000}"/>
    <cellStyle name="보통 29 6" xfId="20109" xr:uid="{00000000-0005-0000-0000-0000F14B0000}"/>
    <cellStyle name="보통 29 7" xfId="20110" xr:uid="{00000000-0005-0000-0000-0000F24B0000}"/>
    <cellStyle name="보통 29 8" xfId="20111" xr:uid="{00000000-0005-0000-0000-0000F34B0000}"/>
    <cellStyle name="보통 29 9" xfId="20112" xr:uid="{00000000-0005-0000-0000-0000F44B0000}"/>
    <cellStyle name="보통 3" xfId="2492" xr:uid="{00000000-0005-0000-0000-0000F54B0000}"/>
    <cellStyle name="보통 3 10" xfId="20114" xr:uid="{00000000-0005-0000-0000-0000F64B0000}"/>
    <cellStyle name="보통 3 11" xfId="20115" xr:uid="{00000000-0005-0000-0000-0000F74B0000}"/>
    <cellStyle name="보통 3 12" xfId="20116" xr:uid="{00000000-0005-0000-0000-0000F84B0000}"/>
    <cellStyle name="보통 3 13" xfId="20117" xr:uid="{00000000-0005-0000-0000-0000F94B0000}"/>
    <cellStyle name="보통 3 14" xfId="20118" xr:uid="{00000000-0005-0000-0000-0000FA4B0000}"/>
    <cellStyle name="보통 3 15" xfId="20113" xr:uid="{00000000-0005-0000-0000-0000FB4B0000}"/>
    <cellStyle name="보통 3 16" xfId="28217" xr:uid="{00000000-0005-0000-0000-0000FC4B0000}"/>
    <cellStyle name="보통 3 2" xfId="2493" xr:uid="{00000000-0005-0000-0000-0000FD4B0000}"/>
    <cellStyle name="보통 3 2 2" xfId="20119" xr:uid="{00000000-0005-0000-0000-0000FE4B0000}"/>
    <cellStyle name="보통 3 3" xfId="20120" xr:uid="{00000000-0005-0000-0000-0000FF4B0000}"/>
    <cellStyle name="보통 3 4" xfId="20121" xr:uid="{00000000-0005-0000-0000-0000004C0000}"/>
    <cellStyle name="보통 3 5" xfId="20122" xr:uid="{00000000-0005-0000-0000-0000014C0000}"/>
    <cellStyle name="보통 3 6" xfId="20123" xr:uid="{00000000-0005-0000-0000-0000024C0000}"/>
    <cellStyle name="보통 3 7" xfId="20124" xr:uid="{00000000-0005-0000-0000-0000034C0000}"/>
    <cellStyle name="보통 3 8" xfId="20125" xr:uid="{00000000-0005-0000-0000-0000044C0000}"/>
    <cellStyle name="보통 3 9" xfId="20126" xr:uid="{00000000-0005-0000-0000-0000054C0000}"/>
    <cellStyle name="보통 30" xfId="2494" xr:uid="{00000000-0005-0000-0000-0000064C0000}"/>
    <cellStyle name="보통 30 10" xfId="20128" xr:uid="{00000000-0005-0000-0000-0000074C0000}"/>
    <cellStyle name="보통 30 11" xfId="20129" xr:uid="{00000000-0005-0000-0000-0000084C0000}"/>
    <cellStyle name="보통 30 12" xfId="20130" xr:uid="{00000000-0005-0000-0000-0000094C0000}"/>
    <cellStyle name="보통 30 13" xfId="20131" xr:uid="{00000000-0005-0000-0000-00000A4C0000}"/>
    <cellStyle name="보통 30 14" xfId="20132" xr:uid="{00000000-0005-0000-0000-00000B4C0000}"/>
    <cellStyle name="보통 30 15" xfId="20127" xr:uid="{00000000-0005-0000-0000-00000C4C0000}"/>
    <cellStyle name="보통 30 2" xfId="2495" xr:uid="{00000000-0005-0000-0000-00000D4C0000}"/>
    <cellStyle name="보통 30 2 2" xfId="20133" xr:uid="{00000000-0005-0000-0000-00000E4C0000}"/>
    <cellStyle name="보통 30 3" xfId="20134" xr:uid="{00000000-0005-0000-0000-00000F4C0000}"/>
    <cellStyle name="보통 30 4" xfId="20135" xr:uid="{00000000-0005-0000-0000-0000104C0000}"/>
    <cellStyle name="보통 30 5" xfId="20136" xr:uid="{00000000-0005-0000-0000-0000114C0000}"/>
    <cellStyle name="보통 30 6" xfId="20137" xr:uid="{00000000-0005-0000-0000-0000124C0000}"/>
    <cellStyle name="보통 30 7" xfId="20138" xr:uid="{00000000-0005-0000-0000-0000134C0000}"/>
    <cellStyle name="보통 30 8" xfId="20139" xr:uid="{00000000-0005-0000-0000-0000144C0000}"/>
    <cellStyle name="보통 30 9" xfId="20140" xr:uid="{00000000-0005-0000-0000-0000154C0000}"/>
    <cellStyle name="보통 31" xfId="2496" xr:uid="{00000000-0005-0000-0000-0000164C0000}"/>
    <cellStyle name="보통 31 10" xfId="20142" xr:uid="{00000000-0005-0000-0000-0000174C0000}"/>
    <cellStyle name="보통 31 11" xfId="20143" xr:uid="{00000000-0005-0000-0000-0000184C0000}"/>
    <cellStyle name="보통 31 12" xfId="20144" xr:uid="{00000000-0005-0000-0000-0000194C0000}"/>
    <cellStyle name="보통 31 13" xfId="20145" xr:uid="{00000000-0005-0000-0000-00001A4C0000}"/>
    <cellStyle name="보통 31 14" xfId="20146" xr:uid="{00000000-0005-0000-0000-00001B4C0000}"/>
    <cellStyle name="보통 31 15" xfId="20141" xr:uid="{00000000-0005-0000-0000-00001C4C0000}"/>
    <cellStyle name="보통 31 2" xfId="2497" xr:uid="{00000000-0005-0000-0000-00001D4C0000}"/>
    <cellStyle name="보통 31 2 2" xfId="20147" xr:uid="{00000000-0005-0000-0000-00001E4C0000}"/>
    <cellStyle name="보통 31 3" xfId="20148" xr:uid="{00000000-0005-0000-0000-00001F4C0000}"/>
    <cellStyle name="보통 31 4" xfId="20149" xr:uid="{00000000-0005-0000-0000-0000204C0000}"/>
    <cellStyle name="보통 31 5" xfId="20150" xr:uid="{00000000-0005-0000-0000-0000214C0000}"/>
    <cellStyle name="보통 31 6" xfId="20151" xr:uid="{00000000-0005-0000-0000-0000224C0000}"/>
    <cellStyle name="보통 31 7" xfId="20152" xr:uid="{00000000-0005-0000-0000-0000234C0000}"/>
    <cellStyle name="보통 31 8" xfId="20153" xr:uid="{00000000-0005-0000-0000-0000244C0000}"/>
    <cellStyle name="보통 31 9" xfId="20154" xr:uid="{00000000-0005-0000-0000-0000254C0000}"/>
    <cellStyle name="보통 32" xfId="2498" xr:uid="{00000000-0005-0000-0000-0000264C0000}"/>
    <cellStyle name="보통 32 10" xfId="20156" xr:uid="{00000000-0005-0000-0000-0000274C0000}"/>
    <cellStyle name="보통 32 11" xfId="20157" xr:uid="{00000000-0005-0000-0000-0000284C0000}"/>
    <cellStyle name="보통 32 12" xfId="20158" xr:uid="{00000000-0005-0000-0000-0000294C0000}"/>
    <cellStyle name="보통 32 13" xfId="20159" xr:uid="{00000000-0005-0000-0000-00002A4C0000}"/>
    <cellStyle name="보통 32 14" xfId="20160" xr:uid="{00000000-0005-0000-0000-00002B4C0000}"/>
    <cellStyle name="보통 32 15" xfId="20155" xr:uid="{00000000-0005-0000-0000-00002C4C0000}"/>
    <cellStyle name="보통 32 2" xfId="2499" xr:uid="{00000000-0005-0000-0000-00002D4C0000}"/>
    <cellStyle name="보통 32 2 2" xfId="20161" xr:uid="{00000000-0005-0000-0000-00002E4C0000}"/>
    <cellStyle name="보통 32 3" xfId="20162" xr:uid="{00000000-0005-0000-0000-00002F4C0000}"/>
    <cellStyle name="보통 32 4" xfId="20163" xr:uid="{00000000-0005-0000-0000-0000304C0000}"/>
    <cellStyle name="보통 32 5" xfId="20164" xr:uid="{00000000-0005-0000-0000-0000314C0000}"/>
    <cellStyle name="보통 32 6" xfId="20165" xr:uid="{00000000-0005-0000-0000-0000324C0000}"/>
    <cellStyle name="보통 32 7" xfId="20166" xr:uid="{00000000-0005-0000-0000-0000334C0000}"/>
    <cellStyle name="보통 32 8" xfId="20167" xr:uid="{00000000-0005-0000-0000-0000344C0000}"/>
    <cellStyle name="보통 32 9" xfId="20168" xr:uid="{00000000-0005-0000-0000-0000354C0000}"/>
    <cellStyle name="보통 33" xfId="2500" xr:uid="{00000000-0005-0000-0000-0000364C0000}"/>
    <cellStyle name="보통 33 10" xfId="20170" xr:uid="{00000000-0005-0000-0000-0000374C0000}"/>
    <cellStyle name="보통 33 11" xfId="20171" xr:uid="{00000000-0005-0000-0000-0000384C0000}"/>
    <cellStyle name="보통 33 12" xfId="20172" xr:uid="{00000000-0005-0000-0000-0000394C0000}"/>
    <cellStyle name="보통 33 13" xfId="20173" xr:uid="{00000000-0005-0000-0000-00003A4C0000}"/>
    <cellStyle name="보통 33 14" xfId="20174" xr:uid="{00000000-0005-0000-0000-00003B4C0000}"/>
    <cellStyle name="보통 33 15" xfId="20169" xr:uid="{00000000-0005-0000-0000-00003C4C0000}"/>
    <cellStyle name="보통 33 2" xfId="2501" xr:uid="{00000000-0005-0000-0000-00003D4C0000}"/>
    <cellStyle name="보통 33 2 2" xfId="20175" xr:uid="{00000000-0005-0000-0000-00003E4C0000}"/>
    <cellStyle name="보통 33 3" xfId="20176" xr:uid="{00000000-0005-0000-0000-00003F4C0000}"/>
    <cellStyle name="보통 33 4" xfId="20177" xr:uid="{00000000-0005-0000-0000-0000404C0000}"/>
    <cellStyle name="보통 33 5" xfId="20178" xr:uid="{00000000-0005-0000-0000-0000414C0000}"/>
    <cellStyle name="보통 33 6" xfId="20179" xr:uid="{00000000-0005-0000-0000-0000424C0000}"/>
    <cellStyle name="보통 33 7" xfId="20180" xr:uid="{00000000-0005-0000-0000-0000434C0000}"/>
    <cellStyle name="보통 33 8" xfId="20181" xr:uid="{00000000-0005-0000-0000-0000444C0000}"/>
    <cellStyle name="보통 33 9" xfId="20182" xr:uid="{00000000-0005-0000-0000-0000454C0000}"/>
    <cellStyle name="보통 34" xfId="2502" xr:uid="{00000000-0005-0000-0000-0000464C0000}"/>
    <cellStyle name="보통 34 10" xfId="20184" xr:uid="{00000000-0005-0000-0000-0000474C0000}"/>
    <cellStyle name="보통 34 11" xfId="20185" xr:uid="{00000000-0005-0000-0000-0000484C0000}"/>
    <cellStyle name="보통 34 12" xfId="20186" xr:uid="{00000000-0005-0000-0000-0000494C0000}"/>
    <cellStyle name="보통 34 13" xfId="20187" xr:uid="{00000000-0005-0000-0000-00004A4C0000}"/>
    <cellStyle name="보통 34 14" xfId="20188" xr:uid="{00000000-0005-0000-0000-00004B4C0000}"/>
    <cellStyle name="보통 34 15" xfId="20183" xr:uid="{00000000-0005-0000-0000-00004C4C0000}"/>
    <cellStyle name="보통 34 2" xfId="2503" xr:uid="{00000000-0005-0000-0000-00004D4C0000}"/>
    <cellStyle name="보통 34 2 2" xfId="20189" xr:uid="{00000000-0005-0000-0000-00004E4C0000}"/>
    <cellStyle name="보통 34 3" xfId="20190" xr:uid="{00000000-0005-0000-0000-00004F4C0000}"/>
    <cellStyle name="보통 34 4" xfId="20191" xr:uid="{00000000-0005-0000-0000-0000504C0000}"/>
    <cellStyle name="보통 34 5" xfId="20192" xr:uid="{00000000-0005-0000-0000-0000514C0000}"/>
    <cellStyle name="보통 34 6" xfId="20193" xr:uid="{00000000-0005-0000-0000-0000524C0000}"/>
    <cellStyle name="보통 34 7" xfId="20194" xr:uid="{00000000-0005-0000-0000-0000534C0000}"/>
    <cellStyle name="보통 34 8" xfId="20195" xr:uid="{00000000-0005-0000-0000-0000544C0000}"/>
    <cellStyle name="보통 34 9" xfId="20196" xr:uid="{00000000-0005-0000-0000-0000554C0000}"/>
    <cellStyle name="보통 35" xfId="2504" xr:uid="{00000000-0005-0000-0000-0000564C0000}"/>
    <cellStyle name="보통 35 10" xfId="20198" xr:uid="{00000000-0005-0000-0000-0000574C0000}"/>
    <cellStyle name="보통 35 11" xfId="20199" xr:uid="{00000000-0005-0000-0000-0000584C0000}"/>
    <cellStyle name="보통 35 12" xfId="20200" xr:uid="{00000000-0005-0000-0000-0000594C0000}"/>
    <cellStyle name="보통 35 13" xfId="20201" xr:uid="{00000000-0005-0000-0000-00005A4C0000}"/>
    <cellStyle name="보통 35 14" xfId="20202" xr:uid="{00000000-0005-0000-0000-00005B4C0000}"/>
    <cellStyle name="보통 35 15" xfId="20197" xr:uid="{00000000-0005-0000-0000-00005C4C0000}"/>
    <cellStyle name="보통 35 2" xfId="2505" xr:uid="{00000000-0005-0000-0000-00005D4C0000}"/>
    <cellStyle name="보통 35 2 2" xfId="20203" xr:uid="{00000000-0005-0000-0000-00005E4C0000}"/>
    <cellStyle name="보통 35 3" xfId="20204" xr:uid="{00000000-0005-0000-0000-00005F4C0000}"/>
    <cellStyle name="보통 35 4" xfId="20205" xr:uid="{00000000-0005-0000-0000-0000604C0000}"/>
    <cellStyle name="보통 35 5" xfId="20206" xr:uid="{00000000-0005-0000-0000-0000614C0000}"/>
    <cellStyle name="보통 35 6" xfId="20207" xr:uid="{00000000-0005-0000-0000-0000624C0000}"/>
    <cellStyle name="보통 35 7" xfId="20208" xr:uid="{00000000-0005-0000-0000-0000634C0000}"/>
    <cellStyle name="보통 35 8" xfId="20209" xr:uid="{00000000-0005-0000-0000-0000644C0000}"/>
    <cellStyle name="보통 35 9" xfId="20210" xr:uid="{00000000-0005-0000-0000-0000654C0000}"/>
    <cellStyle name="보통 36" xfId="2506" xr:uid="{00000000-0005-0000-0000-0000664C0000}"/>
    <cellStyle name="보통 36 10" xfId="20212" xr:uid="{00000000-0005-0000-0000-0000674C0000}"/>
    <cellStyle name="보통 36 11" xfId="20213" xr:uid="{00000000-0005-0000-0000-0000684C0000}"/>
    <cellStyle name="보통 36 12" xfId="20214" xr:uid="{00000000-0005-0000-0000-0000694C0000}"/>
    <cellStyle name="보통 36 13" xfId="20215" xr:uid="{00000000-0005-0000-0000-00006A4C0000}"/>
    <cellStyle name="보통 36 14" xfId="20216" xr:uid="{00000000-0005-0000-0000-00006B4C0000}"/>
    <cellStyle name="보통 36 15" xfId="20211" xr:uid="{00000000-0005-0000-0000-00006C4C0000}"/>
    <cellStyle name="보통 36 2" xfId="2507" xr:uid="{00000000-0005-0000-0000-00006D4C0000}"/>
    <cellStyle name="보통 36 2 2" xfId="20217" xr:uid="{00000000-0005-0000-0000-00006E4C0000}"/>
    <cellStyle name="보통 36 3" xfId="20218" xr:uid="{00000000-0005-0000-0000-00006F4C0000}"/>
    <cellStyle name="보통 36 4" xfId="20219" xr:uid="{00000000-0005-0000-0000-0000704C0000}"/>
    <cellStyle name="보통 36 5" xfId="20220" xr:uid="{00000000-0005-0000-0000-0000714C0000}"/>
    <cellStyle name="보통 36 6" xfId="20221" xr:uid="{00000000-0005-0000-0000-0000724C0000}"/>
    <cellStyle name="보통 36 7" xfId="20222" xr:uid="{00000000-0005-0000-0000-0000734C0000}"/>
    <cellStyle name="보통 36 8" xfId="20223" xr:uid="{00000000-0005-0000-0000-0000744C0000}"/>
    <cellStyle name="보통 36 9" xfId="20224" xr:uid="{00000000-0005-0000-0000-0000754C0000}"/>
    <cellStyle name="보통 37" xfId="2508" xr:uid="{00000000-0005-0000-0000-0000764C0000}"/>
    <cellStyle name="보통 37 10" xfId="20226" xr:uid="{00000000-0005-0000-0000-0000774C0000}"/>
    <cellStyle name="보통 37 11" xfId="20227" xr:uid="{00000000-0005-0000-0000-0000784C0000}"/>
    <cellStyle name="보통 37 12" xfId="20228" xr:uid="{00000000-0005-0000-0000-0000794C0000}"/>
    <cellStyle name="보통 37 13" xfId="20229" xr:uid="{00000000-0005-0000-0000-00007A4C0000}"/>
    <cellStyle name="보통 37 14" xfId="20230" xr:uid="{00000000-0005-0000-0000-00007B4C0000}"/>
    <cellStyle name="보통 37 15" xfId="20225" xr:uid="{00000000-0005-0000-0000-00007C4C0000}"/>
    <cellStyle name="보통 37 2" xfId="2509" xr:uid="{00000000-0005-0000-0000-00007D4C0000}"/>
    <cellStyle name="보통 37 2 2" xfId="20231" xr:uid="{00000000-0005-0000-0000-00007E4C0000}"/>
    <cellStyle name="보통 37 3" xfId="20232" xr:uid="{00000000-0005-0000-0000-00007F4C0000}"/>
    <cellStyle name="보통 37 4" xfId="20233" xr:uid="{00000000-0005-0000-0000-0000804C0000}"/>
    <cellStyle name="보통 37 5" xfId="20234" xr:uid="{00000000-0005-0000-0000-0000814C0000}"/>
    <cellStyle name="보통 37 6" xfId="20235" xr:uid="{00000000-0005-0000-0000-0000824C0000}"/>
    <cellStyle name="보통 37 7" xfId="20236" xr:uid="{00000000-0005-0000-0000-0000834C0000}"/>
    <cellStyle name="보통 37 8" xfId="20237" xr:uid="{00000000-0005-0000-0000-0000844C0000}"/>
    <cellStyle name="보통 37 9" xfId="20238" xr:uid="{00000000-0005-0000-0000-0000854C0000}"/>
    <cellStyle name="보통 38" xfId="2510" xr:uid="{00000000-0005-0000-0000-0000864C0000}"/>
    <cellStyle name="보통 38 10" xfId="20240" xr:uid="{00000000-0005-0000-0000-0000874C0000}"/>
    <cellStyle name="보통 38 11" xfId="20241" xr:uid="{00000000-0005-0000-0000-0000884C0000}"/>
    <cellStyle name="보통 38 12" xfId="20242" xr:uid="{00000000-0005-0000-0000-0000894C0000}"/>
    <cellStyle name="보통 38 13" xfId="20243" xr:uid="{00000000-0005-0000-0000-00008A4C0000}"/>
    <cellStyle name="보통 38 14" xfId="20244" xr:uid="{00000000-0005-0000-0000-00008B4C0000}"/>
    <cellStyle name="보통 38 15" xfId="20239" xr:uid="{00000000-0005-0000-0000-00008C4C0000}"/>
    <cellStyle name="보통 38 2" xfId="2511" xr:uid="{00000000-0005-0000-0000-00008D4C0000}"/>
    <cellStyle name="보통 38 2 2" xfId="20245" xr:uid="{00000000-0005-0000-0000-00008E4C0000}"/>
    <cellStyle name="보통 38 3" xfId="20246" xr:uid="{00000000-0005-0000-0000-00008F4C0000}"/>
    <cellStyle name="보통 38 4" xfId="20247" xr:uid="{00000000-0005-0000-0000-0000904C0000}"/>
    <cellStyle name="보통 38 5" xfId="20248" xr:uid="{00000000-0005-0000-0000-0000914C0000}"/>
    <cellStyle name="보통 38 6" xfId="20249" xr:uid="{00000000-0005-0000-0000-0000924C0000}"/>
    <cellStyle name="보통 38 7" xfId="20250" xr:uid="{00000000-0005-0000-0000-0000934C0000}"/>
    <cellStyle name="보통 38 8" xfId="20251" xr:uid="{00000000-0005-0000-0000-0000944C0000}"/>
    <cellStyle name="보통 38 9" xfId="20252" xr:uid="{00000000-0005-0000-0000-0000954C0000}"/>
    <cellStyle name="보통 39" xfId="2512" xr:uid="{00000000-0005-0000-0000-0000964C0000}"/>
    <cellStyle name="보통 39 10" xfId="20254" xr:uid="{00000000-0005-0000-0000-0000974C0000}"/>
    <cellStyle name="보통 39 11" xfId="20255" xr:uid="{00000000-0005-0000-0000-0000984C0000}"/>
    <cellStyle name="보통 39 12" xfId="20256" xr:uid="{00000000-0005-0000-0000-0000994C0000}"/>
    <cellStyle name="보통 39 13" xfId="20257" xr:uid="{00000000-0005-0000-0000-00009A4C0000}"/>
    <cellStyle name="보통 39 14" xfId="20258" xr:uid="{00000000-0005-0000-0000-00009B4C0000}"/>
    <cellStyle name="보통 39 15" xfId="20253" xr:uid="{00000000-0005-0000-0000-00009C4C0000}"/>
    <cellStyle name="보통 39 2" xfId="2513" xr:uid="{00000000-0005-0000-0000-00009D4C0000}"/>
    <cellStyle name="보통 39 2 2" xfId="20259" xr:uid="{00000000-0005-0000-0000-00009E4C0000}"/>
    <cellStyle name="보통 39 3" xfId="20260" xr:uid="{00000000-0005-0000-0000-00009F4C0000}"/>
    <cellStyle name="보통 39 4" xfId="20261" xr:uid="{00000000-0005-0000-0000-0000A04C0000}"/>
    <cellStyle name="보통 39 5" xfId="20262" xr:uid="{00000000-0005-0000-0000-0000A14C0000}"/>
    <cellStyle name="보통 39 6" xfId="20263" xr:uid="{00000000-0005-0000-0000-0000A24C0000}"/>
    <cellStyle name="보통 39 7" xfId="20264" xr:uid="{00000000-0005-0000-0000-0000A34C0000}"/>
    <cellStyle name="보통 39 8" xfId="20265" xr:uid="{00000000-0005-0000-0000-0000A44C0000}"/>
    <cellStyle name="보통 39 9" xfId="20266" xr:uid="{00000000-0005-0000-0000-0000A54C0000}"/>
    <cellStyle name="보통 4" xfId="2514" xr:uid="{00000000-0005-0000-0000-0000A64C0000}"/>
    <cellStyle name="보통 4 10" xfId="20268" xr:uid="{00000000-0005-0000-0000-0000A74C0000}"/>
    <cellStyle name="보통 4 11" xfId="20269" xr:uid="{00000000-0005-0000-0000-0000A84C0000}"/>
    <cellStyle name="보통 4 12" xfId="20270" xr:uid="{00000000-0005-0000-0000-0000A94C0000}"/>
    <cellStyle name="보통 4 13" xfId="20271" xr:uid="{00000000-0005-0000-0000-0000AA4C0000}"/>
    <cellStyle name="보통 4 14" xfId="20272" xr:uid="{00000000-0005-0000-0000-0000AB4C0000}"/>
    <cellStyle name="보통 4 15" xfId="20267" xr:uid="{00000000-0005-0000-0000-0000AC4C0000}"/>
    <cellStyle name="보통 4 16" xfId="27879" xr:uid="{00000000-0005-0000-0000-0000AD4C0000}"/>
    <cellStyle name="보통 4 2" xfId="2515" xr:uid="{00000000-0005-0000-0000-0000AE4C0000}"/>
    <cellStyle name="보통 4 2 2" xfId="20273" xr:uid="{00000000-0005-0000-0000-0000AF4C0000}"/>
    <cellStyle name="보통 4 3" xfId="20274" xr:uid="{00000000-0005-0000-0000-0000B04C0000}"/>
    <cellStyle name="보통 4 4" xfId="20275" xr:uid="{00000000-0005-0000-0000-0000B14C0000}"/>
    <cellStyle name="보통 4 5" xfId="20276" xr:uid="{00000000-0005-0000-0000-0000B24C0000}"/>
    <cellStyle name="보통 4 6" xfId="20277" xr:uid="{00000000-0005-0000-0000-0000B34C0000}"/>
    <cellStyle name="보통 4 7" xfId="20278" xr:uid="{00000000-0005-0000-0000-0000B44C0000}"/>
    <cellStyle name="보통 4 8" xfId="20279" xr:uid="{00000000-0005-0000-0000-0000B54C0000}"/>
    <cellStyle name="보통 4 9" xfId="20280" xr:uid="{00000000-0005-0000-0000-0000B64C0000}"/>
    <cellStyle name="보통 40" xfId="2516" xr:uid="{00000000-0005-0000-0000-0000B74C0000}"/>
    <cellStyle name="보통 40 10" xfId="20282" xr:uid="{00000000-0005-0000-0000-0000B84C0000}"/>
    <cellStyle name="보통 40 11" xfId="20283" xr:uid="{00000000-0005-0000-0000-0000B94C0000}"/>
    <cellStyle name="보통 40 12" xfId="20284" xr:uid="{00000000-0005-0000-0000-0000BA4C0000}"/>
    <cellStyle name="보통 40 13" xfId="20285" xr:uid="{00000000-0005-0000-0000-0000BB4C0000}"/>
    <cellStyle name="보통 40 14" xfId="20286" xr:uid="{00000000-0005-0000-0000-0000BC4C0000}"/>
    <cellStyle name="보통 40 15" xfId="20281" xr:uid="{00000000-0005-0000-0000-0000BD4C0000}"/>
    <cellStyle name="보통 40 2" xfId="2517" xr:uid="{00000000-0005-0000-0000-0000BE4C0000}"/>
    <cellStyle name="보통 40 2 2" xfId="20287" xr:uid="{00000000-0005-0000-0000-0000BF4C0000}"/>
    <cellStyle name="보통 40 3" xfId="20288" xr:uid="{00000000-0005-0000-0000-0000C04C0000}"/>
    <cellStyle name="보통 40 4" xfId="20289" xr:uid="{00000000-0005-0000-0000-0000C14C0000}"/>
    <cellStyle name="보통 40 5" xfId="20290" xr:uid="{00000000-0005-0000-0000-0000C24C0000}"/>
    <cellStyle name="보통 40 6" xfId="20291" xr:uid="{00000000-0005-0000-0000-0000C34C0000}"/>
    <cellStyle name="보통 40 7" xfId="20292" xr:uid="{00000000-0005-0000-0000-0000C44C0000}"/>
    <cellStyle name="보통 40 8" xfId="20293" xr:uid="{00000000-0005-0000-0000-0000C54C0000}"/>
    <cellStyle name="보통 40 9" xfId="20294" xr:uid="{00000000-0005-0000-0000-0000C64C0000}"/>
    <cellStyle name="보통 41" xfId="2518" xr:uid="{00000000-0005-0000-0000-0000C74C0000}"/>
    <cellStyle name="보통 41 10" xfId="20296" xr:uid="{00000000-0005-0000-0000-0000C84C0000}"/>
    <cellStyle name="보통 41 11" xfId="20297" xr:uid="{00000000-0005-0000-0000-0000C94C0000}"/>
    <cellStyle name="보통 41 12" xfId="20298" xr:uid="{00000000-0005-0000-0000-0000CA4C0000}"/>
    <cellStyle name="보통 41 13" xfId="20299" xr:uid="{00000000-0005-0000-0000-0000CB4C0000}"/>
    <cellStyle name="보통 41 14" xfId="20300" xr:uid="{00000000-0005-0000-0000-0000CC4C0000}"/>
    <cellStyle name="보통 41 15" xfId="20295" xr:uid="{00000000-0005-0000-0000-0000CD4C0000}"/>
    <cellStyle name="보통 41 2" xfId="2519" xr:uid="{00000000-0005-0000-0000-0000CE4C0000}"/>
    <cellStyle name="보통 41 2 2" xfId="20301" xr:uid="{00000000-0005-0000-0000-0000CF4C0000}"/>
    <cellStyle name="보통 41 3" xfId="20302" xr:uid="{00000000-0005-0000-0000-0000D04C0000}"/>
    <cellStyle name="보통 41 4" xfId="20303" xr:uid="{00000000-0005-0000-0000-0000D14C0000}"/>
    <cellStyle name="보통 41 5" xfId="20304" xr:uid="{00000000-0005-0000-0000-0000D24C0000}"/>
    <cellStyle name="보통 41 6" xfId="20305" xr:uid="{00000000-0005-0000-0000-0000D34C0000}"/>
    <cellStyle name="보통 41 7" xfId="20306" xr:uid="{00000000-0005-0000-0000-0000D44C0000}"/>
    <cellStyle name="보통 41 8" xfId="20307" xr:uid="{00000000-0005-0000-0000-0000D54C0000}"/>
    <cellStyle name="보통 41 9" xfId="20308" xr:uid="{00000000-0005-0000-0000-0000D64C0000}"/>
    <cellStyle name="보통 42" xfId="2520" xr:uid="{00000000-0005-0000-0000-0000D74C0000}"/>
    <cellStyle name="보통 42 10" xfId="20310" xr:uid="{00000000-0005-0000-0000-0000D84C0000}"/>
    <cellStyle name="보통 42 11" xfId="20311" xr:uid="{00000000-0005-0000-0000-0000D94C0000}"/>
    <cellStyle name="보통 42 12" xfId="20312" xr:uid="{00000000-0005-0000-0000-0000DA4C0000}"/>
    <cellStyle name="보통 42 13" xfId="20313" xr:uid="{00000000-0005-0000-0000-0000DB4C0000}"/>
    <cellStyle name="보통 42 14" xfId="20314" xr:uid="{00000000-0005-0000-0000-0000DC4C0000}"/>
    <cellStyle name="보통 42 15" xfId="20309" xr:uid="{00000000-0005-0000-0000-0000DD4C0000}"/>
    <cellStyle name="보통 42 2" xfId="2521" xr:uid="{00000000-0005-0000-0000-0000DE4C0000}"/>
    <cellStyle name="보통 42 2 2" xfId="20315" xr:uid="{00000000-0005-0000-0000-0000DF4C0000}"/>
    <cellStyle name="보통 42 3" xfId="20316" xr:uid="{00000000-0005-0000-0000-0000E04C0000}"/>
    <cellStyle name="보통 42 4" xfId="20317" xr:uid="{00000000-0005-0000-0000-0000E14C0000}"/>
    <cellStyle name="보통 42 5" xfId="20318" xr:uid="{00000000-0005-0000-0000-0000E24C0000}"/>
    <cellStyle name="보통 42 6" xfId="20319" xr:uid="{00000000-0005-0000-0000-0000E34C0000}"/>
    <cellStyle name="보통 42 7" xfId="20320" xr:uid="{00000000-0005-0000-0000-0000E44C0000}"/>
    <cellStyle name="보통 42 8" xfId="20321" xr:uid="{00000000-0005-0000-0000-0000E54C0000}"/>
    <cellStyle name="보통 42 9" xfId="20322" xr:uid="{00000000-0005-0000-0000-0000E64C0000}"/>
    <cellStyle name="보통 43" xfId="2522" xr:uid="{00000000-0005-0000-0000-0000E74C0000}"/>
    <cellStyle name="보통 43 10" xfId="20324" xr:uid="{00000000-0005-0000-0000-0000E84C0000}"/>
    <cellStyle name="보통 43 11" xfId="20325" xr:uid="{00000000-0005-0000-0000-0000E94C0000}"/>
    <cellStyle name="보통 43 12" xfId="20326" xr:uid="{00000000-0005-0000-0000-0000EA4C0000}"/>
    <cellStyle name="보통 43 13" xfId="20327" xr:uid="{00000000-0005-0000-0000-0000EB4C0000}"/>
    <cellStyle name="보통 43 14" xfId="20328" xr:uid="{00000000-0005-0000-0000-0000EC4C0000}"/>
    <cellStyle name="보통 43 15" xfId="20323" xr:uid="{00000000-0005-0000-0000-0000ED4C0000}"/>
    <cellStyle name="보통 43 2" xfId="2523" xr:uid="{00000000-0005-0000-0000-0000EE4C0000}"/>
    <cellStyle name="보통 43 2 2" xfId="20329" xr:uid="{00000000-0005-0000-0000-0000EF4C0000}"/>
    <cellStyle name="보통 43 3" xfId="20330" xr:uid="{00000000-0005-0000-0000-0000F04C0000}"/>
    <cellStyle name="보통 43 4" xfId="20331" xr:uid="{00000000-0005-0000-0000-0000F14C0000}"/>
    <cellStyle name="보통 43 5" xfId="20332" xr:uid="{00000000-0005-0000-0000-0000F24C0000}"/>
    <cellStyle name="보통 43 6" xfId="20333" xr:uid="{00000000-0005-0000-0000-0000F34C0000}"/>
    <cellStyle name="보통 43 7" xfId="20334" xr:uid="{00000000-0005-0000-0000-0000F44C0000}"/>
    <cellStyle name="보통 43 8" xfId="20335" xr:uid="{00000000-0005-0000-0000-0000F54C0000}"/>
    <cellStyle name="보통 43 9" xfId="20336" xr:uid="{00000000-0005-0000-0000-0000F64C0000}"/>
    <cellStyle name="보통 44" xfId="2524" xr:uid="{00000000-0005-0000-0000-0000F74C0000}"/>
    <cellStyle name="보통 44 2" xfId="20337" xr:uid="{00000000-0005-0000-0000-0000F84C0000}"/>
    <cellStyle name="보통 45" xfId="2525" xr:uid="{00000000-0005-0000-0000-0000F94C0000}"/>
    <cellStyle name="보통 45 2" xfId="20338" xr:uid="{00000000-0005-0000-0000-0000FA4C0000}"/>
    <cellStyle name="보통 46" xfId="2449" xr:uid="{00000000-0005-0000-0000-0000FB4C0000}"/>
    <cellStyle name="보통 47" xfId="19818" xr:uid="{00000000-0005-0000-0000-0000FC4C0000}"/>
    <cellStyle name="보통 5" xfId="2526" xr:uid="{00000000-0005-0000-0000-0000FD4C0000}"/>
    <cellStyle name="보통 5 10" xfId="20340" xr:uid="{00000000-0005-0000-0000-0000FE4C0000}"/>
    <cellStyle name="보통 5 11" xfId="20341" xr:uid="{00000000-0005-0000-0000-0000FF4C0000}"/>
    <cellStyle name="보통 5 12" xfId="20342" xr:uid="{00000000-0005-0000-0000-0000004D0000}"/>
    <cellStyle name="보통 5 13" xfId="20343" xr:uid="{00000000-0005-0000-0000-0000014D0000}"/>
    <cellStyle name="보통 5 14" xfId="20344" xr:uid="{00000000-0005-0000-0000-0000024D0000}"/>
    <cellStyle name="보통 5 15" xfId="20339" xr:uid="{00000000-0005-0000-0000-0000034D0000}"/>
    <cellStyle name="보통 5 2" xfId="2527" xr:uid="{00000000-0005-0000-0000-0000044D0000}"/>
    <cellStyle name="보통 5 2 2" xfId="20345" xr:uid="{00000000-0005-0000-0000-0000054D0000}"/>
    <cellStyle name="보통 5 3" xfId="20346" xr:uid="{00000000-0005-0000-0000-0000064D0000}"/>
    <cellStyle name="보통 5 4" xfId="20347" xr:uid="{00000000-0005-0000-0000-0000074D0000}"/>
    <cellStyle name="보통 5 5" xfId="20348" xr:uid="{00000000-0005-0000-0000-0000084D0000}"/>
    <cellStyle name="보통 5 6" xfId="20349" xr:uid="{00000000-0005-0000-0000-0000094D0000}"/>
    <cellStyle name="보통 5 7" xfId="20350" xr:uid="{00000000-0005-0000-0000-00000A4D0000}"/>
    <cellStyle name="보통 5 8" xfId="20351" xr:uid="{00000000-0005-0000-0000-00000B4D0000}"/>
    <cellStyle name="보통 5 9" xfId="20352" xr:uid="{00000000-0005-0000-0000-00000C4D0000}"/>
    <cellStyle name="보통 6" xfId="2528" xr:uid="{00000000-0005-0000-0000-00000D4D0000}"/>
    <cellStyle name="보통 6 10" xfId="20354" xr:uid="{00000000-0005-0000-0000-00000E4D0000}"/>
    <cellStyle name="보통 6 11" xfId="20355" xr:uid="{00000000-0005-0000-0000-00000F4D0000}"/>
    <cellStyle name="보통 6 12" xfId="20356" xr:uid="{00000000-0005-0000-0000-0000104D0000}"/>
    <cellStyle name="보통 6 13" xfId="20357" xr:uid="{00000000-0005-0000-0000-0000114D0000}"/>
    <cellStyle name="보통 6 14" xfId="20358" xr:uid="{00000000-0005-0000-0000-0000124D0000}"/>
    <cellStyle name="보통 6 15" xfId="20353" xr:uid="{00000000-0005-0000-0000-0000134D0000}"/>
    <cellStyle name="보통 6 2" xfId="2529" xr:uid="{00000000-0005-0000-0000-0000144D0000}"/>
    <cellStyle name="보통 6 2 2" xfId="20359" xr:uid="{00000000-0005-0000-0000-0000154D0000}"/>
    <cellStyle name="보통 6 3" xfId="20360" xr:uid="{00000000-0005-0000-0000-0000164D0000}"/>
    <cellStyle name="보통 6 4" xfId="20361" xr:uid="{00000000-0005-0000-0000-0000174D0000}"/>
    <cellStyle name="보통 6 5" xfId="20362" xr:uid="{00000000-0005-0000-0000-0000184D0000}"/>
    <cellStyle name="보통 6 6" xfId="20363" xr:uid="{00000000-0005-0000-0000-0000194D0000}"/>
    <cellStyle name="보통 6 7" xfId="20364" xr:uid="{00000000-0005-0000-0000-00001A4D0000}"/>
    <cellStyle name="보통 6 8" xfId="20365" xr:uid="{00000000-0005-0000-0000-00001B4D0000}"/>
    <cellStyle name="보통 6 9" xfId="20366" xr:uid="{00000000-0005-0000-0000-00001C4D0000}"/>
    <cellStyle name="보통 7" xfId="2530" xr:uid="{00000000-0005-0000-0000-00001D4D0000}"/>
    <cellStyle name="보통 7 10" xfId="20368" xr:uid="{00000000-0005-0000-0000-00001E4D0000}"/>
    <cellStyle name="보통 7 11" xfId="20369" xr:uid="{00000000-0005-0000-0000-00001F4D0000}"/>
    <cellStyle name="보통 7 12" xfId="20370" xr:uid="{00000000-0005-0000-0000-0000204D0000}"/>
    <cellStyle name="보통 7 13" xfId="20371" xr:uid="{00000000-0005-0000-0000-0000214D0000}"/>
    <cellStyle name="보통 7 14" xfId="20372" xr:uid="{00000000-0005-0000-0000-0000224D0000}"/>
    <cellStyle name="보통 7 15" xfId="20367" xr:uid="{00000000-0005-0000-0000-0000234D0000}"/>
    <cellStyle name="보통 7 2" xfId="2531" xr:uid="{00000000-0005-0000-0000-0000244D0000}"/>
    <cellStyle name="보통 7 2 2" xfId="20373" xr:uid="{00000000-0005-0000-0000-0000254D0000}"/>
    <cellStyle name="보통 7 3" xfId="20374" xr:uid="{00000000-0005-0000-0000-0000264D0000}"/>
    <cellStyle name="보통 7 4" xfId="20375" xr:uid="{00000000-0005-0000-0000-0000274D0000}"/>
    <cellStyle name="보통 7 5" xfId="20376" xr:uid="{00000000-0005-0000-0000-0000284D0000}"/>
    <cellStyle name="보통 7 6" xfId="20377" xr:uid="{00000000-0005-0000-0000-0000294D0000}"/>
    <cellStyle name="보통 7 7" xfId="20378" xr:uid="{00000000-0005-0000-0000-00002A4D0000}"/>
    <cellStyle name="보통 7 8" xfId="20379" xr:uid="{00000000-0005-0000-0000-00002B4D0000}"/>
    <cellStyle name="보통 7 9" xfId="20380" xr:uid="{00000000-0005-0000-0000-00002C4D0000}"/>
    <cellStyle name="보통 8" xfId="2532" xr:uid="{00000000-0005-0000-0000-00002D4D0000}"/>
    <cellStyle name="보통 8 10" xfId="20382" xr:uid="{00000000-0005-0000-0000-00002E4D0000}"/>
    <cellStyle name="보통 8 11" xfId="20383" xr:uid="{00000000-0005-0000-0000-00002F4D0000}"/>
    <cellStyle name="보통 8 12" xfId="20384" xr:uid="{00000000-0005-0000-0000-0000304D0000}"/>
    <cellStyle name="보통 8 13" xfId="20385" xr:uid="{00000000-0005-0000-0000-0000314D0000}"/>
    <cellStyle name="보통 8 14" xfId="20386" xr:uid="{00000000-0005-0000-0000-0000324D0000}"/>
    <cellStyle name="보통 8 15" xfId="20381" xr:uid="{00000000-0005-0000-0000-0000334D0000}"/>
    <cellStyle name="보통 8 2" xfId="2533" xr:uid="{00000000-0005-0000-0000-0000344D0000}"/>
    <cellStyle name="보통 8 2 2" xfId="20387" xr:uid="{00000000-0005-0000-0000-0000354D0000}"/>
    <cellStyle name="보통 8 3" xfId="20388" xr:uid="{00000000-0005-0000-0000-0000364D0000}"/>
    <cellStyle name="보통 8 4" xfId="20389" xr:uid="{00000000-0005-0000-0000-0000374D0000}"/>
    <cellStyle name="보통 8 5" xfId="20390" xr:uid="{00000000-0005-0000-0000-0000384D0000}"/>
    <cellStyle name="보통 8 6" xfId="20391" xr:uid="{00000000-0005-0000-0000-0000394D0000}"/>
    <cellStyle name="보통 8 7" xfId="20392" xr:uid="{00000000-0005-0000-0000-00003A4D0000}"/>
    <cellStyle name="보통 8 8" xfId="20393" xr:uid="{00000000-0005-0000-0000-00003B4D0000}"/>
    <cellStyle name="보통 8 9" xfId="20394" xr:uid="{00000000-0005-0000-0000-00003C4D0000}"/>
    <cellStyle name="보통 9" xfId="2534" xr:uid="{00000000-0005-0000-0000-00003D4D0000}"/>
    <cellStyle name="보통 9 10" xfId="20396" xr:uid="{00000000-0005-0000-0000-00003E4D0000}"/>
    <cellStyle name="보통 9 11" xfId="20397" xr:uid="{00000000-0005-0000-0000-00003F4D0000}"/>
    <cellStyle name="보통 9 12" xfId="20398" xr:uid="{00000000-0005-0000-0000-0000404D0000}"/>
    <cellStyle name="보통 9 13" xfId="20399" xr:uid="{00000000-0005-0000-0000-0000414D0000}"/>
    <cellStyle name="보통 9 14" xfId="20400" xr:uid="{00000000-0005-0000-0000-0000424D0000}"/>
    <cellStyle name="보통 9 15" xfId="20395" xr:uid="{00000000-0005-0000-0000-0000434D0000}"/>
    <cellStyle name="보통 9 2" xfId="2535" xr:uid="{00000000-0005-0000-0000-0000444D0000}"/>
    <cellStyle name="보통 9 2 2" xfId="20401" xr:uid="{00000000-0005-0000-0000-0000454D0000}"/>
    <cellStyle name="보통 9 3" xfId="20402" xr:uid="{00000000-0005-0000-0000-0000464D0000}"/>
    <cellStyle name="보통 9 4" xfId="20403" xr:uid="{00000000-0005-0000-0000-0000474D0000}"/>
    <cellStyle name="보통 9 5" xfId="20404" xr:uid="{00000000-0005-0000-0000-0000484D0000}"/>
    <cellStyle name="보통 9 6" xfId="20405" xr:uid="{00000000-0005-0000-0000-0000494D0000}"/>
    <cellStyle name="보통 9 7" xfId="20406" xr:uid="{00000000-0005-0000-0000-00004A4D0000}"/>
    <cellStyle name="보통 9 8" xfId="20407" xr:uid="{00000000-0005-0000-0000-00004B4D0000}"/>
    <cellStyle name="보통 9 9" xfId="20408" xr:uid="{00000000-0005-0000-0000-00004C4D0000}"/>
    <cellStyle name="뷭?_BOOKSHIP" xfId="27880" xr:uid="{00000000-0005-0000-0000-00004D4D0000}"/>
    <cellStyle name="설명 텍스트 10" xfId="2537" xr:uid="{00000000-0005-0000-0000-00004E4D0000}"/>
    <cellStyle name="설명 텍스트 10 10" xfId="20411" xr:uid="{00000000-0005-0000-0000-00004F4D0000}"/>
    <cellStyle name="설명 텍스트 10 11" xfId="20412" xr:uid="{00000000-0005-0000-0000-0000504D0000}"/>
    <cellStyle name="설명 텍스트 10 12" xfId="20413" xr:uid="{00000000-0005-0000-0000-0000514D0000}"/>
    <cellStyle name="설명 텍스트 10 13" xfId="20414" xr:uid="{00000000-0005-0000-0000-0000524D0000}"/>
    <cellStyle name="설명 텍스트 10 14" xfId="20415" xr:uid="{00000000-0005-0000-0000-0000534D0000}"/>
    <cellStyle name="설명 텍스트 10 15" xfId="20410" xr:uid="{00000000-0005-0000-0000-0000544D0000}"/>
    <cellStyle name="설명 텍스트 10 2" xfId="2538" xr:uid="{00000000-0005-0000-0000-0000554D0000}"/>
    <cellStyle name="설명 텍스트 10 2 2" xfId="20416" xr:uid="{00000000-0005-0000-0000-0000564D0000}"/>
    <cellStyle name="설명 텍스트 10 3" xfId="20417" xr:uid="{00000000-0005-0000-0000-0000574D0000}"/>
    <cellStyle name="설명 텍스트 10 4" xfId="20418" xr:uid="{00000000-0005-0000-0000-0000584D0000}"/>
    <cellStyle name="설명 텍스트 10 5" xfId="20419" xr:uid="{00000000-0005-0000-0000-0000594D0000}"/>
    <cellStyle name="설명 텍스트 10 6" xfId="20420" xr:uid="{00000000-0005-0000-0000-00005A4D0000}"/>
    <cellStyle name="설명 텍스트 10 7" xfId="20421" xr:uid="{00000000-0005-0000-0000-00005B4D0000}"/>
    <cellStyle name="설명 텍스트 10 8" xfId="20422" xr:uid="{00000000-0005-0000-0000-00005C4D0000}"/>
    <cellStyle name="설명 텍스트 10 9" xfId="20423" xr:uid="{00000000-0005-0000-0000-00005D4D0000}"/>
    <cellStyle name="설명 텍스트 11" xfId="2539" xr:uid="{00000000-0005-0000-0000-00005E4D0000}"/>
    <cellStyle name="설명 텍스트 11 10" xfId="20425" xr:uid="{00000000-0005-0000-0000-00005F4D0000}"/>
    <cellStyle name="설명 텍스트 11 11" xfId="20426" xr:uid="{00000000-0005-0000-0000-0000604D0000}"/>
    <cellStyle name="설명 텍스트 11 12" xfId="20427" xr:uid="{00000000-0005-0000-0000-0000614D0000}"/>
    <cellStyle name="설명 텍스트 11 13" xfId="20428" xr:uid="{00000000-0005-0000-0000-0000624D0000}"/>
    <cellStyle name="설명 텍스트 11 14" xfId="20429" xr:uid="{00000000-0005-0000-0000-0000634D0000}"/>
    <cellStyle name="설명 텍스트 11 15" xfId="20424" xr:uid="{00000000-0005-0000-0000-0000644D0000}"/>
    <cellStyle name="설명 텍스트 11 2" xfId="2540" xr:uid="{00000000-0005-0000-0000-0000654D0000}"/>
    <cellStyle name="설명 텍스트 11 2 2" xfId="20430" xr:uid="{00000000-0005-0000-0000-0000664D0000}"/>
    <cellStyle name="설명 텍스트 11 3" xfId="20431" xr:uid="{00000000-0005-0000-0000-0000674D0000}"/>
    <cellStyle name="설명 텍스트 11 4" xfId="20432" xr:uid="{00000000-0005-0000-0000-0000684D0000}"/>
    <cellStyle name="설명 텍스트 11 5" xfId="20433" xr:uid="{00000000-0005-0000-0000-0000694D0000}"/>
    <cellStyle name="설명 텍스트 11 6" xfId="20434" xr:uid="{00000000-0005-0000-0000-00006A4D0000}"/>
    <cellStyle name="설명 텍스트 11 7" xfId="20435" xr:uid="{00000000-0005-0000-0000-00006B4D0000}"/>
    <cellStyle name="설명 텍스트 11 8" xfId="20436" xr:uid="{00000000-0005-0000-0000-00006C4D0000}"/>
    <cellStyle name="설명 텍스트 11 9" xfId="20437" xr:uid="{00000000-0005-0000-0000-00006D4D0000}"/>
    <cellStyle name="설명 텍스트 12" xfId="2541" xr:uid="{00000000-0005-0000-0000-00006E4D0000}"/>
    <cellStyle name="설명 텍스트 12 10" xfId="20439" xr:uid="{00000000-0005-0000-0000-00006F4D0000}"/>
    <cellStyle name="설명 텍스트 12 11" xfId="20440" xr:uid="{00000000-0005-0000-0000-0000704D0000}"/>
    <cellStyle name="설명 텍스트 12 12" xfId="20441" xr:uid="{00000000-0005-0000-0000-0000714D0000}"/>
    <cellStyle name="설명 텍스트 12 13" xfId="20442" xr:uid="{00000000-0005-0000-0000-0000724D0000}"/>
    <cellStyle name="설명 텍스트 12 14" xfId="20443" xr:uid="{00000000-0005-0000-0000-0000734D0000}"/>
    <cellStyle name="설명 텍스트 12 15" xfId="20438" xr:uid="{00000000-0005-0000-0000-0000744D0000}"/>
    <cellStyle name="설명 텍스트 12 2" xfId="2542" xr:uid="{00000000-0005-0000-0000-0000754D0000}"/>
    <cellStyle name="설명 텍스트 12 2 2" xfId="20444" xr:uid="{00000000-0005-0000-0000-0000764D0000}"/>
    <cellStyle name="설명 텍스트 12 3" xfId="20445" xr:uid="{00000000-0005-0000-0000-0000774D0000}"/>
    <cellStyle name="설명 텍스트 12 4" xfId="20446" xr:uid="{00000000-0005-0000-0000-0000784D0000}"/>
    <cellStyle name="설명 텍스트 12 5" xfId="20447" xr:uid="{00000000-0005-0000-0000-0000794D0000}"/>
    <cellStyle name="설명 텍스트 12 6" xfId="20448" xr:uid="{00000000-0005-0000-0000-00007A4D0000}"/>
    <cellStyle name="설명 텍스트 12 7" xfId="20449" xr:uid="{00000000-0005-0000-0000-00007B4D0000}"/>
    <cellStyle name="설명 텍스트 12 8" xfId="20450" xr:uid="{00000000-0005-0000-0000-00007C4D0000}"/>
    <cellStyle name="설명 텍스트 12 9" xfId="20451" xr:uid="{00000000-0005-0000-0000-00007D4D0000}"/>
    <cellStyle name="설명 텍스트 13" xfId="2543" xr:uid="{00000000-0005-0000-0000-00007E4D0000}"/>
    <cellStyle name="설명 텍스트 13 10" xfId="20453" xr:uid="{00000000-0005-0000-0000-00007F4D0000}"/>
    <cellStyle name="설명 텍스트 13 11" xfId="20454" xr:uid="{00000000-0005-0000-0000-0000804D0000}"/>
    <cellStyle name="설명 텍스트 13 12" xfId="20455" xr:uid="{00000000-0005-0000-0000-0000814D0000}"/>
    <cellStyle name="설명 텍스트 13 13" xfId="20456" xr:uid="{00000000-0005-0000-0000-0000824D0000}"/>
    <cellStyle name="설명 텍스트 13 14" xfId="20457" xr:uid="{00000000-0005-0000-0000-0000834D0000}"/>
    <cellStyle name="설명 텍스트 13 15" xfId="20452" xr:uid="{00000000-0005-0000-0000-0000844D0000}"/>
    <cellStyle name="설명 텍스트 13 2" xfId="2544" xr:uid="{00000000-0005-0000-0000-0000854D0000}"/>
    <cellStyle name="설명 텍스트 13 2 2" xfId="20458" xr:uid="{00000000-0005-0000-0000-0000864D0000}"/>
    <cellStyle name="설명 텍스트 13 3" xfId="20459" xr:uid="{00000000-0005-0000-0000-0000874D0000}"/>
    <cellStyle name="설명 텍스트 13 4" xfId="20460" xr:uid="{00000000-0005-0000-0000-0000884D0000}"/>
    <cellStyle name="설명 텍스트 13 5" xfId="20461" xr:uid="{00000000-0005-0000-0000-0000894D0000}"/>
    <cellStyle name="설명 텍스트 13 6" xfId="20462" xr:uid="{00000000-0005-0000-0000-00008A4D0000}"/>
    <cellStyle name="설명 텍스트 13 7" xfId="20463" xr:uid="{00000000-0005-0000-0000-00008B4D0000}"/>
    <cellStyle name="설명 텍스트 13 8" xfId="20464" xr:uid="{00000000-0005-0000-0000-00008C4D0000}"/>
    <cellStyle name="설명 텍스트 13 9" xfId="20465" xr:uid="{00000000-0005-0000-0000-00008D4D0000}"/>
    <cellStyle name="설명 텍스트 14" xfId="2545" xr:uid="{00000000-0005-0000-0000-00008E4D0000}"/>
    <cellStyle name="설명 텍스트 14 10" xfId="20467" xr:uid="{00000000-0005-0000-0000-00008F4D0000}"/>
    <cellStyle name="설명 텍스트 14 11" xfId="20468" xr:uid="{00000000-0005-0000-0000-0000904D0000}"/>
    <cellStyle name="설명 텍스트 14 12" xfId="20469" xr:uid="{00000000-0005-0000-0000-0000914D0000}"/>
    <cellStyle name="설명 텍스트 14 13" xfId="20470" xr:uid="{00000000-0005-0000-0000-0000924D0000}"/>
    <cellStyle name="설명 텍스트 14 14" xfId="20471" xr:uid="{00000000-0005-0000-0000-0000934D0000}"/>
    <cellStyle name="설명 텍스트 14 15" xfId="20466" xr:uid="{00000000-0005-0000-0000-0000944D0000}"/>
    <cellStyle name="설명 텍스트 14 2" xfId="2546" xr:uid="{00000000-0005-0000-0000-0000954D0000}"/>
    <cellStyle name="설명 텍스트 14 2 2" xfId="20472" xr:uid="{00000000-0005-0000-0000-0000964D0000}"/>
    <cellStyle name="설명 텍스트 14 3" xfId="20473" xr:uid="{00000000-0005-0000-0000-0000974D0000}"/>
    <cellStyle name="설명 텍스트 14 4" xfId="20474" xr:uid="{00000000-0005-0000-0000-0000984D0000}"/>
    <cellStyle name="설명 텍스트 14 5" xfId="20475" xr:uid="{00000000-0005-0000-0000-0000994D0000}"/>
    <cellStyle name="설명 텍스트 14 6" xfId="20476" xr:uid="{00000000-0005-0000-0000-00009A4D0000}"/>
    <cellStyle name="설명 텍스트 14 7" xfId="20477" xr:uid="{00000000-0005-0000-0000-00009B4D0000}"/>
    <cellStyle name="설명 텍스트 14 8" xfId="20478" xr:uid="{00000000-0005-0000-0000-00009C4D0000}"/>
    <cellStyle name="설명 텍스트 14 9" xfId="20479" xr:uid="{00000000-0005-0000-0000-00009D4D0000}"/>
    <cellStyle name="설명 텍스트 15" xfId="2547" xr:uid="{00000000-0005-0000-0000-00009E4D0000}"/>
    <cellStyle name="설명 텍스트 15 10" xfId="20481" xr:uid="{00000000-0005-0000-0000-00009F4D0000}"/>
    <cellStyle name="설명 텍스트 15 11" xfId="20482" xr:uid="{00000000-0005-0000-0000-0000A04D0000}"/>
    <cellStyle name="설명 텍스트 15 12" xfId="20483" xr:uid="{00000000-0005-0000-0000-0000A14D0000}"/>
    <cellStyle name="설명 텍스트 15 13" xfId="20484" xr:uid="{00000000-0005-0000-0000-0000A24D0000}"/>
    <cellStyle name="설명 텍스트 15 14" xfId="20485" xr:uid="{00000000-0005-0000-0000-0000A34D0000}"/>
    <cellStyle name="설명 텍스트 15 15" xfId="20480" xr:uid="{00000000-0005-0000-0000-0000A44D0000}"/>
    <cellStyle name="설명 텍스트 15 2" xfId="2548" xr:uid="{00000000-0005-0000-0000-0000A54D0000}"/>
    <cellStyle name="설명 텍스트 15 2 2" xfId="20486" xr:uid="{00000000-0005-0000-0000-0000A64D0000}"/>
    <cellStyle name="설명 텍스트 15 3" xfId="20487" xr:uid="{00000000-0005-0000-0000-0000A74D0000}"/>
    <cellStyle name="설명 텍스트 15 4" xfId="20488" xr:uid="{00000000-0005-0000-0000-0000A84D0000}"/>
    <cellStyle name="설명 텍스트 15 5" xfId="20489" xr:uid="{00000000-0005-0000-0000-0000A94D0000}"/>
    <cellStyle name="설명 텍스트 15 6" xfId="20490" xr:uid="{00000000-0005-0000-0000-0000AA4D0000}"/>
    <cellStyle name="설명 텍스트 15 7" xfId="20491" xr:uid="{00000000-0005-0000-0000-0000AB4D0000}"/>
    <cellStyle name="설명 텍스트 15 8" xfId="20492" xr:uid="{00000000-0005-0000-0000-0000AC4D0000}"/>
    <cellStyle name="설명 텍스트 15 9" xfId="20493" xr:uid="{00000000-0005-0000-0000-0000AD4D0000}"/>
    <cellStyle name="설명 텍스트 16" xfId="2549" xr:uid="{00000000-0005-0000-0000-0000AE4D0000}"/>
    <cellStyle name="설명 텍스트 16 10" xfId="20495" xr:uid="{00000000-0005-0000-0000-0000AF4D0000}"/>
    <cellStyle name="설명 텍스트 16 11" xfId="20496" xr:uid="{00000000-0005-0000-0000-0000B04D0000}"/>
    <cellStyle name="설명 텍스트 16 12" xfId="20497" xr:uid="{00000000-0005-0000-0000-0000B14D0000}"/>
    <cellStyle name="설명 텍스트 16 13" xfId="20498" xr:uid="{00000000-0005-0000-0000-0000B24D0000}"/>
    <cellStyle name="설명 텍스트 16 14" xfId="20499" xr:uid="{00000000-0005-0000-0000-0000B34D0000}"/>
    <cellStyle name="설명 텍스트 16 15" xfId="20494" xr:uid="{00000000-0005-0000-0000-0000B44D0000}"/>
    <cellStyle name="설명 텍스트 16 2" xfId="2550" xr:uid="{00000000-0005-0000-0000-0000B54D0000}"/>
    <cellStyle name="설명 텍스트 16 2 2" xfId="20500" xr:uid="{00000000-0005-0000-0000-0000B64D0000}"/>
    <cellStyle name="설명 텍스트 16 3" xfId="20501" xr:uid="{00000000-0005-0000-0000-0000B74D0000}"/>
    <cellStyle name="설명 텍스트 16 4" xfId="20502" xr:uid="{00000000-0005-0000-0000-0000B84D0000}"/>
    <cellStyle name="설명 텍스트 16 5" xfId="20503" xr:uid="{00000000-0005-0000-0000-0000B94D0000}"/>
    <cellStyle name="설명 텍스트 16 6" xfId="20504" xr:uid="{00000000-0005-0000-0000-0000BA4D0000}"/>
    <cellStyle name="설명 텍스트 16 7" xfId="20505" xr:uid="{00000000-0005-0000-0000-0000BB4D0000}"/>
    <cellStyle name="설명 텍스트 16 8" xfId="20506" xr:uid="{00000000-0005-0000-0000-0000BC4D0000}"/>
    <cellStyle name="설명 텍스트 16 9" xfId="20507" xr:uid="{00000000-0005-0000-0000-0000BD4D0000}"/>
    <cellStyle name="설명 텍스트 17" xfId="2551" xr:uid="{00000000-0005-0000-0000-0000BE4D0000}"/>
    <cellStyle name="설명 텍스트 17 10" xfId="20509" xr:uid="{00000000-0005-0000-0000-0000BF4D0000}"/>
    <cellStyle name="설명 텍스트 17 11" xfId="20510" xr:uid="{00000000-0005-0000-0000-0000C04D0000}"/>
    <cellStyle name="설명 텍스트 17 12" xfId="20511" xr:uid="{00000000-0005-0000-0000-0000C14D0000}"/>
    <cellStyle name="설명 텍스트 17 13" xfId="20512" xr:uid="{00000000-0005-0000-0000-0000C24D0000}"/>
    <cellStyle name="설명 텍스트 17 14" xfId="20513" xr:uid="{00000000-0005-0000-0000-0000C34D0000}"/>
    <cellStyle name="설명 텍스트 17 15" xfId="20508" xr:uid="{00000000-0005-0000-0000-0000C44D0000}"/>
    <cellStyle name="설명 텍스트 17 2" xfId="2552" xr:uid="{00000000-0005-0000-0000-0000C54D0000}"/>
    <cellStyle name="설명 텍스트 17 2 2" xfId="20514" xr:uid="{00000000-0005-0000-0000-0000C64D0000}"/>
    <cellStyle name="설명 텍스트 17 3" xfId="20515" xr:uid="{00000000-0005-0000-0000-0000C74D0000}"/>
    <cellStyle name="설명 텍스트 17 4" xfId="20516" xr:uid="{00000000-0005-0000-0000-0000C84D0000}"/>
    <cellStyle name="설명 텍스트 17 5" xfId="20517" xr:uid="{00000000-0005-0000-0000-0000C94D0000}"/>
    <cellStyle name="설명 텍스트 17 6" xfId="20518" xr:uid="{00000000-0005-0000-0000-0000CA4D0000}"/>
    <cellStyle name="설명 텍스트 17 7" xfId="20519" xr:uid="{00000000-0005-0000-0000-0000CB4D0000}"/>
    <cellStyle name="설명 텍스트 17 8" xfId="20520" xr:uid="{00000000-0005-0000-0000-0000CC4D0000}"/>
    <cellStyle name="설명 텍스트 17 9" xfId="20521" xr:uid="{00000000-0005-0000-0000-0000CD4D0000}"/>
    <cellStyle name="설명 텍스트 18" xfId="2553" xr:uid="{00000000-0005-0000-0000-0000CE4D0000}"/>
    <cellStyle name="설명 텍스트 18 10" xfId="20523" xr:uid="{00000000-0005-0000-0000-0000CF4D0000}"/>
    <cellStyle name="설명 텍스트 18 11" xfId="20524" xr:uid="{00000000-0005-0000-0000-0000D04D0000}"/>
    <cellStyle name="설명 텍스트 18 12" xfId="20525" xr:uid="{00000000-0005-0000-0000-0000D14D0000}"/>
    <cellStyle name="설명 텍스트 18 13" xfId="20526" xr:uid="{00000000-0005-0000-0000-0000D24D0000}"/>
    <cellStyle name="설명 텍스트 18 14" xfId="20527" xr:uid="{00000000-0005-0000-0000-0000D34D0000}"/>
    <cellStyle name="설명 텍스트 18 15" xfId="20522" xr:uid="{00000000-0005-0000-0000-0000D44D0000}"/>
    <cellStyle name="설명 텍스트 18 2" xfId="2554" xr:uid="{00000000-0005-0000-0000-0000D54D0000}"/>
    <cellStyle name="설명 텍스트 18 2 2" xfId="20528" xr:uid="{00000000-0005-0000-0000-0000D64D0000}"/>
    <cellStyle name="설명 텍스트 18 3" xfId="20529" xr:uid="{00000000-0005-0000-0000-0000D74D0000}"/>
    <cellStyle name="설명 텍스트 18 4" xfId="20530" xr:uid="{00000000-0005-0000-0000-0000D84D0000}"/>
    <cellStyle name="설명 텍스트 18 5" xfId="20531" xr:uid="{00000000-0005-0000-0000-0000D94D0000}"/>
    <cellStyle name="설명 텍스트 18 6" xfId="20532" xr:uid="{00000000-0005-0000-0000-0000DA4D0000}"/>
    <cellStyle name="설명 텍스트 18 7" xfId="20533" xr:uid="{00000000-0005-0000-0000-0000DB4D0000}"/>
    <cellStyle name="설명 텍스트 18 8" xfId="20534" xr:uid="{00000000-0005-0000-0000-0000DC4D0000}"/>
    <cellStyle name="설명 텍스트 18 9" xfId="20535" xr:uid="{00000000-0005-0000-0000-0000DD4D0000}"/>
    <cellStyle name="설명 텍스트 19" xfId="2555" xr:uid="{00000000-0005-0000-0000-0000DE4D0000}"/>
    <cellStyle name="설명 텍스트 19 10" xfId="20537" xr:uid="{00000000-0005-0000-0000-0000DF4D0000}"/>
    <cellStyle name="설명 텍스트 19 11" xfId="20538" xr:uid="{00000000-0005-0000-0000-0000E04D0000}"/>
    <cellStyle name="설명 텍스트 19 12" xfId="20539" xr:uid="{00000000-0005-0000-0000-0000E14D0000}"/>
    <cellStyle name="설명 텍스트 19 13" xfId="20540" xr:uid="{00000000-0005-0000-0000-0000E24D0000}"/>
    <cellStyle name="설명 텍스트 19 14" xfId="20541" xr:uid="{00000000-0005-0000-0000-0000E34D0000}"/>
    <cellStyle name="설명 텍스트 19 15" xfId="20536" xr:uid="{00000000-0005-0000-0000-0000E44D0000}"/>
    <cellStyle name="설명 텍스트 19 2" xfId="2556" xr:uid="{00000000-0005-0000-0000-0000E54D0000}"/>
    <cellStyle name="설명 텍스트 19 2 2" xfId="20542" xr:uid="{00000000-0005-0000-0000-0000E64D0000}"/>
    <cellStyle name="설명 텍스트 19 3" xfId="20543" xr:uid="{00000000-0005-0000-0000-0000E74D0000}"/>
    <cellStyle name="설명 텍스트 19 4" xfId="20544" xr:uid="{00000000-0005-0000-0000-0000E84D0000}"/>
    <cellStyle name="설명 텍스트 19 5" xfId="20545" xr:uid="{00000000-0005-0000-0000-0000E94D0000}"/>
    <cellStyle name="설명 텍스트 19 6" xfId="20546" xr:uid="{00000000-0005-0000-0000-0000EA4D0000}"/>
    <cellStyle name="설명 텍스트 19 7" xfId="20547" xr:uid="{00000000-0005-0000-0000-0000EB4D0000}"/>
    <cellStyle name="설명 텍스트 19 8" xfId="20548" xr:uid="{00000000-0005-0000-0000-0000EC4D0000}"/>
    <cellStyle name="설명 텍스트 19 9" xfId="20549" xr:uid="{00000000-0005-0000-0000-0000ED4D0000}"/>
    <cellStyle name="설명 텍스트 2" xfId="2557" xr:uid="{00000000-0005-0000-0000-0000EE4D0000}"/>
    <cellStyle name="설명 텍스트 2 10" xfId="20551" xr:uid="{00000000-0005-0000-0000-0000EF4D0000}"/>
    <cellStyle name="설명 텍스트 2 11" xfId="20552" xr:uid="{00000000-0005-0000-0000-0000F04D0000}"/>
    <cellStyle name="설명 텍스트 2 12" xfId="20553" xr:uid="{00000000-0005-0000-0000-0000F14D0000}"/>
    <cellStyle name="설명 텍스트 2 13" xfId="20554" xr:uid="{00000000-0005-0000-0000-0000F24D0000}"/>
    <cellStyle name="설명 텍스트 2 14" xfId="20555" xr:uid="{00000000-0005-0000-0000-0000F34D0000}"/>
    <cellStyle name="설명 텍스트 2 15" xfId="20550" xr:uid="{00000000-0005-0000-0000-0000F44D0000}"/>
    <cellStyle name="설명 텍스트 2 16" xfId="27970" xr:uid="{00000000-0005-0000-0000-0000F54D0000}"/>
    <cellStyle name="설명 텍스트 2 2" xfId="2558" xr:uid="{00000000-0005-0000-0000-0000F64D0000}"/>
    <cellStyle name="설명 텍스트 2 2 2" xfId="20556" xr:uid="{00000000-0005-0000-0000-0000F74D0000}"/>
    <cellStyle name="설명 텍스트 2 3" xfId="20557" xr:uid="{00000000-0005-0000-0000-0000F84D0000}"/>
    <cellStyle name="설명 텍스트 2 4" xfId="20558" xr:uid="{00000000-0005-0000-0000-0000F94D0000}"/>
    <cellStyle name="설명 텍스트 2 5" xfId="20559" xr:uid="{00000000-0005-0000-0000-0000FA4D0000}"/>
    <cellStyle name="설명 텍스트 2 6" xfId="20560" xr:uid="{00000000-0005-0000-0000-0000FB4D0000}"/>
    <cellStyle name="설명 텍스트 2 7" xfId="20561" xr:uid="{00000000-0005-0000-0000-0000FC4D0000}"/>
    <cellStyle name="설명 텍스트 2 8" xfId="20562" xr:uid="{00000000-0005-0000-0000-0000FD4D0000}"/>
    <cellStyle name="설명 텍스트 2 9" xfId="20563" xr:uid="{00000000-0005-0000-0000-0000FE4D0000}"/>
    <cellStyle name="설명 텍스트 20" xfId="2559" xr:uid="{00000000-0005-0000-0000-0000FF4D0000}"/>
    <cellStyle name="설명 텍스트 20 10" xfId="20565" xr:uid="{00000000-0005-0000-0000-0000004E0000}"/>
    <cellStyle name="설명 텍스트 20 11" xfId="20566" xr:uid="{00000000-0005-0000-0000-0000014E0000}"/>
    <cellStyle name="설명 텍스트 20 12" xfId="20567" xr:uid="{00000000-0005-0000-0000-0000024E0000}"/>
    <cellStyle name="설명 텍스트 20 13" xfId="20568" xr:uid="{00000000-0005-0000-0000-0000034E0000}"/>
    <cellStyle name="설명 텍스트 20 14" xfId="20569" xr:uid="{00000000-0005-0000-0000-0000044E0000}"/>
    <cellStyle name="설명 텍스트 20 15" xfId="20564" xr:uid="{00000000-0005-0000-0000-0000054E0000}"/>
    <cellStyle name="설명 텍스트 20 2" xfId="2560" xr:uid="{00000000-0005-0000-0000-0000064E0000}"/>
    <cellStyle name="설명 텍스트 20 2 2" xfId="20570" xr:uid="{00000000-0005-0000-0000-0000074E0000}"/>
    <cellStyle name="설명 텍스트 20 3" xfId="20571" xr:uid="{00000000-0005-0000-0000-0000084E0000}"/>
    <cellStyle name="설명 텍스트 20 4" xfId="20572" xr:uid="{00000000-0005-0000-0000-0000094E0000}"/>
    <cellStyle name="설명 텍스트 20 5" xfId="20573" xr:uid="{00000000-0005-0000-0000-00000A4E0000}"/>
    <cellStyle name="설명 텍스트 20 6" xfId="20574" xr:uid="{00000000-0005-0000-0000-00000B4E0000}"/>
    <cellStyle name="설명 텍스트 20 7" xfId="20575" xr:uid="{00000000-0005-0000-0000-00000C4E0000}"/>
    <cellStyle name="설명 텍스트 20 8" xfId="20576" xr:uid="{00000000-0005-0000-0000-00000D4E0000}"/>
    <cellStyle name="설명 텍스트 20 9" xfId="20577" xr:uid="{00000000-0005-0000-0000-00000E4E0000}"/>
    <cellStyle name="설명 텍스트 21" xfId="2561" xr:uid="{00000000-0005-0000-0000-00000F4E0000}"/>
    <cellStyle name="설명 텍스트 21 10" xfId="20579" xr:uid="{00000000-0005-0000-0000-0000104E0000}"/>
    <cellStyle name="설명 텍스트 21 11" xfId="20580" xr:uid="{00000000-0005-0000-0000-0000114E0000}"/>
    <cellStyle name="설명 텍스트 21 12" xfId="20581" xr:uid="{00000000-0005-0000-0000-0000124E0000}"/>
    <cellStyle name="설명 텍스트 21 13" xfId="20582" xr:uid="{00000000-0005-0000-0000-0000134E0000}"/>
    <cellStyle name="설명 텍스트 21 14" xfId="20583" xr:uid="{00000000-0005-0000-0000-0000144E0000}"/>
    <cellStyle name="설명 텍스트 21 15" xfId="20578" xr:uid="{00000000-0005-0000-0000-0000154E0000}"/>
    <cellStyle name="설명 텍스트 21 2" xfId="2562" xr:uid="{00000000-0005-0000-0000-0000164E0000}"/>
    <cellStyle name="설명 텍스트 21 2 2" xfId="20584" xr:uid="{00000000-0005-0000-0000-0000174E0000}"/>
    <cellStyle name="설명 텍스트 21 3" xfId="20585" xr:uid="{00000000-0005-0000-0000-0000184E0000}"/>
    <cellStyle name="설명 텍스트 21 4" xfId="20586" xr:uid="{00000000-0005-0000-0000-0000194E0000}"/>
    <cellStyle name="설명 텍스트 21 5" xfId="20587" xr:uid="{00000000-0005-0000-0000-00001A4E0000}"/>
    <cellStyle name="설명 텍스트 21 6" xfId="20588" xr:uid="{00000000-0005-0000-0000-00001B4E0000}"/>
    <cellStyle name="설명 텍스트 21 7" xfId="20589" xr:uid="{00000000-0005-0000-0000-00001C4E0000}"/>
    <cellStyle name="설명 텍스트 21 8" xfId="20590" xr:uid="{00000000-0005-0000-0000-00001D4E0000}"/>
    <cellStyle name="설명 텍스트 21 9" xfId="20591" xr:uid="{00000000-0005-0000-0000-00001E4E0000}"/>
    <cellStyle name="설명 텍스트 22" xfId="2563" xr:uid="{00000000-0005-0000-0000-00001F4E0000}"/>
    <cellStyle name="설명 텍스트 22 10" xfId="20593" xr:uid="{00000000-0005-0000-0000-0000204E0000}"/>
    <cellStyle name="설명 텍스트 22 11" xfId="20594" xr:uid="{00000000-0005-0000-0000-0000214E0000}"/>
    <cellStyle name="설명 텍스트 22 12" xfId="20595" xr:uid="{00000000-0005-0000-0000-0000224E0000}"/>
    <cellStyle name="설명 텍스트 22 13" xfId="20596" xr:uid="{00000000-0005-0000-0000-0000234E0000}"/>
    <cellStyle name="설명 텍스트 22 14" xfId="20597" xr:uid="{00000000-0005-0000-0000-0000244E0000}"/>
    <cellStyle name="설명 텍스트 22 15" xfId="20592" xr:uid="{00000000-0005-0000-0000-0000254E0000}"/>
    <cellStyle name="설명 텍스트 22 2" xfId="2564" xr:uid="{00000000-0005-0000-0000-0000264E0000}"/>
    <cellStyle name="설명 텍스트 22 2 2" xfId="20598" xr:uid="{00000000-0005-0000-0000-0000274E0000}"/>
    <cellStyle name="설명 텍스트 22 3" xfId="20599" xr:uid="{00000000-0005-0000-0000-0000284E0000}"/>
    <cellStyle name="설명 텍스트 22 4" xfId="20600" xr:uid="{00000000-0005-0000-0000-0000294E0000}"/>
    <cellStyle name="설명 텍스트 22 5" xfId="20601" xr:uid="{00000000-0005-0000-0000-00002A4E0000}"/>
    <cellStyle name="설명 텍스트 22 6" xfId="20602" xr:uid="{00000000-0005-0000-0000-00002B4E0000}"/>
    <cellStyle name="설명 텍스트 22 7" xfId="20603" xr:uid="{00000000-0005-0000-0000-00002C4E0000}"/>
    <cellStyle name="설명 텍스트 22 8" xfId="20604" xr:uid="{00000000-0005-0000-0000-00002D4E0000}"/>
    <cellStyle name="설명 텍스트 22 9" xfId="20605" xr:uid="{00000000-0005-0000-0000-00002E4E0000}"/>
    <cellStyle name="설명 텍스트 23" xfId="2565" xr:uid="{00000000-0005-0000-0000-00002F4E0000}"/>
    <cellStyle name="설명 텍스트 23 10" xfId="20607" xr:uid="{00000000-0005-0000-0000-0000304E0000}"/>
    <cellStyle name="설명 텍스트 23 11" xfId="20608" xr:uid="{00000000-0005-0000-0000-0000314E0000}"/>
    <cellStyle name="설명 텍스트 23 12" xfId="20609" xr:uid="{00000000-0005-0000-0000-0000324E0000}"/>
    <cellStyle name="설명 텍스트 23 13" xfId="20610" xr:uid="{00000000-0005-0000-0000-0000334E0000}"/>
    <cellStyle name="설명 텍스트 23 14" xfId="20611" xr:uid="{00000000-0005-0000-0000-0000344E0000}"/>
    <cellStyle name="설명 텍스트 23 15" xfId="20606" xr:uid="{00000000-0005-0000-0000-0000354E0000}"/>
    <cellStyle name="설명 텍스트 23 2" xfId="2566" xr:uid="{00000000-0005-0000-0000-0000364E0000}"/>
    <cellStyle name="설명 텍스트 23 2 2" xfId="20612" xr:uid="{00000000-0005-0000-0000-0000374E0000}"/>
    <cellStyle name="설명 텍스트 23 3" xfId="20613" xr:uid="{00000000-0005-0000-0000-0000384E0000}"/>
    <cellStyle name="설명 텍스트 23 4" xfId="20614" xr:uid="{00000000-0005-0000-0000-0000394E0000}"/>
    <cellStyle name="설명 텍스트 23 5" xfId="20615" xr:uid="{00000000-0005-0000-0000-00003A4E0000}"/>
    <cellStyle name="설명 텍스트 23 6" xfId="20616" xr:uid="{00000000-0005-0000-0000-00003B4E0000}"/>
    <cellStyle name="설명 텍스트 23 7" xfId="20617" xr:uid="{00000000-0005-0000-0000-00003C4E0000}"/>
    <cellStyle name="설명 텍스트 23 8" xfId="20618" xr:uid="{00000000-0005-0000-0000-00003D4E0000}"/>
    <cellStyle name="설명 텍스트 23 9" xfId="20619" xr:uid="{00000000-0005-0000-0000-00003E4E0000}"/>
    <cellStyle name="설명 텍스트 24" xfId="2567" xr:uid="{00000000-0005-0000-0000-00003F4E0000}"/>
    <cellStyle name="설명 텍스트 24 10" xfId="20621" xr:uid="{00000000-0005-0000-0000-0000404E0000}"/>
    <cellStyle name="설명 텍스트 24 11" xfId="20622" xr:uid="{00000000-0005-0000-0000-0000414E0000}"/>
    <cellStyle name="설명 텍스트 24 12" xfId="20623" xr:uid="{00000000-0005-0000-0000-0000424E0000}"/>
    <cellStyle name="설명 텍스트 24 13" xfId="20624" xr:uid="{00000000-0005-0000-0000-0000434E0000}"/>
    <cellStyle name="설명 텍스트 24 14" xfId="20625" xr:uid="{00000000-0005-0000-0000-0000444E0000}"/>
    <cellStyle name="설명 텍스트 24 15" xfId="20620" xr:uid="{00000000-0005-0000-0000-0000454E0000}"/>
    <cellStyle name="설명 텍스트 24 2" xfId="2568" xr:uid="{00000000-0005-0000-0000-0000464E0000}"/>
    <cellStyle name="설명 텍스트 24 2 2" xfId="20626" xr:uid="{00000000-0005-0000-0000-0000474E0000}"/>
    <cellStyle name="설명 텍스트 24 3" xfId="20627" xr:uid="{00000000-0005-0000-0000-0000484E0000}"/>
    <cellStyle name="설명 텍스트 24 4" xfId="20628" xr:uid="{00000000-0005-0000-0000-0000494E0000}"/>
    <cellStyle name="설명 텍스트 24 5" xfId="20629" xr:uid="{00000000-0005-0000-0000-00004A4E0000}"/>
    <cellStyle name="설명 텍스트 24 6" xfId="20630" xr:uid="{00000000-0005-0000-0000-00004B4E0000}"/>
    <cellStyle name="설명 텍스트 24 7" xfId="20631" xr:uid="{00000000-0005-0000-0000-00004C4E0000}"/>
    <cellStyle name="설명 텍스트 24 8" xfId="20632" xr:uid="{00000000-0005-0000-0000-00004D4E0000}"/>
    <cellStyle name="설명 텍스트 24 9" xfId="20633" xr:uid="{00000000-0005-0000-0000-00004E4E0000}"/>
    <cellStyle name="설명 텍스트 25" xfId="2569" xr:uid="{00000000-0005-0000-0000-00004F4E0000}"/>
    <cellStyle name="설명 텍스트 25 10" xfId="20635" xr:uid="{00000000-0005-0000-0000-0000504E0000}"/>
    <cellStyle name="설명 텍스트 25 11" xfId="20636" xr:uid="{00000000-0005-0000-0000-0000514E0000}"/>
    <cellStyle name="설명 텍스트 25 12" xfId="20637" xr:uid="{00000000-0005-0000-0000-0000524E0000}"/>
    <cellStyle name="설명 텍스트 25 13" xfId="20638" xr:uid="{00000000-0005-0000-0000-0000534E0000}"/>
    <cellStyle name="설명 텍스트 25 14" xfId="20639" xr:uid="{00000000-0005-0000-0000-0000544E0000}"/>
    <cellStyle name="설명 텍스트 25 15" xfId="20634" xr:uid="{00000000-0005-0000-0000-0000554E0000}"/>
    <cellStyle name="설명 텍스트 25 2" xfId="2570" xr:uid="{00000000-0005-0000-0000-0000564E0000}"/>
    <cellStyle name="설명 텍스트 25 2 2" xfId="20640" xr:uid="{00000000-0005-0000-0000-0000574E0000}"/>
    <cellStyle name="설명 텍스트 25 3" xfId="20641" xr:uid="{00000000-0005-0000-0000-0000584E0000}"/>
    <cellStyle name="설명 텍스트 25 4" xfId="20642" xr:uid="{00000000-0005-0000-0000-0000594E0000}"/>
    <cellStyle name="설명 텍스트 25 5" xfId="20643" xr:uid="{00000000-0005-0000-0000-00005A4E0000}"/>
    <cellStyle name="설명 텍스트 25 6" xfId="20644" xr:uid="{00000000-0005-0000-0000-00005B4E0000}"/>
    <cellStyle name="설명 텍스트 25 7" xfId="20645" xr:uid="{00000000-0005-0000-0000-00005C4E0000}"/>
    <cellStyle name="설명 텍스트 25 8" xfId="20646" xr:uid="{00000000-0005-0000-0000-00005D4E0000}"/>
    <cellStyle name="설명 텍스트 25 9" xfId="20647" xr:uid="{00000000-0005-0000-0000-00005E4E0000}"/>
    <cellStyle name="설명 텍스트 26" xfId="2571" xr:uid="{00000000-0005-0000-0000-00005F4E0000}"/>
    <cellStyle name="설명 텍스트 26 10" xfId="20649" xr:uid="{00000000-0005-0000-0000-0000604E0000}"/>
    <cellStyle name="설명 텍스트 26 11" xfId="20650" xr:uid="{00000000-0005-0000-0000-0000614E0000}"/>
    <cellStyle name="설명 텍스트 26 12" xfId="20651" xr:uid="{00000000-0005-0000-0000-0000624E0000}"/>
    <cellStyle name="설명 텍스트 26 13" xfId="20652" xr:uid="{00000000-0005-0000-0000-0000634E0000}"/>
    <cellStyle name="설명 텍스트 26 14" xfId="20653" xr:uid="{00000000-0005-0000-0000-0000644E0000}"/>
    <cellStyle name="설명 텍스트 26 15" xfId="20648" xr:uid="{00000000-0005-0000-0000-0000654E0000}"/>
    <cellStyle name="설명 텍스트 26 2" xfId="2572" xr:uid="{00000000-0005-0000-0000-0000664E0000}"/>
    <cellStyle name="설명 텍스트 26 2 2" xfId="20654" xr:uid="{00000000-0005-0000-0000-0000674E0000}"/>
    <cellStyle name="설명 텍스트 26 3" xfId="20655" xr:uid="{00000000-0005-0000-0000-0000684E0000}"/>
    <cellStyle name="설명 텍스트 26 4" xfId="20656" xr:uid="{00000000-0005-0000-0000-0000694E0000}"/>
    <cellStyle name="설명 텍스트 26 5" xfId="20657" xr:uid="{00000000-0005-0000-0000-00006A4E0000}"/>
    <cellStyle name="설명 텍스트 26 6" xfId="20658" xr:uid="{00000000-0005-0000-0000-00006B4E0000}"/>
    <cellStyle name="설명 텍스트 26 7" xfId="20659" xr:uid="{00000000-0005-0000-0000-00006C4E0000}"/>
    <cellStyle name="설명 텍스트 26 8" xfId="20660" xr:uid="{00000000-0005-0000-0000-00006D4E0000}"/>
    <cellStyle name="설명 텍스트 26 9" xfId="20661" xr:uid="{00000000-0005-0000-0000-00006E4E0000}"/>
    <cellStyle name="설명 텍스트 27" xfId="2573" xr:uid="{00000000-0005-0000-0000-00006F4E0000}"/>
    <cellStyle name="설명 텍스트 27 10" xfId="20663" xr:uid="{00000000-0005-0000-0000-0000704E0000}"/>
    <cellStyle name="설명 텍스트 27 11" xfId="20664" xr:uid="{00000000-0005-0000-0000-0000714E0000}"/>
    <cellStyle name="설명 텍스트 27 12" xfId="20665" xr:uid="{00000000-0005-0000-0000-0000724E0000}"/>
    <cellStyle name="설명 텍스트 27 13" xfId="20666" xr:uid="{00000000-0005-0000-0000-0000734E0000}"/>
    <cellStyle name="설명 텍스트 27 14" xfId="20667" xr:uid="{00000000-0005-0000-0000-0000744E0000}"/>
    <cellStyle name="설명 텍스트 27 15" xfId="20662" xr:uid="{00000000-0005-0000-0000-0000754E0000}"/>
    <cellStyle name="설명 텍스트 27 2" xfId="2574" xr:uid="{00000000-0005-0000-0000-0000764E0000}"/>
    <cellStyle name="설명 텍스트 27 2 2" xfId="20668" xr:uid="{00000000-0005-0000-0000-0000774E0000}"/>
    <cellStyle name="설명 텍스트 27 3" xfId="20669" xr:uid="{00000000-0005-0000-0000-0000784E0000}"/>
    <cellStyle name="설명 텍스트 27 4" xfId="20670" xr:uid="{00000000-0005-0000-0000-0000794E0000}"/>
    <cellStyle name="설명 텍스트 27 5" xfId="20671" xr:uid="{00000000-0005-0000-0000-00007A4E0000}"/>
    <cellStyle name="설명 텍스트 27 6" xfId="20672" xr:uid="{00000000-0005-0000-0000-00007B4E0000}"/>
    <cellStyle name="설명 텍스트 27 7" xfId="20673" xr:uid="{00000000-0005-0000-0000-00007C4E0000}"/>
    <cellStyle name="설명 텍스트 27 8" xfId="20674" xr:uid="{00000000-0005-0000-0000-00007D4E0000}"/>
    <cellStyle name="설명 텍스트 27 9" xfId="20675" xr:uid="{00000000-0005-0000-0000-00007E4E0000}"/>
    <cellStyle name="설명 텍스트 28" xfId="2575" xr:uid="{00000000-0005-0000-0000-00007F4E0000}"/>
    <cellStyle name="설명 텍스트 28 10" xfId="20677" xr:uid="{00000000-0005-0000-0000-0000804E0000}"/>
    <cellStyle name="설명 텍스트 28 11" xfId="20678" xr:uid="{00000000-0005-0000-0000-0000814E0000}"/>
    <cellStyle name="설명 텍스트 28 12" xfId="20679" xr:uid="{00000000-0005-0000-0000-0000824E0000}"/>
    <cellStyle name="설명 텍스트 28 13" xfId="20680" xr:uid="{00000000-0005-0000-0000-0000834E0000}"/>
    <cellStyle name="설명 텍스트 28 14" xfId="20681" xr:uid="{00000000-0005-0000-0000-0000844E0000}"/>
    <cellStyle name="설명 텍스트 28 15" xfId="20676" xr:uid="{00000000-0005-0000-0000-0000854E0000}"/>
    <cellStyle name="설명 텍스트 28 2" xfId="2576" xr:uid="{00000000-0005-0000-0000-0000864E0000}"/>
    <cellStyle name="설명 텍스트 28 2 2" xfId="20682" xr:uid="{00000000-0005-0000-0000-0000874E0000}"/>
    <cellStyle name="설명 텍스트 28 3" xfId="20683" xr:uid="{00000000-0005-0000-0000-0000884E0000}"/>
    <cellStyle name="설명 텍스트 28 4" xfId="20684" xr:uid="{00000000-0005-0000-0000-0000894E0000}"/>
    <cellStyle name="설명 텍스트 28 5" xfId="20685" xr:uid="{00000000-0005-0000-0000-00008A4E0000}"/>
    <cellStyle name="설명 텍스트 28 6" xfId="20686" xr:uid="{00000000-0005-0000-0000-00008B4E0000}"/>
    <cellStyle name="설명 텍스트 28 7" xfId="20687" xr:uid="{00000000-0005-0000-0000-00008C4E0000}"/>
    <cellStyle name="설명 텍스트 28 8" xfId="20688" xr:uid="{00000000-0005-0000-0000-00008D4E0000}"/>
    <cellStyle name="설명 텍스트 28 9" xfId="20689" xr:uid="{00000000-0005-0000-0000-00008E4E0000}"/>
    <cellStyle name="설명 텍스트 29" xfId="2577" xr:uid="{00000000-0005-0000-0000-00008F4E0000}"/>
    <cellStyle name="설명 텍스트 29 10" xfId="20691" xr:uid="{00000000-0005-0000-0000-0000904E0000}"/>
    <cellStyle name="설명 텍스트 29 11" xfId="20692" xr:uid="{00000000-0005-0000-0000-0000914E0000}"/>
    <cellStyle name="설명 텍스트 29 12" xfId="20693" xr:uid="{00000000-0005-0000-0000-0000924E0000}"/>
    <cellStyle name="설명 텍스트 29 13" xfId="20694" xr:uid="{00000000-0005-0000-0000-0000934E0000}"/>
    <cellStyle name="설명 텍스트 29 14" xfId="20695" xr:uid="{00000000-0005-0000-0000-0000944E0000}"/>
    <cellStyle name="설명 텍스트 29 15" xfId="20690" xr:uid="{00000000-0005-0000-0000-0000954E0000}"/>
    <cellStyle name="설명 텍스트 29 2" xfId="2578" xr:uid="{00000000-0005-0000-0000-0000964E0000}"/>
    <cellStyle name="설명 텍스트 29 2 2" xfId="20696" xr:uid="{00000000-0005-0000-0000-0000974E0000}"/>
    <cellStyle name="설명 텍스트 29 3" xfId="20697" xr:uid="{00000000-0005-0000-0000-0000984E0000}"/>
    <cellStyle name="설명 텍스트 29 4" xfId="20698" xr:uid="{00000000-0005-0000-0000-0000994E0000}"/>
    <cellStyle name="설명 텍스트 29 5" xfId="20699" xr:uid="{00000000-0005-0000-0000-00009A4E0000}"/>
    <cellStyle name="설명 텍스트 29 6" xfId="20700" xr:uid="{00000000-0005-0000-0000-00009B4E0000}"/>
    <cellStyle name="설명 텍스트 29 7" xfId="20701" xr:uid="{00000000-0005-0000-0000-00009C4E0000}"/>
    <cellStyle name="설명 텍스트 29 8" xfId="20702" xr:uid="{00000000-0005-0000-0000-00009D4E0000}"/>
    <cellStyle name="설명 텍스트 29 9" xfId="20703" xr:uid="{00000000-0005-0000-0000-00009E4E0000}"/>
    <cellStyle name="설명 텍스트 3" xfId="2579" xr:uid="{00000000-0005-0000-0000-00009F4E0000}"/>
    <cellStyle name="설명 텍스트 3 10" xfId="20705" xr:uid="{00000000-0005-0000-0000-0000A04E0000}"/>
    <cellStyle name="설명 텍스트 3 11" xfId="20706" xr:uid="{00000000-0005-0000-0000-0000A14E0000}"/>
    <cellStyle name="설명 텍스트 3 12" xfId="20707" xr:uid="{00000000-0005-0000-0000-0000A24E0000}"/>
    <cellStyle name="설명 텍스트 3 13" xfId="20708" xr:uid="{00000000-0005-0000-0000-0000A34E0000}"/>
    <cellStyle name="설명 텍스트 3 14" xfId="20709" xr:uid="{00000000-0005-0000-0000-0000A44E0000}"/>
    <cellStyle name="설명 텍스트 3 15" xfId="20704" xr:uid="{00000000-0005-0000-0000-0000A54E0000}"/>
    <cellStyle name="설명 텍스트 3 16" xfId="28218" xr:uid="{00000000-0005-0000-0000-0000A64E0000}"/>
    <cellStyle name="설명 텍스트 3 2" xfId="2580" xr:uid="{00000000-0005-0000-0000-0000A74E0000}"/>
    <cellStyle name="설명 텍스트 3 2 2" xfId="20710" xr:uid="{00000000-0005-0000-0000-0000A84E0000}"/>
    <cellStyle name="설명 텍스트 3 3" xfId="20711" xr:uid="{00000000-0005-0000-0000-0000A94E0000}"/>
    <cellStyle name="설명 텍스트 3 4" xfId="20712" xr:uid="{00000000-0005-0000-0000-0000AA4E0000}"/>
    <cellStyle name="설명 텍스트 3 5" xfId="20713" xr:uid="{00000000-0005-0000-0000-0000AB4E0000}"/>
    <cellStyle name="설명 텍스트 3 6" xfId="20714" xr:uid="{00000000-0005-0000-0000-0000AC4E0000}"/>
    <cellStyle name="설명 텍스트 3 7" xfId="20715" xr:uid="{00000000-0005-0000-0000-0000AD4E0000}"/>
    <cellStyle name="설명 텍스트 3 8" xfId="20716" xr:uid="{00000000-0005-0000-0000-0000AE4E0000}"/>
    <cellStyle name="설명 텍스트 3 9" xfId="20717" xr:uid="{00000000-0005-0000-0000-0000AF4E0000}"/>
    <cellStyle name="설명 텍스트 30" xfId="2581" xr:uid="{00000000-0005-0000-0000-0000B04E0000}"/>
    <cellStyle name="설명 텍스트 30 10" xfId="20719" xr:uid="{00000000-0005-0000-0000-0000B14E0000}"/>
    <cellStyle name="설명 텍스트 30 11" xfId="20720" xr:uid="{00000000-0005-0000-0000-0000B24E0000}"/>
    <cellStyle name="설명 텍스트 30 12" xfId="20721" xr:uid="{00000000-0005-0000-0000-0000B34E0000}"/>
    <cellStyle name="설명 텍스트 30 13" xfId="20722" xr:uid="{00000000-0005-0000-0000-0000B44E0000}"/>
    <cellStyle name="설명 텍스트 30 14" xfId="20723" xr:uid="{00000000-0005-0000-0000-0000B54E0000}"/>
    <cellStyle name="설명 텍스트 30 15" xfId="20718" xr:uid="{00000000-0005-0000-0000-0000B64E0000}"/>
    <cellStyle name="설명 텍스트 30 2" xfId="2582" xr:uid="{00000000-0005-0000-0000-0000B74E0000}"/>
    <cellStyle name="설명 텍스트 30 2 2" xfId="20724" xr:uid="{00000000-0005-0000-0000-0000B84E0000}"/>
    <cellStyle name="설명 텍스트 30 3" xfId="20725" xr:uid="{00000000-0005-0000-0000-0000B94E0000}"/>
    <cellStyle name="설명 텍스트 30 4" xfId="20726" xr:uid="{00000000-0005-0000-0000-0000BA4E0000}"/>
    <cellStyle name="설명 텍스트 30 5" xfId="20727" xr:uid="{00000000-0005-0000-0000-0000BB4E0000}"/>
    <cellStyle name="설명 텍스트 30 6" xfId="20728" xr:uid="{00000000-0005-0000-0000-0000BC4E0000}"/>
    <cellStyle name="설명 텍스트 30 7" xfId="20729" xr:uid="{00000000-0005-0000-0000-0000BD4E0000}"/>
    <cellStyle name="설명 텍스트 30 8" xfId="20730" xr:uid="{00000000-0005-0000-0000-0000BE4E0000}"/>
    <cellStyle name="설명 텍스트 30 9" xfId="20731" xr:uid="{00000000-0005-0000-0000-0000BF4E0000}"/>
    <cellStyle name="설명 텍스트 31" xfId="2583" xr:uid="{00000000-0005-0000-0000-0000C04E0000}"/>
    <cellStyle name="설명 텍스트 31 10" xfId="20733" xr:uid="{00000000-0005-0000-0000-0000C14E0000}"/>
    <cellStyle name="설명 텍스트 31 11" xfId="20734" xr:uid="{00000000-0005-0000-0000-0000C24E0000}"/>
    <cellStyle name="설명 텍스트 31 12" xfId="20735" xr:uid="{00000000-0005-0000-0000-0000C34E0000}"/>
    <cellStyle name="설명 텍스트 31 13" xfId="20736" xr:uid="{00000000-0005-0000-0000-0000C44E0000}"/>
    <cellStyle name="설명 텍스트 31 14" xfId="20737" xr:uid="{00000000-0005-0000-0000-0000C54E0000}"/>
    <cellStyle name="설명 텍스트 31 15" xfId="20732" xr:uid="{00000000-0005-0000-0000-0000C64E0000}"/>
    <cellStyle name="설명 텍스트 31 2" xfId="2584" xr:uid="{00000000-0005-0000-0000-0000C74E0000}"/>
    <cellStyle name="설명 텍스트 31 2 2" xfId="20738" xr:uid="{00000000-0005-0000-0000-0000C84E0000}"/>
    <cellStyle name="설명 텍스트 31 3" xfId="20739" xr:uid="{00000000-0005-0000-0000-0000C94E0000}"/>
    <cellStyle name="설명 텍스트 31 4" xfId="20740" xr:uid="{00000000-0005-0000-0000-0000CA4E0000}"/>
    <cellStyle name="설명 텍스트 31 5" xfId="20741" xr:uid="{00000000-0005-0000-0000-0000CB4E0000}"/>
    <cellStyle name="설명 텍스트 31 6" xfId="20742" xr:uid="{00000000-0005-0000-0000-0000CC4E0000}"/>
    <cellStyle name="설명 텍스트 31 7" xfId="20743" xr:uid="{00000000-0005-0000-0000-0000CD4E0000}"/>
    <cellStyle name="설명 텍스트 31 8" xfId="20744" xr:uid="{00000000-0005-0000-0000-0000CE4E0000}"/>
    <cellStyle name="설명 텍스트 31 9" xfId="20745" xr:uid="{00000000-0005-0000-0000-0000CF4E0000}"/>
    <cellStyle name="설명 텍스트 32" xfId="2585" xr:uid="{00000000-0005-0000-0000-0000D04E0000}"/>
    <cellStyle name="설명 텍스트 32 10" xfId="20747" xr:uid="{00000000-0005-0000-0000-0000D14E0000}"/>
    <cellStyle name="설명 텍스트 32 11" xfId="20748" xr:uid="{00000000-0005-0000-0000-0000D24E0000}"/>
    <cellStyle name="설명 텍스트 32 12" xfId="20749" xr:uid="{00000000-0005-0000-0000-0000D34E0000}"/>
    <cellStyle name="설명 텍스트 32 13" xfId="20750" xr:uid="{00000000-0005-0000-0000-0000D44E0000}"/>
    <cellStyle name="설명 텍스트 32 14" xfId="20751" xr:uid="{00000000-0005-0000-0000-0000D54E0000}"/>
    <cellStyle name="설명 텍스트 32 15" xfId="20746" xr:uid="{00000000-0005-0000-0000-0000D64E0000}"/>
    <cellStyle name="설명 텍스트 32 2" xfId="2586" xr:uid="{00000000-0005-0000-0000-0000D74E0000}"/>
    <cellStyle name="설명 텍스트 32 2 2" xfId="20752" xr:uid="{00000000-0005-0000-0000-0000D84E0000}"/>
    <cellStyle name="설명 텍스트 32 3" xfId="20753" xr:uid="{00000000-0005-0000-0000-0000D94E0000}"/>
    <cellStyle name="설명 텍스트 32 4" xfId="20754" xr:uid="{00000000-0005-0000-0000-0000DA4E0000}"/>
    <cellStyle name="설명 텍스트 32 5" xfId="20755" xr:uid="{00000000-0005-0000-0000-0000DB4E0000}"/>
    <cellStyle name="설명 텍스트 32 6" xfId="20756" xr:uid="{00000000-0005-0000-0000-0000DC4E0000}"/>
    <cellStyle name="설명 텍스트 32 7" xfId="20757" xr:uid="{00000000-0005-0000-0000-0000DD4E0000}"/>
    <cellStyle name="설명 텍스트 32 8" xfId="20758" xr:uid="{00000000-0005-0000-0000-0000DE4E0000}"/>
    <cellStyle name="설명 텍스트 32 9" xfId="20759" xr:uid="{00000000-0005-0000-0000-0000DF4E0000}"/>
    <cellStyle name="설명 텍스트 33" xfId="2587" xr:uid="{00000000-0005-0000-0000-0000E04E0000}"/>
    <cellStyle name="설명 텍스트 33 10" xfId="20761" xr:uid="{00000000-0005-0000-0000-0000E14E0000}"/>
    <cellStyle name="설명 텍스트 33 11" xfId="20762" xr:uid="{00000000-0005-0000-0000-0000E24E0000}"/>
    <cellStyle name="설명 텍스트 33 12" xfId="20763" xr:uid="{00000000-0005-0000-0000-0000E34E0000}"/>
    <cellStyle name="설명 텍스트 33 13" xfId="20764" xr:uid="{00000000-0005-0000-0000-0000E44E0000}"/>
    <cellStyle name="설명 텍스트 33 14" xfId="20765" xr:uid="{00000000-0005-0000-0000-0000E54E0000}"/>
    <cellStyle name="설명 텍스트 33 15" xfId="20760" xr:uid="{00000000-0005-0000-0000-0000E64E0000}"/>
    <cellStyle name="설명 텍스트 33 2" xfId="2588" xr:uid="{00000000-0005-0000-0000-0000E74E0000}"/>
    <cellStyle name="설명 텍스트 33 2 2" xfId="20766" xr:uid="{00000000-0005-0000-0000-0000E84E0000}"/>
    <cellStyle name="설명 텍스트 33 3" xfId="20767" xr:uid="{00000000-0005-0000-0000-0000E94E0000}"/>
    <cellStyle name="설명 텍스트 33 4" xfId="20768" xr:uid="{00000000-0005-0000-0000-0000EA4E0000}"/>
    <cellStyle name="설명 텍스트 33 5" xfId="20769" xr:uid="{00000000-0005-0000-0000-0000EB4E0000}"/>
    <cellStyle name="설명 텍스트 33 6" xfId="20770" xr:uid="{00000000-0005-0000-0000-0000EC4E0000}"/>
    <cellStyle name="설명 텍스트 33 7" xfId="20771" xr:uid="{00000000-0005-0000-0000-0000ED4E0000}"/>
    <cellStyle name="설명 텍스트 33 8" xfId="20772" xr:uid="{00000000-0005-0000-0000-0000EE4E0000}"/>
    <cellStyle name="설명 텍스트 33 9" xfId="20773" xr:uid="{00000000-0005-0000-0000-0000EF4E0000}"/>
    <cellStyle name="설명 텍스트 34" xfId="2589" xr:uid="{00000000-0005-0000-0000-0000F04E0000}"/>
    <cellStyle name="설명 텍스트 34 10" xfId="20775" xr:uid="{00000000-0005-0000-0000-0000F14E0000}"/>
    <cellStyle name="설명 텍스트 34 11" xfId="20776" xr:uid="{00000000-0005-0000-0000-0000F24E0000}"/>
    <cellStyle name="설명 텍스트 34 12" xfId="20777" xr:uid="{00000000-0005-0000-0000-0000F34E0000}"/>
    <cellStyle name="설명 텍스트 34 13" xfId="20778" xr:uid="{00000000-0005-0000-0000-0000F44E0000}"/>
    <cellStyle name="설명 텍스트 34 14" xfId="20779" xr:uid="{00000000-0005-0000-0000-0000F54E0000}"/>
    <cellStyle name="설명 텍스트 34 15" xfId="20774" xr:uid="{00000000-0005-0000-0000-0000F64E0000}"/>
    <cellStyle name="설명 텍스트 34 2" xfId="2590" xr:uid="{00000000-0005-0000-0000-0000F74E0000}"/>
    <cellStyle name="설명 텍스트 34 2 2" xfId="20780" xr:uid="{00000000-0005-0000-0000-0000F84E0000}"/>
    <cellStyle name="설명 텍스트 34 3" xfId="20781" xr:uid="{00000000-0005-0000-0000-0000F94E0000}"/>
    <cellStyle name="설명 텍스트 34 4" xfId="20782" xr:uid="{00000000-0005-0000-0000-0000FA4E0000}"/>
    <cellStyle name="설명 텍스트 34 5" xfId="20783" xr:uid="{00000000-0005-0000-0000-0000FB4E0000}"/>
    <cellStyle name="설명 텍스트 34 6" xfId="20784" xr:uid="{00000000-0005-0000-0000-0000FC4E0000}"/>
    <cellStyle name="설명 텍스트 34 7" xfId="20785" xr:uid="{00000000-0005-0000-0000-0000FD4E0000}"/>
    <cellStyle name="설명 텍스트 34 8" xfId="20786" xr:uid="{00000000-0005-0000-0000-0000FE4E0000}"/>
    <cellStyle name="설명 텍스트 34 9" xfId="20787" xr:uid="{00000000-0005-0000-0000-0000FF4E0000}"/>
    <cellStyle name="설명 텍스트 35" xfId="2591" xr:uid="{00000000-0005-0000-0000-0000004F0000}"/>
    <cellStyle name="설명 텍스트 35 10" xfId="20789" xr:uid="{00000000-0005-0000-0000-0000014F0000}"/>
    <cellStyle name="설명 텍스트 35 11" xfId="20790" xr:uid="{00000000-0005-0000-0000-0000024F0000}"/>
    <cellStyle name="설명 텍스트 35 12" xfId="20791" xr:uid="{00000000-0005-0000-0000-0000034F0000}"/>
    <cellStyle name="설명 텍스트 35 13" xfId="20792" xr:uid="{00000000-0005-0000-0000-0000044F0000}"/>
    <cellStyle name="설명 텍스트 35 14" xfId="20793" xr:uid="{00000000-0005-0000-0000-0000054F0000}"/>
    <cellStyle name="설명 텍스트 35 15" xfId="20788" xr:uid="{00000000-0005-0000-0000-0000064F0000}"/>
    <cellStyle name="설명 텍스트 35 2" xfId="2592" xr:uid="{00000000-0005-0000-0000-0000074F0000}"/>
    <cellStyle name="설명 텍스트 35 2 2" xfId="20794" xr:uid="{00000000-0005-0000-0000-0000084F0000}"/>
    <cellStyle name="설명 텍스트 35 3" xfId="20795" xr:uid="{00000000-0005-0000-0000-0000094F0000}"/>
    <cellStyle name="설명 텍스트 35 4" xfId="20796" xr:uid="{00000000-0005-0000-0000-00000A4F0000}"/>
    <cellStyle name="설명 텍스트 35 5" xfId="20797" xr:uid="{00000000-0005-0000-0000-00000B4F0000}"/>
    <cellStyle name="설명 텍스트 35 6" xfId="20798" xr:uid="{00000000-0005-0000-0000-00000C4F0000}"/>
    <cellStyle name="설명 텍스트 35 7" xfId="20799" xr:uid="{00000000-0005-0000-0000-00000D4F0000}"/>
    <cellStyle name="설명 텍스트 35 8" xfId="20800" xr:uid="{00000000-0005-0000-0000-00000E4F0000}"/>
    <cellStyle name="설명 텍스트 35 9" xfId="20801" xr:uid="{00000000-0005-0000-0000-00000F4F0000}"/>
    <cellStyle name="설명 텍스트 36" xfId="2593" xr:uid="{00000000-0005-0000-0000-0000104F0000}"/>
    <cellStyle name="설명 텍스트 36 10" xfId="20803" xr:uid="{00000000-0005-0000-0000-0000114F0000}"/>
    <cellStyle name="설명 텍스트 36 11" xfId="20804" xr:uid="{00000000-0005-0000-0000-0000124F0000}"/>
    <cellStyle name="설명 텍스트 36 12" xfId="20805" xr:uid="{00000000-0005-0000-0000-0000134F0000}"/>
    <cellStyle name="설명 텍스트 36 13" xfId="20806" xr:uid="{00000000-0005-0000-0000-0000144F0000}"/>
    <cellStyle name="설명 텍스트 36 14" xfId="20807" xr:uid="{00000000-0005-0000-0000-0000154F0000}"/>
    <cellStyle name="설명 텍스트 36 15" xfId="20802" xr:uid="{00000000-0005-0000-0000-0000164F0000}"/>
    <cellStyle name="설명 텍스트 36 2" xfId="2594" xr:uid="{00000000-0005-0000-0000-0000174F0000}"/>
    <cellStyle name="설명 텍스트 36 2 2" xfId="20808" xr:uid="{00000000-0005-0000-0000-0000184F0000}"/>
    <cellStyle name="설명 텍스트 36 3" xfId="20809" xr:uid="{00000000-0005-0000-0000-0000194F0000}"/>
    <cellStyle name="설명 텍스트 36 4" xfId="20810" xr:uid="{00000000-0005-0000-0000-00001A4F0000}"/>
    <cellStyle name="설명 텍스트 36 5" xfId="20811" xr:uid="{00000000-0005-0000-0000-00001B4F0000}"/>
    <cellStyle name="설명 텍스트 36 6" xfId="20812" xr:uid="{00000000-0005-0000-0000-00001C4F0000}"/>
    <cellStyle name="설명 텍스트 36 7" xfId="20813" xr:uid="{00000000-0005-0000-0000-00001D4F0000}"/>
    <cellStyle name="설명 텍스트 36 8" xfId="20814" xr:uid="{00000000-0005-0000-0000-00001E4F0000}"/>
    <cellStyle name="설명 텍스트 36 9" xfId="20815" xr:uid="{00000000-0005-0000-0000-00001F4F0000}"/>
    <cellStyle name="설명 텍스트 37" xfId="2595" xr:uid="{00000000-0005-0000-0000-0000204F0000}"/>
    <cellStyle name="설명 텍스트 37 10" xfId="20817" xr:uid="{00000000-0005-0000-0000-0000214F0000}"/>
    <cellStyle name="설명 텍스트 37 11" xfId="20818" xr:uid="{00000000-0005-0000-0000-0000224F0000}"/>
    <cellStyle name="설명 텍스트 37 12" xfId="20819" xr:uid="{00000000-0005-0000-0000-0000234F0000}"/>
    <cellStyle name="설명 텍스트 37 13" xfId="20820" xr:uid="{00000000-0005-0000-0000-0000244F0000}"/>
    <cellStyle name="설명 텍스트 37 14" xfId="20821" xr:uid="{00000000-0005-0000-0000-0000254F0000}"/>
    <cellStyle name="설명 텍스트 37 15" xfId="20816" xr:uid="{00000000-0005-0000-0000-0000264F0000}"/>
    <cellStyle name="설명 텍스트 37 2" xfId="2596" xr:uid="{00000000-0005-0000-0000-0000274F0000}"/>
    <cellStyle name="설명 텍스트 37 2 2" xfId="20822" xr:uid="{00000000-0005-0000-0000-0000284F0000}"/>
    <cellStyle name="설명 텍스트 37 3" xfId="20823" xr:uid="{00000000-0005-0000-0000-0000294F0000}"/>
    <cellStyle name="설명 텍스트 37 4" xfId="20824" xr:uid="{00000000-0005-0000-0000-00002A4F0000}"/>
    <cellStyle name="설명 텍스트 37 5" xfId="20825" xr:uid="{00000000-0005-0000-0000-00002B4F0000}"/>
    <cellStyle name="설명 텍스트 37 6" xfId="20826" xr:uid="{00000000-0005-0000-0000-00002C4F0000}"/>
    <cellStyle name="설명 텍스트 37 7" xfId="20827" xr:uid="{00000000-0005-0000-0000-00002D4F0000}"/>
    <cellStyle name="설명 텍스트 37 8" xfId="20828" xr:uid="{00000000-0005-0000-0000-00002E4F0000}"/>
    <cellStyle name="설명 텍스트 37 9" xfId="20829" xr:uid="{00000000-0005-0000-0000-00002F4F0000}"/>
    <cellStyle name="설명 텍스트 38" xfId="2597" xr:uid="{00000000-0005-0000-0000-0000304F0000}"/>
    <cellStyle name="설명 텍스트 38 10" xfId="20831" xr:uid="{00000000-0005-0000-0000-0000314F0000}"/>
    <cellStyle name="설명 텍스트 38 11" xfId="20832" xr:uid="{00000000-0005-0000-0000-0000324F0000}"/>
    <cellStyle name="설명 텍스트 38 12" xfId="20833" xr:uid="{00000000-0005-0000-0000-0000334F0000}"/>
    <cellStyle name="설명 텍스트 38 13" xfId="20834" xr:uid="{00000000-0005-0000-0000-0000344F0000}"/>
    <cellStyle name="설명 텍스트 38 14" xfId="20835" xr:uid="{00000000-0005-0000-0000-0000354F0000}"/>
    <cellStyle name="설명 텍스트 38 15" xfId="20830" xr:uid="{00000000-0005-0000-0000-0000364F0000}"/>
    <cellStyle name="설명 텍스트 38 2" xfId="2598" xr:uid="{00000000-0005-0000-0000-0000374F0000}"/>
    <cellStyle name="설명 텍스트 38 2 2" xfId="20836" xr:uid="{00000000-0005-0000-0000-0000384F0000}"/>
    <cellStyle name="설명 텍스트 38 3" xfId="20837" xr:uid="{00000000-0005-0000-0000-0000394F0000}"/>
    <cellStyle name="설명 텍스트 38 4" xfId="20838" xr:uid="{00000000-0005-0000-0000-00003A4F0000}"/>
    <cellStyle name="설명 텍스트 38 5" xfId="20839" xr:uid="{00000000-0005-0000-0000-00003B4F0000}"/>
    <cellStyle name="설명 텍스트 38 6" xfId="20840" xr:uid="{00000000-0005-0000-0000-00003C4F0000}"/>
    <cellStyle name="설명 텍스트 38 7" xfId="20841" xr:uid="{00000000-0005-0000-0000-00003D4F0000}"/>
    <cellStyle name="설명 텍스트 38 8" xfId="20842" xr:uid="{00000000-0005-0000-0000-00003E4F0000}"/>
    <cellStyle name="설명 텍스트 38 9" xfId="20843" xr:uid="{00000000-0005-0000-0000-00003F4F0000}"/>
    <cellStyle name="설명 텍스트 39" xfId="2599" xr:uid="{00000000-0005-0000-0000-0000404F0000}"/>
    <cellStyle name="설명 텍스트 39 10" xfId="20845" xr:uid="{00000000-0005-0000-0000-0000414F0000}"/>
    <cellStyle name="설명 텍스트 39 11" xfId="20846" xr:uid="{00000000-0005-0000-0000-0000424F0000}"/>
    <cellStyle name="설명 텍스트 39 12" xfId="20847" xr:uid="{00000000-0005-0000-0000-0000434F0000}"/>
    <cellStyle name="설명 텍스트 39 13" xfId="20848" xr:uid="{00000000-0005-0000-0000-0000444F0000}"/>
    <cellStyle name="설명 텍스트 39 14" xfId="20849" xr:uid="{00000000-0005-0000-0000-0000454F0000}"/>
    <cellStyle name="설명 텍스트 39 15" xfId="20844" xr:uid="{00000000-0005-0000-0000-0000464F0000}"/>
    <cellStyle name="설명 텍스트 39 2" xfId="2600" xr:uid="{00000000-0005-0000-0000-0000474F0000}"/>
    <cellStyle name="설명 텍스트 39 2 2" xfId="20850" xr:uid="{00000000-0005-0000-0000-0000484F0000}"/>
    <cellStyle name="설명 텍스트 39 3" xfId="20851" xr:uid="{00000000-0005-0000-0000-0000494F0000}"/>
    <cellStyle name="설명 텍스트 39 4" xfId="20852" xr:uid="{00000000-0005-0000-0000-00004A4F0000}"/>
    <cellStyle name="설명 텍스트 39 5" xfId="20853" xr:uid="{00000000-0005-0000-0000-00004B4F0000}"/>
    <cellStyle name="설명 텍스트 39 6" xfId="20854" xr:uid="{00000000-0005-0000-0000-00004C4F0000}"/>
    <cellStyle name="설명 텍스트 39 7" xfId="20855" xr:uid="{00000000-0005-0000-0000-00004D4F0000}"/>
    <cellStyle name="설명 텍스트 39 8" xfId="20856" xr:uid="{00000000-0005-0000-0000-00004E4F0000}"/>
    <cellStyle name="설명 텍스트 39 9" xfId="20857" xr:uid="{00000000-0005-0000-0000-00004F4F0000}"/>
    <cellStyle name="설명 텍스트 4" xfId="2601" xr:uid="{00000000-0005-0000-0000-0000504F0000}"/>
    <cellStyle name="설명 텍스트 4 10" xfId="20859" xr:uid="{00000000-0005-0000-0000-0000514F0000}"/>
    <cellStyle name="설명 텍스트 4 11" xfId="20860" xr:uid="{00000000-0005-0000-0000-0000524F0000}"/>
    <cellStyle name="설명 텍스트 4 12" xfId="20861" xr:uid="{00000000-0005-0000-0000-0000534F0000}"/>
    <cellStyle name="설명 텍스트 4 13" xfId="20862" xr:uid="{00000000-0005-0000-0000-0000544F0000}"/>
    <cellStyle name="설명 텍스트 4 14" xfId="20863" xr:uid="{00000000-0005-0000-0000-0000554F0000}"/>
    <cellStyle name="설명 텍스트 4 15" xfId="20858" xr:uid="{00000000-0005-0000-0000-0000564F0000}"/>
    <cellStyle name="설명 텍스트 4 16" xfId="27881" xr:uid="{00000000-0005-0000-0000-0000574F0000}"/>
    <cellStyle name="설명 텍스트 4 2" xfId="2602" xr:uid="{00000000-0005-0000-0000-0000584F0000}"/>
    <cellStyle name="설명 텍스트 4 2 2" xfId="20864" xr:uid="{00000000-0005-0000-0000-0000594F0000}"/>
    <cellStyle name="설명 텍스트 4 3" xfId="20865" xr:uid="{00000000-0005-0000-0000-00005A4F0000}"/>
    <cellStyle name="설명 텍스트 4 4" xfId="20866" xr:uid="{00000000-0005-0000-0000-00005B4F0000}"/>
    <cellStyle name="설명 텍스트 4 5" xfId="20867" xr:uid="{00000000-0005-0000-0000-00005C4F0000}"/>
    <cellStyle name="설명 텍스트 4 6" xfId="20868" xr:uid="{00000000-0005-0000-0000-00005D4F0000}"/>
    <cellStyle name="설명 텍스트 4 7" xfId="20869" xr:uid="{00000000-0005-0000-0000-00005E4F0000}"/>
    <cellStyle name="설명 텍스트 4 8" xfId="20870" xr:uid="{00000000-0005-0000-0000-00005F4F0000}"/>
    <cellStyle name="설명 텍스트 4 9" xfId="20871" xr:uid="{00000000-0005-0000-0000-0000604F0000}"/>
    <cellStyle name="설명 텍스트 40" xfId="2603" xr:uid="{00000000-0005-0000-0000-0000614F0000}"/>
    <cellStyle name="설명 텍스트 40 10" xfId="20873" xr:uid="{00000000-0005-0000-0000-0000624F0000}"/>
    <cellStyle name="설명 텍스트 40 11" xfId="20874" xr:uid="{00000000-0005-0000-0000-0000634F0000}"/>
    <cellStyle name="설명 텍스트 40 12" xfId="20875" xr:uid="{00000000-0005-0000-0000-0000644F0000}"/>
    <cellStyle name="설명 텍스트 40 13" xfId="20876" xr:uid="{00000000-0005-0000-0000-0000654F0000}"/>
    <cellStyle name="설명 텍스트 40 14" xfId="20877" xr:uid="{00000000-0005-0000-0000-0000664F0000}"/>
    <cellStyle name="설명 텍스트 40 15" xfId="20872" xr:uid="{00000000-0005-0000-0000-0000674F0000}"/>
    <cellStyle name="설명 텍스트 40 2" xfId="2604" xr:uid="{00000000-0005-0000-0000-0000684F0000}"/>
    <cellStyle name="설명 텍스트 40 2 2" xfId="20878" xr:uid="{00000000-0005-0000-0000-0000694F0000}"/>
    <cellStyle name="설명 텍스트 40 3" xfId="20879" xr:uid="{00000000-0005-0000-0000-00006A4F0000}"/>
    <cellStyle name="설명 텍스트 40 4" xfId="20880" xr:uid="{00000000-0005-0000-0000-00006B4F0000}"/>
    <cellStyle name="설명 텍스트 40 5" xfId="20881" xr:uid="{00000000-0005-0000-0000-00006C4F0000}"/>
    <cellStyle name="설명 텍스트 40 6" xfId="20882" xr:uid="{00000000-0005-0000-0000-00006D4F0000}"/>
    <cellStyle name="설명 텍스트 40 7" xfId="20883" xr:uid="{00000000-0005-0000-0000-00006E4F0000}"/>
    <cellStyle name="설명 텍스트 40 8" xfId="20884" xr:uid="{00000000-0005-0000-0000-00006F4F0000}"/>
    <cellStyle name="설명 텍스트 40 9" xfId="20885" xr:uid="{00000000-0005-0000-0000-0000704F0000}"/>
    <cellStyle name="설명 텍스트 41" xfId="2605" xr:uid="{00000000-0005-0000-0000-0000714F0000}"/>
    <cellStyle name="설명 텍스트 41 10" xfId="20887" xr:uid="{00000000-0005-0000-0000-0000724F0000}"/>
    <cellStyle name="설명 텍스트 41 11" xfId="20888" xr:uid="{00000000-0005-0000-0000-0000734F0000}"/>
    <cellStyle name="설명 텍스트 41 12" xfId="20889" xr:uid="{00000000-0005-0000-0000-0000744F0000}"/>
    <cellStyle name="설명 텍스트 41 13" xfId="20890" xr:uid="{00000000-0005-0000-0000-0000754F0000}"/>
    <cellStyle name="설명 텍스트 41 14" xfId="20891" xr:uid="{00000000-0005-0000-0000-0000764F0000}"/>
    <cellStyle name="설명 텍스트 41 15" xfId="20886" xr:uid="{00000000-0005-0000-0000-0000774F0000}"/>
    <cellStyle name="설명 텍스트 41 2" xfId="2606" xr:uid="{00000000-0005-0000-0000-0000784F0000}"/>
    <cellStyle name="설명 텍스트 41 2 2" xfId="20892" xr:uid="{00000000-0005-0000-0000-0000794F0000}"/>
    <cellStyle name="설명 텍스트 41 3" xfId="20893" xr:uid="{00000000-0005-0000-0000-00007A4F0000}"/>
    <cellStyle name="설명 텍스트 41 4" xfId="20894" xr:uid="{00000000-0005-0000-0000-00007B4F0000}"/>
    <cellStyle name="설명 텍스트 41 5" xfId="20895" xr:uid="{00000000-0005-0000-0000-00007C4F0000}"/>
    <cellStyle name="설명 텍스트 41 6" xfId="20896" xr:uid="{00000000-0005-0000-0000-00007D4F0000}"/>
    <cellStyle name="설명 텍스트 41 7" xfId="20897" xr:uid="{00000000-0005-0000-0000-00007E4F0000}"/>
    <cellStyle name="설명 텍스트 41 8" xfId="20898" xr:uid="{00000000-0005-0000-0000-00007F4F0000}"/>
    <cellStyle name="설명 텍스트 41 9" xfId="20899" xr:uid="{00000000-0005-0000-0000-0000804F0000}"/>
    <cellStyle name="설명 텍스트 42" xfId="2607" xr:uid="{00000000-0005-0000-0000-0000814F0000}"/>
    <cellStyle name="설명 텍스트 42 10" xfId="20901" xr:uid="{00000000-0005-0000-0000-0000824F0000}"/>
    <cellStyle name="설명 텍스트 42 11" xfId="20902" xr:uid="{00000000-0005-0000-0000-0000834F0000}"/>
    <cellStyle name="설명 텍스트 42 12" xfId="20903" xr:uid="{00000000-0005-0000-0000-0000844F0000}"/>
    <cellStyle name="설명 텍스트 42 13" xfId="20904" xr:uid="{00000000-0005-0000-0000-0000854F0000}"/>
    <cellStyle name="설명 텍스트 42 14" xfId="20905" xr:uid="{00000000-0005-0000-0000-0000864F0000}"/>
    <cellStyle name="설명 텍스트 42 15" xfId="20900" xr:uid="{00000000-0005-0000-0000-0000874F0000}"/>
    <cellStyle name="설명 텍스트 42 2" xfId="2608" xr:uid="{00000000-0005-0000-0000-0000884F0000}"/>
    <cellStyle name="설명 텍스트 42 2 2" xfId="20906" xr:uid="{00000000-0005-0000-0000-0000894F0000}"/>
    <cellStyle name="설명 텍스트 42 3" xfId="20907" xr:uid="{00000000-0005-0000-0000-00008A4F0000}"/>
    <cellStyle name="설명 텍스트 42 4" xfId="20908" xr:uid="{00000000-0005-0000-0000-00008B4F0000}"/>
    <cellStyle name="설명 텍스트 42 5" xfId="20909" xr:uid="{00000000-0005-0000-0000-00008C4F0000}"/>
    <cellStyle name="설명 텍스트 42 6" xfId="20910" xr:uid="{00000000-0005-0000-0000-00008D4F0000}"/>
    <cellStyle name="설명 텍스트 42 7" xfId="20911" xr:uid="{00000000-0005-0000-0000-00008E4F0000}"/>
    <cellStyle name="설명 텍스트 42 8" xfId="20912" xr:uid="{00000000-0005-0000-0000-00008F4F0000}"/>
    <cellStyle name="설명 텍스트 42 9" xfId="20913" xr:uid="{00000000-0005-0000-0000-0000904F0000}"/>
    <cellStyle name="설명 텍스트 43" xfId="2609" xr:uid="{00000000-0005-0000-0000-0000914F0000}"/>
    <cellStyle name="설명 텍스트 43 10" xfId="20915" xr:uid="{00000000-0005-0000-0000-0000924F0000}"/>
    <cellStyle name="설명 텍스트 43 11" xfId="20916" xr:uid="{00000000-0005-0000-0000-0000934F0000}"/>
    <cellStyle name="설명 텍스트 43 12" xfId="20917" xr:uid="{00000000-0005-0000-0000-0000944F0000}"/>
    <cellStyle name="설명 텍스트 43 13" xfId="20918" xr:uid="{00000000-0005-0000-0000-0000954F0000}"/>
    <cellStyle name="설명 텍스트 43 14" xfId="20919" xr:uid="{00000000-0005-0000-0000-0000964F0000}"/>
    <cellStyle name="설명 텍스트 43 15" xfId="20914" xr:uid="{00000000-0005-0000-0000-0000974F0000}"/>
    <cellStyle name="설명 텍스트 43 2" xfId="2610" xr:uid="{00000000-0005-0000-0000-0000984F0000}"/>
    <cellStyle name="설명 텍스트 43 2 2" xfId="20920" xr:uid="{00000000-0005-0000-0000-0000994F0000}"/>
    <cellStyle name="설명 텍스트 43 3" xfId="20921" xr:uid="{00000000-0005-0000-0000-00009A4F0000}"/>
    <cellStyle name="설명 텍스트 43 4" xfId="20922" xr:uid="{00000000-0005-0000-0000-00009B4F0000}"/>
    <cellStyle name="설명 텍스트 43 5" xfId="20923" xr:uid="{00000000-0005-0000-0000-00009C4F0000}"/>
    <cellStyle name="설명 텍스트 43 6" xfId="20924" xr:uid="{00000000-0005-0000-0000-00009D4F0000}"/>
    <cellStyle name="설명 텍스트 43 7" xfId="20925" xr:uid="{00000000-0005-0000-0000-00009E4F0000}"/>
    <cellStyle name="설명 텍스트 43 8" xfId="20926" xr:uid="{00000000-0005-0000-0000-00009F4F0000}"/>
    <cellStyle name="설명 텍스트 43 9" xfId="20927" xr:uid="{00000000-0005-0000-0000-0000A04F0000}"/>
    <cellStyle name="설명 텍스트 44" xfId="2611" xr:uid="{00000000-0005-0000-0000-0000A14F0000}"/>
    <cellStyle name="설명 텍스트 44 2" xfId="20928" xr:uid="{00000000-0005-0000-0000-0000A24F0000}"/>
    <cellStyle name="설명 텍스트 45" xfId="2612" xr:uid="{00000000-0005-0000-0000-0000A34F0000}"/>
    <cellStyle name="설명 텍스트 45 2" xfId="20929" xr:uid="{00000000-0005-0000-0000-0000A44F0000}"/>
    <cellStyle name="설명 텍스트 46" xfId="2536" xr:uid="{00000000-0005-0000-0000-0000A54F0000}"/>
    <cellStyle name="설명 텍스트 47" xfId="20409" xr:uid="{00000000-0005-0000-0000-0000A64F0000}"/>
    <cellStyle name="설명 텍스트 5" xfId="2613" xr:uid="{00000000-0005-0000-0000-0000A74F0000}"/>
    <cellStyle name="설명 텍스트 5 10" xfId="20931" xr:uid="{00000000-0005-0000-0000-0000A84F0000}"/>
    <cellStyle name="설명 텍스트 5 11" xfId="20932" xr:uid="{00000000-0005-0000-0000-0000A94F0000}"/>
    <cellStyle name="설명 텍스트 5 12" xfId="20933" xr:uid="{00000000-0005-0000-0000-0000AA4F0000}"/>
    <cellStyle name="설명 텍스트 5 13" xfId="20934" xr:uid="{00000000-0005-0000-0000-0000AB4F0000}"/>
    <cellStyle name="설명 텍스트 5 14" xfId="20935" xr:uid="{00000000-0005-0000-0000-0000AC4F0000}"/>
    <cellStyle name="설명 텍스트 5 15" xfId="20930" xr:uid="{00000000-0005-0000-0000-0000AD4F0000}"/>
    <cellStyle name="설명 텍스트 5 2" xfId="2614" xr:uid="{00000000-0005-0000-0000-0000AE4F0000}"/>
    <cellStyle name="설명 텍스트 5 2 2" xfId="20936" xr:uid="{00000000-0005-0000-0000-0000AF4F0000}"/>
    <cellStyle name="설명 텍스트 5 3" xfId="20937" xr:uid="{00000000-0005-0000-0000-0000B04F0000}"/>
    <cellStyle name="설명 텍스트 5 4" xfId="20938" xr:uid="{00000000-0005-0000-0000-0000B14F0000}"/>
    <cellStyle name="설명 텍스트 5 5" xfId="20939" xr:uid="{00000000-0005-0000-0000-0000B24F0000}"/>
    <cellStyle name="설명 텍스트 5 6" xfId="20940" xr:uid="{00000000-0005-0000-0000-0000B34F0000}"/>
    <cellStyle name="설명 텍스트 5 7" xfId="20941" xr:uid="{00000000-0005-0000-0000-0000B44F0000}"/>
    <cellStyle name="설명 텍스트 5 8" xfId="20942" xr:uid="{00000000-0005-0000-0000-0000B54F0000}"/>
    <cellStyle name="설명 텍스트 5 9" xfId="20943" xr:uid="{00000000-0005-0000-0000-0000B64F0000}"/>
    <cellStyle name="설명 텍스트 6" xfId="2615" xr:uid="{00000000-0005-0000-0000-0000B74F0000}"/>
    <cellStyle name="설명 텍스트 6 10" xfId="20945" xr:uid="{00000000-0005-0000-0000-0000B84F0000}"/>
    <cellStyle name="설명 텍스트 6 11" xfId="20946" xr:uid="{00000000-0005-0000-0000-0000B94F0000}"/>
    <cellStyle name="설명 텍스트 6 12" xfId="20947" xr:uid="{00000000-0005-0000-0000-0000BA4F0000}"/>
    <cellStyle name="설명 텍스트 6 13" xfId="20948" xr:uid="{00000000-0005-0000-0000-0000BB4F0000}"/>
    <cellStyle name="설명 텍스트 6 14" xfId="20949" xr:uid="{00000000-0005-0000-0000-0000BC4F0000}"/>
    <cellStyle name="설명 텍스트 6 15" xfId="20944" xr:uid="{00000000-0005-0000-0000-0000BD4F0000}"/>
    <cellStyle name="설명 텍스트 6 2" xfId="2616" xr:uid="{00000000-0005-0000-0000-0000BE4F0000}"/>
    <cellStyle name="설명 텍스트 6 2 2" xfId="20950" xr:uid="{00000000-0005-0000-0000-0000BF4F0000}"/>
    <cellStyle name="설명 텍스트 6 3" xfId="20951" xr:uid="{00000000-0005-0000-0000-0000C04F0000}"/>
    <cellStyle name="설명 텍스트 6 4" xfId="20952" xr:uid="{00000000-0005-0000-0000-0000C14F0000}"/>
    <cellStyle name="설명 텍스트 6 5" xfId="20953" xr:uid="{00000000-0005-0000-0000-0000C24F0000}"/>
    <cellStyle name="설명 텍스트 6 6" xfId="20954" xr:uid="{00000000-0005-0000-0000-0000C34F0000}"/>
    <cellStyle name="설명 텍스트 6 7" xfId="20955" xr:uid="{00000000-0005-0000-0000-0000C44F0000}"/>
    <cellStyle name="설명 텍스트 6 8" xfId="20956" xr:uid="{00000000-0005-0000-0000-0000C54F0000}"/>
    <cellStyle name="설명 텍스트 6 9" xfId="20957" xr:uid="{00000000-0005-0000-0000-0000C64F0000}"/>
    <cellStyle name="설명 텍스트 7" xfId="2617" xr:uid="{00000000-0005-0000-0000-0000C74F0000}"/>
    <cellStyle name="설명 텍스트 7 10" xfId="20959" xr:uid="{00000000-0005-0000-0000-0000C84F0000}"/>
    <cellStyle name="설명 텍스트 7 11" xfId="20960" xr:uid="{00000000-0005-0000-0000-0000C94F0000}"/>
    <cellStyle name="설명 텍스트 7 12" xfId="20961" xr:uid="{00000000-0005-0000-0000-0000CA4F0000}"/>
    <cellStyle name="설명 텍스트 7 13" xfId="20962" xr:uid="{00000000-0005-0000-0000-0000CB4F0000}"/>
    <cellStyle name="설명 텍스트 7 14" xfId="20963" xr:uid="{00000000-0005-0000-0000-0000CC4F0000}"/>
    <cellStyle name="설명 텍스트 7 15" xfId="20958" xr:uid="{00000000-0005-0000-0000-0000CD4F0000}"/>
    <cellStyle name="설명 텍스트 7 2" xfId="2618" xr:uid="{00000000-0005-0000-0000-0000CE4F0000}"/>
    <cellStyle name="설명 텍스트 7 2 2" xfId="20964" xr:uid="{00000000-0005-0000-0000-0000CF4F0000}"/>
    <cellStyle name="설명 텍스트 7 3" xfId="20965" xr:uid="{00000000-0005-0000-0000-0000D04F0000}"/>
    <cellStyle name="설명 텍스트 7 4" xfId="20966" xr:uid="{00000000-0005-0000-0000-0000D14F0000}"/>
    <cellStyle name="설명 텍스트 7 5" xfId="20967" xr:uid="{00000000-0005-0000-0000-0000D24F0000}"/>
    <cellStyle name="설명 텍스트 7 6" xfId="20968" xr:uid="{00000000-0005-0000-0000-0000D34F0000}"/>
    <cellStyle name="설명 텍스트 7 7" xfId="20969" xr:uid="{00000000-0005-0000-0000-0000D44F0000}"/>
    <cellStyle name="설명 텍스트 7 8" xfId="20970" xr:uid="{00000000-0005-0000-0000-0000D54F0000}"/>
    <cellStyle name="설명 텍스트 7 9" xfId="20971" xr:uid="{00000000-0005-0000-0000-0000D64F0000}"/>
    <cellStyle name="설명 텍스트 8" xfId="2619" xr:uid="{00000000-0005-0000-0000-0000D74F0000}"/>
    <cellStyle name="설명 텍스트 8 10" xfId="20973" xr:uid="{00000000-0005-0000-0000-0000D84F0000}"/>
    <cellStyle name="설명 텍스트 8 11" xfId="20974" xr:uid="{00000000-0005-0000-0000-0000D94F0000}"/>
    <cellStyle name="설명 텍스트 8 12" xfId="20975" xr:uid="{00000000-0005-0000-0000-0000DA4F0000}"/>
    <cellStyle name="설명 텍스트 8 13" xfId="20976" xr:uid="{00000000-0005-0000-0000-0000DB4F0000}"/>
    <cellStyle name="설명 텍스트 8 14" xfId="20977" xr:uid="{00000000-0005-0000-0000-0000DC4F0000}"/>
    <cellStyle name="설명 텍스트 8 15" xfId="20972" xr:uid="{00000000-0005-0000-0000-0000DD4F0000}"/>
    <cellStyle name="설명 텍스트 8 2" xfId="2620" xr:uid="{00000000-0005-0000-0000-0000DE4F0000}"/>
    <cellStyle name="설명 텍스트 8 2 2" xfId="20978" xr:uid="{00000000-0005-0000-0000-0000DF4F0000}"/>
    <cellStyle name="설명 텍스트 8 3" xfId="20979" xr:uid="{00000000-0005-0000-0000-0000E04F0000}"/>
    <cellStyle name="설명 텍스트 8 4" xfId="20980" xr:uid="{00000000-0005-0000-0000-0000E14F0000}"/>
    <cellStyle name="설명 텍스트 8 5" xfId="20981" xr:uid="{00000000-0005-0000-0000-0000E24F0000}"/>
    <cellStyle name="설명 텍스트 8 6" xfId="20982" xr:uid="{00000000-0005-0000-0000-0000E34F0000}"/>
    <cellStyle name="설명 텍스트 8 7" xfId="20983" xr:uid="{00000000-0005-0000-0000-0000E44F0000}"/>
    <cellStyle name="설명 텍스트 8 8" xfId="20984" xr:uid="{00000000-0005-0000-0000-0000E54F0000}"/>
    <cellStyle name="설명 텍스트 8 9" xfId="20985" xr:uid="{00000000-0005-0000-0000-0000E64F0000}"/>
    <cellStyle name="설명 텍스트 9" xfId="2621" xr:uid="{00000000-0005-0000-0000-0000E74F0000}"/>
    <cellStyle name="설명 텍스트 9 10" xfId="20987" xr:uid="{00000000-0005-0000-0000-0000E84F0000}"/>
    <cellStyle name="설명 텍스트 9 11" xfId="20988" xr:uid="{00000000-0005-0000-0000-0000E94F0000}"/>
    <cellStyle name="설명 텍스트 9 12" xfId="20989" xr:uid="{00000000-0005-0000-0000-0000EA4F0000}"/>
    <cellStyle name="설명 텍스트 9 13" xfId="20990" xr:uid="{00000000-0005-0000-0000-0000EB4F0000}"/>
    <cellStyle name="설명 텍스트 9 14" xfId="20991" xr:uid="{00000000-0005-0000-0000-0000EC4F0000}"/>
    <cellStyle name="설명 텍스트 9 15" xfId="20986" xr:uid="{00000000-0005-0000-0000-0000ED4F0000}"/>
    <cellStyle name="설명 텍스트 9 2" xfId="2622" xr:uid="{00000000-0005-0000-0000-0000EE4F0000}"/>
    <cellStyle name="설명 텍스트 9 2 2" xfId="20992" xr:uid="{00000000-0005-0000-0000-0000EF4F0000}"/>
    <cellStyle name="설명 텍스트 9 3" xfId="20993" xr:uid="{00000000-0005-0000-0000-0000F04F0000}"/>
    <cellStyle name="설명 텍스트 9 4" xfId="20994" xr:uid="{00000000-0005-0000-0000-0000F14F0000}"/>
    <cellStyle name="설명 텍스트 9 5" xfId="20995" xr:uid="{00000000-0005-0000-0000-0000F24F0000}"/>
    <cellStyle name="설명 텍스트 9 6" xfId="20996" xr:uid="{00000000-0005-0000-0000-0000F34F0000}"/>
    <cellStyle name="설명 텍스트 9 7" xfId="20997" xr:uid="{00000000-0005-0000-0000-0000F44F0000}"/>
    <cellStyle name="설명 텍스트 9 8" xfId="20998" xr:uid="{00000000-0005-0000-0000-0000F54F0000}"/>
    <cellStyle name="설명 텍스트 9 9" xfId="20999" xr:uid="{00000000-0005-0000-0000-0000F64F0000}"/>
    <cellStyle name="셀 확인 10" xfId="2624" xr:uid="{00000000-0005-0000-0000-0000F74F0000}"/>
    <cellStyle name="셀 확인 10 10" xfId="21002" xr:uid="{00000000-0005-0000-0000-0000F84F0000}"/>
    <cellStyle name="셀 확인 10 11" xfId="21003" xr:uid="{00000000-0005-0000-0000-0000F94F0000}"/>
    <cellStyle name="셀 확인 10 12" xfId="21004" xr:uid="{00000000-0005-0000-0000-0000FA4F0000}"/>
    <cellStyle name="셀 확인 10 13" xfId="21005" xr:uid="{00000000-0005-0000-0000-0000FB4F0000}"/>
    <cellStyle name="셀 확인 10 14" xfId="21006" xr:uid="{00000000-0005-0000-0000-0000FC4F0000}"/>
    <cellStyle name="셀 확인 10 15" xfId="21001" xr:uid="{00000000-0005-0000-0000-0000FD4F0000}"/>
    <cellStyle name="셀 확인 10 2" xfId="2625" xr:uid="{00000000-0005-0000-0000-0000FE4F0000}"/>
    <cellStyle name="셀 확인 10 2 2" xfId="21007" xr:uid="{00000000-0005-0000-0000-0000FF4F0000}"/>
    <cellStyle name="셀 확인 10 3" xfId="21008" xr:uid="{00000000-0005-0000-0000-000000500000}"/>
    <cellStyle name="셀 확인 10 4" xfId="21009" xr:uid="{00000000-0005-0000-0000-000001500000}"/>
    <cellStyle name="셀 확인 10 5" xfId="21010" xr:uid="{00000000-0005-0000-0000-000002500000}"/>
    <cellStyle name="셀 확인 10 6" xfId="21011" xr:uid="{00000000-0005-0000-0000-000003500000}"/>
    <cellStyle name="셀 확인 10 7" xfId="21012" xr:uid="{00000000-0005-0000-0000-000004500000}"/>
    <cellStyle name="셀 확인 10 8" xfId="21013" xr:uid="{00000000-0005-0000-0000-000005500000}"/>
    <cellStyle name="셀 확인 10 9" xfId="21014" xr:uid="{00000000-0005-0000-0000-000006500000}"/>
    <cellStyle name="셀 확인 11" xfId="2626" xr:uid="{00000000-0005-0000-0000-000007500000}"/>
    <cellStyle name="셀 확인 11 10" xfId="21016" xr:uid="{00000000-0005-0000-0000-000008500000}"/>
    <cellStyle name="셀 확인 11 11" xfId="21017" xr:uid="{00000000-0005-0000-0000-000009500000}"/>
    <cellStyle name="셀 확인 11 12" xfId="21018" xr:uid="{00000000-0005-0000-0000-00000A500000}"/>
    <cellStyle name="셀 확인 11 13" xfId="21019" xr:uid="{00000000-0005-0000-0000-00000B500000}"/>
    <cellStyle name="셀 확인 11 14" xfId="21020" xr:uid="{00000000-0005-0000-0000-00000C500000}"/>
    <cellStyle name="셀 확인 11 15" xfId="21015" xr:uid="{00000000-0005-0000-0000-00000D500000}"/>
    <cellStyle name="셀 확인 11 2" xfId="2627" xr:uid="{00000000-0005-0000-0000-00000E500000}"/>
    <cellStyle name="셀 확인 11 2 2" xfId="21021" xr:uid="{00000000-0005-0000-0000-00000F500000}"/>
    <cellStyle name="셀 확인 11 3" xfId="21022" xr:uid="{00000000-0005-0000-0000-000010500000}"/>
    <cellStyle name="셀 확인 11 4" xfId="21023" xr:uid="{00000000-0005-0000-0000-000011500000}"/>
    <cellStyle name="셀 확인 11 5" xfId="21024" xr:uid="{00000000-0005-0000-0000-000012500000}"/>
    <cellStyle name="셀 확인 11 6" xfId="21025" xr:uid="{00000000-0005-0000-0000-000013500000}"/>
    <cellStyle name="셀 확인 11 7" xfId="21026" xr:uid="{00000000-0005-0000-0000-000014500000}"/>
    <cellStyle name="셀 확인 11 8" xfId="21027" xr:uid="{00000000-0005-0000-0000-000015500000}"/>
    <cellStyle name="셀 확인 11 9" xfId="21028" xr:uid="{00000000-0005-0000-0000-000016500000}"/>
    <cellStyle name="셀 확인 12" xfId="2628" xr:uid="{00000000-0005-0000-0000-000017500000}"/>
    <cellStyle name="셀 확인 12 10" xfId="21030" xr:uid="{00000000-0005-0000-0000-000018500000}"/>
    <cellStyle name="셀 확인 12 11" xfId="21031" xr:uid="{00000000-0005-0000-0000-000019500000}"/>
    <cellStyle name="셀 확인 12 12" xfId="21032" xr:uid="{00000000-0005-0000-0000-00001A500000}"/>
    <cellStyle name="셀 확인 12 13" xfId="21033" xr:uid="{00000000-0005-0000-0000-00001B500000}"/>
    <cellStyle name="셀 확인 12 14" xfId="21034" xr:uid="{00000000-0005-0000-0000-00001C500000}"/>
    <cellStyle name="셀 확인 12 15" xfId="21029" xr:uid="{00000000-0005-0000-0000-00001D500000}"/>
    <cellStyle name="셀 확인 12 2" xfId="2629" xr:uid="{00000000-0005-0000-0000-00001E500000}"/>
    <cellStyle name="셀 확인 12 2 2" xfId="21035" xr:uid="{00000000-0005-0000-0000-00001F500000}"/>
    <cellStyle name="셀 확인 12 3" xfId="21036" xr:uid="{00000000-0005-0000-0000-000020500000}"/>
    <cellStyle name="셀 확인 12 4" xfId="21037" xr:uid="{00000000-0005-0000-0000-000021500000}"/>
    <cellStyle name="셀 확인 12 5" xfId="21038" xr:uid="{00000000-0005-0000-0000-000022500000}"/>
    <cellStyle name="셀 확인 12 6" xfId="21039" xr:uid="{00000000-0005-0000-0000-000023500000}"/>
    <cellStyle name="셀 확인 12 7" xfId="21040" xr:uid="{00000000-0005-0000-0000-000024500000}"/>
    <cellStyle name="셀 확인 12 8" xfId="21041" xr:uid="{00000000-0005-0000-0000-000025500000}"/>
    <cellStyle name="셀 확인 12 9" xfId="21042" xr:uid="{00000000-0005-0000-0000-000026500000}"/>
    <cellStyle name="셀 확인 13" xfId="2630" xr:uid="{00000000-0005-0000-0000-000027500000}"/>
    <cellStyle name="셀 확인 13 10" xfId="21044" xr:uid="{00000000-0005-0000-0000-000028500000}"/>
    <cellStyle name="셀 확인 13 11" xfId="21045" xr:uid="{00000000-0005-0000-0000-000029500000}"/>
    <cellStyle name="셀 확인 13 12" xfId="21046" xr:uid="{00000000-0005-0000-0000-00002A500000}"/>
    <cellStyle name="셀 확인 13 13" xfId="21047" xr:uid="{00000000-0005-0000-0000-00002B500000}"/>
    <cellStyle name="셀 확인 13 14" xfId="21048" xr:uid="{00000000-0005-0000-0000-00002C500000}"/>
    <cellStyle name="셀 확인 13 15" xfId="21043" xr:uid="{00000000-0005-0000-0000-00002D500000}"/>
    <cellStyle name="셀 확인 13 2" xfId="2631" xr:uid="{00000000-0005-0000-0000-00002E500000}"/>
    <cellStyle name="셀 확인 13 2 2" xfId="21049" xr:uid="{00000000-0005-0000-0000-00002F500000}"/>
    <cellStyle name="셀 확인 13 3" xfId="21050" xr:uid="{00000000-0005-0000-0000-000030500000}"/>
    <cellStyle name="셀 확인 13 4" xfId="21051" xr:uid="{00000000-0005-0000-0000-000031500000}"/>
    <cellStyle name="셀 확인 13 5" xfId="21052" xr:uid="{00000000-0005-0000-0000-000032500000}"/>
    <cellStyle name="셀 확인 13 6" xfId="21053" xr:uid="{00000000-0005-0000-0000-000033500000}"/>
    <cellStyle name="셀 확인 13 7" xfId="21054" xr:uid="{00000000-0005-0000-0000-000034500000}"/>
    <cellStyle name="셀 확인 13 8" xfId="21055" xr:uid="{00000000-0005-0000-0000-000035500000}"/>
    <cellStyle name="셀 확인 13 9" xfId="21056" xr:uid="{00000000-0005-0000-0000-000036500000}"/>
    <cellStyle name="셀 확인 14" xfId="2632" xr:uid="{00000000-0005-0000-0000-000037500000}"/>
    <cellStyle name="셀 확인 14 10" xfId="21058" xr:uid="{00000000-0005-0000-0000-000038500000}"/>
    <cellStyle name="셀 확인 14 11" xfId="21059" xr:uid="{00000000-0005-0000-0000-000039500000}"/>
    <cellStyle name="셀 확인 14 12" xfId="21060" xr:uid="{00000000-0005-0000-0000-00003A500000}"/>
    <cellStyle name="셀 확인 14 13" xfId="21061" xr:uid="{00000000-0005-0000-0000-00003B500000}"/>
    <cellStyle name="셀 확인 14 14" xfId="21062" xr:uid="{00000000-0005-0000-0000-00003C500000}"/>
    <cellStyle name="셀 확인 14 15" xfId="21057" xr:uid="{00000000-0005-0000-0000-00003D500000}"/>
    <cellStyle name="셀 확인 14 2" xfId="2633" xr:uid="{00000000-0005-0000-0000-00003E500000}"/>
    <cellStyle name="셀 확인 14 2 2" xfId="21063" xr:uid="{00000000-0005-0000-0000-00003F500000}"/>
    <cellStyle name="셀 확인 14 3" xfId="21064" xr:uid="{00000000-0005-0000-0000-000040500000}"/>
    <cellStyle name="셀 확인 14 4" xfId="21065" xr:uid="{00000000-0005-0000-0000-000041500000}"/>
    <cellStyle name="셀 확인 14 5" xfId="21066" xr:uid="{00000000-0005-0000-0000-000042500000}"/>
    <cellStyle name="셀 확인 14 6" xfId="21067" xr:uid="{00000000-0005-0000-0000-000043500000}"/>
    <cellStyle name="셀 확인 14 7" xfId="21068" xr:uid="{00000000-0005-0000-0000-000044500000}"/>
    <cellStyle name="셀 확인 14 8" xfId="21069" xr:uid="{00000000-0005-0000-0000-000045500000}"/>
    <cellStyle name="셀 확인 14 9" xfId="21070" xr:uid="{00000000-0005-0000-0000-000046500000}"/>
    <cellStyle name="셀 확인 15" xfId="2634" xr:uid="{00000000-0005-0000-0000-000047500000}"/>
    <cellStyle name="셀 확인 15 10" xfId="21072" xr:uid="{00000000-0005-0000-0000-000048500000}"/>
    <cellStyle name="셀 확인 15 11" xfId="21073" xr:uid="{00000000-0005-0000-0000-000049500000}"/>
    <cellStyle name="셀 확인 15 12" xfId="21074" xr:uid="{00000000-0005-0000-0000-00004A500000}"/>
    <cellStyle name="셀 확인 15 13" xfId="21075" xr:uid="{00000000-0005-0000-0000-00004B500000}"/>
    <cellStyle name="셀 확인 15 14" xfId="21076" xr:uid="{00000000-0005-0000-0000-00004C500000}"/>
    <cellStyle name="셀 확인 15 15" xfId="21071" xr:uid="{00000000-0005-0000-0000-00004D500000}"/>
    <cellStyle name="셀 확인 15 2" xfId="2635" xr:uid="{00000000-0005-0000-0000-00004E500000}"/>
    <cellStyle name="셀 확인 15 2 2" xfId="21077" xr:uid="{00000000-0005-0000-0000-00004F500000}"/>
    <cellStyle name="셀 확인 15 3" xfId="21078" xr:uid="{00000000-0005-0000-0000-000050500000}"/>
    <cellStyle name="셀 확인 15 4" xfId="21079" xr:uid="{00000000-0005-0000-0000-000051500000}"/>
    <cellStyle name="셀 확인 15 5" xfId="21080" xr:uid="{00000000-0005-0000-0000-000052500000}"/>
    <cellStyle name="셀 확인 15 6" xfId="21081" xr:uid="{00000000-0005-0000-0000-000053500000}"/>
    <cellStyle name="셀 확인 15 7" xfId="21082" xr:uid="{00000000-0005-0000-0000-000054500000}"/>
    <cellStyle name="셀 확인 15 8" xfId="21083" xr:uid="{00000000-0005-0000-0000-000055500000}"/>
    <cellStyle name="셀 확인 15 9" xfId="21084" xr:uid="{00000000-0005-0000-0000-000056500000}"/>
    <cellStyle name="셀 확인 16" xfId="2636" xr:uid="{00000000-0005-0000-0000-000057500000}"/>
    <cellStyle name="셀 확인 16 10" xfId="21086" xr:uid="{00000000-0005-0000-0000-000058500000}"/>
    <cellStyle name="셀 확인 16 11" xfId="21087" xr:uid="{00000000-0005-0000-0000-000059500000}"/>
    <cellStyle name="셀 확인 16 12" xfId="21088" xr:uid="{00000000-0005-0000-0000-00005A500000}"/>
    <cellStyle name="셀 확인 16 13" xfId="21089" xr:uid="{00000000-0005-0000-0000-00005B500000}"/>
    <cellStyle name="셀 확인 16 14" xfId="21090" xr:uid="{00000000-0005-0000-0000-00005C500000}"/>
    <cellStyle name="셀 확인 16 15" xfId="21085" xr:uid="{00000000-0005-0000-0000-00005D500000}"/>
    <cellStyle name="셀 확인 16 2" xfId="2637" xr:uid="{00000000-0005-0000-0000-00005E500000}"/>
    <cellStyle name="셀 확인 16 2 2" xfId="21091" xr:uid="{00000000-0005-0000-0000-00005F500000}"/>
    <cellStyle name="셀 확인 16 3" xfId="21092" xr:uid="{00000000-0005-0000-0000-000060500000}"/>
    <cellStyle name="셀 확인 16 4" xfId="21093" xr:uid="{00000000-0005-0000-0000-000061500000}"/>
    <cellStyle name="셀 확인 16 5" xfId="21094" xr:uid="{00000000-0005-0000-0000-000062500000}"/>
    <cellStyle name="셀 확인 16 6" xfId="21095" xr:uid="{00000000-0005-0000-0000-000063500000}"/>
    <cellStyle name="셀 확인 16 7" xfId="21096" xr:uid="{00000000-0005-0000-0000-000064500000}"/>
    <cellStyle name="셀 확인 16 8" xfId="21097" xr:uid="{00000000-0005-0000-0000-000065500000}"/>
    <cellStyle name="셀 확인 16 9" xfId="21098" xr:uid="{00000000-0005-0000-0000-000066500000}"/>
    <cellStyle name="셀 확인 17" xfId="2638" xr:uid="{00000000-0005-0000-0000-000067500000}"/>
    <cellStyle name="셀 확인 17 10" xfId="21100" xr:uid="{00000000-0005-0000-0000-000068500000}"/>
    <cellStyle name="셀 확인 17 11" xfId="21101" xr:uid="{00000000-0005-0000-0000-000069500000}"/>
    <cellStyle name="셀 확인 17 12" xfId="21102" xr:uid="{00000000-0005-0000-0000-00006A500000}"/>
    <cellStyle name="셀 확인 17 13" xfId="21103" xr:uid="{00000000-0005-0000-0000-00006B500000}"/>
    <cellStyle name="셀 확인 17 14" xfId="21104" xr:uid="{00000000-0005-0000-0000-00006C500000}"/>
    <cellStyle name="셀 확인 17 15" xfId="21099" xr:uid="{00000000-0005-0000-0000-00006D500000}"/>
    <cellStyle name="셀 확인 17 2" xfId="2639" xr:uid="{00000000-0005-0000-0000-00006E500000}"/>
    <cellStyle name="셀 확인 17 2 2" xfId="21105" xr:uid="{00000000-0005-0000-0000-00006F500000}"/>
    <cellStyle name="셀 확인 17 3" xfId="21106" xr:uid="{00000000-0005-0000-0000-000070500000}"/>
    <cellStyle name="셀 확인 17 4" xfId="21107" xr:uid="{00000000-0005-0000-0000-000071500000}"/>
    <cellStyle name="셀 확인 17 5" xfId="21108" xr:uid="{00000000-0005-0000-0000-000072500000}"/>
    <cellStyle name="셀 확인 17 6" xfId="21109" xr:uid="{00000000-0005-0000-0000-000073500000}"/>
    <cellStyle name="셀 확인 17 7" xfId="21110" xr:uid="{00000000-0005-0000-0000-000074500000}"/>
    <cellStyle name="셀 확인 17 8" xfId="21111" xr:uid="{00000000-0005-0000-0000-000075500000}"/>
    <cellStyle name="셀 확인 17 9" xfId="21112" xr:uid="{00000000-0005-0000-0000-000076500000}"/>
    <cellStyle name="셀 확인 18" xfId="2640" xr:uid="{00000000-0005-0000-0000-000077500000}"/>
    <cellStyle name="셀 확인 18 10" xfId="21114" xr:uid="{00000000-0005-0000-0000-000078500000}"/>
    <cellStyle name="셀 확인 18 11" xfId="21115" xr:uid="{00000000-0005-0000-0000-000079500000}"/>
    <cellStyle name="셀 확인 18 12" xfId="21116" xr:uid="{00000000-0005-0000-0000-00007A500000}"/>
    <cellStyle name="셀 확인 18 13" xfId="21117" xr:uid="{00000000-0005-0000-0000-00007B500000}"/>
    <cellStyle name="셀 확인 18 14" xfId="21118" xr:uid="{00000000-0005-0000-0000-00007C500000}"/>
    <cellStyle name="셀 확인 18 15" xfId="21113" xr:uid="{00000000-0005-0000-0000-00007D500000}"/>
    <cellStyle name="셀 확인 18 2" xfId="2641" xr:uid="{00000000-0005-0000-0000-00007E500000}"/>
    <cellStyle name="셀 확인 18 2 2" xfId="21119" xr:uid="{00000000-0005-0000-0000-00007F500000}"/>
    <cellStyle name="셀 확인 18 3" xfId="21120" xr:uid="{00000000-0005-0000-0000-000080500000}"/>
    <cellStyle name="셀 확인 18 4" xfId="21121" xr:uid="{00000000-0005-0000-0000-000081500000}"/>
    <cellStyle name="셀 확인 18 5" xfId="21122" xr:uid="{00000000-0005-0000-0000-000082500000}"/>
    <cellStyle name="셀 확인 18 6" xfId="21123" xr:uid="{00000000-0005-0000-0000-000083500000}"/>
    <cellStyle name="셀 확인 18 7" xfId="21124" xr:uid="{00000000-0005-0000-0000-000084500000}"/>
    <cellStyle name="셀 확인 18 8" xfId="21125" xr:uid="{00000000-0005-0000-0000-000085500000}"/>
    <cellStyle name="셀 확인 18 9" xfId="21126" xr:uid="{00000000-0005-0000-0000-000086500000}"/>
    <cellStyle name="셀 확인 19" xfId="2642" xr:uid="{00000000-0005-0000-0000-000087500000}"/>
    <cellStyle name="셀 확인 19 10" xfId="21128" xr:uid="{00000000-0005-0000-0000-000088500000}"/>
    <cellStyle name="셀 확인 19 11" xfId="21129" xr:uid="{00000000-0005-0000-0000-000089500000}"/>
    <cellStyle name="셀 확인 19 12" xfId="21130" xr:uid="{00000000-0005-0000-0000-00008A500000}"/>
    <cellStyle name="셀 확인 19 13" xfId="21131" xr:uid="{00000000-0005-0000-0000-00008B500000}"/>
    <cellStyle name="셀 확인 19 14" xfId="21132" xr:uid="{00000000-0005-0000-0000-00008C500000}"/>
    <cellStyle name="셀 확인 19 15" xfId="21127" xr:uid="{00000000-0005-0000-0000-00008D500000}"/>
    <cellStyle name="셀 확인 19 2" xfId="2643" xr:uid="{00000000-0005-0000-0000-00008E500000}"/>
    <cellStyle name="셀 확인 19 2 2" xfId="21133" xr:uid="{00000000-0005-0000-0000-00008F500000}"/>
    <cellStyle name="셀 확인 19 3" xfId="21134" xr:uid="{00000000-0005-0000-0000-000090500000}"/>
    <cellStyle name="셀 확인 19 4" xfId="21135" xr:uid="{00000000-0005-0000-0000-000091500000}"/>
    <cellStyle name="셀 확인 19 5" xfId="21136" xr:uid="{00000000-0005-0000-0000-000092500000}"/>
    <cellStyle name="셀 확인 19 6" xfId="21137" xr:uid="{00000000-0005-0000-0000-000093500000}"/>
    <cellStyle name="셀 확인 19 7" xfId="21138" xr:uid="{00000000-0005-0000-0000-000094500000}"/>
    <cellStyle name="셀 확인 19 8" xfId="21139" xr:uid="{00000000-0005-0000-0000-000095500000}"/>
    <cellStyle name="셀 확인 19 9" xfId="21140" xr:uid="{00000000-0005-0000-0000-000096500000}"/>
    <cellStyle name="셀 확인 2" xfId="2644" xr:uid="{00000000-0005-0000-0000-000097500000}"/>
    <cellStyle name="셀 확인 2 10" xfId="21142" xr:uid="{00000000-0005-0000-0000-000098500000}"/>
    <cellStyle name="셀 확인 2 11" xfId="21143" xr:uid="{00000000-0005-0000-0000-000099500000}"/>
    <cellStyle name="셀 확인 2 12" xfId="21144" xr:uid="{00000000-0005-0000-0000-00009A500000}"/>
    <cellStyle name="셀 확인 2 13" xfId="21145" xr:uid="{00000000-0005-0000-0000-00009B500000}"/>
    <cellStyle name="셀 확인 2 14" xfId="21146" xr:uid="{00000000-0005-0000-0000-00009C500000}"/>
    <cellStyle name="셀 확인 2 15" xfId="21141" xr:uid="{00000000-0005-0000-0000-00009D500000}"/>
    <cellStyle name="셀 확인 2 16" xfId="27971" xr:uid="{00000000-0005-0000-0000-00009E500000}"/>
    <cellStyle name="셀 확인 2 2" xfId="2645" xr:uid="{00000000-0005-0000-0000-00009F500000}"/>
    <cellStyle name="셀 확인 2 2 2" xfId="21147" xr:uid="{00000000-0005-0000-0000-0000A0500000}"/>
    <cellStyle name="셀 확인 2 3" xfId="21148" xr:uid="{00000000-0005-0000-0000-0000A1500000}"/>
    <cellStyle name="셀 확인 2 4" xfId="21149" xr:uid="{00000000-0005-0000-0000-0000A2500000}"/>
    <cellStyle name="셀 확인 2 5" xfId="21150" xr:uid="{00000000-0005-0000-0000-0000A3500000}"/>
    <cellStyle name="셀 확인 2 6" xfId="21151" xr:uid="{00000000-0005-0000-0000-0000A4500000}"/>
    <cellStyle name="셀 확인 2 7" xfId="21152" xr:uid="{00000000-0005-0000-0000-0000A5500000}"/>
    <cellStyle name="셀 확인 2 8" xfId="21153" xr:uid="{00000000-0005-0000-0000-0000A6500000}"/>
    <cellStyle name="셀 확인 2 9" xfId="21154" xr:uid="{00000000-0005-0000-0000-0000A7500000}"/>
    <cellStyle name="셀 확인 20" xfId="2646" xr:uid="{00000000-0005-0000-0000-0000A8500000}"/>
    <cellStyle name="셀 확인 20 10" xfId="21156" xr:uid="{00000000-0005-0000-0000-0000A9500000}"/>
    <cellStyle name="셀 확인 20 11" xfId="21157" xr:uid="{00000000-0005-0000-0000-0000AA500000}"/>
    <cellStyle name="셀 확인 20 12" xfId="21158" xr:uid="{00000000-0005-0000-0000-0000AB500000}"/>
    <cellStyle name="셀 확인 20 13" xfId="21159" xr:uid="{00000000-0005-0000-0000-0000AC500000}"/>
    <cellStyle name="셀 확인 20 14" xfId="21160" xr:uid="{00000000-0005-0000-0000-0000AD500000}"/>
    <cellStyle name="셀 확인 20 15" xfId="21155" xr:uid="{00000000-0005-0000-0000-0000AE500000}"/>
    <cellStyle name="셀 확인 20 2" xfId="2647" xr:uid="{00000000-0005-0000-0000-0000AF500000}"/>
    <cellStyle name="셀 확인 20 2 2" xfId="21161" xr:uid="{00000000-0005-0000-0000-0000B0500000}"/>
    <cellStyle name="셀 확인 20 3" xfId="21162" xr:uid="{00000000-0005-0000-0000-0000B1500000}"/>
    <cellStyle name="셀 확인 20 4" xfId="21163" xr:uid="{00000000-0005-0000-0000-0000B2500000}"/>
    <cellStyle name="셀 확인 20 5" xfId="21164" xr:uid="{00000000-0005-0000-0000-0000B3500000}"/>
    <cellStyle name="셀 확인 20 6" xfId="21165" xr:uid="{00000000-0005-0000-0000-0000B4500000}"/>
    <cellStyle name="셀 확인 20 7" xfId="21166" xr:uid="{00000000-0005-0000-0000-0000B5500000}"/>
    <cellStyle name="셀 확인 20 8" xfId="21167" xr:uid="{00000000-0005-0000-0000-0000B6500000}"/>
    <cellStyle name="셀 확인 20 9" xfId="21168" xr:uid="{00000000-0005-0000-0000-0000B7500000}"/>
    <cellStyle name="셀 확인 21" xfId="2648" xr:uid="{00000000-0005-0000-0000-0000B8500000}"/>
    <cellStyle name="셀 확인 21 10" xfId="21170" xr:uid="{00000000-0005-0000-0000-0000B9500000}"/>
    <cellStyle name="셀 확인 21 11" xfId="21171" xr:uid="{00000000-0005-0000-0000-0000BA500000}"/>
    <cellStyle name="셀 확인 21 12" xfId="21172" xr:uid="{00000000-0005-0000-0000-0000BB500000}"/>
    <cellStyle name="셀 확인 21 13" xfId="21173" xr:uid="{00000000-0005-0000-0000-0000BC500000}"/>
    <cellStyle name="셀 확인 21 14" xfId="21174" xr:uid="{00000000-0005-0000-0000-0000BD500000}"/>
    <cellStyle name="셀 확인 21 15" xfId="21169" xr:uid="{00000000-0005-0000-0000-0000BE500000}"/>
    <cellStyle name="셀 확인 21 2" xfId="2649" xr:uid="{00000000-0005-0000-0000-0000BF500000}"/>
    <cellStyle name="셀 확인 21 2 2" xfId="21175" xr:uid="{00000000-0005-0000-0000-0000C0500000}"/>
    <cellStyle name="셀 확인 21 3" xfId="21176" xr:uid="{00000000-0005-0000-0000-0000C1500000}"/>
    <cellStyle name="셀 확인 21 4" xfId="21177" xr:uid="{00000000-0005-0000-0000-0000C2500000}"/>
    <cellStyle name="셀 확인 21 5" xfId="21178" xr:uid="{00000000-0005-0000-0000-0000C3500000}"/>
    <cellStyle name="셀 확인 21 6" xfId="21179" xr:uid="{00000000-0005-0000-0000-0000C4500000}"/>
    <cellStyle name="셀 확인 21 7" xfId="21180" xr:uid="{00000000-0005-0000-0000-0000C5500000}"/>
    <cellStyle name="셀 확인 21 8" xfId="21181" xr:uid="{00000000-0005-0000-0000-0000C6500000}"/>
    <cellStyle name="셀 확인 21 9" xfId="21182" xr:uid="{00000000-0005-0000-0000-0000C7500000}"/>
    <cellStyle name="셀 확인 22" xfId="2650" xr:uid="{00000000-0005-0000-0000-0000C8500000}"/>
    <cellStyle name="셀 확인 22 10" xfId="21184" xr:uid="{00000000-0005-0000-0000-0000C9500000}"/>
    <cellStyle name="셀 확인 22 11" xfId="21185" xr:uid="{00000000-0005-0000-0000-0000CA500000}"/>
    <cellStyle name="셀 확인 22 12" xfId="21186" xr:uid="{00000000-0005-0000-0000-0000CB500000}"/>
    <cellStyle name="셀 확인 22 13" xfId="21187" xr:uid="{00000000-0005-0000-0000-0000CC500000}"/>
    <cellStyle name="셀 확인 22 14" xfId="21188" xr:uid="{00000000-0005-0000-0000-0000CD500000}"/>
    <cellStyle name="셀 확인 22 15" xfId="21183" xr:uid="{00000000-0005-0000-0000-0000CE500000}"/>
    <cellStyle name="셀 확인 22 2" xfId="2651" xr:uid="{00000000-0005-0000-0000-0000CF500000}"/>
    <cellStyle name="셀 확인 22 2 2" xfId="21189" xr:uid="{00000000-0005-0000-0000-0000D0500000}"/>
    <cellStyle name="셀 확인 22 3" xfId="21190" xr:uid="{00000000-0005-0000-0000-0000D1500000}"/>
    <cellStyle name="셀 확인 22 4" xfId="21191" xr:uid="{00000000-0005-0000-0000-0000D2500000}"/>
    <cellStyle name="셀 확인 22 5" xfId="21192" xr:uid="{00000000-0005-0000-0000-0000D3500000}"/>
    <cellStyle name="셀 확인 22 6" xfId="21193" xr:uid="{00000000-0005-0000-0000-0000D4500000}"/>
    <cellStyle name="셀 확인 22 7" xfId="21194" xr:uid="{00000000-0005-0000-0000-0000D5500000}"/>
    <cellStyle name="셀 확인 22 8" xfId="21195" xr:uid="{00000000-0005-0000-0000-0000D6500000}"/>
    <cellStyle name="셀 확인 22 9" xfId="21196" xr:uid="{00000000-0005-0000-0000-0000D7500000}"/>
    <cellStyle name="셀 확인 23" xfId="2652" xr:uid="{00000000-0005-0000-0000-0000D8500000}"/>
    <cellStyle name="셀 확인 23 10" xfId="21198" xr:uid="{00000000-0005-0000-0000-0000D9500000}"/>
    <cellStyle name="셀 확인 23 11" xfId="21199" xr:uid="{00000000-0005-0000-0000-0000DA500000}"/>
    <cellStyle name="셀 확인 23 12" xfId="21200" xr:uid="{00000000-0005-0000-0000-0000DB500000}"/>
    <cellStyle name="셀 확인 23 13" xfId="21201" xr:uid="{00000000-0005-0000-0000-0000DC500000}"/>
    <cellStyle name="셀 확인 23 14" xfId="21202" xr:uid="{00000000-0005-0000-0000-0000DD500000}"/>
    <cellStyle name="셀 확인 23 15" xfId="21197" xr:uid="{00000000-0005-0000-0000-0000DE500000}"/>
    <cellStyle name="셀 확인 23 2" xfId="2653" xr:uid="{00000000-0005-0000-0000-0000DF500000}"/>
    <cellStyle name="셀 확인 23 2 2" xfId="21203" xr:uid="{00000000-0005-0000-0000-0000E0500000}"/>
    <cellStyle name="셀 확인 23 3" xfId="21204" xr:uid="{00000000-0005-0000-0000-0000E1500000}"/>
    <cellStyle name="셀 확인 23 4" xfId="21205" xr:uid="{00000000-0005-0000-0000-0000E2500000}"/>
    <cellStyle name="셀 확인 23 5" xfId="21206" xr:uid="{00000000-0005-0000-0000-0000E3500000}"/>
    <cellStyle name="셀 확인 23 6" xfId="21207" xr:uid="{00000000-0005-0000-0000-0000E4500000}"/>
    <cellStyle name="셀 확인 23 7" xfId="21208" xr:uid="{00000000-0005-0000-0000-0000E5500000}"/>
    <cellStyle name="셀 확인 23 8" xfId="21209" xr:uid="{00000000-0005-0000-0000-0000E6500000}"/>
    <cellStyle name="셀 확인 23 9" xfId="21210" xr:uid="{00000000-0005-0000-0000-0000E7500000}"/>
    <cellStyle name="셀 확인 24" xfId="2654" xr:uid="{00000000-0005-0000-0000-0000E8500000}"/>
    <cellStyle name="셀 확인 24 10" xfId="21212" xr:uid="{00000000-0005-0000-0000-0000E9500000}"/>
    <cellStyle name="셀 확인 24 11" xfId="21213" xr:uid="{00000000-0005-0000-0000-0000EA500000}"/>
    <cellStyle name="셀 확인 24 12" xfId="21214" xr:uid="{00000000-0005-0000-0000-0000EB500000}"/>
    <cellStyle name="셀 확인 24 13" xfId="21215" xr:uid="{00000000-0005-0000-0000-0000EC500000}"/>
    <cellStyle name="셀 확인 24 14" xfId="21216" xr:uid="{00000000-0005-0000-0000-0000ED500000}"/>
    <cellStyle name="셀 확인 24 15" xfId="21211" xr:uid="{00000000-0005-0000-0000-0000EE500000}"/>
    <cellStyle name="셀 확인 24 2" xfId="2655" xr:uid="{00000000-0005-0000-0000-0000EF500000}"/>
    <cellStyle name="셀 확인 24 2 2" xfId="21217" xr:uid="{00000000-0005-0000-0000-0000F0500000}"/>
    <cellStyle name="셀 확인 24 3" xfId="21218" xr:uid="{00000000-0005-0000-0000-0000F1500000}"/>
    <cellStyle name="셀 확인 24 4" xfId="21219" xr:uid="{00000000-0005-0000-0000-0000F2500000}"/>
    <cellStyle name="셀 확인 24 5" xfId="21220" xr:uid="{00000000-0005-0000-0000-0000F3500000}"/>
    <cellStyle name="셀 확인 24 6" xfId="21221" xr:uid="{00000000-0005-0000-0000-0000F4500000}"/>
    <cellStyle name="셀 확인 24 7" xfId="21222" xr:uid="{00000000-0005-0000-0000-0000F5500000}"/>
    <cellStyle name="셀 확인 24 8" xfId="21223" xr:uid="{00000000-0005-0000-0000-0000F6500000}"/>
    <cellStyle name="셀 확인 24 9" xfId="21224" xr:uid="{00000000-0005-0000-0000-0000F7500000}"/>
    <cellStyle name="셀 확인 25" xfId="2656" xr:uid="{00000000-0005-0000-0000-0000F8500000}"/>
    <cellStyle name="셀 확인 25 10" xfId="21226" xr:uid="{00000000-0005-0000-0000-0000F9500000}"/>
    <cellStyle name="셀 확인 25 11" xfId="21227" xr:uid="{00000000-0005-0000-0000-0000FA500000}"/>
    <cellStyle name="셀 확인 25 12" xfId="21228" xr:uid="{00000000-0005-0000-0000-0000FB500000}"/>
    <cellStyle name="셀 확인 25 13" xfId="21229" xr:uid="{00000000-0005-0000-0000-0000FC500000}"/>
    <cellStyle name="셀 확인 25 14" xfId="21230" xr:uid="{00000000-0005-0000-0000-0000FD500000}"/>
    <cellStyle name="셀 확인 25 15" xfId="21225" xr:uid="{00000000-0005-0000-0000-0000FE500000}"/>
    <cellStyle name="셀 확인 25 2" xfId="2657" xr:uid="{00000000-0005-0000-0000-0000FF500000}"/>
    <cellStyle name="셀 확인 25 2 2" xfId="21231" xr:uid="{00000000-0005-0000-0000-000000510000}"/>
    <cellStyle name="셀 확인 25 3" xfId="21232" xr:uid="{00000000-0005-0000-0000-000001510000}"/>
    <cellStyle name="셀 확인 25 4" xfId="21233" xr:uid="{00000000-0005-0000-0000-000002510000}"/>
    <cellStyle name="셀 확인 25 5" xfId="21234" xr:uid="{00000000-0005-0000-0000-000003510000}"/>
    <cellStyle name="셀 확인 25 6" xfId="21235" xr:uid="{00000000-0005-0000-0000-000004510000}"/>
    <cellStyle name="셀 확인 25 7" xfId="21236" xr:uid="{00000000-0005-0000-0000-000005510000}"/>
    <cellStyle name="셀 확인 25 8" xfId="21237" xr:uid="{00000000-0005-0000-0000-000006510000}"/>
    <cellStyle name="셀 확인 25 9" xfId="21238" xr:uid="{00000000-0005-0000-0000-000007510000}"/>
    <cellStyle name="셀 확인 26" xfId="2658" xr:uid="{00000000-0005-0000-0000-000008510000}"/>
    <cellStyle name="셀 확인 26 10" xfId="21240" xr:uid="{00000000-0005-0000-0000-000009510000}"/>
    <cellStyle name="셀 확인 26 11" xfId="21241" xr:uid="{00000000-0005-0000-0000-00000A510000}"/>
    <cellStyle name="셀 확인 26 12" xfId="21242" xr:uid="{00000000-0005-0000-0000-00000B510000}"/>
    <cellStyle name="셀 확인 26 13" xfId="21243" xr:uid="{00000000-0005-0000-0000-00000C510000}"/>
    <cellStyle name="셀 확인 26 14" xfId="21244" xr:uid="{00000000-0005-0000-0000-00000D510000}"/>
    <cellStyle name="셀 확인 26 15" xfId="21239" xr:uid="{00000000-0005-0000-0000-00000E510000}"/>
    <cellStyle name="셀 확인 26 2" xfId="2659" xr:uid="{00000000-0005-0000-0000-00000F510000}"/>
    <cellStyle name="셀 확인 26 2 2" xfId="21245" xr:uid="{00000000-0005-0000-0000-000010510000}"/>
    <cellStyle name="셀 확인 26 3" xfId="21246" xr:uid="{00000000-0005-0000-0000-000011510000}"/>
    <cellStyle name="셀 확인 26 4" xfId="21247" xr:uid="{00000000-0005-0000-0000-000012510000}"/>
    <cellStyle name="셀 확인 26 5" xfId="21248" xr:uid="{00000000-0005-0000-0000-000013510000}"/>
    <cellStyle name="셀 확인 26 6" xfId="21249" xr:uid="{00000000-0005-0000-0000-000014510000}"/>
    <cellStyle name="셀 확인 26 7" xfId="21250" xr:uid="{00000000-0005-0000-0000-000015510000}"/>
    <cellStyle name="셀 확인 26 8" xfId="21251" xr:uid="{00000000-0005-0000-0000-000016510000}"/>
    <cellStyle name="셀 확인 26 9" xfId="21252" xr:uid="{00000000-0005-0000-0000-000017510000}"/>
    <cellStyle name="셀 확인 27" xfId="2660" xr:uid="{00000000-0005-0000-0000-000018510000}"/>
    <cellStyle name="셀 확인 27 10" xfId="21254" xr:uid="{00000000-0005-0000-0000-000019510000}"/>
    <cellStyle name="셀 확인 27 11" xfId="21255" xr:uid="{00000000-0005-0000-0000-00001A510000}"/>
    <cellStyle name="셀 확인 27 12" xfId="21256" xr:uid="{00000000-0005-0000-0000-00001B510000}"/>
    <cellStyle name="셀 확인 27 13" xfId="21257" xr:uid="{00000000-0005-0000-0000-00001C510000}"/>
    <cellStyle name="셀 확인 27 14" xfId="21258" xr:uid="{00000000-0005-0000-0000-00001D510000}"/>
    <cellStyle name="셀 확인 27 15" xfId="21253" xr:uid="{00000000-0005-0000-0000-00001E510000}"/>
    <cellStyle name="셀 확인 27 2" xfId="2661" xr:uid="{00000000-0005-0000-0000-00001F510000}"/>
    <cellStyle name="셀 확인 27 2 2" xfId="21259" xr:uid="{00000000-0005-0000-0000-000020510000}"/>
    <cellStyle name="셀 확인 27 3" xfId="21260" xr:uid="{00000000-0005-0000-0000-000021510000}"/>
    <cellStyle name="셀 확인 27 4" xfId="21261" xr:uid="{00000000-0005-0000-0000-000022510000}"/>
    <cellStyle name="셀 확인 27 5" xfId="21262" xr:uid="{00000000-0005-0000-0000-000023510000}"/>
    <cellStyle name="셀 확인 27 6" xfId="21263" xr:uid="{00000000-0005-0000-0000-000024510000}"/>
    <cellStyle name="셀 확인 27 7" xfId="21264" xr:uid="{00000000-0005-0000-0000-000025510000}"/>
    <cellStyle name="셀 확인 27 8" xfId="21265" xr:uid="{00000000-0005-0000-0000-000026510000}"/>
    <cellStyle name="셀 확인 27 9" xfId="21266" xr:uid="{00000000-0005-0000-0000-000027510000}"/>
    <cellStyle name="셀 확인 28" xfId="2662" xr:uid="{00000000-0005-0000-0000-000028510000}"/>
    <cellStyle name="셀 확인 28 10" xfId="21268" xr:uid="{00000000-0005-0000-0000-000029510000}"/>
    <cellStyle name="셀 확인 28 11" xfId="21269" xr:uid="{00000000-0005-0000-0000-00002A510000}"/>
    <cellStyle name="셀 확인 28 12" xfId="21270" xr:uid="{00000000-0005-0000-0000-00002B510000}"/>
    <cellStyle name="셀 확인 28 13" xfId="21271" xr:uid="{00000000-0005-0000-0000-00002C510000}"/>
    <cellStyle name="셀 확인 28 14" xfId="21272" xr:uid="{00000000-0005-0000-0000-00002D510000}"/>
    <cellStyle name="셀 확인 28 15" xfId="21267" xr:uid="{00000000-0005-0000-0000-00002E510000}"/>
    <cellStyle name="셀 확인 28 2" xfId="2663" xr:uid="{00000000-0005-0000-0000-00002F510000}"/>
    <cellStyle name="셀 확인 28 2 2" xfId="21273" xr:uid="{00000000-0005-0000-0000-000030510000}"/>
    <cellStyle name="셀 확인 28 3" xfId="21274" xr:uid="{00000000-0005-0000-0000-000031510000}"/>
    <cellStyle name="셀 확인 28 4" xfId="21275" xr:uid="{00000000-0005-0000-0000-000032510000}"/>
    <cellStyle name="셀 확인 28 5" xfId="21276" xr:uid="{00000000-0005-0000-0000-000033510000}"/>
    <cellStyle name="셀 확인 28 6" xfId="21277" xr:uid="{00000000-0005-0000-0000-000034510000}"/>
    <cellStyle name="셀 확인 28 7" xfId="21278" xr:uid="{00000000-0005-0000-0000-000035510000}"/>
    <cellStyle name="셀 확인 28 8" xfId="21279" xr:uid="{00000000-0005-0000-0000-000036510000}"/>
    <cellStyle name="셀 확인 28 9" xfId="21280" xr:uid="{00000000-0005-0000-0000-000037510000}"/>
    <cellStyle name="셀 확인 29" xfId="2664" xr:uid="{00000000-0005-0000-0000-000038510000}"/>
    <cellStyle name="셀 확인 29 10" xfId="21282" xr:uid="{00000000-0005-0000-0000-000039510000}"/>
    <cellStyle name="셀 확인 29 11" xfId="21283" xr:uid="{00000000-0005-0000-0000-00003A510000}"/>
    <cellStyle name="셀 확인 29 12" xfId="21284" xr:uid="{00000000-0005-0000-0000-00003B510000}"/>
    <cellStyle name="셀 확인 29 13" xfId="21285" xr:uid="{00000000-0005-0000-0000-00003C510000}"/>
    <cellStyle name="셀 확인 29 14" xfId="21286" xr:uid="{00000000-0005-0000-0000-00003D510000}"/>
    <cellStyle name="셀 확인 29 15" xfId="21281" xr:uid="{00000000-0005-0000-0000-00003E510000}"/>
    <cellStyle name="셀 확인 29 2" xfId="2665" xr:uid="{00000000-0005-0000-0000-00003F510000}"/>
    <cellStyle name="셀 확인 29 2 2" xfId="21287" xr:uid="{00000000-0005-0000-0000-000040510000}"/>
    <cellStyle name="셀 확인 29 3" xfId="21288" xr:uid="{00000000-0005-0000-0000-000041510000}"/>
    <cellStyle name="셀 확인 29 4" xfId="21289" xr:uid="{00000000-0005-0000-0000-000042510000}"/>
    <cellStyle name="셀 확인 29 5" xfId="21290" xr:uid="{00000000-0005-0000-0000-000043510000}"/>
    <cellStyle name="셀 확인 29 6" xfId="21291" xr:uid="{00000000-0005-0000-0000-000044510000}"/>
    <cellStyle name="셀 확인 29 7" xfId="21292" xr:uid="{00000000-0005-0000-0000-000045510000}"/>
    <cellStyle name="셀 확인 29 8" xfId="21293" xr:uid="{00000000-0005-0000-0000-000046510000}"/>
    <cellStyle name="셀 확인 29 9" xfId="21294" xr:uid="{00000000-0005-0000-0000-000047510000}"/>
    <cellStyle name="셀 확인 3" xfId="2666" xr:uid="{00000000-0005-0000-0000-000048510000}"/>
    <cellStyle name="셀 확인 3 10" xfId="21296" xr:uid="{00000000-0005-0000-0000-000049510000}"/>
    <cellStyle name="셀 확인 3 11" xfId="21297" xr:uid="{00000000-0005-0000-0000-00004A510000}"/>
    <cellStyle name="셀 확인 3 12" xfId="21298" xr:uid="{00000000-0005-0000-0000-00004B510000}"/>
    <cellStyle name="셀 확인 3 13" xfId="21299" xr:uid="{00000000-0005-0000-0000-00004C510000}"/>
    <cellStyle name="셀 확인 3 14" xfId="21300" xr:uid="{00000000-0005-0000-0000-00004D510000}"/>
    <cellStyle name="셀 확인 3 15" xfId="21295" xr:uid="{00000000-0005-0000-0000-00004E510000}"/>
    <cellStyle name="셀 확인 3 16" xfId="28219" xr:uid="{00000000-0005-0000-0000-00004F510000}"/>
    <cellStyle name="셀 확인 3 2" xfId="2667" xr:uid="{00000000-0005-0000-0000-000050510000}"/>
    <cellStyle name="셀 확인 3 2 2" xfId="21301" xr:uid="{00000000-0005-0000-0000-000051510000}"/>
    <cellStyle name="셀 확인 3 3" xfId="21302" xr:uid="{00000000-0005-0000-0000-000052510000}"/>
    <cellStyle name="셀 확인 3 4" xfId="21303" xr:uid="{00000000-0005-0000-0000-000053510000}"/>
    <cellStyle name="셀 확인 3 5" xfId="21304" xr:uid="{00000000-0005-0000-0000-000054510000}"/>
    <cellStyle name="셀 확인 3 6" xfId="21305" xr:uid="{00000000-0005-0000-0000-000055510000}"/>
    <cellStyle name="셀 확인 3 7" xfId="21306" xr:uid="{00000000-0005-0000-0000-000056510000}"/>
    <cellStyle name="셀 확인 3 8" xfId="21307" xr:uid="{00000000-0005-0000-0000-000057510000}"/>
    <cellStyle name="셀 확인 3 9" xfId="21308" xr:uid="{00000000-0005-0000-0000-000058510000}"/>
    <cellStyle name="셀 확인 30" xfId="2668" xr:uid="{00000000-0005-0000-0000-000059510000}"/>
    <cellStyle name="셀 확인 30 10" xfId="21310" xr:uid="{00000000-0005-0000-0000-00005A510000}"/>
    <cellStyle name="셀 확인 30 11" xfId="21311" xr:uid="{00000000-0005-0000-0000-00005B510000}"/>
    <cellStyle name="셀 확인 30 12" xfId="21312" xr:uid="{00000000-0005-0000-0000-00005C510000}"/>
    <cellStyle name="셀 확인 30 13" xfId="21313" xr:uid="{00000000-0005-0000-0000-00005D510000}"/>
    <cellStyle name="셀 확인 30 14" xfId="21314" xr:uid="{00000000-0005-0000-0000-00005E510000}"/>
    <cellStyle name="셀 확인 30 15" xfId="21309" xr:uid="{00000000-0005-0000-0000-00005F510000}"/>
    <cellStyle name="셀 확인 30 2" xfId="2669" xr:uid="{00000000-0005-0000-0000-000060510000}"/>
    <cellStyle name="셀 확인 30 2 2" xfId="21315" xr:uid="{00000000-0005-0000-0000-000061510000}"/>
    <cellStyle name="셀 확인 30 3" xfId="21316" xr:uid="{00000000-0005-0000-0000-000062510000}"/>
    <cellStyle name="셀 확인 30 4" xfId="21317" xr:uid="{00000000-0005-0000-0000-000063510000}"/>
    <cellStyle name="셀 확인 30 5" xfId="21318" xr:uid="{00000000-0005-0000-0000-000064510000}"/>
    <cellStyle name="셀 확인 30 6" xfId="21319" xr:uid="{00000000-0005-0000-0000-000065510000}"/>
    <cellStyle name="셀 확인 30 7" xfId="21320" xr:uid="{00000000-0005-0000-0000-000066510000}"/>
    <cellStyle name="셀 확인 30 8" xfId="21321" xr:uid="{00000000-0005-0000-0000-000067510000}"/>
    <cellStyle name="셀 확인 30 9" xfId="21322" xr:uid="{00000000-0005-0000-0000-000068510000}"/>
    <cellStyle name="셀 확인 31" xfId="2670" xr:uid="{00000000-0005-0000-0000-000069510000}"/>
    <cellStyle name="셀 확인 31 10" xfId="21324" xr:uid="{00000000-0005-0000-0000-00006A510000}"/>
    <cellStyle name="셀 확인 31 11" xfId="21325" xr:uid="{00000000-0005-0000-0000-00006B510000}"/>
    <cellStyle name="셀 확인 31 12" xfId="21326" xr:uid="{00000000-0005-0000-0000-00006C510000}"/>
    <cellStyle name="셀 확인 31 13" xfId="21327" xr:uid="{00000000-0005-0000-0000-00006D510000}"/>
    <cellStyle name="셀 확인 31 14" xfId="21328" xr:uid="{00000000-0005-0000-0000-00006E510000}"/>
    <cellStyle name="셀 확인 31 15" xfId="21323" xr:uid="{00000000-0005-0000-0000-00006F510000}"/>
    <cellStyle name="셀 확인 31 2" xfId="2671" xr:uid="{00000000-0005-0000-0000-000070510000}"/>
    <cellStyle name="셀 확인 31 2 2" xfId="21329" xr:uid="{00000000-0005-0000-0000-000071510000}"/>
    <cellStyle name="셀 확인 31 3" xfId="21330" xr:uid="{00000000-0005-0000-0000-000072510000}"/>
    <cellStyle name="셀 확인 31 4" xfId="21331" xr:uid="{00000000-0005-0000-0000-000073510000}"/>
    <cellStyle name="셀 확인 31 5" xfId="21332" xr:uid="{00000000-0005-0000-0000-000074510000}"/>
    <cellStyle name="셀 확인 31 6" xfId="21333" xr:uid="{00000000-0005-0000-0000-000075510000}"/>
    <cellStyle name="셀 확인 31 7" xfId="21334" xr:uid="{00000000-0005-0000-0000-000076510000}"/>
    <cellStyle name="셀 확인 31 8" xfId="21335" xr:uid="{00000000-0005-0000-0000-000077510000}"/>
    <cellStyle name="셀 확인 31 9" xfId="21336" xr:uid="{00000000-0005-0000-0000-000078510000}"/>
    <cellStyle name="셀 확인 32" xfId="2672" xr:uid="{00000000-0005-0000-0000-000079510000}"/>
    <cellStyle name="셀 확인 32 10" xfId="21338" xr:uid="{00000000-0005-0000-0000-00007A510000}"/>
    <cellStyle name="셀 확인 32 11" xfId="21339" xr:uid="{00000000-0005-0000-0000-00007B510000}"/>
    <cellStyle name="셀 확인 32 12" xfId="21340" xr:uid="{00000000-0005-0000-0000-00007C510000}"/>
    <cellStyle name="셀 확인 32 13" xfId="21341" xr:uid="{00000000-0005-0000-0000-00007D510000}"/>
    <cellStyle name="셀 확인 32 14" xfId="21342" xr:uid="{00000000-0005-0000-0000-00007E510000}"/>
    <cellStyle name="셀 확인 32 15" xfId="21337" xr:uid="{00000000-0005-0000-0000-00007F510000}"/>
    <cellStyle name="셀 확인 32 2" xfId="2673" xr:uid="{00000000-0005-0000-0000-000080510000}"/>
    <cellStyle name="셀 확인 32 2 2" xfId="21343" xr:uid="{00000000-0005-0000-0000-000081510000}"/>
    <cellStyle name="셀 확인 32 3" xfId="21344" xr:uid="{00000000-0005-0000-0000-000082510000}"/>
    <cellStyle name="셀 확인 32 4" xfId="21345" xr:uid="{00000000-0005-0000-0000-000083510000}"/>
    <cellStyle name="셀 확인 32 5" xfId="21346" xr:uid="{00000000-0005-0000-0000-000084510000}"/>
    <cellStyle name="셀 확인 32 6" xfId="21347" xr:uid="{00000000-0005-0000-0000-000085510000}"/>
    <cellStyle name="셀 확인 32 7" xfId="21348" xr:uid="{00000000-0005-0000-0000-000086510000}"/>
    <cellStyle name="셀 확인 32 8" xfId="21349" xr:uid="{00000000-0005-0000-0000-000087510000}"/>
    <cellStyle name="셀 확인 32 9" xfId="21350" xr:uid="{00000000-0005-0000-0000-000088510000}"/>
    <cellStyle name="셀 확인 33" xfId="2674" xr:uid="{00000000-0005-0000-0000-000089510000}"/>
    <cellStyle name="셀 확인 33 10" xfId="21352" xr:uid="{00000000-0005-0000-0000-00008A510000}"/>
    <cellStyle name="셀 확인 33 11" xfId="21353" xr:uid="{00000000-0005-0000-0000-00008B510000}"/>
    <cellStyle name="셀 확인 33 12" xfId="21354" xr:uid="{00000000-0005-0000-0000-00008C510000}"/>
    <cellStyle name="셀 확인 33 13" xfId="21355" xr:uid="{00000000-0005-0000-0000-00008D510000}"/>
    <cellStyle name="셀 확인 33 14" xfId="21356" xr:uid="{00000000-0005-0000-0000-00008E510000}"/>
    <cellStyle name="셀 확인 33 15" xfId="21351" xr:uid="{00000000-0005-0000-0000-00008F510000}"/>
    <cellStyle name="셀 확인 33 2" xfId="2675" xr:uid="{00000000-0005-0000-0000-000090510000}"/>
    <cellStyle name="셀 확인 33 2 2" xfId="21357" xr:uid="{00000000-0005-0000-0000-000091510000}"/>
    <cellStyle name="셀 확인 33 3" xfId="21358" xr:uid="{00000000-0005-0000-0000-000092510000}"/>
    <cellStyle name="셀 확인 33 4" xfId="21359" xr:uid="{00000000-0005-0000-0000-000093510000}"/>
    <cellStyle name="셀 확인 33 5" xfId="21360" xr:uid="{00000000-0005-0000-0000-000094510000}"/>
    <cellStyle name="셀 확인 33 6" xfId="21361" xr:uid="{00000000-0005-0000-0000-000095510000}"/>
    <cellStyle name="셀 확인 33 7" xfId="21362" xr:uid="{00000000-0005-0000-0000-000096510000}"/>
    <cellStyle name="셀 확인 33 8" xfId="21363" xr:uid="{00000000-0005-0000-0000-000097510000}"/>
    <cellStyle name="셀 확인 33 9" xfId="21364" xr:uid="{00000000-0005-0000-0000-000098510000}"/>
    <cellStyle name="셀 확인 34" xfId="2676" xr:uid="{00000000-0005-0000-0000-000099510000}"/>
    <cellStyle name="셀 확인 34 10" xfId="21366" xr:uid="{00000000-0005-0000-0000-00009A510000}"/>
    <cellStyle name="셀 확인 34 11" xfId="21367" xr:uid="{00000000-0005-0000-0000-00009B510000}"/>
    <cellStyle name="셀 확인 34 12" xfId="21368" xr:uid="{00000000-0005-0000-0000-00009C510000}"/>
    <cellStyle name="셀 확인 34 13" xfId="21369" xr:uid="{00000000-0005-0000-0000-00009D510000}"/>
    <cellStyle name="셀 확인 34 14" xfId="21370" xr:uid="{00000000-0005-0000-0000-00009E510000}"/>
    <cellStyle name="셀 확인 34 15" xfId="21365" xr:uid="{00000000-0005-0000-0000-00009F510000}"/>
    <cellStyle name="셀 확인 34 2" xfId="2677" xr:uid="{00000000-0005-0000-0000-0000A0510000}"/>
    <cellStyle name="셀 확인 34 2 2" xfId="21371" xr:uid="{00000000-0005-0000-0000-0000A1510000}"/>
    <cellStyle name="셀 확인 34 3" xfId="21372" xr:uid="{00000000-0005-0000-0000-0000A2510000}"/>
    <cellStyle name="셀 확인 34 4" xfId="21373" xr:uid="{00000000-0005-0000-0000-0000A3510000}"/>
    <cellStyle name="셀 확인 34 5" xfId="21374" xr:uid="{00000000-0005-0000-0000-0000A4510000}"/>
    <cellStyle name="셀 확인 34 6" xfId="21375" xr:uid="{00000000-0005-0000-0000-0000A5510000}"/>
    <cellStyle name="셀 확인 34 7" xfId="21376" xr:uid="{00000000-0005-0000-0000-0000A6510000}"/>
    <cellStyle name="셀 확인 34 8" xfId="21377" xr:uid="{00000000-0005-0000-0000-0000A7510000}"/>
    <cellStyle name="셀 확인 34 9" xfId="21378" xr:uid="{00000000-0005-0000-0000-0000A8510000}"/>
    <cellStyle name="셀 확인 35" xfId="2678" xr:uid="{00000000-0005-0000-0000-0000A9510000}"/>
    <cellStyle name="셀 확인 35 10" xfId="21380" xr:uid="{00000000-0005-0000-0000-0000AA510000}"/>
    <cellStyle name="셀 확인 35 11" xfId="21381" xr:uid="{00000000-0005-0000-0000-0000AB510000}"/>
    <cellStyle name="셀 확인 35 12" xfId="21382" xr:uid="{00000000-0005-0000-0000-0000AC510000}"/>
    <cellStyle name="셀 확인 35 13" xfId="21383" xr:uid="{00000000-0005-0000-0000-0000AD510000}"/>
    <cellStyle name="셀 확인 35 14" xfId="21384" xr:uid="{00000000-0005-0000-0000-0000AE510000}"/>
    <cellStyle name="셀 확인 35 15" xfId="21379" xr:uid="{00000000-0005-0000-0000-0000AF510000}"/>
    <cellStyle name="셀 확인 35 2" xfId="2679" xr:uid="{00000000-0005-0000-0000-0000B0510000}"/>
    <cellStyle name="셀 확인 35 2 2" xfId="21385" xr:uid="{00000000-0005-0000-0000-0000B1510000}"/>
    <cellStyle name="셀 확인 35 3" xfId="21386" xr:uid="{00000000-0005-0000-0000-0000B2510000}"/>
    <cellStyle name="셀 확인 35 4" xfId="21387" xr:uid="{00000000-0005-0000-0000-0000B3510000}"/>
    <cellStyle name="셀 확인 35 5" xfId="21388" xr:uid="{00000000-0005-0000-0000-0000B4510000}"/>
    <cellStyle name="셀 확인 35 6" xfId="21389" xr:uid="{00000000-0005-0000-0000-0000B5510000}"/>
    <cellStyle name="셀 확인 35 7" xfId="21390" xr:uid="{00000000-0005-0000-0000-0000B6510000}"/>
    <cellStyle name="셀 확인 35 8" xfId="21391" xr:uid="{00000000-0005-0000-0000-0000B7510000}"/>
    <cellStyle name="셀 확인 35 9" xfId="21392" xr:uid="{00000000-0005-0000-0000-0000B8510000}"/>
    <cellStyle name="셀 확인 36" xfId="2680" xr:uid="{00000000-0005-0000-0000-0000B9510000}"/>
    <cellStyle name="셀 확인 36 10" xfId="21394" xr:uid="{00000000-0005-0000-0000-0000BA510000}"/>
    <cellStyle name="셀 확인 36 11" xfId="21395" xr:uid="{00000000-0005-0000-0000-0000BB510000}"/>
    <cellStyle name="셀 확인 36 12" xfId="21396" xr:uid="{00000000-0005-0000-0000-0000BC510000}"/>
    <cellStyle name="셀 확인 36 13" xfId="21397" xr:uid="{00000000-0005-0000-0000-0000BD510000}"/>
    <cellStyle name="셀 확인 36 14" xfId="21398" xr:uid="{00000000-0005-0000-0000-0000BE510000}"/>
    <cellStyle name="셀 확인 36 15" xfId="21393" xr:uid="{00000000-0005-0000-0000-0000BF510000}"/>
    <cellStyle name="셀 확인 36 2" xfId="2681" xr:uid="{00000000-0005-0000-0000-0000C0510000}"/>
    <cellStyle name="셀 확인 36 2 2" xfId="21399" xr:uid="{00000000-0005-0000-0000-0000C1510000}"/>
    <cellStyle name="셀 확인 36 3" xfId="21400" xr:uid="{00000000-0005-0000-0000-0000C2510000}"/>
    <cellStyle name="셀 확인 36 4" xfId="21401" xr:uid="{00000000-0005-0000-0000-0000C3510000}"/>
    <cellStyle name="셀 확인 36 5" xfId="21402" xr:uid="{00000000-0005-0000-0000-0000C4510000}"/>
    <cellStyle name="셀 확인 36 6" xfId="21403" xr:uid="{00000000-0005-0000-0000-0000C5510000}"/>
    <cellStyle name="셀 확인 36 7" xfId="21404" xr:uid="{00000000-0005-0000-0000-0000C6510000}"/>
    <cellStyle name="셀 확인 36 8" xfId="21405" xr:uid="{00000000-0005-0000-0000-0000C7510000}"/>
    <cellStyle name="셀 확인 36 9" xfId="21406" xr:uid="{00000000-0005-0000-0000-0000C8510000}"/>
    <cellStyle name="셀 확인 37" xfId="2682" xr:uid="{00000000-0005-0000-0000-0000C9510000}"/>
    <cellStyle name="셀 확인 37 10" xfId="21408" xr:uid="{00000000-0005-0000-0000-0000CA510000}"/>
    <cellStyle name="셀 확인 37 11" xfId="21409" xr:uid="{00000000-0005-0000-0000-0000CB510000}"/>
    <cellStyle name="셀 확인 37 12" xfId="21410" xr:uid="{00000000-0005-0000-0000-0000CC510000}"/>
    <cellStyle name="셀 확인 37 13" xfId="21411" xr:uid="{00000000-0005-0000-0000-0000CD510000}"/>
    <cellStyle name="셀 확인 37 14" xfId="21412" xr:uid="{00000000-0005-0000-0000-0000CE510000}"/>
    <cellStyle name="셀 확인 37 15" xfId="21407" xr:uid="{00000000-0005-0000-0000-0000CF510000}"/>
    <cellStyle name="셀 확인 37 2" xfId="2683" xr:uid="{00000000-0005-0000-0000-0000D0510000}"/>
    <cellStyle name="셀 확인 37 2 2" xfId="21413" xr:uid="{00000000-0005-0000-0000-0000D1510000}"/>
    <cellStyle name="셀 확인 37 3" xfId="21414" xr:uid="{00000000-0005-0000-0000-0000D2510000}"/>
    <cellStyle name="셀 확인 37 4" xfId="21415" xr:uid="{00000000-0005-0000-0000-0000D3510000}"/>
    <cellStyle name="셀 확인 37 5" xfId="21416" xr:uid="{00000000-0005-0000-0000-0000D4510000}"/>
    <cellStyle name="셀 확인 37 6" xfId="21417" xr:uid="{00000000-0005-0000-0000-0000D5510000}"/>
    <cellStyle name="셀 확인 37 7" xfId="21418" xr:uid="{00000000-0005-0000-0000-0000D6510000}"/>
    <cellStyle name="셀 확인 37 8" xfId="21419" xr:uid="{00000000-0005-0000-0000-0000D7510000}"/>
    <cellStyle name="셀 확인 37 9" xfId="21420" xr:uid="{00000000-0005-0000-0000-0000D8510000}"/>
    <cellStyle name="셀 확인 38" xfId="2684" xr:uid="{00000000-0005-0000-0000-0000D9510000}"/>
    <cellStyle name="셀 확인 38 10" xfId="21422" xr:uid="{00000000-0005-0000-0000-0000DA510000}"/>
    <cellStyle name="셀 확인 38 11" xfId="21423" xr:uid="{00000000-0005-0000-0000-0000DB510000}"/>
    <cellStyle name="셀 확인 38 12" xfId="21424" xr:uid="{00000000-0005-0000-0000-0000DC510000}"/>
    <cellStyle name="셀 확인 38 13" xfId="21425" xr:uid="{00000000-0005-0000-0000-0000DD510000}"/>
    <cellStyle name="셀 확인 38 14" xfId="21426" xr:uid="{00000000-0005-0000-0000-0000DE510000}"/>
    <cellStyle name="셀 확인 38 15" xfId="21421" xr:uid="{00000000-0005-0000-0000-0000DF510000}"/>
    <cellStyle name="셀 확인 38 2" xfId="2685" xr:uid="{00000000-0005-0000-0000-0000E0510000}"/>
    <cellStyle name="셀 확인 38 2 2" xfId="21427" xr:uid="{00000000-0005-0000-0000-0000E1510000}"/>
    <cellStyle name="셀 확인 38 3" xfId="21428" xr:uid="{00000000-0005-0000-0000-0000E2510000}"/>
    <cellStyle name="셀 확인 38 4" xfId="21429" xr:uid="{00000000-0005-0000-0000-0000E3510000}"/>
    <cellStyle name="셀 확인 38 5" xfId="21430" xr:uid="{00000000-0005-0000-0000-0000E4510000}"/>
    <cellStyle name="셀 확인 38 6" xfId="21431" xr:uid="{00000000-0005-0000-0000-0000E5510000}"/>
    <cellStyle name="셀 확인 38 7" xfId="21432" xr:uid="{00000000-0005-0000-0000-0000E6510000}"/>
    <cellStyle name="셀 확인 38 8" xfId="21433" xr:uid="{00000000-0005-0000-0000-0000E7510000}"/>
    <cellStyle name="셀 확인 38 9" xfId="21434" xr:uid="{00000000-0005-0000-0000-0000E8510000}"/>
    <cellStyle name="셀 확인 39" xfId="2686" xr:uid="{00000000-0005-0000-0000-0000E9510000}"/>
    <cellStyle name="셀 확인 39 10" xfId="21436" xr:uid="{00000000-0005-0000-0000-0000EA510000}"/>
    <cellStyle name="셀 확인 39 11" xfId="21437" xr:uid="{00000000-0005-0000-0000-0000EB510000}"/>
    <cellStyle name="셀 확인 39 12" xfId="21438" xr:uid="{00000000-0005-0000-0000-0000EC510000}"/>
    <cellStyle name="셀 확인 39 13" xfId="21439" xr:uid="{00000000-0005-0000-0000-0000ED510000}"/>
    <cellStyle name="셀 확인 39 14" xfId="21440" xr:uid="{00000000-0005-0000-0000-0000EE510000}"/>
    <cellStyle name="셀 확인 39 15" xfId="21435" xr:uid="{00000000-0005-0000-0000-0000EF510000}"/>
    <cellStyle name="셀 확인 39 2" xfId="2687" xr:uid="{00000000-0005-0000-0000-0000F0510000}"/>
    <cellStyle name="셀 확인 39 2 2" xfId="21441" xr:uid="{00000000-0005-0000-0000-0000F1510000}"/>
    <cellStyle name="셀 확인 39 3" xfId="21442" xr:uid="{00000000-0005-0000-0000-0000F2510000}"/>
    <cellStyle name="셀 확인 39 4" xfId="21443" xr:uid="{00000000-0005-0000-0000-0000F3510000}"/>
    <cellStyle name="셀 확인 39 5" xfId="21444" xr:uid="{00000000-0005-0000-0000-0000F4510000}"/>
    <cellStyle name="셀 확인 39 6" xfId="21445" xr:uid="{00000000-0005-0000-0000-0000F5510000}"/>
    <cellStyle name="셀 확인 39 7" xfId="21446" xr:uid="{00000000-0005-0000-0000-0000F6510000}"/>
    <cellStyle name="셀 확인 39 8" xfId="21447" xr:uid="{00000000-0005-0000-0000-0000F7510000}"/>
    <cellStyle name="셀 확인 39 9" xfId="21448" xr:uid="{00000000-0005-0000-0000-0000F8510000}"/>
    <cellStyle name="셀 확인 4" xfId="2688" xr:uid="{00000000-0005-0000-0000-0000F9510000}"/>
    <cellStyle name="셀 확인 4 10" xfId="21450" xr:uid="{00000000-0005-0000-0000-0000FA510000}"/>
    <cellStyle name="셀 확인 4 11" xfId="21451" xr:uid="{00000000-0005-0000-0000-0000FB510000}"/>
    <cellStyle name="셀 확인 4 12" xfId="21452" xr:uid="{00000000-0005-0000-0000-0000FC510000}"/>
    <cellStyle name="셀 확인 4 13" xfId="21453" xr:uid="{00000000-0005-0000-0000-0000FD510000}"/>
    <cellStyle name="셀 확인 4 14" xfId="21454" xr:uid="{00000000-0005-0000-0000-0000FE510000}"/>
    <cellStyle name="셀 확인 4 15" xfId="21449" xr:uid="{00000000-0005-0000-0000-0000FF510000}"/>
    <cellStyle name="셀 확인 4 16" xfId="27882" xr:uid="{00000000-0005-0000-0000-000000520000}"/>
    <cellStyle name="셀 확인 4 16 2" xfId="28258" xr:uid="{00000000-0005-0000-0000-000001520000}"/>
    <cellStyle name="셀 확인 4 16 3" xfId="28264" xr:uid="{00000000-0005-0000-0000-000002520000}"/>
    <cellStyle name="셀 확인 4 2" xfId="2689" xr:uid="{00000000-0005-0000-0000-000003520000}"/>
    <cellStyle name="셀 확인 4 2 2" xfId="21455" xr:uid="{00000000-0005-0000-0000-000004520000}"/>
    <cellStyle name="셀 확인 4 3" xfId="21456" xr:uid="{00000000-0005-0000-0000-000005520000}"/>
    <cellStyle name="셀 확인 4 4" xfId="21457" xr:uid="{00000000-0005-0000-0000-000006520000}"/>
    <cellStyle name="셀 확인 4 5" xfId="21458" xr:uid="{00000000-0005-0000-0000-000007520000}"/>
    <cellStyle name="셀 확인 4 6" xfId="21459" xr:uid="{00000000-0005-0000-0000-000008520000}"/>
    <cellStyle name="셀 확인 4 7" xfId="21460" xr:uid="{00000000-0005-0000-0000-000009520000}"/>
    <cellStyle name="셀 확인 4 8" xfId="21461" xr:uid="{00000000-0005-0000-0000-00000A520000}"/>
    <cellStyle name="셀 확인 4 9" xfId="21462" xr:uid="{00000000-0005-0000-0000-00000B520000}"/>
    <cellStyle name="셀 확인 40" xfId="2690" xr:uid="{00000000-0005-0000-0000-00000C520000}"/>
    <cellStyle name="셀 확인 40 10" xfId="21464" xr:uid="{00000000-0005-0000-0000-00000D520000}"/>
    <cellStyle name="셀 확인 40 11" xfId="21465" xr:uid="{00000000-0005-0000-0000-00000E520000}"/>
    <cellStyle name="셀 확인 40 12" xfId="21466" xr:uid="{00000000-0005-0000-0000-00000F520000}"/>
    <cellStyle name="셀 확인 40 13" xfId="21467" xr:uid="{00000000-0005-0000-0000-000010520000}"/>
    <cellStyle name="셀 확인 40 14" xfId="21468" xr:uid="{00000000-0005-0000-0000-000011520000}"/>
    <cellStyle name="셀 확인 40 15" xfId="21463" xr:uid="{00000000-0005-0000-0000-000012520000}"/>
    <cellStyle name="셀 확인 40 2" xfId="2691" xr:uid="{00000000-0005-0000-0000-000013520000}"/>
    <cellStyle name="셀 확인 40 2 2" xfId="21469" xr:uid="{00000000-0005-0000-0000-000014520000}"/>
    <cellStyle name="셀 확인 40 3" xfId="21470" xr:uid="{00000000-0005-0000-0000-000015520000}"/>
    <cellStyle name="셀 확인 40 4" xfId="21471" xr:uid="{00000000-0005-0000-0000-000016520000}"/>
    <cellStyle name="셀 확인 40 5" xfId="21472" xr:uid="{00000000-0005-0000-0000-000017520000}"/>
    <cellStyle name="셀 확인 40 6" xfId="21473" xr:uid="{00000000-0005-0000-0000-000018520000}"/>
    <cellStyle name="셀 확인 40 7" xfId="21474" xr:uid="{00000000-0005-0000-0000-000019520000}"/>
    <cellStyle name="셀 확인 40 8" xfId="21475" xr:uid="{00000000-0005-0000-0000-00001A520000}"/>
    <cellStyle name="셀 확인 40 9" xfId="21476" xr:uid="{00000000-0005-0000-0000-00001B520000}"/>
    <cellStyle name="셀 확인 41" xfId="2692" xr:uid="{00000000-0005-0000-0000-00001C520000}"/>
    <cellStyle name="셀 확인 41 10" xfId="21478" xr:uid="{00000000-0005-0000-0000-00001D520000}"/>
    <cellStyle name="셀 확인 41 11" xfId="21479" xr:uid="{00000000-0005-0000-0000-00001E520000}"/>
    <cellStyle name="셀 확인 41 12" xfId="21480" xr:uid="{00000000-0005-0000-0000-00001F520000}"/>
    <cellStyle name="셀 확인 41 13" xfId="21481" xr:uid="{00000000-0005-0000-0000-000020520000}"/>
    <cellStyle name="셀 확인 41 14" xfId="21482" xr:uid="{00000000-0005-0000-0000-000021520000}"/>
    <cellStyle name="셀 확인 41 15" xfId="21477" xr:uid="{00000000-0005-0000-0000-000022520000}"/>
    <cellStyle name="셀 확인 41 2" xfId="2693" xr:uid="{00000000-0005-0000-0000-000023520000}"/>
    <cellStyle name="셀 확인 41 2 2" xfId="21483" xr:uid="{00000000-0005-0000-0000-000024520000}"/>
    <cellStyle name="셀 확인 41 3" xfId="21484" xr:uid="{00000000-0005-0000-0000-000025520000}"/>
    <cellStyle name="셀 확인 41 4" xfId="21485" xr:uid="{00000000-0005-0000-0000-000026520000}"/>
    <cellStyle name="셀 확인 41 5" xfId="21486" xr:uid="{00000000-0005-0000-0000-000027520000}"/>
    <cellStyle name="셀 확인 41 6" xfId="21487" xr:uid="{00000000-0005-0000-0000-000028520000}"/>
    <cellStyle name="셀 확인 41 7" xfId="21488" xr:uid="{00000000-0005-0000-0000-000029520000}"/>
    <cellStyle name="셀 확인 41 8" xfId="21489" xr:uid="{00000000-0005-0000-0000-00002A520000}"/>
    <cellStyle name="셀 확인 41 9" xfId="21490" xr:uid="{00000000-0005-0000-0000-00002B520000}"/>
    <cellStyle name="셀 확인 42" xfId="2694" xr:uid="{00000000-0005-0000-0000-00002C520000}"/>
    <cellStyle name="셀 확인 42 10" xfId="21492" xr:uid="{00000000-0005-0000-0000-00002D520000}"/>
    <cellStyle name="셀 확인 42 11" xfId="21493" xr:uid="{00000000-0005-0000-0000-00002E520000}"/>
    <cellStyle name="셀 확인 42 12" xfId="21494" xr:uid="{00000000-0005-0000-0000-00002F520000}"/>
    <cellStyle name="셀 확인 42 13" xfId="21495" xr:uid="{00000000-0005-0000-0000-000030520000}"/>
    <cellStyle name="셀 확인 42 14" xfId="21496" xr:uid="{00000000-0005-0000-0000-000031520000}"/>
    <cellStyle name="셀 확인 42 15" xfId="21491" xr:uid="{00000000-0005-0000-0000-000032520000}"/>
    <cellStyle name="셀 확인 42 2" xfId="2695" xr:uid="{00000000-0005-0000-0000-000033520000}"/>
    <cellStyle name="셀 확인 42 2 2" xfId="21497" xr:uid="{00000000-0005-0000-0000-000034520000}"/>
    <cellStyle name="셀 확인 42 3" xfId="21498" xr:uid="{00000000-0005-0000-0000-000035520000}"/>
    <cellStyle name="셀 확인 42 4" xfId="21499" xr:uid="{00000000-0005-0000-0000-000036520000}"/>
    <cellStyle name="셀 확인 42 5" xfId="21500" xr:uid="{00000000-0005-0000-0000-000037520000}"/>
    <cellStyle name="셀 확인 42 6" xfId="21501" xr:uid="{00000000-0005-0000-0000-000038520000}"/>
    <cellStyle name="셀 확인 42 7" xfId="21502" xr:uid="{00000000-0005-0000-0000-000039520000}"/>
    <cellStyle name="셀 확인 42 8" xfId="21503" xr:uid="{00000000-0005-0000-0000-00003A520000}"/>
    <cellStyle name="셀 확인 42 9" xfId="21504" xr:uid="{00000000-0005-0000-0000-00003B520000}"/>
    <cellStyle name="셀 확인 43" xfId="2696" xr:uid="{00000000-0005-0000-0000-00003C520000}"/>
    <cellStyle name="셀 확인 43 10" xfId="21506" xr:uid="{00000000-0005-0000-0000-00003D520000}"/>
    <cellStyle name="셀 확인 43 11" xfId="21507" xr:uid="{00000000-0005-0000-0000-00003E520000}"/>
    <cellStyle name="셀 확인 43 12" xfId="21508" xr:uid="{00000000-0005-0000-0000-00003F520000}"/>
    <cellStyle name="셀 확인 43 13" xfId="21509" xr:uid="{00000000-0005-0000-0000-000040520000}"/>
    <cellStyle name="셀 확인 43 14" xfId="21510" xr:uid="{00000000-0005-0000-0000-000041520000}"/>
    <cellStyle name="셀 확인 43 15" xfId="21505" xr:uid="{00000000-0005-0000-0000-000042520000}"/>
    <cellStyle name="셀 확인 43 2" xfId="2697" xr:uid="{00000000-0005-0000-0000-000043520000}"/>
    <cellStyle name="셀 확인 43 2 2" xfId="21511" xr:uid="{00000000-0005-0000-0000-000044520000}"/>
    <cellStyle name="셀 확인 43 3" xfId="21512" xr:uid="{00000000-0005-0000-0000-000045520000}"/>
    <cellStyle name="셀 확인 43 4" xfId="21513" xr:uid="{00000000-0005-0000-0000-000046520000}"/>
    <cellStyle name="셀 확인 43 5" xfId="21514" xr:uid="{00000000-0005-0000-0000-000047520000}"/>
    <cellStyle name="셀 확인 43 6" xfId="21515" xr:uid="{00000000-0005-0000-0000-000048520000}"/>
    <cellStyle name="셀 확인 43 7" xfId="21516" xr:uid="{00000000-0005-0000-0000-000049520000}"/>
    <cellStyle name="셀 확인 43 8" xfId="21517" xr:uid="{00000000-0005-0000-0000-00004A520000}"/>
    <cellStyle name="셀 확인 43 9" xfId="21518" xr:uid="{00000000-0005-0000-0000-00004B520000}"/>
    <cellStyle name="셀 확인 44" xfId="2698" xr:uid="{00000000-0005-0000-0000-00004C520000}"/>
    <cellStyle name="셀 확인 44 2" xfId="21519" xr:uid="{00000000-0005-0000-0000-00004D520000}"/>
    <cellStyle name="셀 확인 45" xfId="2699" xr:uid="{00000000-0005-0000-0000-00004E520000}"/>
    <cellStyle name="셀 확인 45 2" xfId="21520" xr:uid="{00000000-0005-0000-0000-00004F520000}"/>
    <cellStyle name="셀 확인 46" xfId="2623" xr:uid="{00000000-0005-0000-0000-000050520000}"/>
    <cellStyle name="셀 확인 47" xfId="21000" xr:uid="{00000000-0005-0000-0000-000051520000}"/>
    <cellStyle name="셀 확인 5" xfId="2700" xr:uid="{00000000-0005-0000-0000-000052520000}"/>
    <cellStyle name="셀 확인 5 10" xfId="21522" xr:uid="{00000000-0005-0000-0000-000053520000}"/>
    <cellStyle name="셀 확인 5 11" xfId="21523" xr:uid="{00000000-0005-0000-0000-000054520000}"/>
    <cellStyle name="셀 확인 5 12" xfId="21524" xr:uid="{00000000-0005-0000-0000-000055520000}"/>
    <cellStyle name="셀 확인 5 13" xfId="21525" xr:uid="{00000000-0005-0000-0000-000056520000}"/>
    <cellStyle name="셀 확인 5 14" xfId="21526" xr:uid="{00000000-0005-0000-0000-000057520000}"/>
    <cellStyle name="셀 확인 5 15" xfId="21521" xr:uid="{00000000-0005-0000-0000-000058520000}"/>
    <cellStyle name="셀 확인 5 2" xfId="2701" xr:uid="{00000000-0005-0000-0000-000059520000}"/>
    <cellStyle name="셀 확인 5 2 2" xfId="21527" xr:uid="{00000000-0005-0000-0000-00005A520000}"/>
    <cellStyle name="셀 확인 5 3" xfId="21528" xr:uid="{00000000-0005-0000-0000-00005B520000}"/>
    <cellStyle name="셀 확인 5 4" xfId="21529" xr:uid="{00000000-0005-0000-0000-00005C520000}"/>
    <cellStyle name="셀 확인 5 5" xfId="21530" xr:uid="{00000000-0005-0000-0000-00005D520000}"/>
    <cellStyle name="셀 확인 5 6" xfId="21531" xr:uid="{00000000-0005-0000-0000-00005E520000}"/>
    <cellStyle name="셀 확인 5 7" xfId="21532" xr:uid="{00000000-0005-0000-0000-00005F520000}"/>
    <cellStyle name="셀 확인 5 8" xfId="21533" xr:uid="{00000000-0005-0000-0000-000060520000}"/>
    <cellStyle name="셀 확인 5 9" xfId="21534" xr:uid="{00000000-0005-0000-0000-000061520000}"/>
    <cellStyle name="셀 확인 6" xfId="2702" xr:uid="{00000000-0005-0000-0000-000062520000}"/>
    <cellStyle name="셀 확인 6 10" xfId="21536" xr:uid="{00000000-0005-0000-0000-000063520000}"/>
    <cellStyle name="셀 확인 6 11" xfId="21537" xr:uid="{00000000-0005-0000-0000-000064520000}"/>
    <cellStyle name="셀 확인 6 12" xfId="21538" xr:uid="{00000000-0005-0000-0000-000065520000}"/>
    <cellStyle name="셀 확인 6 13" xfId="21539" xr:uid="{00000000-0005-0000-0000-000066520000}"/>
    <cellStyle name="셀 확인 6 14" xfId="21540" xr:uid="{00000000-0005-0000-0000-000067520000}"/>
    <cellStyle name="셀 확인 6 15" xfId="21535" xr:uid="{00000000-0005-0000-0000-000068520000}"/>
    <cellStyle name="셀 확인 6 2" xfId="2703" xr:uid="{00000000-0005-0000-0000-000069520000}"/>
    <cellStyle name="셀 확인 6 2 2" xfId="21541" xr:uid="{00000000-0005-0000-0000-00006A520000}"/>
    <cellStyle name="셀 확인 6 3" xfId="21542" xr:uid="{00000000-0005-0000-0000-00006B520000}"/>
    <cellStyle name="셀 확인 6 4" xfId="21543" xr:uid="{00000000-0005-0000-0000-00006C520000}"/>
    <cellStyle name="셀 확인 6 5" xfId="21544" xr:uid="{00000000-0005-0000-0000-00006D520000}"/>
    <cellStyle name="셀 확인 6 6" xfId="21545" xr:uid="{00000000-0005-0000-0000-00006E520000}"/>
    <cellStyle name="셀 확인 6 7" xfId="21546" xr:uid="{00000000-0005-0000-0000-00006F520000}"/>
    <cellStyle name="셀 확인 6 8" xfId="21547" xr:uid="{00000000-0005-0000-0000-000070520000}"/>
    <cellStyle name="셀 확인 6 9" xfId="21548" xr:uid="{00000000-0005-0000-0000-000071520000}"/>
    <cellStyle name="셀 확인 7" xfId="2704" xr:uid="{00000000-0005-0000-0000-000072520000}"/>
    <cellStyle name="셀 확인 7 10" xfId="21550" xr:uid="{00000000-0005-0000-0000-000073520000}"/>
    <cellStyle name="셀 확인 7 11" xfId="21551" xr:uid="{00000000-0005-0000-0000-000074520000}"/>
    <cellStyle name="셀 확인 7 12" xfId="21552" xr:uid="{00000000-0005-0000-0000-000075520000}"/>
    <cellStyle name="셀 확인 7 13" xfId="21553" xr:uid="{00000000-0005-0000-0000-000076520000}"/>
    <cellStyle name="셀 확인 7 14" xfId="21554" xr:uid="{00000000-0005-0000-0000-000077520000}"/>
    <cellStyle name="셀 확인 7 15" xfId="21549" xr:uid="{00000000-0005-0000-0000-000078520000}"/>
    <cellStyle name="셀 확인 7 2" xfId="2705" xr:uid="{00000000-0005-0000-0000-000079520000}"/>
    <cellStyle name="셀 확인 7 2 2" xfId="21555" xr:uid="{00000000-0005-0000-0000-00007A520000}"/>
    <cellStyle name="셀 확인 7 3" xfId="21556" xr:uid="{00000000-0005-0000-0000-00007B520000}"/>
    <cellStyle name="셀 확인 7 4" xfId="21557" xr:uid="{00000000-0005-0000-0000-00007C520000}"/>
    <cellStyle name="셀 확인 7 5" xfId="21558" xr:uid="{00000000-0005-0000-0000-00007D520000}"/>
    <cellStyle name="셀 확인 7 6" xfId="21559" xr:uid="{00000000-0005-0000-0000-00007E520000}"/>
    <cellStyle name="셀 확인 7 7" xfId="21560" xr:uid="{00000000-0005-0000-0000-00007F520000}"/>
    <cellStyle name="셀 확인 7 8" xfId="21561" xr:uid="{00000000-0005-0000-0000-000080520000}"/>
    <cellStyle name="셀 확인 7 9" xfId="21562" xr:uid="{00000000-0005-0000-0000-000081520000}"/>
    <cellStyle name="셀 확인 8" xfId="2706" xr:uid="{00000000-0005-0000-0000-000082520000}"/>
    <cellStyle name="셀 확인 8 10" xfId="21564" xr:uid="{00000000-0005-0000-0000-000083520000}"/>
    <cellStyle name="셀 확인 8 11" xfId="21565" xr:uid="{00000000-0005-0000-0000-000084520000}"/>
    <cellStyle name="셀 확인 8 12" xfId="21566" xr:uid="{00000000-0005-0000-0000-000085520000}"/>
    <cellStyle name="셀 확인 8 13" xfId="21567" xr:uid="{00000000-0005-0000-0000-000086520000}"/>
    <cellStyle name="셀 확인 8 14" xfId="21568" xr:uid="{00000000-0005-0000-0000-000087520000}"/>
    <cellStyle name="셀 확인 8 15" xfId="21563" xr:uid="{00000000-0005-0000-0000-000088520000}"/>
    <cellStyle name="셀 확인 8 2" xfId="2707" xr:uid="{00000000-0005-0000-0000-000089520000}"/>
    <cellStyle name="셀 확인 8 2 2" xfId="21569" xr:uid="{00000000-0005-0000-0000-00008A520000}"/>
    <cellStyle name="셀 확인 8 3" xfId="21570" xr:uid="{00000000-0005-0000-0000-00008B520000}"/>
    <cellStyle name="셀 확인 8 4" xfId="21571" xr:uid="{00000000-0005-0000-0000-00008C520000}"/>
    <cellStyle name="셀 확인 8 5" xfId="21572" xr:uid="{00000000-0005-0000-0000-00008D520000}"/>
    <cellStyle name="셀 확인 8 6" xfId="21573" xr:uid="{00000000-0005-0000-0000-00008E520000}"/>
    <cellStyle name="셀 확인 8 7" xfId="21574" xr:uid="{00000000-0005-0000-0000-00008F520000}"/>
    <cellStyle name="셀 확인 8 8" xfId="21575" xr:uid="{00000000-0005-0000-0000-000090520000}"/>
    <cellStyle name="셀 확인 8 9" xfId="21576" xr:uid="{00000000-0005-0000-0000-000091520000}"/>
    <cellStyle name="셀 확인 9" xfId="2708" xr:uid="{00000000-0005-0000-0000-000092520000}"/>
    <cellStyle name="셀 확인 9 10" xfId="21578" xr:uid="{00000000-0005-0000-0000-000093520000}"/>
    <cellStyle name="셀 확인 9 11" xfId="21579" xr:uid="{00000000-0005-0000-0000-000094520000}"/>
    <cellStyle name="셀 확인 9 12" xfId="21580" xr:uid="{00000000-0005-0000-0000-000095520000}"/>
    <cellStyle name="셀 확인 9 13" xfId="21581" xr:uid="{00000000-0005-0000-0000-000096520000}"/>
    <cellStyle name="셀 확인 9 14" xfId="21582" xr:uid="{00000000-0005-0000-0000-000097520000}"/>
    <cellStyle name="셀 확인 9 15" xfId="21577" xr:uid="{00000000-0005-0000-0000-000098520000}"/>
    <cellStyle name="셀 확인 9 2" xfId="2709" xr:uid="{00000000-0005-0000-0000-000099520000}"/>
    <cellStyle name="셀 확인 9 2 2" xfId="21583" xr:uid="{00000000-0005-0000-0000-00009A520000}"/>
    <cellStyle name="셀 확인 9 3" xfId="21584" xr:uid="{00000000-0005-0000-0000-00009B520000}"/>
    <cellStyle name="셀 확인 9 4" xfId="21585" xr:uid="{00000000-0005-0000-0000-00009C520000}"/>
    <cellStyle name="셀 확인 9 5" xfId="21586" xr:uid="{00000000-0005-0000-0000-00009D520000}"/>
    <cellStyle name="셀 확인 9 6" xfId="21587" xr:uid="{00000000-0005-0000-0000-00009E520000}"/>
    <cellStyle name="셀 확인 9 7" xfId="21588" xr:uid="{00000000-0005-0000-0000-00009F520000}"/>
    <cellStyle name="셀 확인 9 8" xfId="21589" xr:uid="{00000000-0005-0000-0000-0000A0520000}"/>
    <cellStyle name="셀 확인 9 9" xfId="21590" xr:uid="{00000000-0005-0000-0000-0000A1520000}"/>
    <cellStyle name="숫자$" xfId="27972" xr:uid="{00000000-0005-0000-0000-0000A2520000}"/>
    <cellStyle name="숫자$ 2" xfId="28220" xr:uid="{00000000-0005-0000-0000-0000A3520000}"/>
    <cellStyle name="숫자\" xfId="27973" xr:uid="{00000000-0005-0000-0000-0000A4520000}"/>
    <cellStyle name="숫자\ 2" xfId="28221" xr:uid="{00000000-0005-0000-0000-0000A5520000}"/>
    <cellStyle name="쉼표 [0]" xfId="28305" builtinId="6"/>
    <cellStyle name="쉼표 [0] 10" xfId="28252" xr:uid="{00000000-0005-0000-0000-0000A7520000}"/>
    <cellStyle name="쉼표 [0] 11" xfId="5" xr:uid="{00000000-0005-0000-0000-0000D7520000}"/>
    <cellStyle name="쉼표 [0] 15" xfId="28248" xr:uid="{00000000-0005-0000-0000-0000A8520000}"/>
    <cellStyle name="쉼표 [0] 2" xfId="8" xr:uid="{00000000-0005-0000-0000-0000A9520000}"/>
    <cellStyle name="쉼표 [0] 2 2" xfId="21591" xr:uid="{00000000-0005-0000-0000-0000AA520000}"/>
    <cellStyle name="쉼표 [0] 2 2 2" xfId="27974" xr:uid="{00000000-0005-0000-0000-0000AB520000}"/>
    <cellStyle name="쉼표 [0] 2 2 2 2" xfId="28294" xr:uid="{00000000-0005-0000-0000-0000AC520000}"/>
    <cellStyle name="쉼표 [0] 2 3" xfId="2711" xr:uid="{00000000-0005-0000-0000-0000AD520000}"/>
    <cellStyle name="쉼표 [0] 2 3 2" xfId="28232" xr:uid="{00000000-0005-0000-0000-0000AE520000}"/>
    <cellStyle name="쉼표 [0] 2 3 2 2" xfId="28297" xr:uid="{00000000-0005-0000-0000-0000AF520000}"/>
    <cellStyle name="쉼표 [0] 2 3 3" xfId="28255" xr:uid="{00000000-0005-0000-0000-0000B0520000}"/>
    <cellStyle name="쉼표 [0] 2 4" xfId="28234" xr:uid="{00000000-0005-0000-0000-0000B1520000}"/>
    <cellStyle name="쉼표 [0] 2 4 2" xfId="28298" xr:uid="{00000000-0005-0000-0000-0000B2520000}"/>
    <cellStyle name="쉼표 [0] 2 5" xfId="28253" xr:uid="{00000000-0005-0000-0000-0000B3520000}"/>
    <cellStyle name="쉼표 [0] 3" xfId="2712" xr:uid="{00000000-0005-0000-0000-0000B4520000}"/>
    <cellStyle name="쉼표 [0] 3 2" xfId="21592" xr:uid="{00000000-0005-0000-0000-0000B5520000}"/>
    <cellStyle name="쉼표 [0] 3 3" xfId="27910" xr:uid="{00000000-0005-0000-0000-0000B6520000}"/>
    <cellStyle name="쉼표 [0] 3 3 2" xfId="28289" xr:uid="{00000000-0005-0000-0000-0000B7520000}"/>
    <cellStyle name="쉼표 [0] 3 4" xfId="28249" xr:uid="{00000000-0005-0000-0000-0000B8520000}"/>
    <cellStyle name="쉼표 [0] 3 5" xfId="28256" xr:uid="{00000000-0005-0000-0000-0000B9520000}"/>
    <cellStyle name="쉼표 [0] 4" xfId="2710" xr:uid="{00000000-0005-0000-0000-0000BA520000}"/>
    <cellStyle name="쉼표 [0] 4 2" xfId="27925" xr:uid="{00000000-0005-0000-0000-0000BB520000}"/>
    <cellStyle name="쉼표 [0] 4 2 2" xfId="28292" xr:uid="{00000000-0005-0000-0000-0000BC520000}"/>
    <cellStyle name="쉼표 [0] 4 3" xfId="28254" xr:uid="{00000000-0005-0000-0000-0000BD520000}"/>
    <cellStyle name="쉼표 [0] 5" xfId="27620" xr:uid="{00000000-0005-0000-0000-0000BE520000}"/>
    <cellStyle name="쉼표 [0] 5 2" xfId="27927" xr:uid="{00000000-0005-0000-0000-0000BF520000}"/>
    <cellStyle name="쉼표 [0] 5 2 2" xfId="28293" xr:uid="{00000000-0005-0000-0000-0000C0520000}"/>
    <cellStyle name="쉼표 [0] 5 3" xfId="28272" xr:uid="{00000000-0005-0000-0000-0000C1520000}"/>
    <cellStyle name="쉼표 [0] 6" xfId="27836" xr:uid="{00000000-0005-0000-0000-0000C2520000}"/>
    <cellStyle name="쉼표 [0] 6 2" xfId="27883" xr:uid="{00000000-0005-0000-0000-0000C3520000}"/>
    <cellStyle name="쉼표 [0] 6 2 2" xfId="28281" xr:uid="{00000000-0005-0000-0000-0000C4520000}"/>
    <cellStyle name="쉼표 [0] 6 3" xfId="28275" xr:uid="{00000000-0005-0000-0000-0000C5520000}"/>
    <cellStyle name="쉼표 [0] 7" xfId="27839" xr:uid="{00000000-0005-0000-0000-0000C6520000}"/>
    <cellStyle name="쉼표 [0] 7 2" xfId="27911" xr:uid="{00000000-0005-0000-0000-0000C7520000}"/>
    <cellStyle name="쉼표 [0] 7 2 2" xfId="28290" xr:uid="{00000000-0005-0000-0000-0000C8520000}"/>
    <cellStyle name="쉼표 [0] 7 3" xfId="28276" xr:uid="{00000000-0005-0000-0000-0000C9520000}"/>
    <cellStyle name="쉼표 [0] 8" xfId="27846" xr:uid="{00000000-0005-0000-0000-0000CA520000}"/>
    <cellStyle name="쉼표 [0] 8 2" xfId="28243" xr:uid="{00000000-0005-0000-0000-0000CB520000}"/>
    <cellStyle name="쉼표 [0] 8 2 2" xfId="28303" xr:uid="{00000000-0005-0000-0000-0000CC520000}"/>
    <cellStyle name="쉼표 [0] 8 3" xfId="28278" xr:uid="{00000000-0005-0000-0000-0000CD520000}"/>
    <cellStyle name="쉼표 [0] 9" xfId="27912" xr:uid="{00000000-0005-0000-0000-0000CE520000}"/>
    <cellStyle name="쉼표 [0] 9 2" xfId="28291" xr:uid="{00000000-0005-0000-0000-0000CF520000}"/>
    <cellStyle name="쉼표 2" xfId="27975" xr:uid="{00000000-0005-0000-0000-0000D0520000}"/>
    <cellStyle name="쉼표 2 2" xfId="28295" xr:uid="{00000000-0005-0000-0000-0000D1520000}"/>
    <cellStyle name="연결된 셀 10" xfId="2714" xr:uid="{00000000-0005-0000-0000-0000D2520000}"/>
    <cellStyle name="연결된 셀 10 10" xfId="21593" xr:uid="{00000000-0005-0000-0000-0000D3520000}"/>
    <cellStyle name="연결된 셀 10 11" xfId="21594" xr:uid="{00000000-0005-0000-0000-0000D4520000}"/>
    <cellStyle name="연결된 셀 10 12" xfId="21595" xr:uid="{00000000-0005-0000-0000-0000D5520000}"/>
    <cellStyle name="연결된 셀 10 13" xfId="21596" xr:uid="{00000000-0005-0000-0000-0000D6520000}"/>
    <cellStyle name="연결된 셀 10 14" xfId="21597" xr:uid="{00000000-0005-0000-0000-0000D7520000}"/>
    <cellStyle name="연결된 셀 10 2" xfId="2715" xr:uid="{00000000-0005-0000-0000-0000D8520000}"/>
    <cellStyle name="연결된 셀 10 3" xfId="21598" xr:uid="{00000000-0005-0000-0000-0000D9520000}"/>
    <cellStyle name="연결된 셀 10 4" xfId="21599" xr:uid="{00000000-0005-0000-0000-0000DA520000}"/>
    <cellStyle name="연결된 셀 10 5" xfId="21600" xr:uid="{00000000-0005-0000-0000-0000DB520000}"/>
    <cellStyle name="연결된 셀 10 6" xfId="21601" xr:uid="{00000000-0005-0000-0000-0000DC520000}"/>
    <cellStyle name="연결된 셀 10 7" xfId="21602" xr:uid="{00000000-0005-0000-0000-0000DD520000}"/>
    <cellStyle name="연결된 셀 10 8" xfId="21603" xr:uid="{00000000-0005-0000-0000-0000DE520000}"/>
    <cellStyle name="연결된 셀 10 9" xfId="21604" xr:uid="{00000000-0005-0000-0000-0000DF520000}"/>
    <cellStyle name="연결된 셀 11" xfId="2716" xr:uid="{00000000-0005-0000-0000-0000E0520000}"/>
    <cellStyle name="연결된 셀 11 10" xfId="21605" xr:uid="{00000000-0005-0000-0000-0000E1520000}"/>
    <cellStyle name="연결된 셀 11 11" xfId="21606" xr:uid="{00000000-0005-0000-0000-0000E2520000}"/>
    <cellStyle name="연결된 셀 11 12" xfId="21607" xr:uid="{00000000-0005-0000-0000-0000E3520000}"/>
    <cellStyle name="연결된 셀 11 13" xfId="21608" xr:uid="{00000000-0005-0000-0000-0000E4520000}"/>
    <cellStyle name="연결된 셀 11 14" xfId="21609" xr:uid="{00000000-0005-0000-0000-0000E5520000}"/>
    <cellStyle name="연결된 셀 11 2" xfId="2717" xr:uid="{00000000-0005-0000-0000-0000E6520000}"/>
    <cellStyle name="연결된 셀 11 3" xfId="21610" xr:uid="{00000000-0005-0000-0000-0000E7520000}"/>
    <cellStyle name="연결된 셀 11 4" xfId="21611" xr:uid="{00000000-0005-0000-0000-0000E8520000}"/>
    <cellStyle name="연결된 셀 11 5" xfId="21612" xr:uid="{00000000-0005-0000-0000-0000E9520000}"/>
    <cellStyle name="연결된 셀 11 6" xfId="21613" xr:uid="{00000000-0005-0000-0000-0000EA520000}"/>
    <cellStyle name="연결된 셀 11 7" xfId="21614" xr:uid="{00000000-0005-0000-0000-0000EB520000}"/>
    <cellStyle name="연결된 셀 11 8" xfId="21615" xr:uid="{00000000-0005-0000-0000-0000EC520000}"/>
    <cellStyle name="연결된 셀 11 9" xfId="21616" xr:uid="{00000000-0005-0000-0000-0000ED520000}"/>
    <cellStyle name="연결된 셀 12" xfId="2718" xr:uid="{00000000-0005-0000-0000-0000EE520000}"/>
    <cellStyle name="연결된 셀 12 10" xfId="21617" xr:uid="{00000000-0005-0000-0000-0000EF520000}"/>
    <cellStyle name="연결된 셀 12 11" xfId="21618" xr:uid="{00000000-0005-0000-0000-0000F0520000}"/>
    <cellStyle name="연결된 셀 12 12" xfId="21619" xr:uid="{00000000-0005-0000-0000-0000F1520000}"/>
    <cellStyle name="연결된 셀 12 13" xfId="21620" xr:uid="{00000000-0005-0000-0000-0000F2520000}"/>
    <cellStyle name="연결된 셀 12 14" xfId="21621" xr:uid="{00000000-0005-0000-0000-0000F3520000}"/>
    <cellStyle name="연결된 셀 12 2" xfId="2719" xr:uid="{00000000-0005-0000-0000-0000F4520000}"/>
    <cellStyle name="연결된 셀 12 3" xfId="21622" xr:uid="{00000000-0005-0000-0000-0000F5520000}"/>
    <cellStyle name="연결된 셀 12 4" xfId="21623" xr:uid="{00000000-0005-0000-0000-0000F6520000}"/>
    <cellStyle name="연결된 셀 12 5" xfId="21624" xr:uid="{00000000-0005-0000-0000-0000F7520000}"/>
    <cellStyle name="연결된 셀 12 6" xfId="21625" xr:uid="{00000000-0005-0000-0000-0000F8520000}"/>
    <cellStyle name="연결된 셀 12 7" xfId="21626" xr:uid="{00000000-0005-0000-0000-0000F9520000}"/>
    <cellStyle name="연결된 셀 12 8" xfId="21627" xr:uid="{00000000-0005-0000-0000-0000FA520000}"/>
    <cellStyle name="연결된 셀 12 9" xfId="21628" xr:uid="{00000000-0005-0000-0000-0000FB520000}"/>
    <cellStyle name="연결된 셀 13" xfId="2720" xr:uid="{00000000-0005-0000-0000-0000FC520000}"/>
    <cellStyle name="연결된 셀 13 10" xfId="21629" xr:uid="{00000000-0005-0000-0000-0000FD520000}"/>
    <cellStyle name="연결된 셀 13 11" xfId="21630" xr:uid="{00000000-0005-0000-0000-0000FE520000}"/>
    <cellStyle name="연결된 셀 13 12" xfId="21631" xr:uid="{00000000-0005-0000-0000-0000FF520000}"/>
    <cellStyle name="연결된 셀 13 13" xfId="21632" xr:uid="{00000000-0005-0000-0000-000000530000}"/>
    <cellStyle name="연결된 셀 13 14" xfId="21633" xr:uid="{00000000-0005-0000-0000-000001530000}"/>
    <cellStyle name="연결된 셀 13 2" xfId="2721" xr:uid="{00000000-0005-0000-0000-000002530000}"/>
    <cellStyle name="연결된 셀 13 3" xfId="21634" xr:uid="{00000000-0005-0000-0000-000003530000}"/>
    <cellStyle name="연결된 셀 13 4" xfId="21635" xr:uid="{00000000-0005-0000-0000-000004530000}"/>
    <cellStyle name="연결된 셀 13 5" xfId="21636" xr:uid="{00000000-0005-0000-0000-000005530000}"/>
    <cellStyle name="연결된 셀 13 6" xfId="21637" xr:uid="{00000000-0005-0000-0000-000006530000}"/>
    <cellStyle name="연결된 셀 13 7" xfId="21638" xr:uid="{00000000-0005-0000-0000-000007530000}"/>
    <cellStyle name="연결된 셀 13 8" xfId="21639" xr:uid="{00000000-0005-0000-0000-000008530000}"/>
    <cellStyle name="연결된 셀 13 9" xfId="21640" xr:uid="{00000000-0005-0000-0000-000009530000}"/>
    <cellStyle name="연결된 셀 14" xfId="2722" xr:uid="{00000000-0005-0000-0000-00000A530000}"/>
    <cellStyle name="연결된 셀 14 10" xfId="21641" xr:uid="{00000000-0005-0000-0000-00000B530000}"/>
    <cellStyle name="연결된 셀 14 11" xfId="21642" xr:uid="{00000000-0005-0000-0000-00000C530000}"/>
    <cellStyle name="연결된 셀 14 12" xfId="21643" xr:uid="{00000000-0005-0000-0000-00000D530000}"/>
    <cellStyle name="연결된 셀 14 13" xfId="21644" xr:uid="{00000000-0005-0000-0000-00000E530000}"/>
    <cellStyle name="연결된 셀 14 14" xfId="21645" xr:uid="{00000000-0005-0000-0000-00000F530000}"/>
    <cellStyle name="연결된 셀 14 2" xfId="2723" xr:uid="{00000000-0005-0000-0000-000010530000}"/>
    <cellStyle name="연결된 셀 14 3" xfId="21646" xr:uid="{00000000-0005-0000-0000-000011530000}"/>
    <cellStyle name="연결된 셀 14 4" xfId="21647" xr:uid="{00000000-0005-0000-0000-000012530000}"/>
    <cellStyle name="연결된 셀 14 5" xfId="21648" xr:uid="{00000000-0005-0000-0000-000013530000}"/>
    <cellStyle name="연결된 셀 14 6" xfId="21649" xr:uid="{00000000-0005-0000-0000-000014530000}"/>
    <cellStyle name="연결된 셀 14 7" xfId="21650" xr:uid="{00000000-0005-0000-0000-000015530000}"/>
    <cellStyle name="연결된 셀 14 8" xfId="21651" xr:uid="{00000000-0005-0000-0000-000016530000}"/>
    <cellStyle name="연결된 셀 14 9" xfId="21652" xr:uid="{00000000-0005-0000-0000-000017530000}"/>
    <cellStyle name="연결된 셀 15" xfId="2724" xr:uid="{00000000-0005-0000-0000-000018530000}"/>
    <cellStyle name="연결된 셀 15 10" xfId="21653" xr:uid="{00000000-0005-0000-0000-000019530000}"/>
    <cellStyle name="연결된 셀 15 11" xfId="21654" xr:uid="{00000000-0005-0000-0000-00001A530000}"/>
    <cellStyle name="연결된 셀 15 12" xfId="21655" xr:uid="{00000000-0005-0000-0000-00001B530000}"/>
    <cellStyle name="연결된 셀 15 13" xfId="21656" xr:uid="{00000000-0005-0000-0000-00001C530000}"/>
    <cellStyle name="연결된 셀 15 14" xfId="21657" xr:uid="{00000000-0005-0000-0000-00001D530000}"/>
    <cellStyle name="연결된 셀 15 2" xfId="2725" xr:uid="{00000000-0005-0000-0000-00001E530000}"/>
    <cellStyle name="연결된 셀 15 3" xfId="21658" xr:uid="{00000000-0005-0000-0000-00001F530000}"/>
    <cellStyle name="연결된 셀 15 4" xfId="21659" xr:uid="{00000000-0005-0000-0000-000020530000}"/>
    <cellStyle name="연결된 셀 15 5" xfId="21660" xr:uid="{00000000-0005-0000-0000-000021530000}"/>
    <cellStyle name="연결된 셀 15 6" xfId="21661" xr:uid="{00000000-0005-0000-0000-000022530000}"/>
    <cellStyle name="연결된 셀 15 7" xfId="21662" xr:uid="{00000000-0005-0000-0000-000023530000}"/>
    <cellStyle name="연결된 셀 15 8" xfId="21663" xr:uid="{00000000-0005-0000-0000-000024530000}"/>
    <cellStyle name="연결된 셀 15 9" xfId="21664" xr:uid="{00000000-0005-0000-0000-000025530000}"/>
    <cellStyle name="연결된 셀 16" xfId="2726" xr:uid="{00000000-0005-0000-0000-000026530000}"/>
    <cellStyle name="연결된 셀 16 10" xfId="21665" xr:uid="{00000000-0005-0000-0000-000027530000}"/>
    <cellStyle name="연결된 셀 16 11" xfId="21666" xr:uid="{00000000-0005-0000-0000-000028530000}"/>
    <cellStyle name="연결된 셀 16 12" xfId="21667" xr:uid="{00000000-0005-0000-0000-000029530000}"/>
    <cellStyle name="연결된 셀 16 13" xfId="21668" xr:uid="{00000000-0005-0000-0000-00002A530000}"/>
    <cellStyle name="연결된 셀 16 14" xfId="21669" xr:uid="{00000000-0005-0000-0000-00002B530000}"/>
    <cellStyle name="연결된 셀 16 2" xfId="2727" xr:uid="{00000000-0005-0000-0000-00002C530000}"/>
    <cellStyle name="연결된 셀 16 3" xfId="21670" xr:uid="{00000000-0005-0000-0000-00002D530000}"/>
    <cellStyle name="연결된 셀 16 4" xfId="21671" xr:uid="{00000000-0005-0000-0000-00002E530000}"/>
    <cellStyle name="연결된 셀 16 5" xfId="21672" xr:uid="{00000000-0005-0000-0000-00002F530000}"/>
    <cellStyle name="연결된 셀 16 6" xfId="21673" xr:uid="{00000000-0005-0000-0000-000030530000}"/>
    <cellStyle name="연결된 셀 16 7" xfId="21674" xr:uid="{00000000-0005-0000-0000-000031530000}"/>
    <cellStyle name="연결된 셀 16 8" xfId="21675" xr:uid="{00000000-0005-0000-0000-000032530000}"/>
    <cellStyle name="연결된 셀 16 9" xfId="21676" xr:uid="{00000000-0005-0000-0000-000033530000}"/>
    <cellStyle name="연결된 셀 17" xfId="2728" xr:uid="{00000000-0005-0000-0000-000034530000}"/>
    <cellStyle name="연결된 셀 17 10" xfId="21677" xr:uid="{00000000-0005-0000-0000-000035530000}"/>
    <cellStyle name="연결된 셀 17 11" xfId="21678" xr:uid="{00000000-0005-0000-0000-000036530000}"/>
    <cellStyle name="연결된 셀 17 12" xfId="21679" xr:uid="{00000000-0005-0000-0000-000037530000}"/>
    <cellStyle name="연결된 셀 17 13" xfId="21680" xr:uid="{00000000-0005-0000-0000-000038530000}"/>
    <cellStyle name="연결된 셀 17 14" xfId="21681" xr:uid="{00000000-0005-0000-0000-000039530000}"/>
    <cellStyle name="연결된 셀 17 2" xfId="2729" xr:uid="{00000000-0005-0000-0000-00003A530000}"/>
    <cellStyle name="연결된 셀 17 3" xfId="21682" xr:uid="{00000000-0005-0000-0000-00003B530000}"/>
    <cellStyle name="연결된 셀 17 4" xfId="21683" xr:uid="{00000000-0005-0000-0000-00003C530000}"/>
    <cellStyle name="연결된 셀 17 5" xfId="21684" xr:uid="{00000000-0005-0000-0000-00003D530000}"/>
    <cellStyle name="연결된 셀 17 6" xfId="21685" xr:uid="{00000000-0005-0000-0000-00003E530000}"/>
    <cellStyle name="연결된 셀 17 7" xfId="21686" xr:uid="{00000000-0005-0000-0000-00003F530000}"/>
    <cellStyle name="연결된 셀 17 8" xfId="21687" xr:uid="{00000000-0005-0000-0000-000040530000}"/>
    <cellStyle name="연결된 셀 17 9" xfId="21688" xr:uid="{00000000-0005-0000-0000-000041530000}"/>
    <cellStyle name="연결된 셀 18" xfId="2730" xr:uid="{00000000-0005-0000-0000-000042530000}"/>
    <cellStyle name="연결된 셀 18 10" xfId="21689" xr:uid="{00000000-0005-0000-0000-000043530000}"/>
    <cellStyle name="연결된 셀 18 11" xfId="21690" xr:uid="{00000000-0005-0000-0000-000044530000}"/>
    <cellStyle name="연결된 셀 18 12" xfId="21691" xr:uid="{00000000-0005-0000-0000-000045530000}"/>
    <cellStyle name="연결된 셀 18 13" xfId="21692" xr:uid="{00000000-0005-0000-0000-000046530000}"/>
    <cellStyle name="연결된 셀 18 14" xfId="21693" xr:uid="{00000000-0005-0000-0000-000047530000}"/>
    <cellStyle name="연결된 셀 18 2" xfId="2731" xr:uid="{00000000-0005-0000-0000-000048530000}"/>
    <cellStyle name="연결된 셀 18 3" xfId="21694" xr:uid="{00000000-0005-0000-0000-000049530000}"/>
    <cellStyle name="연결된 셀 18 4" xfId="21695" xr:uid="{00000000-0005-0000-0000-00004A530000}"/>
    <cellStyle name="연결된 셀 18 5" xfId="21696" xr:uid="{00000000-0005-0000-0000-00004B530000}"/>
    <cellStyle name="연결된 셀 18 6" xfId="21697" xr:uid="{00000000-0005-0000-0000-00004C530000}"/>
    <cellStyle name="연결된 셀 18 7" xfId="21698" xr:uid="{00000000-0005-0000-0000-00004D530000}"/>
    <cellStyle name="연결된 셀 18 8" xfId="21699" xr:uid="{00000000-0005-0000-0000-00004E530000}"/>
    <cellStyle name="연결된 셀 18 9" xfId="21700" xr:uid="{00000000-0005-0000-0000-00004F530000}"/>
    <cellStyle name="연결된 셀 19" xfId="2732" xr:uid="{00000000-0005-0000-0000-000050530000}"/>
    <cellStyle name="연결된 셀 19 10" xfId="21701" xr:uid="{00000000-0005-0000-0000-000051530000}"/>
    <cellStyle name="연결된 셀 19 11" xfId="21702" xr:uid="{00000000-0005-0000-0000-000052530000}"/>
    <cellStyle name="연결된 셀 19 12" xfId="21703" xr:uid="{00000000-0005-0000-0000-000053530000}"/>
    <cellStyle name="연결된 셀 19 13" xfId="21704" xr:uid="{00000000-0005-0000-0000-000054530000}"/>
    <cellStyle name="연결된 셀 19 14" xfId="21705" xr:uid="{00000000-0005-0000-0000-000055530000}"/>
    <cellStyle name="연결된 셀 19 2" xfId="2733" xr:uid="{00000000-0005-0000-0000-000056530000}"/>
    <cellStyle name="연결된 셀 19 3" xfId="21706" xr:uid="{00000000-0005-0000-0000-000057530000}"/>
    <cellStyle name="연결된 셀 19 4" xfId="21707" xr:uid="{00000000-0005-0000-0000-000058530000}"/>
    <cellStyle name="연결된 셀 19 5" xfId="21708" xr:uid="{00000000-0005-0000-0000-000059530000}"/>
    <cellStyle name="연결된 셀 19 6" xfId="21709" xr:uid="{00000000-0005-0000-0000-00005A530000}"/>
    <cellStyle name="연결된 셀 19 7" xfId="21710" xr:uid="{00000000-0005-0000-0000-00005B530000}"/>
    <cellStyle name="연결된 셀 19 8" xfId="21711" xr:uid="{00000000-0005-0000-0000-00005C530000}"/>
    <cellStyle name="연결된 셀 19 9" xfId="21712" xr:uid="{00000000-0005-0000-0000-00005D530000}"/>
    <cellStyle name="연결된 셀 2" xfId="2734" xr:uid="{00000000-0005-0000-0000-00005E530000}"/>
    <cellStyle name="연결된 셀 2 10" xfId="21713" xr:uid="{00000000-0005-0000-0000-00005F530000}"/>
    <cellStyle name="연결된 셀 2 11" xfId="21714" xr:uid="{00000000-0005-0000-0000-000060530000}"/>
    <cellStyle name="연결된 셀 2 12" xfId="21715" xr:uid="{00000000-0005-0000-0000-000061530000}"/>
    <cellStyle name="연결된 셀 2 13" xfId="21716" xr:uid="{00000000-0005-0000-0000-000062530000}"/>
    <cellStyle name="연결된 셀 2 14" xfId="21717" xr:uid="{00000000-0005-0000-0000-000063530000}"/>
    <cellStyle name="연결된 셀 2 15" xfId="27976" xr:uid="{00000000-0005-0000-0000-000064530000}"/>
    <cellStyle name="연결된 셀 2 2" xfId="2735" xr:uid="{00000000-0005-0000-0000-000065530000}"/>
    <cellStyle name="연결된 셀 2 3" xfId="21718" xr:uid="{00000000-0005-0000-0000-000066530000}"/>
    <cellStyle name="연결된 셀 2 4" xfId="21719" xr:uid="{00000000-0005-0000-0000-000067530000}"/>
    <cellStyle name="연결된 셀 2 5" xfId="21720" xr:uid="{00000000-0005-0000-0000-000068530000}"/>
    <cellStyle name="연결된 셀 2 6" xfId="21721" xr:uid="{00000000-0005-0000-0000-000069530000}"/>
    <cellStyle name="연결된 셀 2 7" xfId="21722" xr:uid="{00000000-0005-0000-0000-00006A530000}"/>
    <cellStyle name="연결된 셀 2 8" xfId="21723" xr:uid="{00000000-0005-0000-0000-00006B530000}"/>
    <cellStyle name="연결된 셀 2 9" xfId="21724" xr:uid="{00000000-0005-0000-0000-00006C530000}"/>
    <cellStyle name="연결된 셀 20" xfId="2736" xr:uid="{00000000-0005-0000-0000-00006D530000}"/>
    <cellStyle name="연결된 셀 20 10" xfId="21725" xr:uid="{00000000-0005-0000-0000-00006E530000}"/>
    <cellStyle name="연결된 셀 20 11" xfId="21726" xr:uid="{00000000-0005-0000-0000-00006F530000}"/>
    <cellStyle name="연결된 셀 20 12" xfId="21727" xr:uid="{00000000-0005-0000-0000-000070530000}"/>
    <cellStyle name="연결된 셀 20 13" xfId="21728" xr:uid="{00000000-0005-0000-0000-000071530000}"/>
    <cellStyle name="연결된 셀 20 14" xfId="21729" xr:uid="{00000000-0005-0000-0000-000072530000}"/>
    <cellStyle name="연결된 셀 20 2" xfId="2737" xr:uid="{00000000-0005-0000-0000-000073530000}"/>
    <cellStyle name="연결된 셀 20 3" xfId="21730" xr:uid="{00000000-0005-0000-0000-000074530000}"/>
    <cellStyle name="연결된 셀 20 4" xfId="21731" xr:uid="{00000000-0005-0000-0000-000075530000}"/>
    <cellStyle name="연결된 셀 20 5" xfId="21732" xr:uid="{00000000-0005-0000-0000-000076530000}"/>
    <cellStyle name="연결된 셀 20 6" xfId="21733" xr:uid="{00000000-0005-0000-0000-000077530000}"/>
    <cellStyle name="연결된 셀 20 7" xfId="21734" xr:uid="{00000000-0005-0000-0000-000078530000}"/>
    <cellStyle name="연결된 셀 20 8" xfId="21735" xr:uid="{00000000-0005-0000-0000-000079530000}"/>
    <cellStyle name="연결된 셀 20 9" xfId="21736" xr:uid="{00000000-0005-0000-0000-00007A530000}"/>
    <cellStyle name="연결된 셀 21" xfId="2738" xr:uid="{00000000-0005-0000-0000-00007B530000}"/>
    <cellStyle name="연결된 셀 21 10" xfId="21737" xr:uid="{00000000-0005-0000-0000-00007C530000}"/>
    <cellStyle name="연결된 셀 21 11" xfId="21738" xr:uid="{00000000-0005-0000-0000-00007D530000}"/>
    <cellStyle name="연결된 셀 21 12" xfId="21739" xr:uid="{00000000-0005-0000-0000-00007E530000}"/>
    <cellStyle name="연결된 셀 21 13" xfId="21740" xr:uid="{00000000-0005-0000-0000-00007F530000}"/>
    <cellStyle name="연결된 셀 21 14" xfId="21741" xr:uid="{00000000-0005-0000-0000-000080530000}"/>
    <cellStyle name="연결된 셀 21 2" xfId="2739" xr:uid="{00000000-0005-0000-0000-000081530000}"/>
    <cellStyle name="연결된 셀 21 3" xfId="21742" xr:uid="{00000000-0005-0000-0000-000082530000}"/>
    <cellStyle name="연결된 셀 21 4" xfId="21743" xr:uid="{00000000-0005-0000-0000-000083530000}"/>
    <cellStyle name="연결된 셀 21 5" xfId="21744" xr:uid="{00000000-0005-0000-0000-000084530000}"/>
    <cellStyle name="연결된 셀 21 6" xfId="21745" xr:uid="{00000000-0005-0000-0000-000085530000}"/>
    <cellStyle name="연결된 셀 21 7" xfId="21746" xr:uid="{00000000-0005-0000-0000-000086530000}"/>
    <cellStyle name="연결된 셀 21 8" xfId="21747" xr:uid="{00000000-0005-0000-0000-000087530000}"/>
    <cellStyle name="연결된 셀 21 9" xfId="21748" xr:uid="{00000000-0005-0000-0000-000088530000}"/>
    <cellStyle name="연결된 셀 22" xfId="2740" xr:uid="{00000000-0005-0000-0000-000089530000}"/>
    <cellStyle name="연결된 셀 22 10" xfId="21749" xr:uid="{00000000-0005-0000-0000-00008A530000}"/>
    <cellStyle name="연결된 셀 22 11" xfId="21750" xr:uid="{00000000-0005-0000-0000-00008B530000}"/>
    <cellStyle name="연결된 셀 22 12" xfId="21751" xr:uid="{00000000-0005-0000-0000-00008C530000}"/>
    <cellStyle name="연결된 셀 22 13" xfId="21752" xr:uid="{00000000-0005-0000-0000-00008D530000}"/>
    <cellStyle name="연결된 셀 22 14" xfId="21753" xr:uid="{00000000-0005-0000-0000-00008E530000}"/>
    <cellStyle name="연결된 셀 22 2" xfId="2741" xr:uid="{00000000-0005-0000-0000-00008F530000}"/>
    <cellStyle name="연결된 셀 22 3" xfId="21754" xr:uid="{00000000-0005-0000-0000-000090530000}"/>
    <cellStyle name="연결된 셀 22 4" xfId="21755" xr:uid="{00000000-0005-0000-0000-000091530000}"/>
    <cellStyle name="연결된 셀 22 5" xfId="21756" xr:uid="{00000000-0005-0000-0000-000092530000}"/>
    <cellStyle name="연결된 셀 22 6" xfId="21757" xr:uid="{00000000-0005-0000-0000-000093530000}"/>
    <cellStyle name="연결된 셀 22 7" xfId="21758" xr:uid="{00000000-0005-0000-0000-000094530000}"/>
    <cellStyle name="연결된 셀 22 8" xfId="21759" xr:uid="{00000000-0005-0000-0000-000095530000}"/>
    <cellStyle name="연결된 셀 22 9" xfId="21760" xr:uid="{00000000-0005-0000-0000-000096530000}"/>
    <cellStyle name="연결된 셀 23" xfId="2742" xr:uid="{00000000-0005-0000-0000-000097530000}"/>
    <cellStyle name="연결된 셀 23 10" xfId="21761" xr:uid="{00000000-0005-0000-0000-000098530000}"/>
    <cellStyle name="연결된 셀 23 11" xfId="21762" xr:uid="{00000000-0005-0000-0000-000099530000}"/>
    <cellStyle name="연결된 셀 23 12" xfId="21763" xr:uid="{00000000-0005-0000-0000-00009A530000}"/>
    <cellStyle name="연결된 셀 23 13" xfId="21764" xr:uid="{00000000-0005-0000-0000-00009B530000}"/>
    <cellStyle name="연결된 셀 23 14" xfId="21765" xr:uid="{00000000-0005-0000-0000-00009C530000}"/>
    <cellStyle name="연결된 셀 23 2" xfId="2743" xr:uid="{00000000-0005-0000-0000-00009D530000}"/>
    <cellStyle name="연결된 셀 23 3" xfId="21766" xr:uid="{00000000-0005-0000-0000-00009E530000}"/>
    <cellStyle name="연결된 셀 23 4" xfId="21767" xr:uid="{00000000-0005-0000-0000-00009F530000}"/>
    <cellStyle name="연결된 셀 23 5" xfId="21768" xr:uid="{00000000-0005-0000-0000-0000A0530000}"/>
    <cellStyle name="연결된 셀 23 6" xfId="21769" xr:uid="{00000000-0005-0000-0000-0000A1530000}"/>
    <cellStyle name="연결된 셀 23 7" xfId="21770" xr:uid="{00000000-0005-0000-0000-0000A2530000}"/>
    <cellStyle name="연결된 셀 23 8" xfId="21771" xr:uid="{00000000-0005-0000-0000-0000A3530000}"/>
    <cellStyle name="연결된 셀 23 9" xfId="21772" xr:uid="{00000000-0005-0000-0000-0000A4530000}"/>
    <cellStyle name="연결된 셀 24" xfId="2744" xr:uid="{00000000-0005-0000-0000-0000A5530000}"/>
    <cellStyle name="연결된 셀 24 10" xfId="21773" xr:uid="{00000000-0005-0000-0000-0000A6530000}"/>
    <cellStyle name="연결된 셀 24 11" xfId="21774" xr:uid="{00000000-0005-0000-0000-0000A7530000}"/>
    <cellStyle name="연결된 셀 24 12" xfId="21775" xr:uid="{00000000-0005-0000-0000-0000A8530000}"/>
    <cellStyle name="연결된 셀 24 13" xfId="21776" xr:uid="{00000000-0005-0000-0000-0000A9530000}"/>
    <cellStyle name="연결된 셀 24 14" xfId="21777" xr:uid="{00000000-0005-0000-0000-0000AA530000}"/>
    <cellStyle name="연결된 셀 24 2" xfId="2745" xr:uid="{00000000-0005-0000-0000-0000AB530000}"/>
    <cellStyle name="연결된 셀 24 3" xfId="21778" xr:uid="{00000000-0005-0000-0000-0000AC530000}"/>
    <cellStyle name="연결된 셀 24 4" xfId="21779" xr:uid="{00000000-0005-0000-0000-0000AD530000}"/>
    <cellStyle name="연결된 셀 24 5" xfId="21780" xr:uid="{00000000-0005-0000-0000-0000AE530000}"/>
    <cellStyle name="연결된 셀 24 6" xfId="21781" xr:uid="{00000000-0005-0000-0000-0000AF530000}"/>
    <cellStyle name="연결된 셀 24 7" xfId="21782" xr:uid="{00000000-0005-0000-0000-0000B0530000}"/>
    <cellStyle name="연결된 셀 24 8" xfId="21783" xr:uid="{00000000-0005-0000-0000-0000B1530000}"/>
    <cellStyle name="연결된 셀 24 9" xfId="21784" xr:uid="{00000000-0005-0000-0000-0000B2530000}"/>
    <cellStyle name="연결된 셀 25" xfId="2746" xr:uid="{00000000-0005-0000-0000-0000B3530000}"/>
    <cellStyle name="연결된 셀 25 10" xfId="21785" xr:uid="{00000000-0005-0000-0000-0000B4530000}"/>
    <cellStyle name="연결된 셀 25 11" xfId="21786" xr:uid="{00000000-0005-0000-0000-0000B5530000}"/>
    <cellStyle name="연결된 셀 25 12" xfId="21787" xr:uid="{00000000-0005-0000-0000-0000B6530000}"/>
    <cellStyle name="연결된 셀 25 13" xfId="21788" xr:uid="{00000000-0005-0000-0000-0000B7530000}"/>
    <cellStyle name="연결된 셀 25 14" xfId="21789" xr:uid="{00000000-0005-0000-0000-0000B8530000}"/>
    <cellStyle name="연결된 셀 25 2" xfId="2747" xr:uid="{00000000-0005-0000-0000-0000B9530000}"/>
    <cellStyle name="연결된 셀 25 3" xfId="21790" xr:uid="{00000000-0005-0000-0000-0000BA530000}"/>
    <cellStyle name="연결된 셀 25 4" xfId="21791" xr:uid="{00000000-0005-0000-0000-0000BB530000}"/>
    <cellStyle name="연결된 셀 25 5" xfId="21792" xr:uid="{00000000-0005-0000-0000-0000BC530000}"/>
    <cellStyle name="연결된 셀 25 6" xfId="21793" xr:uid="{00000000-0005-0000-0000-0000BD530000}"/>
    <cellStyle name="연결된 셀 25 7" xfId="21794" xr:uid="{00000000-0005-0000-0000-0000BE530000}"/>
    <cellStyle name="연결된 셀 25 8" xfId="21795" xr:uid="{00000000-0005-0000-0000-0000BF530000}"/>
    <cellStyle name="연결된 셀 25 9" xfId="21796" xr:uid="{00000000-0005-0000-0000-0000C0530000}"/>
    <cellStyle name="연결된 셀 26" xfId="2748" xr:uid="{00000000-0005-0000-0000-0000C1530000}"/>
    <cellStyle name="연결된 셀 26 10" xfId="21797" xr:uid="{00000000-0005-0000-0000-0000C2530000}"/>
    <cellStyle name="연결된 셀 26 11" xfId="21798" xr:uid="{00000000-0005-0000-0000-0000C3530000}"/>
    <cellStyle name="연결된 셀 26 12" xfId="21799" xr:uid="{00000000-0005-0000-0000-0000C4530000}"/>
    <cellStyle name="연결된 셀 26 13" xfId="21800" xr:uid="{00000000-0005-0000-0000-0000C5530000}"/>
    <cellStyle name="연결된 셀 26 14" xfId="21801" xr:uid="{00000000-0005-0000-0000-0000C6530000}"/>
    <cellStyle name="연결된 셀 26 2" xfId="2749" xr:uid="{00000000-0005-0000-0000-0000C7530000}"/>
    <cellStyle name="연결된 셀 26 3" xfId="21802" xr:uid="{00000000-0005-0000-0000-0000C8530000}"/>
    <cellStyle name="연결된 셀 26 4" xfId="21803" xr:uid="{00000000-0005-0000-0000-0000C9530000}"/>
    <cellStyle name="연결된 셀 26 5" xfId="21804" xr:uid="{00000000-0005-0000-0000-0000CA530000}"/>
    <cellStyle name="연결된 셀 26 6" xfId="21805" xr:uid="{00000000-0005-0000-0000-0000CB530000}"/>
    <cellStyle name="연결된 셀 26 7" xfId="21806" xr:uid="{00000000-0005-0000-0000-0000CC530000}"/>
    <cellStyle name="연결된 셀 26 8" xfId="21807" xr:uid="{00000000-0005-0000-0000-0000CD530000}"/>
    <cellStyle name="연결된 셀 26 9" xfId="21808" xr:uid="{00000000-0005-0000-0000-0000CE530000}"/>
    <cellStyle name="연결된 셀 27" xfId="2750" xr:uid="{00000000-0005-0000-0000-0000CF530000}"/>
    <cellStyle name="연결된 셀 27 10" xfId="21809" xr:uid="{00000000-0005-0000-0000-0000D0530000}"/>
    <cellStyle name="연결된 셀 27 11" xfId="21810" xr:uid="{00000000-0005-0000-0000-0000D1530000}"/>
    <cellStyle name="연결된 셀 27 12" xfId="21811" xr:uid="{00000000-0005-0000-0000-0000D2530000}"/>
    <cellStyle name="연결된 셀 27 13" xfId="21812" xr:uid="{00000000-0005-0000-0000-0000D3530000}"/>
    <cellStyle name="연결된 셀 27 14" xfId="21813" xr:uid="{00000000-0005-0000-0000-0000D4530000}"/>
    <cellStyle name="연결된 셀 27 2" xfId="2751" xr:uid="{00000000-0005-0000-0000-0000D5530000}"/>
    <cellStyle name="연결된 셀 27 3" xfId="21814" xr:uid="{00000000-0005-0000-0000-0000D6530000}"/>
    <cellStyle name="연결된 셀 27 4" xfId="21815" xr:uid="{00000000-0005-0000-0000-0000D7530000}"/>
    <cellStyle name="연결된 셀 27 5" xfId="21816" xr:uid="{00000000-0005-0000-0000-0000D8530000}"/>
    <cellStyle name="연결된 셀 27 6" xfId="21817" xr:uid="{00000000-0005-0000-0000-0000D9530000}"/>
    <cellStyle name="연결된 셀 27 7" xfId="21818" xr:uid="{00000000-0005-0000-0000-0000DA530000}"/>
    <cellStyle name="연결된 셀 27 8" xfId="21819" xr:uid="{00000000-0005-0000-0000-0000DB530000}"/>
    <cellStyle name="연결된 셀 27 9" xfId="21820" xr:uid="{00000000-0005-0000-0000-0000DC530000}"/>
    <cellStyle name="연결된 셀 28" xfId="2752" xr:uid="{00000000-0005-0000-0000-0000DD530000}"/>
    <cellStyle name="연결된 셀 28 10" xfId="21821" xr:uid="{00000000-0005-0000-0000-0000DE530000}"/>
    <cellStyle name="연결된 셀 28 11" xfId="21822" xr:uid="{00000000-0005-0000-0000-0000DF530000}"/>
    <cellStyle name="연결된 셀 28 12" xfId="21823" xr:uid="{00000000-0005-0000-0000-0000E0530000}"/>
    <cellStyle name="연결된 셀 28 13" xfId="21824" xr:uid="{00000000-0005-0000-0000-0000E1530000}"/>
    <cellStyle name="연결된 셀 28 14" xfId="21825" xr:uid="{00000000-0005-0000-0000-0000E2530000}"/>
    <cellStyle name="연결된 셀 28 2" xfId="2753" xr:uid="{00000000-0005-0000-0000-0000E3530000}"/>
    <cellStyle name="연결된 셀 28 3" xfId="21826" xr:uid="{00000000-0005-0000-0000-0000E4530000}"/>
    <cellStyle name="연결된 셀 28 4" xfId="21827" xr:uid="{00000000-0005-0000-0000-0000E5530000}"/>
    <cellStyle name="연결된 셀 28 5" xfId="21828" xr:uid="{00000000-0005-0000-0000-0000E6530000}"/>
    <cellStyle name="연결된 셀 28 6" xfId="21829" xr:uid="{00000000-0005-0000-0000-0000E7530000}"/>
    <cellStyle name="연결된 셀 28 7" xfId="21830" xr:uid="{00000000-0005-0000-0000-0000E8530000}"/>
    <cellStyle name="연결된 셀 28 8" xfId="21831" xr:uid="{00000000-0005-0000-0000-0000E9530000}"/>
    <cellStyle name="연결된 셀 28 9" xfId="21832" xr:uid="{00000000-0005-0000-0000-0000EA530000}"/>
    <cellStyle name="연결된 셀 29" xfId="2754" xr:uid="{00000000-0005-0000-0000-0000EB530000}"/>
    <cellStyle name="연결된 셀 29 10" xfId="21833" xr:uid="{00000000-0005-0000-0000-0000EC530000}"/>
    <cellStyle name="연결된 셀 29 11" xfId="21834" xr:uid="{00000000-0005-0000-0000-0000ED530000}"/>
    <cellStyle name="연결된 셀 29 12" xfId="21835" xr:uid="{00000000-0005-0000-0000-0000EE530000}"/>
    <cellStyle name="연결된 셀 29 13" xfId="21836" xr:uid="{00000000-0005-0000-0000-0000EF530000}"/>
    <cellStyle name="연결된 셀 29 14" xfId="21837" xr:uid="{00000000-0005-0000-0000-0000F0530000}"/>
    <cellStyle name="연결된 셀 29 2" xfId="2755" xr:uid="{00000000-0005-0000-0000-0000F1530000}"/>
    <cellStyle name="연결된 셀 29 3" xfId="21838" xr:uid="{00000000-0005-0000-0000-0000F2530000}"/>
    <cellStyle name="연결된 셀 29 4" xfId="21839" xr:uid="{00000000-0005-0000-0000-0000F3530000}"/>
    <cellStyle name="연결된 셀 29 5" xfId="21840" xr:uid="{00000000-0005-0000-0000-0000F4530000}"/>
    <cellStyle name="연결된 셀 29 6" xfId="21841" xr:uid="{00000000-0005-0000-0000-0000F5530000}"/>
    <cellStyle name="연결된 셀 29 7" xfId="21842" xr:uid="{00000000-0005-0000-0000-0000F6530000}"/>
    <cellStyle name="연결된 셀 29 8" xfId="21843" xr:uid="{00000000-0005-0000-0000-0000F7530000}"/>
    <cellStyle name="연결된 셀 29 9" xfId="21844" xr:uid="{00000000-0005-0000-0000-0000F8530000}"/>
    <cellStyle name="연결된 셀 3" xfId="2756" xr:uid="{00000000-0005-0000-0000-0000F9530000}"/>
    <cellStyle name="연결된 셀 3 10" xfId="21845" xr:uid="{00000000-0005-0000-0000-0000FA530000}"/>
    <cellStyle name="연결된 셀 3 11" xfId="21846" xr:uid="{00000000-0005-0000-0000-0000FB530000}"/>
    <cellStyle name="연결된 셀 3 12" xfId="21847" xr:uid="{00000000-0005-0000-0000-0000FC530000}"/>
    <cellStyle name="연결된 셀 3 13" xfId="21848" xr:uid="{00000000-0005-0000-0000-0000FD530000}"/>
    <cellStyle name="연결된 셀 3 14" xfId="21849" xr:uid="{00000000-0005-0000-0000-0000FE530000}"/>
    <cellStyle name="연결된 셀 3 15" xfId="28222" xr:uid="{00000000-0005-0000-0000-0000FF530000}"/>
    <cellStyle name="연결된 셀 3 2" xfId="2757" xr:uid="{00000000-0005-0000-0000-000000540000}"/>
    <cellStyle name="연결된 셀 3 3" xfId="21850" xr:uid="{00000000-0005-0000-0000-000001540000}"/>
    <cellStyle name="연결된 셀 3 4" xfId="21851" xr:uid="{00000000-0005-0000-0000-000002540000}"/>
    <cellStyle name="연결된 셀 3 5" xfId="21852" xr:uid="{00000000-0005-0000-0000-000003540000}"/>
    <cellStyle name="연결된 셀 3 6" xfId="21853" xr:uid="{00000000-0005-0000-0000-000004540000}"/>
    <cellStyle name="연결된 셀 3 7" xfId="21854" xr:uid="{00000000-0005-0000-0000-000005540000}"/>
    <cellStyle name="연결된 셀 3 8" xfId="21855" xr:uid="{00000000-0005-0000-0000-000006540000}"/>
    <cellStyle name="연결된 셀 3 9" xfId="21856" xr:uid="{00000000-0005-0000-0000-000007540000}"/>
    <cellStyle name="연결된 셀 30" xfId="2758" xr:uid="{00000000-0005-0000-0000-000008540000}"/>
    <cellStyle name="연결된 셀 30 10" xfId="21857" xr:uid="{00000000-0005-0000-0000-000009540000}"/>
    <cellStyle name="연결된 셀 30 11" xfId="21858" xr:uid="{00000000-0005-0000-0000-00000A540000}"/>
    <cellStyle name="연결된 셀 30 12" xfId="21859" xr:uid="{00000000-0005-0000-0000-00000B540000}"/>
    <cellStyle name="연결된 셀 30 13" xfId="21860" xr:uid="{00000000-0005-0000-0000-00000C540000}"/>
    <cellStyle name="연결된 셀 30 14" xfId="21861" xr:uid="{00000000-0005-0000-0000-00000D540000}"/>
    <cellStyle name="연결된 셀 30 2" xfId="2759" xr:uid="{00000000-0005-0000-0000-00000E540000}"/>
    <cellStyle name="연결된 셀 30 3" xfId="21862" xr:uid="{00000000-0005-0000-0000-00000F540000}"/>
    <cellStyle name="연결된 셀 30 4" xfId="21863" xr:uid="{00000000-0005-0000-0000-000010540000}"/>
    <cellStyle name="연결된 셀 30 5" xfId="21864" xr:uid="{00000000-0005-0000-0000-000011540000}"/>
    <cellStyle name="연결된 셀 30 6" xfId="21865" xr:uid="{00000000-0005-0000-0000-000012540000}"/>
    <cellStyle name="연결된 셀 30 7" xfId="21866" xr:uid="{00000000-0005-0000-0000-000013540000}"/>
    <cellStyle name="연결된 셀 30 8" xfId="21867" xr:uid="{00000000-0005-0000-0000-000014540000}"/>
    <cellStyle name="연결된 셀 30 9" xfId="21868" xr:uid="{00000000-0005-0000-0000-000015540000}"/>
    <cellStyle name="연결된 셀 31" xfId="2760" xr:uid="{00000000-0005-0000-0000-000016540000}"/>
    <cellStyle name="연결된 셀 31 10" xfId="21869" xr:uid="{00000000-0005-0000-0000-000017540000}"/>
    <cellStyle name="연결된 셀 31 11" xfId="21870" xr:uid="{00000000-0005-0000-0000-000018540000}"/>
    <cellStyle name="연결된 셀 31 12" xfId="21871" xr:uid="{00000000-0005-0000-0000-000019540000}"/>
    <cellStyle name="연결된 셀 31 13" xfId="21872" xr:uid="{00000000-0005-0000-0000-00001A540000}"/>
    <cellStyle name="연결된 셀 31 14" xfId="21873" xr:uid="{00000000-0005-0000-0000-00001B540000}"/>
    <cellStyle name="연결된 셀 31 2" xfId="2761" xr:uid="{00000000-0005-0000-0000-00001C540000}"/>
    <cellStyle name="연결된 셀 31 3" xfId="21874" xr:uid="{00000000-0005-0000-0000-00001D540000}"/>
    <cellStyle name="연결된 셀 31 4" xfId="21875" xr:uid="{00000000-0005-0000-0000-00001E540000}"/>
    <cellStyle name="연결된 셀 31 5" xfId="21876" xr:uid="{00000000-0005-0000-0000-00001F540000}"/>
    <cellStyle name="연결된 셀 31 6" xfId="21877" xr:uid="{00000000-0005-0000-0000-000020540000}"/>
    <cellStyle name="연결된 셀 31 7" xfId="21878" xr:uid="{00000000-0005-0000-0000-000021540000}"/>
    <cellStyle name="연결된 셀 31 8" xfId="21879" xr:uid="{00000000-0005-0000-0000-000022540000}"/>
    <cellStyle name="연결된 셀 31 9" xfId="21880" xr:uid="{00000000-0005-0000-0000-000023540000}"/>
    <cellStyle name="연결된 셀 32" xfId="2762" xr:uid="{00000000-0005-0000-0000-000024540000}"/>
    <cellStyle name="연결된 셀 32 10" xfId="21881" xr:uid="{00000000-0005-0000-0000-000025540000}"/>
    <cellStyle name="연결된 셀 32 11" xfId="21882" xr:uid="{00000000-0005-0000-0000-000026540000}"/>
    <cellStyle name="연결된 셀 32 12" xfId="21883" xr:uid="{00000000-0005-0000-0000-000027540000}"/>
    <cellStyle name="연결된 셀 32 13" xfId="21884" xr:uid="{00000000-0005-0000-0000-000028540000}"/>
    <cellStyle name="연결된 셀 32 14" xfId="21885" xr:uid="{00000000-0005-0000-0000-000029540000}"/>
    <cellStyle name="연결된 셀 32 2" xfId="2763" xr:uid="{00000000-0005-0000-0000-00002A540000}"/>
    <cellStyle name="연결된 셀 32 3" xfId="21886" xr:uid="{00000000-0005-0000-0000-00002B540000}"/>
    <cellStyle name="연결된 셀 32 4" xfId="21887" xr:uid="{00000000-0005-0000-0000-00002C540000}"/>
    <cellStyle name="연결된 셀 32 5" xfId="21888" xr:uid="{00000000-0005-0000-0000-00002D540000}"/>
    <cellStyle name="연결된 셀 32 6" xfId="21889" xr:uid="{00000000-0005-0000-0000-00002E540000}"/>
    <cellStyle name="연결된 셀 32 7" xfId="21890" xr:uid="{00000000-0005-0000-0000-00002F540000}"/>
    <cellStyle name="연결된 셀 32 8" xfId="21891" xr:uid="{00000000-0005-0000-0000-000030540000}"/>
    <cellStyle name="연결된 셀 32 9" xfId="21892" xr:uid="{00000000-0005-0000-0000-000031540000}"/>
    <cellStyle name="연결된 셀 33" xfId="2764" xr:uid="{00000000-0005-0000-0000-000032540000}"/>
    <cellStyle name="연결된 셀 33 10" xfId="21893" xr:uid="{00000000-0005-0000-0000-000033540000}"/>
    <cellStyle name="연결된 셀 33 11" xfId="21894" xr:uid="{00000000-0005-0000-0000-000034540000}"/>
    <cellStyle name="연결된 셀 33 12" xfId="21895" xr:uid="{00000000-0005-0000-0000-000035540000}"/>
    <cellStyle name="연결된 셀 33 13" xfId="21896" xr:uid="{00000000-0005-0000-0000-000036540000}"/>
    <cellStyle name="연결된 셀 33 14" xfId="21897" xr:uid="{00000000-0005-0000-0000-000037540000}"/>
    <cellStyle name="연결된 셀 33 2" xfId="2765" xr:uid="{00000000-0005-0000-0000-000038540000}"/>
    <cellStyle name="연결된 셀 33 3" xfId="21898" xr:uid="{00000000-0005-0000-0000-000039540000}"/>
    <cellStyle name="연결된 셀 33 4" xfId="21899" xr:uid="{00000000-0005-0000-0000-00003A540000}"/>
    <cellStyle name="연결된 셀 33 5" xfId="21900" xr:uid="{00000000-0005-0000-0000-00003B540000}"/>
    <cellStyle name="연결된 셀 33 6" xfId="21901" xr:uid="{00000000-0005-0000-0000-00003C540000}"/>
    <cellStyle name="연결된 셀 33 7" xfId="21902" xr:uid="{00000000-0005-0000-0000-00003D540000}"/>
    <cellStyle name="연결된 셀 33 8" xfId="21903" xr:uid="{00000000-0005-0000-0000-00003E540000}"/>
    <cellStyle name="연결된 셀 33 9" xfId="21904" xr:uid="{00000000-0005-0000-0000-00003F540000}"/>
    <cellStyle name="연결된 셀 34" xfId="2766" xr:uid="{00000000-0005-0000-0000-000040540000}"/>
    <cellStyle name="연결된 셀 34 10" xfId="21905" xr:uid="{00000000-0005-0000-0000-000041540000}"/>
    <cellStyle name="연결된 셀 34 11" xfId="21906" xr:uid="{00000000-0005-0000-0000-000042540000}"/>
    <cellStyle name="연결된 셀 34 12" xfId="21907" xr:uid="{00000000-0005-0000-0000-000043540000}"/>
    <cellStyle name="연결된 셀 34 13" xfId="21908" xr:uid="{00000000-0005-0000-0000-000044540000}"/>
    <cellStyle name="연결된 셀 34 14" xfId="21909" xr:uid="{00000000-0005-0000-0000-000045540000}"/>
    <cellStyle name="연결된 셀 34 2" xfId="2767" xr:uid="{00000000-0005-0000-0000-000046540000}"/>
    <cellStyle name="연결된 셀 34 3" xfId="21910" xr:uid="{00000000-0005-0000-0000-000047540000}"/>
    <cellStyle name="연결된 셀 34 4" xfId="21911" xr:uid="{00000000-0005-0000-0000-000048540000}"/>
    <cellStyle name="연결된 셀 34 5" xfId="21912" xr:uid="{00000000-0005-0000-0000-000049540000}"/>
    <cellStyle name="연결된 셀 34 6" xfId="21913" xr:uid="{00000000-0005-0000-0000-00004A540000}"/>
    <cellStyle name="연결된 셀 34 7" xfId="21914" xr:uid="{00000000-0005-0000-0000-00004B540000}"/>
    <cellStyle name="연결된 셀 34 8" xfId="21915" xr:uid="{00000000-0005-0000-0000-00004C540000}"/>
    <cellStyle name="연결된 셀 34 9" xfId="21916" xr:uid="{00000000-0005-0000-0000-00004D540000}"/>
    <cellStyle name="연결된 셀 35" xfId="2768" xr:uid="{00000000-0005-0000-0000-00004E540000}"/>
    <cellStyle name="연결된 셀 35 10" xfId="21917" xr:uid="{00000000-0005-0000-0000-00004F540000}"/>
    <cellStyle name="연결된 셀 35 11" xfId="21918" xr:uid="{00000000-0005-0000-0000-000050540000}"/>
    <cellStyle name="연결된 셀 35 12" xfId="21919" xr:uid="{00000000-0005-0000-0000-000051540000}"/>
    <cellStyle name="연결된 셀 35 13" xfId="21920" xr:uid="{00000000-0005-0000-0000-000052540000}"/>
    <cellStyle name="연결된 셀 35 14" xfId="21921" xr:uid="{00000000-0005-0000-0000-000053540000}"/>
    <cellStyle name="연결된 셀 35 2" xfId="2769" xr:uid="{00000000-0005-0000-0000-000054540000}"/>
    <cellStyle name="연결된 셀 35 3" xfId="21922" xr:uid="{00000000-0005-0000-0000-000055540000}"/>
    <cellStyle name="연결된 셀 35 4" xfId="21923" xr:uid="{00000000-0005-0000-0000-000056540000}"/>
    <cellStyle name="연결된 셀 35 5" xfId="21924" xr:uid="{00000000-0005-0000-0000-000057540000}"/>
    <cellStyle name="연결된 셀 35 6" xfId="21925" xr:uid="{00000000-0005-0000-0000-000058540000}"/>
    <cellStyle name="연결된 셀 35 7" xfId="21926" xr:uid="{00000000-0005-0000-0000-000059540000}"/>
    <cellStyle name="연결된 셀 35 8" xfId="21927" xr:uid="{00000000-0005-0000-0000-00005A540000}"/>
    <cellStyle name="연결된 셀 35 9" xfId="21928" xr:uid="{00000000-0005-0000-0000-00005B540000}"/>
    <cellStyle name="연결된 셀 36" xfId="2770" xr:uid="{00000000-0005-0000-0000-00005C540000}"/>
    <cellStyle name="연결된 셀 36 10" xfId="21929" xr:uid="{00000000-0005-0000-0000-00005D540000}"/>
    <cellStyle name="연결된 셀 36 11" xfId="21930" xr:uid="{00000000-0005-0000-0000-00005E540000}"/>
    <cellStyle name="연결된 셀 36 12" xfId="21931" xr:uid="{00000000-0005-0000-0000-00005F540000}"/>
    <cellStyle name="연결된 셀 36 13" xfId="21932" xr:uid="{00000000-0005-0000-0000-000060540000}"/>
    <cellStyle name="연결된 셀 36 14" xfId="21933" xr:uid="{00000000-0005-0000-0000-000061540000}"/>
    <cellStyle name="연결된 셀 36 2" xfId="2771" xr:uid="{00000000-0005-0000-0000-000062540000}"/>
    <cellStyle name="연결된 셀 36 3" xfId="21934" xr:uid="{00000000-0005-0000-0000-000063540000}"/>
    <cellStyle name="연결된 셀 36 4" xfId="21935" xr:uid="{00000000-0005-0000-0000-000064540000}"/>
    <cellStyle name="연결된 셀 36 5" xfId="21936" xr:uid="{00000000-0005-0000-0000-000065540000}"/>
    <cellStyle name="연결된 셀 36 6" xfId="21937" xr:uid="{00000000-0005-0000-0000-000066540000}"/>
    <cellStyle name="연결된 셀 36 7" xfId="21938" xr:uid="{00000000-0005-0000-0000-000067540000}"/>
    <cellStyle name="연결된 셀 36 8" xfId="21939" xr:uid="{00000000-0005-0000-0000-000068540000}"/>
    <cellStyle name="연결된 셀 36 9" xfId="21940" xr:uid="{00000000-0005-0000-0000-000069540000}"/>
    <cellStyle name="연결된 셀 37" xfId="2772" xr:uid="{00000000-0005-0000-0000-00006A540000}"/>
    <cellStyle name="연결된 셀 37 10" xfId="21941" xr:uid="{00000000-0005-0000-0000-00006B540000}"/>
    <cellStyle name="연결된 셀 37 11" xfId="21942" xr:uid="{00000000-0005-0000-0000-00006C540000}"/>
    <cellStyle name="연결된 셀 37 12" xfId="21943" xr:uid="{00000000-0005-0000-0000-00006D540000}"/>
    <cellStyle name="연결된 셀 37 13" xfId="21944" xr:uid="{00000000-0005-0000-0000-00006E540000}"/>
    <cellStyle name="연결된 셀 37 14" xfId="21945" xr:uid="{00000000-0005-0000-0000-00006F540000}"/>
    <cellStyle name="연결된 셀 37 2" xfId="2773" xr:uid="{00000000-0005-0000-0000-000070540000}"/>
    <cellStyle name="연결된 셀 37 3" xfId="21946" xr:uid="{00000000-0005-0000-0000-000071540000}"/>
    <cellStyle name="연결된 셀 37 4" xfId="21947" xr:uid="{00000000-0005-0000-0000-000072540000}"/>
    <cellStyle name="연결된 셀 37 5" xfId="21948" xr:uid="{00000000-0005-0000-0000-000073540000}"/>
    <cellStyle name="연결된 셀 37 6" xfId="21949" xr:uid="{00000000-0005-0000-0000-000074540000}"/>
    <cellStyle name="연결된 셀 37 7" xfId="21950" xr:uid="{00000000-0005-0000-0000-000075540000}"/>
    <cellStyle name="연결된 셀 37 8" xfId="21951" xr:uid="{00000000-0005-0000-0000-000076540000}"/>
    <cellStyle name="연결된 셀 37 9" xfId="21952" xr:uid="{00000000-0005-0000-0000-000077540000}"/>
    <cellStyle name="연결된 셀 38" xfId="2774" xr:uid="{00000000-0005-0000-0000-000078540000}"/>
    <cellStyle name="연결된 셀 38 10" xfId="21953" xr:uid="{00000000-0005-0000-0000-000079540000}"/>
    <cellStyle name="연결된 셀 38 11" xfId="21954" xr:uid="{00000000-0005-0000-0000-00007A540000}"/>
    <cellStyle name="연결된 셀 38 12" xfId="21955" xr:uid="{00000000-0005-0000-0000-00007B540000}"/>
    <cellStyle name="연결된 셀 38 13" xfId="21956" xr:uid="{00000000-0005-0000-0000-00007C540000}"/>
    <cellStyle name="연결된 셀 38 14" xfId="21957" xr:uid="{00000000-0005-0000-0000-00007D540000}"/>
    <cellStyle name="연결된 셀 38 2" xfId="2775" xr:uid="{00000000-0005-0000-0000-00007E540000}"/>
    <cellStyle name="연결된 셀 38 3" xfId="21958" xr:uid="{00000000-0005-0000-0000-00007F540000}"/>
    <cellStyle name="연결된 셀 38 4" xfId="21959" xr:uid="{00000000-0005-0000-0000-000080540000}"/>
    <cellStyle name="연결된 셀 38 5" xfId="21960" xr:uid="{00000000-0005-0000-0000-000081540000}"/>
    <cellStyle name="연결된 셀 38 6" xfId="21961" xr:uid="{00000000-0005-0000-0000-000082540000}"/>
    <cellStyle name="연결된 셀 38 7" xfId="21962" xr:uid="{00000000-0005-0000-0000-000083540000}"/>
    <cellStyle name="연결된 셀 38 8" xfId="21963" xr:uid="{00000000-0005-0000-0000-000084540000}"/>
    <cellStyle name="연결된 셀 38 9" xfId="21964" xr:uid="{00000000-0005-0000-0000-000085540000}"/>
    <cellStyle name="연결된 셀 39" xfId="2776" xr:uid="{00000000-0005-0000-0000-000086540000}"/>
    <cellStyle name="연결된 셀 39 10" xfId="21965" xr:uid="{00000000-0005-0000-0000-000087540000}"/>
    <cellStyle name="연결된 셀 39 11" xfId="21966" xr:uid="{00000000-0005-0000-0000-000088540000}"/>
    <cellStyle name="연결된 셀 39 12" xfId="21967" xr:uid="{00000000-0005-0000-0000-000089540000}"/>
    <cellStyle name="연결된 셀 39 13" xfId="21968" xr:uid="{00000000-0005-0000-0000-00008A540000}"/>
    <cellStyle name="연결된 셀 39 14" xfId="21969" xr:uid="{00000000-0005-0000-0000-00008B540000}"/>
    <cellStyle name="연결된 셀 39 2" xfId="2777" xr:uid="{00000000-0005-0000-0000-00008C540000}"/>
    <cellStyle name="연결된 셀 39 3" xfId="21970" xr:uid="{00000000-0005-0000-0000-00008D540000}"/>
    <cellStyle name="연결된 셀 39 4" xfId="21971" xr:uid="{00000000-0005-0000-0000-00008E540000}"/>
    <cellStyle name="연결된 셀 39 5" xfId="21972" xr:uid="{00000000-0005-0000-0000-00008F540000}"/>
    <cellStyle name="연결된 셀 39 6" xfId="21973" xr:uid="{00000000-0005-0000-0000-000090540000}"/>
    <cellStyle name="연결된 셀 39 7" xfId="21974" xr:uid="{00000000-0005-0000-0000-000091540000}"/>
    <cellStyle name="연결된 셀 39 8" xfId="21975" xr:uid="{00000000-0005-0000-0000-000092540000}"/>
    <cellStyle name="연결된 셀 39 9" xfId="21976" xr:uid="{00000000-0005-0000-0000-000093540000}"/>
    <cellStyle name="연결된 셀 4" xfId="2778" xr:uid="{00000000-0005-0000-0000-000094540000}"/>
    <cellStyle name="연결된 셀 4 10" xfId="21977" xr:uid="{00000000-0005-0000-0000-000095540000}"/>
    <cellStyle name="연결된 셀 4 11" xfId="21978" xr:uid="{00000000-0005-0000-0000-000096540000}"/>
    <cellStyle name="연결된 셀 4 12" xfId="21979" xr:uid="{00000000-0005-0000-0000-000097540000}"/>
    <cellStyle name="연결된 셀 4 13" xfId="21980" xr:uid="{00000000-0005-0000-0000-000098540000}"/>
    <cellStyle name="연결된 셀 4 14" xfId="21981" xr:uid="{00000000-0005-0000-0000-000099540000}"/>
    <cellStyle name="연결된 셀 4 15" xfId="27884" xr:uid="{00000000-0005-0000-0000-00009A540000}"/>
    <cellStyle name="연결된 셀 4 15 2" xfId="28282" xr:uid="{00000000-0005-0000-0000-00009B540000}"/>
    <cellStyle name="연결된 셀 4 2" xfId="2779" xr:uid="{00000000-0005-0000-0000-00009C540000}"/>
    <cellStyle name="연결된 셀 4 3" xfId="21982" xr:uid="{00000000-0005-0000-0000-00009D540000}"/>
    <cellStyle name="연결된 셀 4 4" xfId="21983" xr:uid="{00000000-0005-0000-0000-00009E540000}"/>
    <cellStyle name="연결된 셀 4 5" xfId="21984" xr:uid="{00000000-0005-0000-0000-00009F540000}"/>
    <cellStyle name="연결된 셀 4 6" xfId="21985" xr:uid="{00000000-0005-0000-0000-0000A0540000}"/>
    <cellStyle name="연결된 셀 4 7" xfId="21986" xr:uid="{00000000-0005-0000-0000-0000A1540000}"/>
    <cellStyle name="연결된 셀 4 8" xfId="21987" xr:uid="{00000000-0005-0000-0000-0000A2540000}"/>
    <cellStyle name="연결된 셀 4 9" xfId="21988" xr:uid="{00000000-0005-0000-0000-0000A3540000}"/>
    <cellStyle name="연결된 셀 40" xfId="2780" xr:uid="{00000000-0005-0000-0000-0000A4540000}"/>
    <cellStyle name="연결된 셀 40 10" xfId="21989" xr:uid="{00000000-0005-0000-0000-0000A5540000}"/>
    <cellStyle name="연결된 셀 40 11" xfId="21990" xr:uid="{00000000-0005-0000-0000-0000A6540000}"/>
    <cellStyle name="연결된 셀 40 12" xfId="21991" xr:uid="{00000000-0005-0000-0000-0000A7540000}"/>
    <cellStyle name="연결된 셀 40 13" xfId="21992" xr:uid="{00000000-0005-0000-0000-0000A8540000}"/>
    <cellStyle name="연결된 셀 40 14" xfId="21993" xr:uid="{00000000-0005-0000-0000-0000A9540000}"/>
    <cellStyle name="연결된 셀 40 2" xfId="2781" xr:uid="{00000000-0005-0000-0000-0000AA540000}"/>
    <cellStyle name="연결된 셀 40 3" xfId="21994" xr:uid="{00000000-0005-0000-0000-0000AB540000}"/>
    <cellStyle name="연결된 셀 40 4" xfId="21995" xr:uid="{00000000-0005-0000-0000-0000AC540000}"/>
    <cellStyle name="연결된 셀 40 5" xfId="21996" xr:uid="{00000000-0005-0000-0000-0000AD540000}"/>
    <cellStyle name="연결된 셀 40 6" xfId="21997" xr:uid="{00000000-0005-0000-0000-0000AE540000}"/>
    <cellStyle name="연결된 셀 40 7" xfId="21998" xr:uid="{00000000-0005-0000-0000-0000AF540000}"/>
    <cellStyle name="연결된 셀 40 8" xfId="21999" xr:uid="{00000000-0005-0000-0000-0000B0540000}"/>
    <cellStyle name="연결된 셀 40 9" xfId="22000" xr:uid="{00000000-0005-0000-0000-0000B1540000}"/>
    <cellStyle name="연결된 셀 41" xfId="2782" xr:uid="{00000000-0005-0000-0000-0000B2540000}"/>
    <cellStyle name="연결된 셀 41 10" xfId="22001" xr:uid="{00000000-0005-0000-0000-0000B3540000}"/>
    <cellStyle name="연결된 셀 41 11" xfId="22002" xr:uid="{00000000-0005-0000-0000-0000B4540000}"/>
    <cellStyle name="연결된 셀 41 12" xfId="22003" xr:uid="{00000000-0005-0000-0000-0000B5540000}"/>
    <cellStyle name="연결된 셀 41 13" xfId="22004" xr:uid="{00000000-0005-0000-0000-0000B6540000}"/>
    <cellStyle name="연결된 셀 41 14" xfId="22005" xr:uid="{00000000-0005-0000-0000-0000B7540000}"/>
    <cellStyle name="연결된 셀 41 2" xfId="2783" xr:uid="{00000000-0005-0000-0000-0000B8540000}"/>
    <cellStyle name="연결된 셀 41 3" xfId="22006" xr:uid="{00000000-0005-0000-0000-0000B9540000}"/>
    <cellStyle name="연결된 셀 41 4" xfId="22007" xr:uid="{00000000-0005-0000-0000-0000BA540000}"/>
    <cellStyle name="연결된 셀 41 5" xfId="22008" xr:uid="{00000000-0005-0000-0000-0000BB540000}"/>
    <cellStyle name="연결된 셀 41 6" xfId="22009" xr:uid="{00000000-0005-0000-0000-0000BC540000}"/>
    <cellStyle name="연결된 셀 41 7" xfId="22010" xr:uid="{00000000-0005-0000-0000-0000BD540000}"/>
    <cellStyle name="연결된 셀 41 8" xfId="22011" xr:uid="{00000000-0005-0000-0000-0000BE540000}"/>
    <cellStyle name="연결된 셀 41 9" xfId="22012" xr:uid="{00000000-0005-0000-0000-0000BF540000}"/>
    <cellStyle name="연결된 셀 42" xfId="2784" xr:uid="{00000000-0005-0000-0000-0000C0540000}"/>
    <cellStyle name="연결된 셀 42 10" xfId="22013" xr:uid="{00000000-0005-0000-0000-0000C1540000}"/>
    <cellStyle name="연결된 셀 42 11" xfId="22014" xr:uid="{00000000-0005-0000-0000-0000C2540000}"/>
    <cellStyle name="연결된 셀 42 12" xfId="22015" xr:uid="{00000000-0005-0000-0000-0000C3540000}"/>
    <cellStyle name="연결된 셀 42 13" xfId="22016" xr:uid="{00000000-0005-0000-0000-0000C4540000}"/>
    <cellStyle name="연결된 셀 42 14" xfId="22017" xr:uid="{00000000-0005-0000-0000-0000C5540000}"/>
    <cellStyle name="연결된 셀 42 2" xfId="2785" xr:uid="{00000000-0005-0000-0000-0000C6540000}"/>
    <cellStyle name="연결된 셀 42 3" xfId="22018" xr:uid="{00000000-0005-0000-0000-0000C7540000}"/>
    <cellStyle name="연결된 셀 42 4" xfId="22019" xr:uid="{00000000-0005-0000-0000-0000C8540000}"/>
    <cellStyle name="연결된 셀 42 5" xfId="22020" xr:uid="{00000000-0005-0000-0000-0000C9540000}"/>
    <cellStyle name="연결된 셀 42 6" xfId="22021" xr:uid="{00000000-0005-0000-0000-0000CA540000}"/>
    <cellStyle name="연결된 셀 42 7" xfId="22022" xr:uid="{00000000-0005-0000-0000-0000CB540000}"/>
    <cellStyle name="연결된 셀 42 8" xfId="22023" xr:uid="{00000000-0005-0000-0000-0000CC540000}"/>
    <cellStyle name="연결된 셀 42 9" xfId="22024" xr:uid="{00000000-0005-0000-0000-0000CD540000}"/>
    <cellStyle name="연결된 셀 43" xfId="2786" xr:uid="{00000000-0005-0000-0000-0000CE540000}"/>
    <cellStyle name="연결된 셀 43 10" xfId="22025" xr:uid="{00000000-0005-0000-0000-0000CF540000}"/>
    <cellStyle name="연결된 셀 43 11" xfId="22026" xr:uid="{00000000-0005-0000-0000-0000D0540000}"/>
    <cellStyle name="연결된 셀 43 12" xfId="22027" xr:uid="{00000000-0005-0000-0000-0000D1540000}"/>
    <cellStyle name="연결된 셀 43 13" xfId="22028" xr:uid="{00000000-0005-0000-0000-0000D2540000}"/>
    <cellStyle name="연결된 셀 43 14" xfId="22029" xr:uid="{00000000-0005-0000-0000-0000D3540000}"/>
    <cellStyle name="연결된 셀 43 2" xfId="2787" xr:uid="{00000000-0005-0000-0000-0000D4540000}"/>
    <cellStyle name="연결된 셀 43 3" xfId="22030" xr:uid="{00000000-0005-0000-0000-0000D5540000}"/>
    <cellStyle name="연결된 셀 43 4" xfId="22031" xr:uid="{00000000-0005-0000-0000-0000D6540000}"/>
    <cellStyle name="연결된 셀 43 5" xfId="22032" xr:uid="{00000000-0005-0000-0000-0000D7540000}"/>
    <cellStyle name="연결된 셀 43 6" xfId="22033" xr:uid="{00000000-0005-0000-0000-0000D8540000}"/>
    <cellStyle name="연결된 셀 43 7" xfId="22034" xr:uid="{00000000-0005-0000-0000-0000D9540000}"/>
    <cellStyle name="연결된 셀 43 8" xfId="22035" xr:uid="{00000000-0005-0000-0000-0000DA540000}"/>
    <cellStyle name="연결된 셀 43 9" xfId="22036" xr:uid="{00000000-0005-0000-0000-0000DB540000}"/>
    <cellStyle name="연결된 셀 44" xfId="2788" xr:uid="{00000000-0005-0000-0000-0000DC540000}"/>
    <cellStyle name="연결된 셀 45" xfId="2789" xr:uid="{00000000-0005-0000-0000-0000DD540000}"/>
    <cellStyle name="연결된 셀 46" xfId="2713" xr:uid="{00000000-0005-0000-0000-0000DE540000}"/>
    <cellStyle name="연결된 셀 5" xfId="2790" xr:uid="{00000000-0005-0000-0000-0000DF540000}"/>
    <cellStyle name="연결된 셀 5 10" xfId="22037" xr:uid="{00000000-0005-0000-0000-0000E0540000}"/>
    <cellStyle name="연결된 셀 5 11" xfId="22038" xr:uid="{00000000-0005-0000-0000-0000E1540000}"/>
    <cellStyle name="연결된 셀 5 12" xfId="22039" xr:uid="{00000000-0005-0000-0000-0000E2540000}"/>
    <cellStyle name="연결된 셀 5 13" xfId="22040" xr:uid="{00000000-0005-0000-0000-0000E3540000}"/>
    <cellStyle name="연결된 셀 5 14" xfId="22041" xr:uid="{00000000-0005-0000-0000-0000E4540000}"/>
    <cellStyle name="연결된 셀 5 2" xfId="2791" xr:uid="{00000000-0005-0000-0000-0000E5540000}"/>
    <cellStyle name="연결된 셀 5 3" xfId="22042" xr:uid="{00000000-0005-0000-0000-0000E6540000}"/>
    <cellStyle name="연결된 셀 5 4" xfId="22043" xr:uid="{00000000-0005-0000-0000-0000E7540000}"/>
    <cellStyle name="연결된 셀 5 5" xfId="22044" xr:uid="{00000000-0005-0000-0000-0000E8540000}"/>
    <cellStyle name="연결된 셀 5 6" xfId="22045" xr:uid="{00000000-0005-0000-0000-0000E9540000}"/>
    <cellStyle name="연결된 셀 5 7" xfId="22046" xr:uid="{00000000-0005-0000-0000-0000EA540000}"/>
    <cellStyle name="연결된 셀 5 8" xfId="22047" xr:uid="{00000000-0005-0000-0000-0000EB540000}"/>
    <cellStyle name="연결된 셀 5 9" xfId="22048" xr:uid="{00000000-0005-0000-0000-0000EC540000}"/>
    <cellStyle name="연결된 셀 6" xfId="2792" xr:uid="{00000000-0005-0000-0000-0000ED540000}"/>
    <cellStyle name="연결된 셀 6 10" xfId="22049" xr:uid="{00000000-0005-0000-0000-0000EE540000}"/>
    <cellStyle name="연결된 셀 6 11" xfId="22050" xr:uid="{00000000-0005-0000-0000-0000EF540000}"/>
    <cellStyle name="연결된 셀 6 12" xfId="22051" xr:uid="{00000000-0005-0000-0000-0000F0540000}"/>
    <cellStyle name="연결된 셀 6 13" xfId="22052" xr:uid="{00000000-0005-0000-0000-0000F1540000}"/>
    <cellStyle name="연결된 셀 6 14" xfId="22053" xr:uid="{00000000-0005-0000-0000-0000F2540000}"/>
    <cellStyle name="연결된 셀 6 2" xfId="2793" xr:uid="{00000000-0005-0000-0000-0000F3540000}"/>
    <cellStyle name="연결된 셀 6 3" xfId="22054" xr:uid="{00000000-0005-0000-0000-0000F4540000}"/>
    <cellStyle name="연결된 셀 6 4" xfId="22055" xr:uid="{00000000-0005-0000-0000-0000F5540000}"/>
    <cellStyle name="연결된 셀 6 5" xfId="22056" xr:uid="{00000000-0005-0000-0000-0000F6540000}"/>
    <cellStyle name="연결된 셀 6 6" xfId="22057" xr:uid="{00000000-0005-0000-0000-0000F7540000}"/>
    <cellStyle name="연결된 셀 6 7" xfId="22058" xr:uid="{00000000-0005-0000-0000-0000F8540000}"/>
    <cellStyle name="연결된 셀 6 8" xfId="22059" xr:uid="{00000000-0005-0000-0000-0000F9540000}"/>
    <cellStyle name="연결된 셀 6 9" xfId="22060" xr:uid="{00000000-0005-0000-0000-0000FA540000}"/>
    <cellStyle name="연결된 셀 7" xfId="2794" xr:uid="{00000000-0005-0000-0000-0000FB540000}"/>
    <cellStyle name="연결된 셀 7 10" xfId="22061" xr:uid="{00000000-0005-0000-0000-0000FC540000}"/>
    <cellStyle name="연결된 셀 7 11" xfId="22062" xr:uid="{00000000-0005-0000-0000-0000FD540000}"/>
    <cellStyle name="연결된 셀 7 12" xfId="22063" xr:uid="{00000000-0005-0000-0000-0000FE540000}"/>
    <cellStyle name="연결된 셀 7 13" xfId="22064" xr:uid="{00000000-0005-0000-0000-0000FF540000}"/>
    <cellStyle name="연결된 셀 7 14" xfId="22065" xr:uid="{00000000-0005-0000-0000-000000550000}"/>
    <cellStyle name="연결된 셀 7 2" xfId="2795" xr:uid="{00000000-0005-0000-0000-000001550000}"/>
    <cellStyle name="연결된 셀 7 3" xfId="22066" xr:uid="{00000000-0005-0000-0000-000002550000}"/>
    <cellStyle name="연결된 셀 7 4" xfId="22067" xr:uid="{00000000-0005-0000-0000-000003550000}"/>
    <cellStyle name="연결된 셀 7 5" xfId="22068" xr:uid="{00000000-0005-0000-0000-000004550000}"/>
    <cellStyle name="연결된 셀 7 6" xfId="22069" xr:uid="{00000000-0005-0000-0000-000005550000}"/>
    <cellStyle name="연결된 셀 7 7" xfId="22070" xr:uid="{00000000-0005-0000-0000-000006550000}"/>
    <cellStyle name="연결된 셀 7 8" xfId="22071" xr:uid="{00000000-0005-0000-0000-000007550000}"/>
    <cellStyle name="연결된 셀 7 9" xfId="22072" xr:uid="{00000000-0005-0000-0000-000008550000}"/>
    <cellStyle name="연결된 셀 8" xfId="2796" xr:uid="{00000000-0005-0000-0000-000009550000}"/>
    <cellStyle name="연결된 셀 8 10" xfId="22073" xr:uid="{00000000-0005-0000-0000-00000A550000}"/>
    <cellStyle name="연결된 셀 8 11" xfId="22074" xr:uid="{00000000-0005-0000-0000-00000B550000}"/>
    <cellStyle name="연결된 셀 8 12" xfId="22075" xr:uid="{00000000-0005-0000-0000-00000C550000}"/>
    <cellStyle name="연결된 셀 8 13" xfId="22076" xr:uid="{00000000-0005-0000-0000-00000D550000}"/>
    <cellStyle name="연결된 셀 8 14" xfId="22077" xr:uid="{00000000-0005-0000-0000-00000E550000}"/>
    <cellStyle name="연결된 셀 8 2" xfId="2797" xr:uid="{00000000-0005-0000-0000-00000F550000}"/>
    <cellStyle name="연결된 셀 8 3" xfId="22078" xr:uid="{00000000-0005-0000-0000-000010550000}"/>
    <cellStyle name="연결된 셀 8 4" xfId="22079" xr:uid="{00000000-0005-0000-0000-000011550000}"/>
    <cellStyle name="연결된 셀 8 5" xfId="22080" xr:uid="{00000000-0005-0000-0000-000012550000}"/>
    <cellStyle name="연결된 셀 8 6" xfId="22081" xr:uid="{00000000-0005-0000-0000-000013550000}"/>
    <cellStyle name="연결된 셀 8 7" xfId="22082" xr:uid="{00000000-0005-0000-0000-000014550000}"/>
    <cellStyle name="연결된 셀 8 8" xfId="22083" xr:uid="{00000000-0005-0000-0000-000015550000}"/>
    <cellStyle name="연결된 셀 8 9" xfId="22084" xr:uid="{00000000-0005-0000-0000-000016550000}"/>
    <cellStyle name="연결된 셀 9" xfId="2798" xr:uid="{00000000-0005-0000-0000-000017550000}"/>
    <cellStyle name="연결된 셀 9 10" xfId="22085" xr:uid="{00000000-0005-0000-0000-000018550000}"/>
    <cellStyle name="연결된 셀 9 11" xfId="22086" xr:uid="{00000000-0005-0000-0000-000019550000}"/>
    <cellStyle name="연결된 셀 9 12" xfId="22087" xr:uid="{00000000-0005-0000-0000-00001A550000}"/>
    <cellStyle name="연결된 셀 9 13" xfId="22088" xr:uid="{00000000-0005-0000-0000-00001B550000}"/>
    <cellStyle name="연결된 셀 9 14" xfId="22089" xr:uid="{00000000-0005-0000-0000-00001C550000}"/>
    <cellStyle name="연결된 셀 9 2" xfId="2799" xr:uid="{00000000-0005-0000-0000-00001D550000}"/>
    <cellStyle name="연결된 셀 9 3" xfId="22090" xr:uid="{00000000-0005-0000-0000-00001E550000}"/>
    <cellStyle name="연결된 셀 9 4" xfId="22091" xr:uid="{00000000-0005-0000-0000-00001F550000}"/>
    <cellStyle name="연결된 셀 9 5" xfId="22092" xr:uid="{00000000-0005-0000-0000-000020550000}"/>
    <cellStyle name="연결된 셀 9 6" xfId="22093" xr:uid="{00000000-0005-0000-0000-000021550000}"/>
    <cellStyle name="연결된 셀 9 7" xfId="22094" xr:uid="{00000000-0005-0000-0000-000022550000}"/>
    <cellStyle name="연결된 셀 9 8" xfId="22095" xr:uid="{00000000-0005-0000-0000-000023550000}"/>
    <cellStyle name="연결된 셀 9 9" xfId="22096" xr:uid="{00000000-0005-0000-0000-000024550000}"/>
    <cellStyle name="요약 10" xfId="2801" xr:uid="{00000000-0005-0000-0000-000025550000}"/>
    <cellStyle name="요약 10 10" xfId="22099" xr:uid="{00000000-0005-0000-0000-000026550000}"/>
    <cellStyle name="요약 10 11" xfId="22100" xr:uid="{00000000-0005-0000-0000-000027550000}"/>
    <cellStyle name="요약 10 12" xfId="22101" xr:uid="{00000000-0005-0000-0000-000028550000}"/>
    <cellStyle name="요약 10 13" xfId="22102" xr:uid="{00000000-0005-0000-0000-000029550000}"/>
    <cellStyle name="요약 10 14" xfId="22103" xr:uid="{00000000-0005-0000-0000-00002A550000}"/>
    <cellStyle name="요약 10 15" xfId="22098" xr:uid="{00000000-0005-0000-0000-00002B550000}"/>
    <cellStyle name="요약 10 2" xfId="2802" xr:uid="{00000000-0005-0000-0000-00002C550000}"/>
    <cellStyle name="요약 10 2 2" xfId="22104" xr:uid="{00000000-0005-0000-0000-00002D550000}"/>
    <cellStyle name="요약 10 3" xfId="22105" xr:uid="{00000000-0005-0000-0000-00002E550000}"/>
    <cellStyle name="요약 10 4" xfId="22106" xr:uid="{00000000-0005-0000-0000-00002F550000}"/>
    <cellStyle name="요약 10 5" xfId="22107" xr:uid="{00000000-0005-0000-0000-000030550000}"/>
    <cellStyle name="요약 10 6" xfId="22108" xr:uid="{00000000-0005-0000-0000-000031550000}"/>
    <cellStyle name="요약 10 7" xfId="22109" xr:uid="{00000000-0005-0000-0000-000032550000}"/>
    <cellStyle name="요약 10 8" xfId="22110" xr:uid="{00000000-0005-0000-0000-000033550000}"/>
    <cellStyle name="요약 10 9" xfId="22111" xr:uid="{00000000-0005-0000-0000-000034550000}"/>
    <cellStyle name="요약 11" xfId="2803" xr:uid="{00000000-0005-0000-0000-000035550000}"/>
    <cellStyle name="요약 11 10" xfId="22113" xr:uid="{00000000-0005-0000-0000-000036550000}"/>
    <cellStyle name="요약 11 11" xfId="22114" xr:uid="{00000000-0005-0000-0000-000037550000}"/>
    <cellStyle name="요약 11 12" xfId="22115" xr:uid="{00000000-0005-0000-0000-000038550000}"/>
    <cellStyle name="요약 11 13" xfId="22116" xr:uid="{00000000-0005-0000-0000-000039550000}"/>
    <cellStyle name="요약 11 14" xfId="22117" xr:uid="{00000000-0005-0000-0000-00003A550000}"/>
    <cellStyle name="요약 11 15" xfId="22112" xr:uid="{00000000-0005-0000-0000-00003B550000}"/>
    <cellStyle name="요약 11 2" xfId="2804" xr:uid="{00000000-0005-0000-0000-00003C550000}"/>
    <cellStyle name="요약 11 2 2" xfId="22118" xr:uid="{00000000-0005-0000-0000-00003D550000}"/>
    <cellStyle name="요약 11 3" xfId="22119" xr:uid="{00000000-0005-0000-0000-00003E550000}"/>
    <cellStyle name="요약 11 4" xfId="22120" xr:uid="{00000000-0005-0000-0000-00003F550000}"/>
    <cellStyle name="요약 11 5" xfId="22121" xr:uid="{00000000-0005-0000-0000-000040550000}"/>
    <cellStyle name="요약 11 6" xfId="22122" xr:uid="{00000000-0005-0000-0000-000041550000}"/>
    <cellStyle name="요약 11 7" xfId="22123" xr:uid="{00000000-0005-0000-0000-000042550000}"/>
    <cellStyle name="요약 11 8" xfId="22124" xr:uid="{00000000-0005-0000-0000-000043550000}"/>
    <cellStyle name="요약 11 9" xfId="22125" xr:uid="{00000000-0005-0000-0000-000044550000}"/>
    <cellStyle name="요약 12" xfId="2805" xr:uid="{00000000-0005-0000-0000-000045550000}"/>
    <cellStyle name="요약 12 10" xfId="22127" xr:uid="{00000000-0005-0000-0000-000046550000}"/>
    <cellStyle name="요약 12 11" xfId="22128" xr:uid="{00000000-0005-0000-0000-000047550000}"/>
    <cellStyle name="요약 12 12" xfId="22129" xr:uid="{00000000-0005-0000-0000-000048550000}"/>
    <cellStyle name="요약 12 13" xfId="22130" xr:uid="{00000000-0005-0000-0000-000049550000}"/>
    <cellStyle name="요약 12 14" xfId="22131" xr:uid="{00000000-0005-0000-0000-00004A550000}"/>
    <cellStyle name="요약 12 15" xfId="22126" xr:uid="{00000000-0005-0000-0000-00004B550000}"/>
    <cellStyle name="요약 12 2" xfId="2806" xr:uid="{00000000-0005-0000-0000-00004C550000}"/>
    <cellStyle name="요약 12 2 2" xfId="22132" xr:uid="{00000000-0005-0000-0000-00004D550000}"/>
    <cellStyle name="요약 12 3" xfId="22133" xr:uid="{00000000-0005-0000-0000-00004E550000}"/>
    <cellStyle name="요약 12 4" xfId="22134" xr:uid="{00000000-0005-0000-0000-00004F550000}"/>
    <cellStyle name="요약 12 5" xfId="22135" xr:uid="{00000000-0005-0000-0000-000050550000}"/>
    <cellStyle name="요약 12 6" xfId="22136" xr:uid="{00000000-0005-0000-0000-000051550000}"/>
    <cellStyle name="요약 12 7" xfId="22137" xr:uid="{00000000-0005-0000-0000-000052550000}"/>
    <cellStyle name="요약 12 8" xfId="22138" xr:uid="{00000000-0005-0000-0000-000053550000}"/>
    <cellStyle name="요약 12 9" xfId="22139" xr:uid="{00000000-0005-0000-0000-000054550000}"/>
    <cellStyle name="요약 13" xfId="2807" xr:uid="{00000000-0005-0000-0000-000055550000}"/>
    <cellStyle name="요약 13 10" xfId="22141" xr:uid="{00000000-0005-0000-0000-000056550000}"/>
    <cellStyle name="요약 13 11" xfId="22142" xr:uid="{00000000-0005-0000-0000-000057550000}"/>
    <cellStyle name="요약 13 12" xfId="22143" xr:uid="{00000000-0005-0000-0000-000058550000}"/>
    <cellStyle name="요약 13 13" xfId="22144" xr:uid="{00000000-0005-0000-0000-000059550000}"/>
    <cellStyle name="요약 13 14" xfId="22145" xr:uid="{00000000-0005-0000-0000-00005A550000}"/>
    <cellStyle name="요약 13 15" xfId="22140" xr:uid="{00000000-0005-0000-0000-00005B550000}"/>
    <cellStyle name="요약 13 2" xfId="2808" xr:uid="{00000000-0005-0000-0000-00005C550000}"/>
    <cellStyle name="요약 13 2 2" xfId="22146" xr:uid="{00000000-0005-0000-0000-00005D550000}"/>
    <cellStyle name="요약 13 3" xfId="22147" xr:uid="{00000000-0005-0000-0000-00005E550000}"/>
    <cellStyle name="요약 13 4" xfId="22148" xr:uid="{00000000-0005-0000-0000-00005F550000}"/>
    <cellStyle name="요약 13 5" xfId="22149" xr:uid="{00000000-0005-0000-0000-000060550000}"/>
    <cellStyle name="요약 13 6" xfId="22150" xr:uid="{00000000-0005-0000-0000-000061550000}"/>
    <cellStyle name="요약 13 7" xfId="22151" xr:uid="{00000000-0005-0000-0000-000062550000}"/>
    <cellStyle name="요약 13 8" xfId="22152" xr:uid="{00000000-0005-0000-0000-000063550000}"/>
    <cellStyle name="요약 13 9" xfId="22153" xr:uid="{00000000-0005-0000-0000-000064550000}"/>
    <cellStyle name="요약 14" xfId="2809" xr:uid="{00000000-0005-0000-0000-000065550000}"/>
    <cellStyle name="요약 14 10" xfId="22155" xr:uid="{00000000-0005-0000-0000-000066550000}"/>
    <cellStyle name="요약 14 11" xfId="22156" xr:uid="{00000000-0005-0000-0000-000067550000}"/>
    <cellStyle name="요약 14 12" xfId="22157" xr:uid="{00000000-0005-0000-0000-000068550000}"/>
    <cellStyle name="요약 14 13" xfId="22158" xr:uid="{00000000-0005-0000-0000-000069550000}"/>
    <cellStyle name="요약 14 14" xfId="22159" xr:uid="{00000000-0005-0000-0000-00006A550000}"/>
    <cellStyle name="요약 14 15" xfId="22154" xr:uid="{00000000-0005-0000-0000-00006B550000}"/>
    <cellStyle name="요약 14 2" xfId="2810" xr:uid="{00000000-0005-0000-0000-00006C550000}"/>
    <cellStyle name="요약 14 2 2" xfId="22160" xr:uid="{00000000-0005-0000-0000-00006D550000}"/>
    <cellStyle name="요약 14 3" xfId="22161" xr:uid="{00000000-0005-0000-0000-00006E550000}"/>
    <cellStyle name="요약 14 4" xfId="22162" xr:uid="{00000000-0005-0000-0000-00006F550000}"/>
    <cellStyle name="요약 14 5" xfId="22163" xr:uid="{00000000-0005-0000-0000-000070550000}"/>
    <cellStyle name="요약 14 6" xfId="22164" xr:uid="{00000000-0005-0000-0000-000071550000}"/>
    <cellStyle name="요약 14 7" xfId="22165" xr:uid="{00000000-0005-0000-0000-000072550000}"/>
    <cellStyle name="요약 14 8" xfId="22166" xr:uid="{00000000-0005-0000-0000-000073550000}"/>
    <cellStyle name="요약 14 9" xfId="22167" xr:uid="{00000000-0005-0000-0000-000074550000}"/>
    <cellStyle name="요약 15" xfId="2811" xr:uid="{00000000-0005-0000-0000-000075550000}"/>
    <cellStyle name="요약 15 10" xfId="22169" xr:uid="{00000000-0005-0000-0000-000076550000}"/>
    <cellStyle name="요약 15 11" xfId="22170" xr:uid="{00000000-0005-0000-0000-000077550000}"/>
    <cellStyle name="요약 15 12" xfId="22171" xr:uid="{00000000-0005-0000-0000-000078550000}"/>
    <cellStyle name="요약 15 13" xfId="22172" xr:uid="{00000000-0005-0000-0000-000079550000}"/>
    <cellStyle name="요약 15 14" xfId="22173" xr:uid="{00000000-0005-0000-0000-00007A550000}"/>
    <cellStyle name="요약 15 15" xfId="22168" xr:uid="{00000000-0005-0000-0000-00007B550000}"/>
    <cellStyle name="요약 15 2" xfId="2812" xr:uid="{00000000-0005-0000-0000-00007C550000}"/>
    <cellStyle name="요약 15 2 2" xfId="22174" xr:uid="{00000000-0005-0000-0000-00007D550000}"/>
    <cellStyle name="요약 15 3" xfId="22175" xr:uid="{00000000-0005-0000-0000-00007E550000}"/>
    <cellStyle name="요약 15 4" xfId="22176" xr:uid="{00000000-0005-0000-0000-00007F550000}"/>
    <cellStyle name="요약 15 5" xfId="22177" xr:uid="{00000000-0005-0000-0000-000080550000}"/>
    <cellStyle name="요약 15 6" xfId="22178" xr:uid="{00000000-0005-0000-0000-000081550000}"/>
    <cellStyle name="요약 15 7" xfId="22179" xr:uid="{00000000-0005-0000-0000-000082550000}"/>
    <cellStyle name="요약 15 8" xfId="22180" xr:uid="{00000000-0005-0000-0000-000083550000}"/>
    <cellStyle name="요약 15 9" xfId="22181" xr:uid="{00000000-0005-0000-0000-000084550000}"/>
    <cellStyle name="요약 16" xfId="2813" xr:uid="{00000000-0005-0000-0000-000085550000}"/>
    <cellStyle name="요약 16 10" xfId="22183" xr:uid="{00000000-0005-0000-0000-000086550000}"/>
    <cellStyle name="요약 16 11" xfId="22184" xr:uid="{00000000-0005-0000-0000-000087550000}"/>
    <cellStyle name="요약 16 12" xfId="22185" xr:uid="{00000000-0005-0000-0000-000088550000}"/>
    <cellStyle name="요약 16 13" xfId="22186" xr:uid="{00000000-0005-0000-0000-000089550000}"/>
    <cellStyle name="요약 16 14" xfId="22187" xr:uid="{00000000-0005-0000-0000-00008A550000}"/>
    <cellStyle name="요약 16 15" xfId="22182" xr:uid="{00000000-0005-0000-0000-00008B550000}"/>
    <cellStyle name="요약 16 2" xfId="2814" xr:uid="{00000000-0005-0000-0000-00008C550000}"/>
    <cellStyle name="요약 16 2 2" xfId="22188" xr:uid="{00000000-0005-0000-0000-00008D550000}"/>
    <cellStyle name="요약 16 3" xfId="22189" xr:uid="{00000000-0005-0000-0000-00008E550000}"/>
    <cellStyle name="요약 16 4" xfId="22190" xr:uid="{00000000-0005-0000-0000-00008F550000}"/>
    <cellStyle name="요약 16 5" xfId="22191" xr:uid="{00000000-0005-0000-0000-000090550000}"/>
    <cellStyle name="요약 16 6" xfId="22192" xr:uid="{00000000-0005-0000-0000-000091550000}"/>
    <cellStyle name="요약 16 7" xfId="22193" xr:uid="{00000000-0005-0000-0000-000092550000}"/>
    <cellStyle name="요약 16 8" xfId="22194" xr:uid="{00000000-0005-0000-0000-000093550000}"/>
    <cellStyle name="요약 16 9" xfId="22195" xr:uid="{00000000-0005-0000-0000-000094550000}"/>
    <cellStyle name="요약 17" xfId="2815" xr:uid="{00000000-0005-0000-0000-000095550000}"/>
    <cellStyle name="요약 17 10" xfId="22197" xr:uid="{00000000-0005-0000-0000-000096550000}"/>
    <cellStyle name="요약 17 11" xfId="22198" xr:uid="{00000000-0005-0000-0000-000097550000}"/>
    <cellStyle name="요약 17 12" xfId="22199" xr:uid="{00000000-0005-0000-0000-000098550000}"/>
    <cellStyle name="요약 17 13" xfId="22200" xr:uid="{00000000-0005-0000-0000-000099550000}"/>
    <cellStyle name="요약 17 14" xfId="22201" xr:uid="{00000000-0005-0000-0000-00009A550000}"/>
    <cellStyle name="요약 17 15" xfId="22196" xr:uid="{00000000-0005-0000-0000-00009B550000}"/>
    <cellStyle name="요약 17 2" xfId="2816" xr:uid="{00000000-0005-0000-0000-00009C550000}"/>
    <cellStyle name="요약 17 2 2" xfId="22202" xr:uid="{00000000-0005-0000-0000-00009D550000}"/>
    <cellStyle name="요약 17 3" xfId="22203" xr:uid="{00000000-0005-0000-0000-00009E550000}"/>
    <cellStyle name="요약 17 4" xfId="22204" xr:uid="{00000000-0005-0000-0000-00009F550000}"/>
    <cellStyle name="요약 17 5" xfId="22205" xr:uid="{00000000-0005-0000-0000-0000A0550000}"/>
    <cellStyle name="요약 17 6" xfId="22206" xr:uid="{00000000-0005-0000-0000-0000A1550000}"/>
    <cellStyle name="요약 17 7" xfId="22207" xr:uid="{00000000-0005-0000-0000-0000A2550000}"/>
    <cellStyle name="요약 17 8" xfId="22208" xr:uid="{00000000-0005-0000-0000-0000A3550000}"/>
    <cellStyle name="요약 17 9" xfId="22209" xr:uid="{00000000-0005-0000-0000-0000A4550000}"/>
    <cellStyle name="요약 18" xfId="2817" xr:uid="{00000000-0005-0000-0000-0000A5550000}"/>
    <cellStyle name="요약 18 10" xfId="22211" xr:uid="{00000000-0005-0000-0000-0000A6550000}"/>
    <cellStyle name="요약 18 11" xfId="22212" xr:uid="{00000000-0005-0000-0000-0000A7550000}"/>
    <cellStyle name="요약 18 12" xfId="22213" xr:uid="{00000000-0005-0000-0000-0000A8550000}"/>
    <cellStyle name="요약 18 13" xfId="22214" xr:uid="{00000000-0005-0000-0000-0000A9550000}"/>
    <cellStyle name="요약 18 14" xfId="22215" xr:uid="{00000000-0005-0000-0000-0000AA550000}"/>
    <cellStyle name="요약 18 15" xfId="22210" xr:uid="{00000000-0005-0000-0000-0000AB550000}"/>
    <cellStyle name="요약 18 2" xfId="2818" xr:uid="{00000000-0005-0000-0000-0000AC550000}"/>
    <cellStyle name="요약 18 2 2" xfId="22216" xr:uid="{00000000-0005-0000-0000-0000AD550000}"/>
    <cellStyle name="요약 18 3" xfId="22217" xr:uid="{00000000-0005-0000-0000-0000AE550000}"/>
    <cellStyle name="요약 18 4" xfId="22218" xr:uid="{00000000-0005-0000-0000-0000AF550000}"/>
    <cellStyle name="요약 18 5" xfId="22219" xr:uid="{00000000-0005-0000-0000-0000B0550000}"/>
    <cellStyle name="요약 18 6" xfId="22220" xr:uid="{00000000-0005-0000-0000-0000B1550000}"/>
    <cellStyle name="요약 18 7" xfId="22221" xr:uid="{00000000-0005-0000-0000-0000B2550000}"/>
    <cellStyle name="요약 18 8" xfId="22222" xr:uid="{00000000-0005-0000-0000-0000B3550000}"/>
    <cellStyle name="요약 18 9" xfId="22223" xr:uid="{00000000-0005-0000-0000-0000B4550000}"/>
    <cellStyle name="요약 19" xfId="2819" xr:uid="{00000000-0005-0000-0000-0000B5550000}"/>
    <cellStyle name="요약 19 10" xfId="22225" xr:uid="{00000000-0005-0000-0000-0000B6550000}"/>
    <cellStyle name="요약 19 11" xfId="22226" xr:uid="{00000000-0005-0000-0000-0000B7550000}"/>
    <cellStyle name="요약 19 12" xfId="22227" xr:uid="{00000000-0005-0000-0000-0000B8550000}"/>
    <cellStyle name="요약 19 13" xfId="22228" xr:uid="{00000000-0005-0000-0000-0000B9550000}"/>
    <cellStyle name="요약 19 14" xfId="22229" xr:uid="{00000000-0005-0000-0000-0000BA550000}"/>
    <cellStyle name="요약 19 15" xfId="22224" xr:uid="{00000000-0005-0000-0000-0000BB550000}"/>
    <cellStyle name="요약 19 2" xfId="2820" xr:uid="{00000000-0005-0000-0000-0000BC550000}"/>
    <cellStyle name="요약 19 2 2" xfId="22230" xr:uid="{00000000-0005-0000-0000-0000BD550000}"/>
    <cellStyle name="요약 19 3" xfId="22231" xr:uid="{00000000-0005-0000-0000-0000BE550000}"/>
    <cellStyle name="요약 19 4" xfId="22232" xr:uid="{00000000-0005-0000-0000-0000BF550000}"/>
    <cellStyle name="요약 19 5" xfId="22233" xr:uid="{00000000-0005-0000-0000-0000C0550000}"/>
    <cellStyle name="요약 19 6" xfId="22234" xr:uid="{00000000-0005-0000-0000-0000C1550000}"/>
    <cellStyle name="요약 19 7" xfId="22235" xr:uid="{00000000-0005-0000-0000-0000C2550000}"/>
    <cellStyle name="요약 19 8" xfId="22236" xr:uid="{00000000-0005-0000-0000-0000C3550000}"/>
    <cellStyle name="요약 19 9" xfId="22237" xr:uid="{00000000-0005-0000-0000-0000C4550000}"/>
    <cellStyle name="요약 2" xfId="2821" xr:uid="{00000000-0005-0000-0000-0000C5550000}"/>
    <cellStyle name="요약 2 10" xfId="22239" xr:uid="{00000000-0005-0000-0000-0000C6550000}"/>
    <cellStyle name="요약 2 11" xfId="22240" xr:uid="{00000000-0005-0000-0000-0000C7550000}"/>
    <cellStyle name="요약 2 12" xfId="22241" xr:uid="{00000000-0005-0000-0000-0000C8550000}"/>
    <cellStyle name="요약 2 13" xfId="22242" xr:uid="{00000000-0005-0000-0000-0000C9550000}"/>
    <cellStyle name="요약 2 14" xfId="22243" xr:uid="{00000000-0005-0000-0000-0000CA550000}"/>
    <cellStyle name="요약 2 15" xfId="22238" xr:uid="{00000000-0005-0000-0000-0000CB550000}"/>
    <cellStyle name="요약 2 16" xfId="27977" xr:uid="{00000000-0005-0000-0000-0000CC550000}"/>
    <cellStyle name="요약 2 2" xfId="2822" xr:uid="{00000000-0005-0000-0000-0000CD550000}"/>
    <cellStyle name="요약 2 2 2" xfId="22244" xr:uid="{00000000-0005-0000-0000-0000CE550000}"/>
    <cellStyle name="요약 2 3" xfId="22245" xr:uid="{00000000-0005-0000-0000-0000CF550000}"/>
    <cellStyle name="요약 2 4" xfId="22246" xr:uid="{00000000-0005-0000-0000-0000D0550000}"/>
    <cellStyle name="요약 2 5" xfId="22247" xr:uid="{00000000-0005-0000-0000-0000D1550000}"/>
    <cellStyle name="요약 2 6" xfId="22248" xr:uid="{00000000-0005-0000-0000-0000D2550000}"/>
    <cellStyle name="요약 2 7" xfId="22249" xr:uid="{00000000-0005-0000-0000-0000D3550000}"/>
    <cellStyle name="요약 2 8" xfId="22250" xr:uid="{00000000-0005-0000-0000-0000D4550000}"/>
    <cellStyle name="요약 2 9" xfId="22251" xr:uid="{00000000-0005-0000-0000-0000D5550000}"/>
    <cellStyle name="요약 20" xfId="2823" xr:uid="{00000000-0005-0000-0000-0000D6550000}"/>
    <cellStyle name="요약 20 10" xfId="22253" xr:uid="{00000000-0005-0000-0000-0000D7550000}"/>
    <cellStyle name="요약 20 11" xfId="22254" xr:uid="{00000000-0005-0000-0000-0000D8550000}"/>
    <cellStyle name="요약 20 12" xfId="22255" xr:uid="{00000000-0005-0000-0000-0000D9550000}"/>
    <cellStyle name="요약 20 13" xfId="22256" xr:uid="{00000000-0005-0000-0000-0000DA550000}"/>
    <cellStyle name="요약 20 14" xfId="22257" xr:uid="{00000000-0005-0000-0000-0000DB550000}"/>
    <cellStyle name="요약 20 15" xfId="22252" xr:uid="{00000000-0005-0000-0000-0000DC550000}"/>
    <cellStyle name="요약 20 2" xfId="2824" xr:uid="{00000000-0005-0000-0000-0000DD550000}"/>
    <cellStyle name="요약 20 2 2" xfId="22258" xr:uid="{00000000-0005-0000-0000-0000DE550000}"/>
    <cellStyle name="요약 20 3" xfId="22259" xr:uid="{00000000-0005-0000-0000-0000DF550000}"/>
    <cellStyle name="요약 20 4" xfId="22260" xr:uid="{00000000-0005-0000-0000-0000E0550000}"/>
    <cellStyle name="요약 20 5" xfId="22261" xr:uid="{00000000-0005-0000-0000-0000E1550000}"/>
    <cellStyle name="요약 20 6" xfId="22262" xr:uid="{00000000-0005-0000-0000-0000E2550000}"/>
    <cellStyle name="요약 20 7" xfId="22263" xr:uid="{00000000-0005-0000-0000-0000E3550000}"/>
    <cellStyle name="요약 20 8" xfId="22264" xr:uid="{00000000-0005-0000-0000-0000E4550000}"/>
    <cellStyle name="요약 20 9" xfId="22265" xr:uid="{00000000-0005-0000-0000-0000E5550000}"/>
    <cellStyle name="요약 21" xfId="2825" xr:uid="{00000000-0005-0000-0000-0000E6550000}"/>
    <cellStyle name="요약 21 10" xfId="22267" xr:uid="{00000000-0005-0000-0000-0000E7550000}"/>
    <cellStyle name="요약 21 11" xfId="22268" xr:uid="{00000000-0005-0000-0000-0000E8550000}"/>
    <cellStyle name="요약 21 12" xfId="22269" xr:uid="{00000000-0005-0000-0000-0000E9550000}"/>
    <cellStyle name="요약 21 13" xfId="22270" xr:uid="{00000000-0005-0000-0000-0000EA550000}"/>
    <cellStyle name="요약 21 14" xfId="22271" xr:uid="{00000000-0005-0000-0000-0000EB550000}"/>
    <cellStyle name="요약 21 15" xfId="22266" xr:uid="{00000000-0005-0000-0000-0000EC550000}"/>
    <cellStyle name="요약 21 2" xfId="2826" xr:uid="{00000000-0005-0000-0000-0000ED550000}"/>
    <cellStyle name="요약 21 2 2" xfId="22272" xr:uid="{00000000-0005-0000-0000-0000EE550000}"/>
    <cellStyle name="요약 21 3" xfId="22273" xr:uid="{00000000-0005-0000-0000-0000EF550000}"/>
    <cellStyle name="요약 21 4" xfId="22274" xr:uid="{00000000-0005-0000-0000-0000F0550000}"/>
    <cellStyle name="요약 21 5" xfId="22275" xr:uid="{00000000-0005-0000-0000-0000F1550000}"/>
    <cellStyle name="요약 21 6" xfId="22276" xr:uid="{00000000-0005-0000-0000-0000F2550000}"/>
    <cellStyle name="요약 21 7" xfId="22277" xr:uid="{00000000-0005-0000-0000-0000F3550000}"/>
    <cellStyle name="요약 21 8" xfId="22278" xr:uid="{00000000-0005-0000-0000-0000F4550000}"/>
    <cellStyle name="요약 21 9" xfId="22279" xr:uid="{00000000-0005-0000-0000-0000F5550000}"/>
    <cellStyle name="요약 22" xfId="2827" xr:uid="{00000000-0005-0000-0000-0000F6550000}"/>
    <cellStyle name="요약 22 10" xfId="22281" xr:uid="{00000000-0005-0000-0000-0000F7550000}"/>
    <cellStyle name="요약 22 11" xfId="22282" xr:uid="{00000000-0005-0000-0000-0000F8550000}"/>
    <cellStyle name="요약 22 12" xfId="22283" xr:uid="{00000000-0005-0000-0000-0000F9550000}"/>
    <cellStyle name="요약 22 13" xfId="22284" xr:uid="{00000000-0005-0000-0000-0000FA550000}"/>
    <cellStyle name="요약 22 14" xfId="22285" xr:uid="{00000000-0005-0000-0000-0000FB550000}"/>
    <cellStyle name="요약 22 15" xfId="22280" xr:uid="{00000000-0005-0000-0000-0000FC550000}"/>
    <cellStyle name="요약 22 2" xfId="2828" xr:uid="{00000000-0005-0000-0000-0000FD550000}"/>
    <cellStyle name="요약 22 2 2" xfId="22286" xr:uid="{00000000-0005-0000-0000-0000FE550000}"/>
    <cellStyle name="요약 22 3" xfId="22287" xr:uid="{00000000-0005-0000-0000-0000FF550000}"/>
    <cellStyle name="요약 22 4" xfId="22288" xr:uid="{00000000-0005-0000-0000-000000560000}"/>
    <cellStyle name="요약 22 5" xfId="22289" xr:uid="{00000000-0005-0000-0000-000001560000}"/>
    <cellStyle name="요약 22 6" xfId="22290" xr:uid="{00000000-0005-0000-0000-000002560000}"/>
    <cellStyle name="요약 22 7" xfId="22291" xr:uid="{00000000-0005-0000-0000-000003560000}"/>
    <cellStyle name="요약 22 8" xfId="22292" xr:uid="{00000000-0005-0000-0000-000004560000}"/>
    <cellStyle name="요약 22 9" xfId="22293" xr:uid="{00000000-0005-0000-0000-000005560000}"/>
    <cellStyle name="요약 23" xfId="2829" xr:uid="{00000000-0005-0000-0000-000006560000}"/>
    <cellStyle name="요약 23 10" xfId="22295" xr:uid="{00000000-0005-0000-0000-000007560000}"/>
    <cellStyle name="요약 23 11" xfId="22296" xr:uid="{00000000-0005-0000-0000-000008560000}"/>
    <cellStyle name="요약 23 12" xfId="22297" xr:uid="{00000000-0005-0000-0000-000009560000}"/>
    <cellStyle name="요약 23 13" xfId="22298" xr:uid="{00000000-0005-0000-0000-00000A560000}"/>
    <cellStyle name="요약 23 14" xfId="22299" xr:uid="{00000000-0005-0000-0000-00000B560000}"/>
    <cellStyle name="요약 23 15" xfId="22294" xr:uid="{00000000-0005-0000-0000-00000C560000}"/>
    <cellStyle name="요약 23 2" xfId="2830" xr:uid="{00000000-0005-0000-0000-00000D560000}"/>
    <cellStyle name="요약 23 2 2" xfId="22300" xr:uid="{00000000-0005-0000-0000-00000E560000}"/>
    <cellStyle name="요약 23 3" xfId="22301" xr:uid="{00000000-0005-0000-0000-00000F560000}"/>
    <cellStyle name="요약 23 4" xfId="22302" xr:uid="{00000000-0005-0000-0000-000010560000}"/>
    <cellStyle name="요약 23 5" xfId="22303" xr:uid="{00000000-0005-0000-0000-000011560000}"/>
    <cellStyle name="요약 23 6" xfId="22304" xr:uid="{00000000-0005-0000-0000-000012560000}"/>
    <cellStyle name="요약 23 7" xfId="22305" xr:uid="{00000000-0005-0000-0000-000013560000}"/>
    <cellStyle name="요약 23 8" xfId="22306" xr:uid="{00000000-0005-0000-0000-000014560000}"/>
    <cellStyle name="요약 23 9" xfId="22307" xr:uid="{00000000-0005-0000-0000-000015560000}"/>
    <cellStyle name="요약 24" xfId="2831" xr:uid="{00000000-0005-0000-0000-000016560000}"/>
    <cellStyle name="요약 24 10" xfId="22309" xr:uid="{00000000-0005-0000-0000-000017560000}"/>
    <cellStyle name="요약 24 11" xfId="22310" xr:uid="{00000000-0005-0000-0000-000018560000}"/>
    <cellStyle name="요약 24 12" xfId="22311" xr:uid="{00000000-0005-0000-0000-000019560000}"/>
    <cellStyle name="요약 24 13" xfId="22312" xr:uid="{00000000-0005-0000-0000-00001A560000}"/>
    <cellStyle name="요약 24 14" xfId="22313" xr:uid="{00000000-0005-0000-0000-00001B560000}"/>
    <cellStyle name="요약 24 15" xfId="22308" xr:uid="{00000000-0005-0000-0000-00001C560000}"/>
    <cellStyle name="요약 24 2" xfId="2832" xr:uid="{00000000-0005-0000-0000-00001D560000}"/>
    <cellStyle name="요약 24 2 2" xfId="22314" xr:uid="{00000000-0005-0000-0000-00001E560000}"/>
    <cellStyle name="요약 24 3" xfId="22315" xr:uid="{00000000-0005-0000-0000-00001F560000}"/>
    <cellStyle name="요약 24 4" xfId="22316" xr:uid="{00000000-0005-0000-0000-000020560000}"/>
    <cellStyle name="요약 24 5" xfId="22317" xr:uid="{00000000-0005-0000-0000-000021560000}"/>
    <cellStyle name="요약 24 6" xfId="22318" xr:uid="{00000000-0005-0000-0000-000022560000}"/>
    <cellStyle name="요약 24 7" xfId="22319" xr:uid="{00000000-0005-0000-0000-000023560000}"/>
    <cellStyle name="요약 24 8" xfId="22320" xr:uid="{00000000-0005-0000-0000-000024560000}"/>
    <cellStyle name="요약 24 9" xfId="22321" xr:uid="{00000000-0005-0000-0000-000025560000}"/>
    <cellStyle name="요약 25" xfId="2833" xr:uid="{00000000-0005-0000-0000-000026560000}"/>
    <cellStyle name="요약 25 10" xfId="22323" xr:uid="{00000000-0005-0000-0000-000027560000}"/>
    <cellStyle name="요약 25 11" xfId="22324" xr:uid="{00000000-0005-0000-0000-000028560000}"/>
    <cellStyle name="요약 25 12" xfId="22325" xr:uid="{00000000-0005-0000-0000-000029560000}"/>
    <cellStyle name="요약 25 13" xfId="22326" xr:uid="{00000000-0005-0000-0000-00002A560000}"/>
    <cellStyle name="요약 25 14" xfId="22327" xr:uid="{00000000-0005-0000-0000-00002B560000}"/>
    <cellStyle name="요약 25 15" xfId="22322" xr:uid="{00000000-0005-0000-0000-00002C560000}"/>
    <cellStyle name="요약 25 2" xfId="2834" xr:uid="{00000000-0005-0000-0000-00002D560000}"/>
    <cellStyle name="요약 25 2 2" xfId="22328" xr:uid="{00000000-0005-0000-0000-00002E560000}"/>
    <cellStyle name="요약 25 3" xfId="22329" xr:uid="{00000000-0005-0000-0000-00002F560000}"/>
    <cellStyle name="요약 25 4" xfId="22330" xr:uid="{00000000-0005-0000-0000-000030560000}"/>
    <cellStyle name="요약 25 5" xfId="22331" xr:uid="{00000000-0005-0000-0000-000031560000}"/>
    <cellStyle name="요약 25 6" xfId="22332" xr:uid="{00000000-0005-0000-0000-000032560000}"/>
    <cellStyle name="요약 25 7" xfId="22333" xr:uid="{00000000-0005-0000-0000-000033560000}"/>
    <cellStyle name="요약 25 8" xfId="22334" xr:uid="{00000000-0005-0000-0000-000034560000}"/>
    <cellStyle name="요약 25 9" xfId="22335" xr:uid="{00000000-0005-0000-0000-000035560000}"/>
    <cellStyle name="요약 26" xfId="2835" xr:uid="{00000000-0005-0000-0000-000036560000}"/>
    <cellStyle name="요약 26 10" xfId="22337" xr:uid="{00000000-0005-0000-0000-000037560000}"/>
    <cellStyle name="요약 26 11" xfId="22338" xr:uid="{00000000-0005-0000-0000-000038560000}"/>
    <cellStyle name="요약 26 12" xfId="22339" xr:uid="{00000000-0005-0000-0000-000039560000}"/>
    <cellStyle name="요약 26 13" xfId="22340" xr:uid="{00000000-0005-0000-0000-00003A560000}"/>
    <cellStyle name="요약 26 14" xfId="22341" xr:uid="{00000000-0005-0000-0000-00003B560000}"/>
    <cellStyle name="요약 26 15" xfId="22336" xr:uid="{00000000-0005-0000-0000-00003C560000}"/>
    <cellStyle name="요약 26 2" xfId="2836" xr:uid="{00000000-0005-0000-0000-00003D560000}"/>
    <cellStyle name="요약 26 2 2" xfId="22342" xr:uid="{00000000-0005-0000-0000-00003E560000}"/>
    <cellStyle name="요약 26 3" xfId="22343" xr:uid="{00000000-0005-0000-0000-00003F560000}"/>
    <cellStyle name="요약 26 4" xfId="22344" xr:uid="{00000000-0005-0000-0000-000040560000}"/>
    <cellStyle name="요약 26 5" xfId="22345" xr:uid="{00000000-0005-0000-0000-000041560000}"/>
    <cellStyle name="요약 26 6" xfId="22346" xr:uid="{00000000-0005-0000-0000-000042560000}"/>
    <cellStyle name="요약 26 7" xfId="22347" xr:uid="{00000000-0005-0000-0000-000043560000}"/>
    <cellStyle name="요약 26 8" xfId="22348" xr:uid="{00000000-0005-0000-0000-000044560000}"/>
    <cellStyle name="요약 26 9" xfId="22349" xr:uid="{00000000-0005-0000-0000-000045560000}"/>
    <cellStyle name="요약 27" xfId="2837" xr:uid="{00000000-0005-0000-0000-000046560000}"/>
    <cellStyle name="요약 27 10" xfId="22351" xr:uid="{00000000-0005-0000-0000-000047560000}"/>
    <cellStyle name="요약 27 11" xfId="22352" xr:uid="{00000000-0005-0000-0000-000048560000}"/>
    <cellStyle name="요약 27 12" xfId="22353" xr:uid="{00000000-0005-0000-0000-000049560000}"/>
    <cellStyle name="요약 27 13" xfId="22354" xr:uid="{00000000-0005-0000-0000-00004A560000}"/>
    <cellStyle name="요약 27 14" xfId="22355" xr:uid="{00000000-0005-0000-0000-00004B560000}"/>
    <cellStyle name="요약 27 15" xfId="22350" xr:uid="{00000000-0005-0000-0000-00004C560000}"/>
    <cellStyle name="요약 27 2" xfId="2838" xr:uid="{00000000-0005-0000-0000-00004D560000}"/>
    <cellStyle name="요약 27 2 2" xfId="22356" xr:uid="{00000000-0005-0000-0000-00004E560000}"/>
    <cellStyle name="요약 27 3" xfId="22357" xr:uid="{00000000-0005-0000-0000-00004F560000}"/>
    <cellStyle name="요약 27 4" xfId="22358" xr:uid="{00000000-0005-0000-0000-000050560000}"/>
    <cellStyle name="요약 27 5" xfId="22359" xr:uid="{00000000-0005-0000-0000-000051560000}"/>
    <cellStyle name="요약 27 6" xfId="22360" xr:uid="{00000000-0005-0000-0000-000052560000}"/>
    <cellStyle name="요약 27 7" xfId="22361" xr:uid="{00000000-0005-0000-0000-000053560000}"/>
    <cellStyle name="요약 27 8" xfId="22362" xr:uid="{00000000-0005-0000-0000-000054560000}"/>
    <cellStyle name="요약 27 9" xfId="22363" xr:uid="{00000000-0005-0000-0000-000055560000}"/>
    <cellStyle name="요약 28" xfId="2839" xr:uid="{00000000-0005-0000-0000-000056560000}"/>
    <cellStyle name="요약 28 10" xfId="22365" xr:uid="{00000000-0005-0000-0000-000057560000}"/>
    <cellStyle name="요약 28 11" xfId="22366" xr:uid="{00000000-0005-0000-0000-000058560000}"/>
    <cellStyle name="요약 28 12" xfId="22367" xr:uid="{00000000-0005-0000-0000-000059560000}"/>
    <cellStyle name="요약 28 13" xfId="22368" xr:uid="{00000000-0005-0000-0000-00005A560000}"/>
    <cellStyle name="요약 28 14" xfId="22369" xr:uid="{00000000-0005-0000-0000-00005B560000}"/>
    <cellStyle name="요약 28 15" xfId="22364" xr:uid="{00000000-0005-0000-0000-00005C560000}"/>
    <cellStyle name="요약 28 2" xfId="2840" xr:uid="{00000000-0005-0000-0000-00005D560000}"/>
    <cellStyle name="요약 28 2 2" xfId="22370" xr:uid="{00000000-0005-0000-0000-00005E560000}"/>
    <cellStyle name="요약 28 3" xfId="22371" xr:uid="{00000000-0005-0000-0000-00005F560000}"/>
    <cellStyle name="요약 28 4" xfId="22372" xr:uid="{00000000-0005-0000-0000-000060560000}"/>
    <cellStyle name="요약 28 5" xfId="22373" xr:uid="{00000000-0005-0000-0000-000061560000}"/>
    <cellStyle name="요약 28 6" xfId="22374" xr:uid="{00000000-0005-0000-0000-000062560000}"/>
    <cellStyle name="요약 28 7" xfId="22375" xr:uid="{00000000-0005-0000-0000-000063560000}"/>
    <cellStyle name="요약 28 8" xfId="22376" xr:uid="{00000000-0005-0000-0000-000064560000}"/>
    <cellStyle name="요약 28 9" xfId="22377" xr:uid="{00000000-0005-0000-0000-000065560000}"/>
    <cellStyle name="요약 29" xfId="2841" xr:uid="{00000000-0005-0000-0000-000066560000}"/>
    <cellStyle name="요약 29 10" xfId="22379" xr:uid="{00000000-0005-0000-0000-000067560000}"/>
    <cellStyle name="요약 29 11" xfId="22380" xr:uid="{00000000-0005-0000-0000-000068560000}"/>
    <cellStyle name="요약 29 12" xfId="22381" xr:uid="{00000000-0005-0000-0000-000069560000}"/>
    <cellStyle name="요약 29 13" xfId="22382" xr:uid="{00000000-0005-0000-0000-00006A560000}"/>
    <cellStyle name="요약 29 14" xfId="22383" xr:uid="{00000000-0005-0000-0000-00006B560000}"/>
    <cellStyle name="요약 29 15" xfId="22378" xr:uid="{00000000-0005-0000-0000-00006C560000}"/>
    <cellStyle name="요약 29 2" xfId="2842" xr:uid="{00000000-0005-0000-0000-00006D560000}"/>
    <cellStyle name="요약 29 2 2" xfId="22384" xr:uid="{00000000-0005-0000-0000-00006E560000}"/>
    <cellStyle name="요약 29 3" xfId="22385" xr:uid="{00000000-0005-0000-0000-00006F560000}"/>
    <cellStyle name="요약 29 4" xfId="22386" xr:uid="{00000000-0005-0000-0000-000070560000}"/>
    <cellStyle name="요약 29 5" xfId="22387" xr:uid="{00000000-0005-0000-0000-000071560000}"/>
    <cellStyle name="요약 29 6" xfId="22388" xr:uid="{00000000-0005-0000-0000-000072560000}"/>
    <cellStyle name="요약 29 7" xfId="22389" xr:uid="{00000000-0005-0000-0000-000073560000}"/>
    <cellStyle name="요약 29 8" xfId="22390" xr:uid="{00000000-0005-0000-0000-000074560000}"/>
    <cellStyle name="요약 29 9" xfId="22391" xr:uid="{00000000-0005-0000-0000-000075560000}"/>
    <cellStyle name="요약 3" xfId="2843" xr:uid="{00000000-0005-0000-0000-000076560000}"/>
    <cellStyle name="요약 3 10" xfId="22393" xr:uid="{00000000-0005-0000-0000-000077560000}"/>
    <cellStyle name="요약 3 11" xfId="22394" xr:uid="{00000000-0005-0000-0000-000078560000}"/>
    <cellStyle name="요약 3 12" xfId="22395" xr:uid="{00000000-0005-0000-0000-000079560000}"/>
    <cellStyle name="요약 3 13" xfId="22396" xr:uid="{00000000-0005-0000-0000-00007A560000}"/>
    <cellStyle name="요약 3 14" xfId="22397" xr:uid="{00000000-0005-0000-0000-00007B560000}"/>
    <cellStyle name="요약 3 15" xfId="22392" xr:uid="{00000000-0005-0000-0000-00007C560000}"/>
    <cellStyle name="요약 3 16" xfId="28223" xr:uid="{00000000-0005-0000-0000-00007D560000}"/>
    <cellStyle name="요약 3 2" xfId="2844" xr:uid="{00000000-0005-0000-0000-00007E560000}"/>
    <cellStyle name="요약 3 2 2" xfId="22398" xr:uid="{00000000-0005-0000-0000-00007F560000}"/>
    <cellStyle name="요약 3 3" xfId="22399" xr:uid="{00000000-0005-0000-0000-000080560000}"/>
    <cellStyle name="요약 3 4" xfId="22400" xr:uid="{00000000-0005-0000-0000-000081560000}"/>
    <cellStyle name="요약 3 5" xfId="22401" xr:uid="{00000000-0005-0000-0000-000082560000}"/>
    <cellStyle name="요약 3 6" xfId="22402" xr:uid="{00000000-0005-0000-0000-000083560000}"/>
    <cellStyle name="요약 3 7" xfId="22403" xr:uid="{00000000-0005-0000-0000-000084560000}"/>
    <cellStyle name="요약 3 8" xfId="22404" xr:uid="{00000000-0005-0000-0000-000085560000}"/>
    <cellStyle name="요약 3 9" xfId="22405" xr:uid="{00000000-0005-0000-0000-000086560000}"/>
    <cellStyle name="요약 30" xfId="2845" xr:uid="{00000000-0005-0000-0000-000087560000}"/>
    <cellStyle name="요약 30 10" xfId="22407" xr:uid="{00000000-0005-0000-0000-000088560000}"/>
    <cellStyle name="요약 30 11" xfId="22408" xr:uid="{00000000-0005-0000-0000-000089560000}"/>
    <cellStyle name="요약 30 12" xfId="22409" xr:uid="{00000000-0005-0000-0000-00008A560000}"/>
    <cellStyle name="요약 30 13" xfId="22410" xr:uid="{00000000-0005-0000-0000-00008B560000}"/>
    <cellStyle name="요약 30 14" xfId="22411" xr:uid="{00000000-0005-0000-0000-00008C560000}"/>
    <cellStyle name="요약 30 15" xfId="22406" xr:uid="{00000000-0005-0000-0000-00008D560000}"/>
    <cellStyle name="요약 30 2" xfId="2846" xr:uid="{00000000-0005-0000-0000-00008E560000}"/>
    <cellStyle name="요약 30 2 2" xfId="22412" xr:uid="{00000000-0005-0000-0000-00008F560000}"/>
    <cellStyle name="요약 30 3" xfId="22413" xr:uid="{00000000-0005-0000-0000-000090560000}"/>
    <cellStyle name="요약 30 4" xfId="22414" xr:uid="{00000000-0005-0000-0000-000091560000}"/>
    <cellStyle name="요약 30 5" xfId="22415" xr:uid="{00000000-0005-0000-0000-000092560000}"/>
    <cellStyle name="요약 30 6" xfId="22416" xr:uid="{00000000-0005-0000-0000-000093560000}"/>
    <cellStyle name="요약 30 7" xfId="22417" xr:uid="{00000000-0005-0000-0000-000094560000}"/>
    <cellStyle name="요약 30 8" xfId="22418" xr:uid="{00000000-0005-0000-0000-000095560000}"/>
    <cellStyle name="요약 30 9" xfId="22419" xr:uid="{00000000-0005-0000-0000-000096560000}"/>
    <cellStyle name="요약 31" xfId="2847" xr:uid="{00000000-0005-0000-0000-000097560000}"/>
    <cellStyle name="요약 31 10" xfId="22421" xr:uid="{00000000-0005-0000-0000-000098560000}"/>
    <cellStyle name="요약 31 11" xfId="22422" xr:uid="{00000000-0005-0000-0000-000099560000}"/>
    <cellStyle name="요약 31 12" xfId="22423" xr:uid="{00000000-0005-0000-0000-00009A560000}"/>
    <cellStyle name="요약 31 13" xfId="22424" xr:uid="{00000000-0005-0000-0000-00009B560000}"/>
    <cellStyle name="요약 31 14" xfId="22425" xr:uid="{00000000-0005-0000-0000-00009C560000}"/>
    <cellStyle name="요약 31 15" xfId="22420" xr:uid="{00000000-0005-0000-0000-00009D560000}"/>
    <cellStyle name="요약 31 2" xfId="2848" xr:uid="{00000000-0005-0000-0000-00009E560000}"/>
    <cellStyle name="요약 31 2 2" xfId="22426" xr:uid="{00000000-0005-0000-0000-00009F560000}"/>
    <cellStyle name="요약 31 3" xfId="22427" xr:uid="{00000000-0005-0000-0000-0000A0560000}"/>
    <cellStyle name="요약 31 4" xfId="22428" xr:uid="{00000000-0005-0000-0000-0000A1560000}"/>
    <cellStyle name="요약 31 5" xfId="22429" xr:uid="{00000000-0005-0000-0000-0000A2560000}"/>
    <cellStyle name="요약 31 6" xfId="22430" xr:uid="{00000000-0005-0000-0000-0000A3560000}"/>
    <cellStyle name="요약 31 7" xfId="22431" xr:uid="{00000000-0005-0000-0000-0000A4560000}"/>
    <cellStyle name="요약 31 8" xfId="22432" xr:uid="{00000000-0005-0000-0000-0000A5560000}"/>
    <cellStyle name="요약 31 9" xfId="22433" xr:uid="{00000000-0005-0000-0000-0000A6560000}"/>
    <cellStyle name="요약 32" xfId="2849" xr:uid="{00000000-0005-0000-0000-0000A7560000}"/>
    <cellStyle name="요약 32 10" xfId="22435" xr:uid="{00000000-0005-0000-0000-0000A8560000}"/>
    <cellStyle name="요약 32 11" xfId="22436" xr:uid="{00000000-0005-0000-0000-0000A9560000}"/>
    <cellStyle name="요약 32 12" xfId="22437" xr:uid="{00000000-0005-0000-0000-0000AA560000}"/>
    <cellStyle name="요약 32 13" xfId="22438" xr:uid="{00000000-0005-0000-0000-0000AB560000}"/>
    <cellStyle name="요약 32 14" xfId="22439" xr:uid="{00000000-0005-0000-0000-0000AC560000}"/>
    <cellStyle name="요약 32 15" xfId="22434" xr:uid="{00000000-0005-0000-0000-0000AD560000}"/>
    <cellStyle name="요약 32 2" xfId="2850" xr:uid="{00000000-0005-0000-0000-0000AE560000}"/>
    <cellStyle name="요약 32 2 2" xfId="22440" xr:uid="{00000000-0005-0000-0000-0000AF560000}"/>
    <cellStyle name="요약 32 3" xfId="22441" xr:uid="{00000000-0005-0000-0000-0000B0560000}"/>
    <cellStyle name="요약 32 4" xfId="22442" xr:uid="{00000000-0005-0000-0000-0000B1560000}"/>
    <cellStyle name="요약 32 5" xfId="22443" xr:uid="{00000000-0005-0000-0000-0000B2560000}"/>
    <cellStyle name="요약 32 6" xfId="22444" xr:uid="{00000000-0005-0000-0000-0000B3560000}"/>
    <cellStyle name="요약 32 7" xfId="22445" xr:uid="{00000000-0005-0000-0000-0000B4560000}"/>
    <cellStyle name="요약 32 8" xfId="22446" xr:uid="{00000000-0005-0000-0000-0000B5560000}"/>
    <cellStyle name="요약 32 9" xfId="22447" xr:uid="{00000000-0005-0000-0000-0000B6560000}"/>
    <cellStyle name="요약 33" xfId="2851" xr:uid="{00000000-0005-0000-0000-0000B7560000}"/>
    <cellStyle name="요약 33 10" xfId="22449" xr:uid="{00000000-0005-0000-0000-0000B8560000}"/>
    <cellStyle name="요약 33 11" xfId="22450" xr:uid="{00000000-0005-0000-0000-0000B9560000}"/>
    <cellStyle name="요약 33 12" xfId="22451" xr:uid="{00000000-0005-0000-0000-0000BA560000}"/>
    <cellStyle name="요약 33 13" xfId="22452" xr:uid="{00000000-0005-0000-0000-0000BB560000}"/>
    <cellStyle name="요약 33 14" xfId="22453" xr:uid="{00000000-0005-0000-0000-0000BC560000}"/>
    <cellStyle name="요약 33 15" xfId="22448" xr:uid="{00000000-0005-0000-0000-0000BD560000}"/>
    <cellStyle name="요약 33 2" xfId="2852" xr:uid="{00000000-0005-0000-0000-0000BE560000}"/>
    <cellStyle name="요약 33 2 2" xfId="22454" xr:uid="{00000000-0005-0000-0000-0000BF560000}"/>
    <cellStyle name="요약 33 3" xfId="22455" xr:uid="{00000000-0005-0000-0000-0000C0560000}"/>
    <cellStyle name="요약 33 4" xfId="22456" xr:uid="{00000000-0005-0000-0000-0000C1560000}"/>
    <cellStyle name="요약 33 5" xfId="22457" xr:uid="{00000000-0005-0000-0000-0000C2560000}"/>
    <cellStyle name="요약 33 6" xfId="22458" xr:uid="{00000000-0005-0000-0000-0000C3560000}"/>
    <cellStyle name="요약 33 7" xfId="22459" xr:uid="{00000000-0005-0000-0000-0000C4560000}"/>
    <cellStyle name="요약 33 8" xfId="22460" xr:uid="{00000000-0005-0000-0000-0000C5560000}"/>
    <cellStyle name="요약 33 9" xfId="22461" xr:uid="{00000000-0005-0000-0000-0000C6560000}"/>
    <cellStyle name="요약 34" xfId="2853" xr:uid="{00000000-0005-0000-0000-0000C7560000}"/>
    <cellStyle name="요약 34 10" xfId="22463" xr:uid="{00000000-0005-0000-0000-0000C8560000}"/>
    <cellStyle name="요약 34 11" xfId="22464" xr:uid="{00000000-0005-0000-0000-0000C9560000}"/>
    <cellStyle name="요약 34 12" xfId="22465" xr:uid="{00000000-0005-0000-0000-0000CA560000}"/>
    <cellStyle name="요약 34 13" xfId="22466" xr:uid="{00000000-0005-0000-0000-0000CB560000}"/>
    <cellStyle name="요약 34 14" xfId="22467" xr:uid="{00000000-0005-0000-0000-0000CC560000}"/>
    <cellStyle name="요약 34 15" xfId="22462" xr:uid="{00000000-0005-0000-0000-0000CD560000}"/>
    <cellStyle name="요약 34 2" xfId="2854" xr:uid="{00000000-0005-0000-0000-0000CE560000}"/>
    <cellStyle name="요약 34 2 2" xfId="22468" xr:uid="{00000000-0005-0000-0000-0000CF560000}"/>
    <cellStyle name="요약 34 3" xfId="22469" xr:uid="{00000000-0005-0000-0000-0000D0560000}"/>
    <cellStyle name="요약 34 4" xfId="22470" xr:uid="{00000000-0005-0000-0000-0000D1560000}"/>
    <cellStyle name="요약 34 5" xfId="22471" xr:uid="{00000000-0005-0000-0000-0000D2560000}"/>
    <cellStyle name="요약 34 6" xfId="22472" xr:uid="{00000000-0005-0000-0000-0000D3560000}"/>
    <cellStyle name="요약 34 7" xfId="22473" xr:uid="{00000000-0005-0000-0000-0000D4560000}"/>
    <cellStyle name="요약 34 8" xfId="22474" xr:uid="{00000000-0005-0000-0000-0000D5560000}"/>
    <cellStyle name="요약 34 9" xfId="22475" xr:uid="{00000000-0005-0000-0000-0000D6560000}"/>
    <cellStyle name="요약 35" xfId="2855" xr:uid="{00000000-0005-0000-0000-0000D7560000}"/>
    <cellStyle name="요약 35 10" xfId="22477" xr:uid="{00000000-0005-0000-0000-0000D8560000}"/>
    <cellStyle name="요약 35 11" xfId="22478" xr:uid="{00000000-0005-0000-0000-0000D9560000}"/>
    <cellStyle name="요약 35 12" xfId="22479" xr:uid="{00000000-0005-0000-0000-0000DA560000}"/>
    <cellStyle name="요약 35 13" xfId="22480" xr:uid="{00000000-0005-0000-0000-0000DB560000}"/>
    <cellStyle name="요약 35 14" xfId="22481" xr:uid="{00000000-0005-0000-0000-0000DC560000}"/>
    <cellStyle name="요약 35 15" xfId="22476" xr:uid="{00000000-0005-0000-0000-0000DD560000}"/>
    <cellStyle name="요약 35 2" xfId="2856" xr:uid="{00000000-0005-0000-0000-0000DE560000}"/>
    <cellStyle name="요약 35 2 2" xfId="22482" xr:uid="{00000000-0005-0000-0000-0000DF560000}"/>
    <cellStyle name="요약 35 3" xfId="22483" xr:uid="{00000000-0005-0000-0000-0000E0560000}"/>
    <cellStyle name="요약 35 4" xfId="22484" xr:uid="{00000000-0005-0000-0000-0000E1560000}"/>
    <cellStyle name="요약 35 5" xfId="22485" xr:uid="{00000000-0005-0000-0000-0000E2560000}"/>
    <cellStyle name="요약 35 6" xfId="22486" xr:uid="{00000000-0005-0000-0000-0000E3560000}"/>
    <cellStyle name="요약 35 7" xfId="22487" xr:uid="{00000000-0005-0000-0000-0000E4560000}"/>
    <cellStyle name="요약 35 8" xfId="22488" xr:uid="{00000000-0005-0000-0000-0000E5560000}"/>
    <cellStyle name="요약 35 9" xfId="22489" xr:uid="{00000000-0005-0000-0000-0000E6560000}"/>
    <cellStyle name="요약 36" xfId="2857" xr:uid="{00000000-0005-0000-0000-0000E7560000}"/>
    <cellStyle name="요약 36 10" xfId="22491" xr:uid="{00000000-0005-0000-0000-0000E8560000}"/>
    <cellStyle name="요약 36 11" xfId="22492" xr:uid="{00000000-0005-0000-0000-0000E9560000}"/>
    <cellStyle name="요약 36 12" xfId="22493" xr:uid="{00000000-0005-0000-0000-0000EA560000}"/>
    <cellStyle name="요약 36 13" xfId="22494" xr:uid="{00000000-0005-0000-0000-0000EB560000}"/>
    <cellStyle name="요약 36 14" xfId="22495" xr:uid="{00000000-0005-0000-0000-0000EC560000}"/>
    <cellStyle name="요약 36 15" xfId="22490" xr:uid="{00000000-0005-0000-0000-0000ED560000}"/>
    <cellStyle name="요약 36 2" xfId="2858" xr:uid="{00000000-0005-0000-0000-0000EE560000}"/>
    <cellStyle name="요약 36 2 2" xfId="22496" xr:uid="{00000000-0005-0000-0000-0000EF560000}"/>
    <cellStyle name="요약 36 3" xfId="22497" xr:uid="{00000000-0005-0000-0000-0000F0560000}"/>
    <cellStyle name="요약 36 4" xfId="22498" xr:uid="{00000000-0005-0000-0000-0000F1560000}"/>
    <cellStyle name="요약 36 5" xfId="22499" xr:uid="{00000000-0005-0000-0000-0000F2560000}"/>
    <cellStyle name="요약 36 6" xfId="22500" xr:uid="{00000000-0005-0000-0000-0000F3560000}"/>
    <cellStyle name="요약 36 7" xfId="22501" xr:uid="{00000000-0005-0000-0000-0000F4560000}"/>
    <cellStyle name="요약 36 8" xfId="22502" xr:uid="{00000000-0005-0000-0000-0000F5560000}"/>
    <cellStyle name="요약 36 9" xfId="22503" xr:uid="{00000000-0005-0000-0000-0000F6560000}"/>
    <cellStyle name="요약 37" xfId="2859" xr:uid="{00000000-0005-0000-0000-0000F7560000}"/>
    <cellStyle name="요약 37 10" xfId="22505" xr:uid="{00000000-0005-0000-0000-0000F8560000}"/>
    <cellStyle name="요약 37 11" xfId="22506" xr:uid="{00000000-0005-0000-0000-0000F9560000}"/>
    <cellStyle name="요약 37 12" xfId="22507" xr:uid="{00000000-0005-0000-0000-0000FA560000}"/>
    <cellStyle name="요약 37 13" xfId="22508" xr:uid="{00000000-0005-0000-0000-0000FB560000}"/>
    <cellStyle name="요약 37 14" xfId="22509" xr:uid="{00000000-0005-0000-0000-0000FC560000}"/>
    <cellStyle name="요약 37 15" xfId="22504" xr:uid="{00000000-0005-0000-0000-0000FD560000}"/>
    <cellStyle name="요약 37 2" xfId="2860" xr:uid="{00000000-0005-0000-0000-0000FE560000}"/>
    <cellStyle name="요약 37 2 2" xfId="22510" xr:uid="{00000000-0005-0000-0000-0000FF560000}"/>
    <cellStyle name="요약 37 3" xfId="22511" xr:uid="{00000000-0005-0000-0000-000000570000}"/>
    <cellStyle name="요약 37 4" xfId="22512" xr:uid="{00000000-0005-0000-0000-000001570000}"/>
    <cellStyle name="요약 37 5" xfId="22513" xr:uid="{00000000-0005-0000-0000-000002570000}"/>
    <cellStyle name="요약 37 6" xfId="22514" xr:uid="{00000000-0005-0000-0000-000003570000}"/>
    <cellStyle name="요약 37 7" xfId="22515" xr:uid="{00000000-0005-0000-0000-000004570000}"/>
    <cellStyle name="요약 37 8" xfId="22516" xr:uid="{00000000-0005-0000-0000-000005570000}"/>
    <cellStyle name="요약 37 9" xfId="22517" xr:uid="{00000000-0005-0000-0000-000006570000}"/>
    <cellStyle name="요약 38" xfId="2861" xr:uid="{00000000-0005-0000-0000-000007570000}"/>
    <cellStyle name="요약 38 10" xfId="22519" xr:uid="{00000000-0005-0000-0000-000008570000}"/>
    <cellStyle name="요약 38 11" xfId="22520" xr:uid="{00000000-0005-0000-0000-000009570000}"/>
    <cellStyle name="요약 38 12" xfId="22521" xr:uid="{00000000-0005-0000-0000-00000A570000}"/>
    <cellStyle name="요약 38 13" xfId="22522" xr:uid="{00000000-0005-0000-0000-00000B570000}"/>
    <cellStyle name="요약 38 14" xfId="22523" xr:uid="{00000000-0005-0000-0000-00000C570000}"/>
    <cellStyle name="요약 38 15" xfId="22518" xr:uid="{00000000-0005-0000-0000-00000D570000}"/>
    <cellStyle name="요약 38 2" xfId="2862" xr:uid="{00000000-0005-0000-0000-00000E570000}"/>
    <cellStyle name="요약 38 2 2" xfId="22524" xr:uid="{00000000-0005-0000-0000-00000F570000}"/>
    <cellStyle name="요약 38 3" xfId="22525" xr:uid="{00000000-0005-0000-0000-000010570000}"/>
    <cellStyle name="요약 38 4" xfId="22526" xr:uid="{00000000-0005-0000-0000-000011570000}"/>
    <cellStyle name="요약 38 5" xfId="22527" xr:uid="{00000000-0005-0000-0000-000012570000}"/>
    <cellStyle name="요약 38 6" xfId="22528" xr:uid="{00000000-0005-0000-0000-000013570000}"/>
    <cellStyle name="요약 38 7" xfId="22529" xr:uid="{00000000-0005-0000-0000-000014570000}"/>
    <cellStyle name="요약 38 8" xfId="22530" xr:uid="{00000000-0005-0000-0000-000015570000}"/>
    <cellStyle name="요약 38 9" xfId="22531" xr:uid="{00000000-0005-0000-0000-000016570000}"/>
    <cellStyle name="요약 39" xfId="2863" xr:uid="{00000000-0005-0000-0000-000017570000}"/>
    <cellStyle name="요약 39 10" xfId="22533" xr:uid="{00000000-0005-0000-0000-000018570000}"/>
    <cellStyle name="요약 39 11" xfId="22534" xr:uid="{00000000-0005-0000-0000-000019570000}"/>
    <cellStyle name="요약 39 12" xfId="22535" xr:uid="{00000000-0005-0000-0000-00001A570000}"/>
    <cellStyle name="요약 39 13" xfId="22536" xr:uid="{00000000-0005-0000-0000-00001B570000}"/>
    <cellStyle name="요약 39 14" xfId="22537" xr:uid="{00000000-0005-0000-0000-00001C570000}"/>
    <cellStyle name="요약 39 15" xfId="22532" xr:uid="{00000000-0005-0000-0000-00001D570000}"/>
    <cellStyle name="요약 39 2" xfId="2864" xr:uid="{00000000-0005-0000-0000-00001E570000}"/>
    <cellStyle name="요약 39 2 2" xfId="22538" xr:uid="{00000000-0005-0000-0000-00001F570000}"/>
    <cellStyle name="요약 39 3" xfId="22539" xr:uid="{00000000-0005-0000-0000-000020570000}"/>
    <cellStyle name="요약 39 4" xfId="22540" xr:uid="{00000000-0005-0000-0000-000021570000}"/>
    <cellStyle name="요약 39 5" xfId="22541" xr:uid="{00000000-0005-0000-0000-000022570000}"/>
    <cellStyle name="요약 39 6" xfId="22542" xr:uid="{00000000-0005-0000-0000-000023570000}"/>
    <cellStyle name="요약 39 7" xfId="22543" xr:uid="{00000000-0005-0000-0000-000024570000}"/>
    <cellStyle name="요약 39 8" xfId="22544" xr:uid="{00000000-0005-0000-0000-000025570000}"/>
    <cellStyle name="요약 39 9" xfId="22545" xr:uid="{00000000-0005-0000-0000-000026570000}"/>
    <cellStyle name="요약 4" xfId="2865" xr:uid="{00000000-0005-0000-0000-000027570000}"/>
    <cellStyle name="요약 4 10" xfId="22547" xr:uid="{00000000-0005-0000-0000-000028570000}"/>
    <cellStyle name="요약 4 11" xfId="22548" xr:uid="{00000000-0005-0000-0000-000029570000}"/>
    <cellStyle name="요약 4 12" xfId="22549" xr:uid="{00000000-0005-0000-0000-00002A570000}"/>
    <cellStyle name="요약 4 13" xfId="22550" xr:uid="{00000000-0005-0000-0000-00002B570000}"/>
    <cellStyle name="요약 4 14" xfId="22551" xr:uid="{00000000-0005-0000-0000-00002C570000}"/>
    <cellStyle name="요약 4 15" xfId="22546" xr:uid="{00000000-0005-0000-0000-00002D570000}"/>
    <cellStyle name="요약 4 16" xfId="27885" xr:uid="{00000000-0005-0000-0000-00002E570000}"/>
    <cellStyle name="요약 4 16 2" xfId="28283" xr:uid="{00000000-0005-0000-0000-00002F570000}"/>
    <cellStyle name="요약 4 2" xfId="2866" xr:uid="{00000000-0005-0000-0000-000030570000}"/>
    <cellStyle name="요약 4 2 2" xfId="22552" xr:uid="{00000000-0005-0000-0000-000031570000}"/>
    <cellStyle name="요약 4 2 3" xfId="28241" xr:uid="{00000000-0005-0000-0000-000032570000}"/>
    <cellStyle name="요약 4 2 3 2" xfId="28301" xr:uid="{00000000-0005-0000-0000-000033570000}"/>
    <cellStyle name="요약 4 3" xfId="22553" xr:uid="{00000000-0005-0000-0000-000034570000}"/>
    <cellStyle name="요약 4 4" xfId="22554" xr:uid="{00000000-0005-0000-0000-000035570000}"/>
    <cellStyle name="요약 4 5" xfId="22555" xr:uid="{00000000-0005-0000-0000-000036570000}"/>
    <cellStyle name="요약 4 6" xfId="22556" xr:uid="{00000000-0005-0000-0000-000037570000}"/>
    <cellStyle name="요약 4 7" xfId="22557" xr:uid="{00000000-0005-0000-0000-000038570000}"/>
    <cellStyle name="요약 4 8" xfId="22558" xr:uid="{00000000-0005-0000-0000-000039570000}"/>
    <cellStyle name="요약 4 9" xfId="22559" xr:uid="{00000000-0005-0000-0000-00003A570000}"/>
    <cellStyle name="요약 40" xfId="2867" xr:uid="{00000000-0005-0000-0000-00003B570000}"/>
    <cellStyle name="요약 40 10" xfId="22561" xr:uid="{00000000-0005-0000-0000-00003C570000}"/>
    <cellStyle name="요약 40 11" xfId="22562" xr:uid="{00000000-0005-0000-0000-00003D570000}"/>
    <cellStyle name="요약 40 12" xfId="22563" xr:uid="{00000000-0005-0000-0000-00003E570000}"/>
    <cellStyle name="요약 40 13" xfId="22564" xr:uid="{00000000-0005-0000-0000-00003F570000}"/>
    <cellStyle name="요약 40 14" xfId="22565" xr:uid="{00000000-0005-0000-0000-000040570000}"/>
    <cellStyle name="요약 40 15" xfId="22560" xr:uid="{00000000-0005-0000-0000-000041570000}"/>
    <cellStyle name="요약 40 2" xfId="2868" xr:uid="{00000000-0005-0000-0000-000042570000}"/>
    <cellStyle name="요약 40 2 2" xfId="22566" xr:uid="{00000000-0005-0000-0000-000043570000}"/>
    <cellStyle name="요약 40 3" xfId="22567" xr:uid="{00000000-0005-0000-0000-000044570000}"/>
    <cellStyle name="요약 40 4" xfId="22568" xr:uid="{00000000-0005-0000-0000-000045570000}"/>
    <cellStyle name="요약 40 5" xfId="22569" xr:uid="{00000000-0005-0000-0000-000046570000}"/>
    <cellStyle name="요약 40 6" xfId="22570" xr:uid="{00000000-0005-0000-0000-000047570000}"/>
    <cellStyle name="요약 40 7" xfId="22571" xr:uid="{00000000-0005-0000-0000-000048570000}"/>
    <cellStyle name="요약 40 8" xfId="22572" xr:uid="{00000000-0005-0000-0000-000049570000}"/>
    <cellStyle name="요약 40 9" xfId="22573" xr:uid="{00000000-0005-0000-0000-00004A570000}"/>
    <cellStyle name="요약 41" xfId="2869" xr:uid="{00000000-0005-0000-0000-00004B570000}"/>
    <cellStyle name="요약 41 10" xfId="22575" xr:uid="{00000000-0005-0000-0000-00004C570000}"/>
    <cellStyle name="요약 41 11" xfId="22576" xr:uid="{00000000-0005-0000-0000-00004D570000}"/>
    <cellStyle name="요약 41 12" xfId="22577" xr:uid="{00000000-0005-0000-0000-00004E570000}"/>
    <cellStyle name="요약 41 13" xfId="22578" xr:uid="{00000000-0005-0000-0000-00004F570000}"/>
    <cellStyle name="요약 41 14" xfId="22579" xr:uid="{00000000-0005-0000-0000-000050570000}"/>
    <cellStyle name="요약 41 15" xfId="22574" xr:uid="{00000000-0005-0000-0000-000051570000}"/>
    <cellStyle name="요약 41 2" xfId="2870" xr:uid="{00000000-0005-0000-0000-000052570000}"/>
    <cellStyle name="요약 41 2 2" xfId="22580" xr:uid="{00000000-0005-0000-0000-000053570000}"/>
    <cellStyle name="요약 41 3" xfId="22581" xr:uid="{00000000-0005-0000-0000-000054570000}"/>
    <cellStyle name="요약 41 4" xfId="22582" xr:uid="{00000000-0005-0000-0000-000055570000}"/>
    <cellStyle name="요약 41 5" xfId="22583" xr:uid="{00000000-0005-0000-0000-000056570000}"/>
    <cellStyle name="요약 41 6" xfId="22584" xr:uid="{00000000-0005-0000-0000-000057570000}"/>
    <cellStyle name="요약 41 7" xfId="22585" xr:uid="{00000000-0005-0000-0000-000058570000}"/>
    <cellStyle name="요약 41 8" xfId="22586" xr:uid="{00000000-0005-0000-0000-000059570000}"/>
    <cellStyle name="요약 41 9" xfId="22587" xr:uid="{00000000-0005-0000-0000-00005A570000}"/>
    <cellStyle name="요약 42" xfId="2871" xr:uid="{00000000-0005-0000-0000-00005B570000}"/>
    <cellStyle name="요약 42 10" xfId="22589" xr:uid="{00000000-0005-0000-0000-00005C570000}"/>
    <cellStyle name="요약 42 11" xfId="22590" xr:uid="{00000000-0005-0000-0000-00005D570000}"/>
    <cellStyle name="요약 42 12" xfId="22591" xr:uid="{00000000-0005-0000-0000-00005E570000}"/>
    <cellStyle name="요약 42 13" xfId="22592" xr:uid="{00000000-0005-0000-0000-00005F570000}"/>
    <cellStyle name="요약 42 14" xfId="22593" xr:uid="{00000000-0005-0000-0000-000060570000}"/>
    <cellStyle name="요약 42 15" xfId="22588" xr:uid="{00000000-0005-0000-0000-000061570000}"/>
    <cellStyle name="요약 42 2" xfId="2872" xr:uid="{00000000-0005-0000-0000-000062570000}"/>
    <cellStyle name="요약 42 2 2" xfId="22594" xr:uid="{00000000-0005-0000-0000-000063570000}"/>
    <cellStyle name="요약 42 3" xfId="22595" xr:uid="{00000000-0005-0000-0000-000064570000}"/>
    <cellStyle name="요약 42 4" xfId="22596" xr:uid="{00000000-0005-0000-0000-000065570000}"/>
    <cellStyle name="요약 42 5" xfId="22597" xr:uid="{00000000-0005-0000-0000-000066570000}"/>
    <cellStyle name="요약 42 6" xfId="22598" xr:uid="{00000000-0005-0000-0000-000067570000}"/>
    <cellStyle name="요약 42 7" xfId="22599" xr:uid="{00000000-0005-0000-0000-000068570000}"/>
    <cellStyle name="요약 42 8" xfId="22600" xr:uid="{00000000-0005-0000-0000-000069570000}"/>
    <cellStyle name="요약 42 9" xfId="22601" xr:uid="{00000000-0005-0000-0000-00006A570000}"/>
    <cellStyle name="요약 43" xfId="2873" xr:uid="{00000000-0005-0000-0000-00006B570000}"/>
    <cellStyle name="요약 43 10" xfId="22603" xr:uid="{00000000-0005-0000-0000-00006C570000}"/>
    <cellStyle name="요약 43 11" xfId="22604" xr:uid="{00000000-0005-0000-0000-00006D570000}"/>
    <cellStyle name="요약 43 12" xfId="22605" xr:uid="{00000000-0005-0000-0000-00006E570000}"/>
    <cellStyle name="요약 43 13" xfId="22606" xr:uid="{00000000-0005-0000-0000-00006F570000}"/>
    <cellStyle name="요약 43 14" xfId="22607" xr:uid="{00000000-0005-0000-0000-000070570000}"/>
    <cellStyle name="요약 43 15" xfId="22602" xr:uid="{00000000-0005-0000-0000-000071570000}"/>
    <cellStyle name="요약 43 2" xfId="2874" xr:uid="{00000000-0005-0000-0000-000072570000}"/>
    <cellStyle name="요약 43 2 2" xfId="22608" xr:uid="{00000000-0005-0000-0000-000073570000}"/>
    <cellStyle name="요약 43 3" xfId="22609" xr:uid="{00000000-0005-0000-0000-000074570000}"/>
    <cellStyle name="요약 43 4" xfId="22610" xr:uid="{00000000-0005-0000-0000-000075570000}"/>
    <cellStyle name="요약 43 5" xfId="22611" xr:uid="{00000000-0005-0000-0000-000076570000}"/>
    <cellStyle name="요약 43 6" xfId="22612" xr:uid="{00000000-0005-0000-0000-000077570000}"/>
    <cellStyle name="요약 43 7" xfId="22613" xr:uid="{00000000-0005-0000-0000-000078570000}"/>
    <cellStyle name="요약 43 8" xfId="22614" xr:uid="{00000000-0005-0000-0000-000079570000}"/>
    <cellStyle name="요약 43 9" xfId="22615" xr:uid="{00000000-0005-0000-0000-00007A570000}"/>
    <cellStyle name="요약 44" xfId="2875" xr:uid="{00000000-0005-0000-0000-00007B570000}"/>
    <cellStyle name="요약 44 2" xfId="22616" xr:uid="{00000000-0005-0000-0000-00007C570000}"/>
    <cellStyle name="요약 45" xfId="2876" xr:uid="{00000000-0005-0000-0000-00007D570000}"/>
    <cellStyle name="요약 45 2" xfId="22617" xr:uid="{00000000-0005-0000-0000-00007E570000}"/>
    <cellStyle name="요약 46" xfId="2800" xr:uid="{00000000-0005-0000-0000-00007F570000}"/>
    <cellStyle name="요약 47" xfId="22097" xr:uid="{00000000-0005-0000-0000-000080570000}"/>
    <cellStyle name="요약 48" xfId="27627" xr:uid="{00000000-0005-0000-0000-000081570000}"/>
    <cellStyle name="요약 48 2" xfId="28274" xr:uid="{00000000-0005-0000-0000-000082570000}"/>
    <cellStyle name="요약 5" xfId="2877" xr:uid="{00000000-0005-0000-0000-000083570000}"/>
    <cellStyle name="요약 5 10" xfId="22619" xr:uid="{00000000-0005-0000-0000-000084570000}"/>
    <cellStyle name="요약 5 11" xfId="22620" xr:uid="{00000000-0005-0000-0000-000085570000}"/>
    <cellStyle name="요약 5 12" xfId="22621" xr:uid="{00000000-0005-0000-0000-000086570000}"/>
    <cellStyle name="요약 5 13" xfId="22622" xr:uid="{00000000-0005-0000-0000-000087570000}"/>
    <cellStyle name="요약 5 14" xfId="22623" xr:uid="{00000000-0005-0000-0000-000088570000}"/>
    <cellStyle name="요약 5 15" xfId="22618" xr:uid="{00000000-0005-0000-0000-000089570000}"/>
    <cellStyle name="요약 5 2" xfId="2878" xr:uid="{00000000-0005-0000-0000-00008A570000}"/>
    <cellStyle name="요약 5 2 2" xfId="22624" xr:uid="{00000000-0005-0000-0000-00008B570000}"/>
    <cellStyle name="요약 5 3" xfId="22625" xr:uid="{00000000-0005-0000-0000-00008C570000}"/>
    <cellStyle name="요약 5 4" xfId="22626" xr:uid="{00000000-0005-0000-0000-00008D570000}"/>
    <cellStyle name="요약 5 5" xfId="22627" xr:uid="{00000000-0005-0000-0000-00008E570000}"/>
    <cellStyle name="요약 5 6" xfId="22628" xr:uid="{00000000-0005-0000-0000-00008F570000}"/>
    <cellStyle name="요약 5 7" xfId="22629" xr:uid="{00000000-0005-0000-0000-000090570000}"/>
    <cellStyle name="요약 5 8" xfId="22630" xr:uid="{00000000-0005-0000-0000-000091570000}"/>
    <cellStyle name="요약 5 9" xfId="22631" xr:uid="{00000000-0005-0000-0000-000092570000}"/>
    <cellStyle name="요약 6" xfId="2879" xr:uid="{00000000-0005-0000-0000-000093570000}"/>
    <cellStyle name="요약 6 10" xfId="22633" xr:uid="{00000000-0005-0000-0000-000094570000}"/>
    <cellStyle name="요약 6 11" xfId="22634" xr:uid="{00000000-0005-0000-0000-000095570000}"/>
    <cellStyle name="요약 6 12" xfId="22635" xr:uid="{00000000-0005-0000-0000-000096570000}"/>
    <cellStyle name="요약 6 13" xfId="22636" xr:uid="{00000000-0005-0000-0000-000097570000}"/>
    <cellStyle name="요약 6 14" xfId="22637" xr:uid="{00000000-0005-0000-0000-000098570000}"/>
    <cellStyle name="요약 6 15" xfId="22632" xr:uid="{00000000-0005-0000-0000-000099570000}"/>
    <cellStyle name="요약 6 2" xfId="2880" xr:uid="{00000000-0005-0000-0000-00009A570000}"/>
    <cellStyle name="요약 6 2 2" xfId="22638" xr:uid="{00000000-0005-0000-0000-00009B570000}"/>
    <cellStyle name="요약 6 3" xfId="22639" xr:uid="{00000000-0005-0000-0000-00009C570000}"/>
    <cellStyle name="요약 6 4" xfId="22640" xr:uid="{00000000-0005-0000-0000-00009D570000}"/>
    <cellStyle name="요약 6 5" xfId="22641" xr:uid="{00000000-0005-0000-0000-00009E570000}"/>
    <cellStyle name="요약 6 6" xfId="22642" xr:uid="{00000000-0005-0000-0000-00009F570000}"/>
    <cellStyle name="요약 6 7" xfId="22643" xr:uid="{00000000-0005-0000-0000-0000A0570000}"/>
    <cellStyle name="요약 6 8" xfId="22644" xr:uid="{00000000-0005-0000-0000-0000A1570000}"/>
    <cellStyle name="요약 6 9" xfId="22645" xr:uid="{00000000-0005-0000-0000-0000A2570000}"/>
    <cellStyle name="요약 7" xfId="2881" xr:uid="{00000000-0005-0000-0000-0000A3570000}"/>
    <cellStyle name="요약 7 10" xfId="22647" xr:uid="{00000000-0005-0000-0000-0000A4570000}"/>
    <cellStyle name="요약 7 11" xfId="22648" xr:uid="{00000000-0005-0000-0000-0000A5570000}"/>
    <cellStyle name="요약 7 12" xfId="22649" xr:uid="{00000000-0005-0000-0000-0000A6570000}"/>
    <cellStyle name="요약 7 13" xfId="22650" xr:uid="{00000000-0005-0000-0000-0000A7570000}"/>
    <cellStyle name="요약 7 14" xfId="22651" xr:uid="{00000000-0005-0000-0000-0000A8570000}"/>
    <cellStyle name="요약 7 15" xfId="22646" xr:uid="{00000000-0005-0000-0000-0000A9570000}"/>
    <cellStyle name="요약 7 2" xfId="2882" xr:uid="{00000000-0005-0000-0000-0000AA570000}"/>
    <cellStyle name="요약 7 2 2" xfId="22652" xr:uid="{00000000-0005-0000-0000-0000AB570000}"/>
    <cellStyle name="요약 7 3" xfId="22653" xr:uid="{00000000-0005-0000-0000-0000AC570000}"/>
    <cellStyle name="요약 7 4" xfId="22654" xr:uid="{00000000-0005-0000-0000-0000AD570000}"/>
    <cellStyle name="요약 7 5" xfId="22655" xr:uid="{00000000-0005-0000-0000-0000AE570000}"/>
    <cellStyle name="요약 7 6" xfId="22656" xr:uid="{00000000-0005-0000-0000-0000AF570000}"/>
    <cellStyle name="요약 7 7" xfId="22657" xr:uid="{00000000-0005-0000-0000-0000B0570000}"/>
    <cellStyle name="요약 7 8" xfId="22658" xr:uid="{00000000-0005-0000-0000-0000B1570000}"/>
    <cellStyle name="요약 7 9" xfId="22659" xr:uid="{00000000-0005-0000-0000-0000B2570000}"/>
    <cellStyle name="요약 8" xfId="2883" xr:uid="{00000000-0005-0000-0000-0000B3570000}"/>
    <cellStyle name="요약 8 10" xfId="22661" xr:uid="{00000000-0005-0000-0000-0000B4570000}"/>
    <cellStyle name="요약 8 11" xfId="22662" xr:uid="{00000000-0005-0000-0000-0000B5570000}"/>
    <cellStyle name="요약 8 12" xfId="22663" xr:uid="{00000000-0005-0000-0000-0000B6570000}"/>
    <cellStyle name="요약 8 13" xfId="22664" xr:uid="{00000000-0005-0000-0000-0000B7570000}"/>
    <cellStyle name="요약 8 14" xfId="22665" xr:uid="{00000000-0005-0000-0000-0000B8570000}"/>
    <cellStyle name="요약 8 15" xfId="22660" xr:uid="{00000000-0005-0000-0000-0000B9570000}"/>
    <cellStyle name="요약 8 2" xfId="2884" xr:uid="{00000000-0005-0000-0000-0000BA570000}"/>
    <cellStyle name="요약 8 2 2" xfId="22666" xr:uid="{00000000-0005-0000-0000-0000BB570000}"/>
    <cellStyle name="요약 8 3" xfId="22667" xr:uid="{00000000-0005-0000-0000-0000BC570000}"/>
    <cellStyle name="요약 8 4" xfId="22668" xr:uid="{00000000-0005-0000-0000-0000BD570000}"/>
    <cellStyle name="요약 8 5" xfId="22669" xr:uid="{00000000-0005-0000-0000-0000BE570000}"/>
    <cellStyle name="요약 8 6" xfId="22670" xr:uid="{00000000-0005-0000-0000-0000BF570000}"/>
    <cellStyle name="요약 8 7" xfId="22671" xr:uid="{00000000-0005-0000-0000-0000C0570000}"/>
    <cellStyle name="요약 8 8" xfId="22672" xr:uid="{00000000-0005-0000-0000-0000C1570000}"/>
    <cellStyle name="요약 8 9" xfId="22673" xr:uid="{00000000-0005-0000-0000-0000C2570000}"/>
    <cellStyle name="요약 9" xfId="2885" xr:uid="{00000000-0005-0000-0000-0000C3570000}"/>
    <cellStyle name="요약 9 10" xfId="22675" xr:uid="{00000000-0005-0000-0000-0000C4570000}"/>
    <cellStyle name="요약 9 11" xfId="22676" xr:uid="{00000000-0005-0000-0000-0000C5570000}"/>
    <cellStyle name="요약 9 12" xfId="22677" xr:uid="{00000000-0005-0000-0000-0000C6570000}"/>
    <cellStyle name="요약 9 13" xfId="22678" xr:uid="{00000000-0005-0000-0000-0000C7570000}"/>
    <cellStyle name="요약 9 14" xfId="22679" xr:uid="{00000000-0005-0000-0000-0000C8570000}"/>
    <cellStyle name="요약 9 15" xfId="22674" xr:uid="{00000000-0005-0000-0000-0000C9570000}"/>
    <cellStyle name="요약 9 2" xfId="2886" xr:uid="{00000000-0005-0000-0000-0000CA570000}"/>
    <cellStyle name="요약 9 2 2" xfId="22680" xr:uid="{00000000-0005-0000-0000-0000CB570000}"/>
    <cellStyle name="요약 9 3" xfId="22681" xr:uid="{00000000-0005-0000-0000-0000CC570000}"/>
    <cellStyle name="요약 9 4" xfId="22682" xr:uid="{00000000-0005-0000-0000-0000CD570000}"/>
    <cellStyle name="요약 9 5" xfId="22683" xr:uid="{00000000-0005-0000-0000-0000CE570000}"/>
    <cellStyle name="요약 9 6" xfId="22684" xr:uid="{00000000-0005-0000-0000-0000CF570000}"/>
    <cellStyle name="요약 9 7" xfId="22685" xr:uid="{00000000-0005-0000-0000-0000D0570000}"/>
    <cellStyle name="요약 9 8" xfId="22686" xr:uid="{00000000-0005-0000-0000-0000D1570000}"/>
    <cellStyle name="요약 9 9" xfId="22687" xr:uid="{00000000-0005-0000-0000-0000D2570000}"/>
    <cellStyle name="입력 10" xfId="2888" xr:uid="{00000000-0005-0000-0000-0000D3570000}"/>
    <cellStyle name="입력 10 10" xfId="22690" xr:uid="{00000000-0005-0000-0000-0000D4570000}"/>
    <cellStyle name="입력 10 11" xfId="22691" xr:uid="{00000000-0005-0000-0000-0000D5570000}"/>
    <cellStyle name="입력 10 12" xfId="22692" xr:uid="{00000000-0005-0000-0000-0000D6570000}"/>
    <cellStyle name="입력 10 13" xfId="22693" xr:uid="{00000000-0005-0000-0000-0000D7570000}"/>
    <cellStyle name="입력 10 14" xfId="22694" xr:uid="{00000000-0005-0000-0000-0000D8570000}"/>
    <cellStyle name="입력 10 15" xfId="22689" xr:uid="{00000000-0005-0000-0000-0000D9570000}"/>
    <cellStyle name="입력 10 2" xfId="2889" xr:uid="{00000000-0005-0000-0000-0000DA570000}"/>
    <cellStyle name="입력 10 2 2" xfId="22695" xr:uid="{00000000-0005-0000-0000-0000DB570000}"/>
    <cellStyle name="입력 10 3" xfId="22696" xr:uid="{00000000-0005-0000-0000-0000DC570000}"/>
    <cellStyle name="입력 10 4" xfId="22697" xr:uid="{00000000-0005-0000-0000-0000DD570000}"/>
    <cellStyle name="입력 10 5" xfId="22698" xr:uid="{00000000-0005-0000-0000-0000DE570000}"/>
    <cellStyle name="입력 10 6" xfId="22699" xr:uid="{00000000-0005-0000-0000-0000DF570000}"/>
    <cellStyle name="입력 10 7" xfId="22700" xr:uid="{00000000-0005-0000-0000-0000E0570000}"/>
    <cellStyle name="입력 10 8" xfId="22701" xr:uid="{00000000-0005-0000-0000-0000E1570000}"/>
    <cellStyle name="입력 10 9" xfId="22702" xr:uid="{00000000-0005-0000-0000-0000E2570000}"/>
    <cellStyle name="입력 11" xfId="2890" xr:uid="{00000000-0005-0000-0000-0000E3570000}"/>
    <cellStyle name="입력 11 10" xfId="22704" xr:uid="{00000000-0005-0000-0000-0000E4570000}"/>
    <cellStyle name="입력 11 11" xfId="22705" xr:uid="{00000000-0005-0000-0000-0000E5570000}"/>
    <cellStyle name="입력 11 12" xfId="22706" xr:uid="{00000000-0005-0000-0000-0000E6570000}"/>
    <cellStyle name="입력 11 13" xfId="22707" xr:uid="{00000000-0005-0000-0000-0000E7570000}"/>
    <cellStyle name="입력 11 14" xfId="22708" xr:uid="{00000000-0005-0000-0000-0000E8570000}"/>
    <cellStyle name="입력 11 15" xfId="22703" xr:uid="{00000000-0005-0000-0000-0000E9570000}"/>
    <cellStyle name="입력 11 2" xfId="2891" xr:uid="{00000000-0005-0000-0000-0000EA570000}"/>
    <cellStyle name="입력 11 2 2" xfId="22709" xr:uid="{00000000-0005-0000-0000-0000EB570000}"/>
    <cellStyle name="입력 11 3" xfId="22710" xr:uid="{00000000-0005-0000-0000-0000EC570000}"/>
    <cellStyle name="입력 11 4" xfId="22711" xr:uid="{00000000-0005-0000-0000-0000ED570000}"/>
    <cellStyle name="입력 11 5" xfId="22712" xr:uid="{00000000-0005-0000-0000-0000EE570000}"/>
    <cellStyle name="입력 11 6" xfId="22713" xr:uid="{00000000-0005-0000-0000-0000EF570000}"/>
    <cellStyle name="입력 11 7" xfId="22714" xr:uid="{00000000-0005-0000-0000-0000F0570000}"/>
    <cellStyle name="입력 11 8" xfId="22715" xr:uid="{00000000-0005-0000-0000-0000F1570000}"/>
    <cellStyle name="입력 11 9" xfId="22716" xr:uid="{00000000-0005-0000-0000-0000F2570000}"/>
    <cellStyle name="입력 12" xfId="2892" xr:uid="{00000000-0005-0000-0000-0000F3570000}"/>
    <cellStyle name="입력 12 10" xfId="22718" xr:uid="{00000000-0005-0000-0000-0000F4570000}"/>
    <cellStyle name="입력 12 11" xfId="22719" xr:uid="{00000000-0005-0000-0000-0000F5570000}"/>
    <cellStyle name="입력 12 12" xfId="22720" xr:uid="{00000000-0005-0000-0000-0000F6570000}"/>
    <cellStyle name="입력 12 13" xfId="22721" xr:uid="{00000000-0005-0000-0000-0000F7570000}"/>
    <cellStyle name="입력 12 14" xfId="22722" xr:uid="{00000000-0005-0000-0000-0000F8570000}"/>
    <cellStyle name="입력 12 15" xfId="22717" xr:uid="{00000000-0005-0000-0000-0000F9570000}"/>
    <cellStyle name="입력 12 2" xfId="2893" xr:uid="{00000000-0005-0000-0000-0000FA570000}"/>
    <cellStyle name="입력 12 2 2" xfId="22723" xr:uid="{00000000-0005-0000-0000-0000FB570000}"/>
    <cellStyle name="입력 12 3" xfId="22724" xr:uid="{00000000-0005-0000-0000-0000FC570000}"/>
    <cellStyle name="입력 12 4" xfId="22725" xr:uid="{00000000-0005-0000-0000-0000FD570000}"/>
    <cellStyle name="입력 12 5" xfId="22726" xr:uid="{00000000-0005-0000-0000-0000FE570000}"/>
    <cellStyle name="입력 12 6" xfId="22727" xr:uid="{00000000-0005-0000-0000-0000FF570000}"/>
    <cellStyle name="입력 12 7" xfId="22728" xr:uid="{00000000-0005-0000-0000-000000580000}"/>
    <cellStyle name="입력 12 8" xfId="22729" xr:uid="{00000000-0005-0000-0000-000001580000}"/>
    <cellStyle name="입력 12 9" xfId="22730" xr:uid="{00000000-0005-0000-0000-000002580000}"/>
    <cellStyle name="입력 13" xfId="2894" xr:uid="{00000000-0005-0000-0000-000003580000}"/>
    <cellStyle name="입력 13 10" xfId="22732" xr:uid="{00000000-0005-0000-0000-000004580000}"/>
    <cellStyle name="입력 13 11" xfId="22733" xr:uid="{00000000-0005-0000-0000-000005580000}"/>
    <cellStyle name="입력 13 12" xfId="22734" xr:uid="{00000000-0005-0000-0000-000006580000}"/>
    <cellStyle name="입력 13 13" xfId="22735" xr:uid="{00000000-0005-0000-0000-000007580000}"/>
    <cellStyle name="입력 13 14" xfId="22736" xr:uid="{00000000-0005-0000-0000-000008580000}"/>
    <cellStyle name="입력 13 15" xfId="22731" xr:uid="{00000000-0005-0000-0000-000009580000}"/>
    <cellStyle name="입력 13 2" xfId="2895" xr:uid="{00000000-0005-0000-0000-00000A580000}"/>
    <cellStyle name="입력 13 2 2" xfId="22737" xr:uid="{00000000-0005-0000-0000-00000B580000}"/>
    <cellStyle name="입력 13 3" xfId="22738" xr:uid="{00000000-0005-0000-0000-00000C580000}"/>
    <cellStyle name="입력 13 4" xfId="22739" xr:uid="{00000000-0005-0000-0000-00000D580000}"/>
    <cellStyle name="입력 13 5" xfId="22740" xr:uid="{00000000-0005-0000-0000-00000E580000}"/>
    <cellStyle name="입력 13 6" xfId="22741" xr:uid="{00000000-0005-0000-0000-00000F580000}"/>
    <cellStyle name="입력 13 7" xfId="22742" xr:uid="{00000000-0005-0000-0000-000010580000}"/>
    <cellStyle name="입력 13 8" xfId="22743" xr:uid="{00000000-0005-0000-0000-000011580000}"/>
    <cellStyle name="입력 13 9" xfId="22744" xr:uid="{00000000-0005-0000-0000-000012580000}"/>
    <cellStyle name="입력 14" xfId="2896" xr:uid="{00000000-0005-0000-0000-000013580000}"/>
    <cellStyle name="입력 14 10" xfId="22746" xr:uid="{00000000-0005-0000-0000-000014580000}"/>
    <cellStyle name="입력 14 11" xfId="22747" xr:uid="{00000000-0005-0000-0000-000015580000}"/>
    <cellStyle name="입력 14 12" xfId="22748" xr:uid="{00000000-0005-0000-0000-000016580000}"/>
    <cellStyle name="입력 14 13" xfId="22749" xr:uid="{00000000-0005-0000-0000-000017580000}"/>
    <cellStyle name="입력 14 14" xfId="22750" xr:uid="{00000000-0005-0000-0000-000018580000}"/>
    <cellStyle name="입력 14 15" xfId="22745" xr:uid="{00000000-0005-0000-0000-000019580000}"/>
    <cellStyle name="입력 14 2" xfId="2897" xr:uid="{00000000-0005-0000-0000-00001A580000}"/>
    <cellStyle name="입력 14 2 2" xfId="22751" xr:uid="{00000000-0005-0000-0000-00001B580000}"/>
    <cellStyle name="입력 14 3" xfId="22752" xr:uid="{00000000-0005-0000-0000-00001C580000}"/>
    <cellStyle name="입력 14 4" xfId="22753" xr:uid="{00000000-0005-0000-0000-00001D580000}"/>
    <cellStyle name="입력 14 5" xfId="22754" xr:uid="{00000000-0005-0000-0000-00001E580000}"/>
    <cellStyle name="입력 14 6" xfId="22755" xr:uid="{00000000-0005-0000-0000-00001F580000}"/>
    <cellStyle name="입력 14 7" xfId="22756" xr:uid="{00000000-0005-0000-0000-000020580000}"/>
    <cellStyle name="입력 14 8" xfId="22757" xr:uid="{00000000-0005-0000-0000-000021580000}"/>
    <cellStyle name="입력 14 9" xfId="22758" xr:uid="{00000000-0005-0000-0000-000022580000}"/>
    <cellStyle name="입력 15" xfId="2898" xr:uid="{00000000-0005-0000-0000-000023580000}"/>
    <cellStyle name="입력 15 10" xfId="22760" xr:uid="{00000000-0005-0000-0000-000024580000}"/>
    <cellStyle name="입력 15 11" xfId="22761" xr:uid="{00000000-0005-0000-0000-000025580000}"/>
    <cellStyle name="입력 15 12" xfId="22762" xr:uid="{00000000-0005-0000-0000-000026580000}"/>
    <cellStyle name="입력 15 13" xfId="22763" xr:uid="{00000000-0005-0000-0000-000027580000}"/>
    <cellStyle name="입력 15 14" xfId="22764" xr:uid="{00000000-0005-0000-0000-000028580000}"/>
    <cellStyle name="입력 15 15" xfId="22759" xr:uid="{00000000-0005-0000-0000-000029580000}"/>
    <cellStyle name="입력 15 2" xfId="2899" xr:uid="{00000000-0005-0000-0000-00002A580000}"/>
    <cellStyle name="입력 15 2 2" xfId="22765" xr:uid="{00000000-0005-0000-0000-00002B580000}"/>
    <cellStyle name="입력 15 3" xfId="22766" xr:uid="{00000000-0005-0000-0000-00002C580000}"/>
    <cellStyle name="입력 15 4" xfId="22767" xr:uid="{00000000-0005-0000-0000-00002D580000}"/>
    <cellStyle name="입력 15 5" xfId="22768" xr:uid="{00000000-0005-0000-0000-00002E580000}"/>
    <cellStyle name="입력 15 6" xfId="22769" xr:uid="{00000000-0005-0000-0000-00002F580000}"/>
    <cellStyle name="입력 15 7" xfId="22770" xr:uid="{00000000-0005-0000-0000-000030580000}"/>
    <cellStyle name="입력 15 8" xfId="22771" xr:uid="{00000000-0005-0000-0000-000031580000}"/>
    <cellStyle name="입력 15 9" xfId="22772" xr:uid="{00000000-0005-0000-0000-000032580000}"/>
    <cellStyle name="입력 16" xfId="2900" xr:uid="{00000000-0005-0000-0000-000033580000}"/>
    <cellStyle name="입력 16 10" xfId="22774" xr:uid="{00000000-0005-0000-0000-000034580000}"/>
    <cellStyle name="입력 16 11" xfId="22775" xr:uid="{00000000-0005-0000-0000-000035580000}"/>
    <cellStyle name="입력 16 12" xfId="22776" xr:uid="{00000000-0005-0000-0000-000036580000}"/>
    <cellStyle name="입력 16 13" xfId="22777" xr:uid="{00000000-0005-0000-0000-000037580000}"/>
    <cellStyle name="입력 16 14" xfId="22778" xr:uid="{00000000-0005-0000-0000-000038580000}"/>
    <cellStyle name="입력 16 15" xfId="22773" xr:uid="{00000000-0005-0000-0000-000039580000}"/>
    <cellStyle name="입력 16 2" xfId="2901" xr:uid="{00000000-0005-0000-0000-00003A580000}"/>
    <cellStyle name="입력 16 2 2" xfId="22779" xr:uid="{00000000-0005-0000-0000-00003B580000}"/>
    <cellStyle name="입력 16 3" xfId="22780" xr:uid="{00000000-0005-0000-0000-00003C580000}"/>
    <cellStyle name="입력 16 4" xfId="22781" xr:uid="{00000000-0005-0000-0000-00003D580000}"/>
    <cellStyle name="입력 16 5" xfId="22782" xr:uid="{00000000-0005-0000-0000-00003E580000}"/>
    <cellStyle name="입력 16 6" xfId="22783" xr:uid="{00000000-0005-0000-0000-00003F580000}"/>
    <cellStyle name="입력 16 7" xfId="22784" xr:uid="{00000000-0005-0000-0000-000040580000}"/>
    <cellStyle name="입력 16 8" xfId="22785" xr:uid="{00000000-0005-0000-0000-000041580000}"/>
    <cellStyle name="입력 16 9" xfId="22786" xr:uid="{00000000-0005-0000-0000-000042580000}"/>
    <cellStyle name="입력 17" xfId="2902" xr:uid="{00000000-0005-0000-0000-000043580000}"/>
    <cellStyle name="입력 17 10" xfId="22788" xr:uid="{00000000-0005-0000-0000-000044580000}"/>
    <cellStyle name="입력 17 11" xfId="22789" xr:uid="{00000000-0005-0000-0000-000045580000}"/>
    <cellStyle name="입력 17 12" xfId="22790" xr:uid="{00000000-0005-0000-0000-000046580000}"/>
    <cellStyle name="입력 17 13" xfId="22791" xr:uid="{00000000-0005-0000-0000-000047580000}"/>
    <cellStyle name="입력 17 14" xfId="22792" xr:uid="{00000000-0005-0000-0000-000048580000}"/>
    <cellStyle name="입력 17 15" xfId="22787" xr:uid="{00000000-0005-0000-0000-000049580000}"/>
    <cellStyle name="입력 17 2" xfId="2903" xr:uid="{00000000-0005-0000-0000-00004A580000}"/>
    <cellStyle name="입력 17 2 2" xfId="22793" xr:uid="{00000000-0005-0000-0000-00004B580000}"/>
    <cellStyle name="입력 17 3" xfId="22794" xr:uid="{00000000-0005-0000-0000-00004C580000}"/>
    <cellStyle name="입력 17 4" xfId="22795" xr:uid="{00000000-0005-0000-0000-00004D580000}"/>
    <cellStyle name="입력 17 5" xfId="22796" xr:uid="{00000000-0005-0000-0000-00004E580000}"/>
    <cellStyle name="입력 17 6" xfId="22797" xr:uid="{00000000-0005-0000-0000-00004F580000}"/>
    <cellStyle name="입력 17 7" xfId="22798" xr:uid="{00000000-0005-0000-0000-000050580000}"/>
    <cellStyle name="입력 17 8" xfId="22799" xr:uid="{00000000-0005-0000-0000-000051580000}"/>
    <cellStyle name="입력 17 9" xfId="22800" xr:uid="{00000000-0005-0000-0000-000052580000}"/>
    <cellStyle name="입력 18" xfId="2904" xr:uid="{00000000-0005-0000-0000-000053580000}"/>
    <cellStyle name="입력 18 10" xfId="22802" xr:uid="{00000000-0005-0000-0000-000054580000}"/>
    <cellStyle name="입력 18 11" xfId="22803" xr:uid="{00000000-0005-0000-0000-000055580000}"/>
    <cellStyle name="입력 18 12" xfId="22804" xr:uid="{00000000-0005-0000-0000-000056580000}"/>
    <cellStyle name="입력 18 13" xfId="22805" xr:uid="{00000000-0005-0000-0000-000057580000}"/>
    <cellStyle name="입력 18 14" xfId="22806" xr:uid="{00000000-0005-0000-0000-000058580000}"/>
    <cellStyle name="입력 18 15" xfId="22801" xr:uid="{00000000-0005-0000-0000-000059580000}"/>
    <cellStyle name="입력 18 2" xfId="2905" xr:uid="{00000000-0005-0000-0000-00005A580000}"/>
    <cellStyle name="입력 18 2 2" xfId="22807" xr:uid="{00000000-0005-0000-0000-00005B580000}"/>
    <cellStyle name="입력 18 3" xfId="22808" xr:uid="{00000000-0005-0000-0000-00005C580000}"/>
    <cellStyle name="입력 18 4" xfId="22809" xr:uid="{00000000-0005-0000-0000-00005D580000}"/>
    <cellStyle name="입력 18 5" xfId="22810" xr:uid="{00000000-0005-0000-0000-00005E580000}"/>
    <cellStyle name="입력 18 6" xfId="22811" xr:uid="{00000000-0005-0000-0000-00005F580000}"/>
    <cellStyle name="입력 18 7" xfId="22812" xr:uid="{00000000-0005-0000-0000-000060580000}"/>
    <cellStyle name="입력 18 8" xfId="22813" xr:uid="{00000000-0005-0000-0000-000061580000}"/>
    <cellStyle name="입력 18 9" xfId="22814" xr:uid="{00000000-0005-0000-0000-000062580000}"/>
    <cellStyle name="입력 19" xfId="2906" xr:uid="{00000000-0005-0000-0000-000063580000}"/>
    <cellStyle name="입력 19 10" xfId="22816" xr:uid="{00000000-0005-0000-0000-000064580000}"/>
    <cellStyle name="입력 19 11" xfId="22817" xr:uid="{00000000-0005-0000-0000-000065580000}"/>
    <cellStyle name="입력 19 12" xfId="22818" xr:uid="{00000000-0005-0000-0000-000066580000}"/>
    <cellStyle name="입력 19 13" xfId="22819" xr:uid="{00000000-0005-0000-0000-000067580000}"/>
    <cellStyle name="입력 19 14" xfId="22820" xr:uid="{00000000-0005-0000-0000-000068580000}"/>
    <cellStyle name="입력 19 15" xfId="22815" xr:uid="{00000000-0005-0000-0000-000069580000}"/>
    <cellStyle name="입력 19 2" xfId="2907" xr:uid="{00000000-0005-0000-0000-00006A580000}"/>
    <cellStyle name="입력 19 2 2" xfId="22821" xr:uid="{00000000-0005-0000-0000-00006B580000}"/>
    <cellStyle name="입력 19 3" xfId="22822" xr:uid="{00000000-0005-0000-0000-00006C580000}"/>
    <cellStyle name="입력 19 4" xfId="22823" xr:uid="{00000000-0005-0000-0000-00006D580000}"/>
    <cellStyle name="입력 19 5" xfId="22824" xr:uid="{00000000-0005-0000-0000-00006E580000}"/>
    <cellStyle name="입력 19 6" xfId="22825" xr:uid="{00000000-0005-0000-0000-00006F580000}"/>
    <cellStyle name="입력 19 7" xfId="22826" xr:uid="{00000000-0005-0000-0000-000070580000}"/>
    <cellStyle name="입력 19 8" xfId="22827" xr:uid="{00000000-0005-0000-0000-000071580000}"/>
    <cellStyle name="입력 19 9" xfId="22828" xr:uid="{00000000-0005-0000-0000-000072580000}"/>
    <cellStyle name="입력 2" xfId="2908" xr:uid="{00000000-0005-0000-0000-000073580000}"/>
    <cellStyle name="입력 2 10" xfId="22830" xr:uid="{00000000-0005-0000-0000-000074580000}"/>
    <cellStyle name="입력 2 11" xfId="22831" xr:uid="{00000000-0005-0000-0000-000075580000}"/>
    <cellStyle name="입력 2 12" xfId="22832" xr:uid="{00000000-0005-0000-0000-000076580000}"/>
    <cellStyle name="입력 2 13" xfId="22833" xr:uid="{00000000-0005-0000-0000-000077580000}"/>
    <cellStyle name="입력 2 14" xfId="22834" xr:uid="{00000000-0005-0000-0000-000078580000}"/>
    <cellStyle name="입력 2 15" xfId="22829" xr:uid="{00000000-0005-0000-0000-000079580000}"/>
    <cellStyle name="입력 2 16" xfId="27978" xr:uid="{00000000-0005-0000-0000-00007A580000}"/>
    <cellStyle name="입력 2 2" xfId="2909" xr:uid="{00000000-0005-0000-0000-00007B580000}"/>
    <cellStyle name="입력 2 2 2" xfId="22835" xr:uid="{00000000-0005-0000-0000-00007C580000}"/>
    <cellStyle name="입력 2 3" xfId="22836" xr:uid="{00000000-0005-0000-0000-00007D580000}"/>
    <cellStyle name="입력 2 4" xfId="22837" xr:uid="{00000000-0005-0000-0000-00007E580000}"/>
    <cellStyle name="입력 2 5" xfId="22838" xr:uid="{00000000-0005-0000-0000-00007F580000}"/>
    <cellStyle name="입력 2 6" xfId="22839" xr:uid="{00000000-0005-0000-0000-000080580000}"/>
    <cellStyle name="입력 2 7" xfId="22840" xr:uid="{00000000-0005-0000-0000-000081580000}"/>
    <cellStyle name="입력 2 8" xfId="22841" xr:uid="{00000000-0005-0000-0000-000082580000}"/>
    <cellStyle name="입력 2 9" xfId="22842" xr:uid="{00000000-0005-0000-0000-000083580000}"/>
    <cellStyle name="입력 20" xfId="2910" xr:uid="{00000000-0005-0000-0000-000084580000}"/>
    <cellStyle name="입력 20 10" xfId="22844" xr:uid="{00000000-0005-0000-0000-000085580000}"/>
    <cellStyle name="입력 20 11" xfId="22845" xr:uid="{00000000-0005-0000-0000-000086580000}"/>
    <cellStyle name="입력 20 12" xfId="22846" xr:uid="{00000000-0005-0000-0000-000087580000}"/>
    <cellStyle name="입력 20 13" xfId="22847" xr:uid="{00000000-0005-0000-0000-000088580000}"/>
    <cellStyle name="입력 20 14" xfId="22848" xr:uid="{00000000-0005-0000-0000-000089580000}"/>
    <cellStyle name="입력 20 15" xfId="22843" xr:uid="{00000000-0005-0000-0000-00008A580000}"/>
    <cellStyle name="입력 20 2" xfId="2911" xr:uid="{00000000-0005-0000-0000-00008B580000}"/>
    <cellStyle name="입력 20 2 2" xfId="22849" xr:uid="{00000000-0005-0000-0000-00008C580000}"/>
    <cellStyle name="입력 20 3" xfId="22850" xr:uid="{00000000-0005-0000-0000-00008D580000}"/>
    <cellStyle name="입력 20 4" xfId="22851" xr:uid="{00000000-0005-0000-0000-00008E580000}"/>
    <cellStyle name="입력 20 5" xfId="22852" xr:uid="{00000000-0005-0000-0000-00008F580000}"/>
    <cellStyle name="입력 20 6" xfId="22853" xr:uid="{00000000-0005-0000-0000-000090580000}"/>
    <cellStyle name="입력 20 7" xfId="22854" xr:uid="{00000000-0005-0000-0000-000091580000}"/>
    <cellStyle name="입력 20 8" xfId="22855" xr:uid="{00000000-0005-0000-0000-000092580000}"/>
    <cellStyle name="입력 20 9" xfId="22856" xr:uid="{00000000-0005-0000-0000-000093580000}"/>
    <cellStyle name="입력 21" xfId="2912" xr:uid="{00000000-0005-0000-0000-000094580000}"/>
    <cellStyle name="입력 21 10" xfId="22858" xr:uid="{00000000-0005-0000-0000-000095580000}"/>
    <cellStyle name="입력 21 11" xfId="22859" xr:uid="{00000000-0005-0000-0000-000096580000}"/>
    <cellStyle name="입력 21 12" xfId="22860" xr:uid="{00000000-0005-0000-0000-000097580000}"/>
    <cellStyle name="입력 21 13" xfId="22861" xr:uid="{00000000-0005-0000-0000-000098580000}"/>
    <cellStyle name="입력 21 14" xfId="22862" xr:uid="{00000000-0005-0000-0000-000099580000}"/>
    <cellStyle name="입력 21 15" xfId="22857" xr:uid="{00000000-0005-0000-0000-00009A580000}"/>
    <cellStyle name="입력 21 2" xfId="2913" xr:uid="{00000000-0005-0000-0000-00009B580000}"/>
    <cellStyle name="입력 21 2 2" xfId="22863" xr:uid="{00000000-0005-0000-0000-00009C580000}"/>
    <cellStyle name="입력 21 3" xfId="22864" xr:uid="{00000000-0005-0000-0000-00009D580000}"/>
    <cellStyle name="입력 21 4" xfId="22865" xr:uid="{00000000-0005-0000-0000-00009E580000}"/>
    <cellStyle name="입력 21 5" xfId="22866" xr:uid="{00000000-0005-0000-0000-00009F580000}"/>
    <cellStyle name="입력 21 6" xfId="22867" xr:uid="{00000000-0005-0000-0000-0000A0580000}"/>
    <cellStyle name="입력 21 7" xfId="22868" xr:uid="{00000000-0005-0000-0000-0000A1580000}"/>
    <cellStyle name="입력 21 8" xfId="22869" xr:uid="{00000000-0005-0000-0000-0000A2580000}"/>
    <cellStyle name="입력 21 9" xfId="22870" xr:uid="{00000000-0005-0000-0000-0000A3580000}"/>
    <cellStyle name="입력 22" xfId="2914" xr:uid="{00000000-0005-0000-0000-0000A4580000}"/>
    <cellStyle name="입력 22 10" xfId="22872" xr:uid="{00000000-0005-0000-0000-0000A5580000}"/>
    <cellStyle name="입력 22 11" xfId="22873" xr:uid="{00000000-0005-0000-0000-0000A6580000}"/>
    <cellStyle name="입력 22 12" xfId="22874" xr:uid="{00000000-0005-0000-0000-0000A7580000}"/>
    <cellStyle name="입력 22 13" xfId="22875" xr:uid="{00000000-0005-0000-0000-0000A8580000}"/>
    <cellStyle name="입력 22 14" xfId="22876" xr:uid="{00000000-0005-0000-0000-0000A9580000}"/>
    <cellStyle name="입력 22 15" xfId="22871" xr:uid="{00000000-0005-0000-0000-0000AA580000}"/>
    <cellStyle name="입력 22 2" xfId="2915" xr:uid="{00000000-0005-0000-0000-0000AB580000}"/>
    <cellStyle name="입력 22 2 2" xfId="22877" xr:uid="{00000000-0005-0000-0000-0000AC580000}"/>
    <cellStyle name="입력 22 3" xfId="22878" xr:uid="{00000000-0005-0000-0000-0000AD580000}"/>
    <cellStyle name="입력 22 4" xfId="22879" xr:uid="{00000000-0005-0000-0000-0000AE580000}"/>
    <cellStyle name="입력 22 5" xfId="22880" xr:uid="{00000000-0005-0000-0000-0000AF580000}"/>
    <cellStyle name="입력 22 6" xfId="22881" xr:uid="{00000000-0005-0000-0000-0000B0580000}"/>
    <cellStyle name="입력 22 7" xfId="22882" xr:uid="{00000000-0005-0000-0000-0000B1580000}"/>
    <cellStyle name="입력 22 8" xfId="22883" xr:uid="{00000000-0005-0000-0000-0000B2580000}"/>
    <cellStyle name="입력 22 9" xfId="22884" xr:uid="{00000000-0005-0000-0000-0000B3580000}"/>
    <cellStyle name="입력 23" xfId="2916" xr:uid="{00000000-0005-0000-0000-0000B4580000}"/>
    <cellStyle name="입력 23 10" xfId="22886" xr:uid="{00000000-0005-0000-0000-0000B5580000}"/>
    <cellStyle name="입력 23 11" xfId="22887" xr:uid="{00000000-0005-0000-0000-0000B6580000}"/>
    <cellStyle name="입력 23 12" xfId="22888" xr:uid="{00000000-0005-0000-0000-0000B7580000}"/>
    <cellStyle name="입력 23 13" xfId="22889" xr:uid="{00000000-0005-0000-0000-0000B8580000}"/>
    <cellStyle name="입력 23 14" xfId="22890" xr:uid="{00000000-0005-0000-0000-0000B9580000}"/>
    <cellStyle name="입력 23 15" xfId="22885" xr:uid="{00000000-0005-0000-0000-0000BA580000}"/>
    <cellStyle name="입력 23 2" xfId="2917" xr:uid="{00000000-0005-0000-0000-0000BB580000}"/>
    <cellStyle name="입력 23 2 2" xfId="22891" xr:uid="{00000000-0005-0000-0000-0000BC580000}"/>
    <cellStyle name="입력 23 3" xfId="22892" xr:uid="{00000000-0005-0000-0000-0000BD580000}"/>
    <cellStyle name="입력 23 4" xfId="22893" xr:uid="{00000000-0005-0000-0000-0000BE580000}"/>
    <cellStyle name="입력 23 5" xfId="22894" xr:uid="{00000000-0005-0000-0000-0000BF580000}"/>
    <cellStyle name="입력 23 6" xfId="22895" xr:uid="{00000000-0005-0000-0000-0000C0580000}"/>
    <cellStyle name="입력 23 7" xfId="22896" xr:uid="{00000000-0005-0000-0000-0000C1580000}"/>
    <cellStyle name="입력 23 8" xfId="22897" xr:uid="{00000000-0005-0000-0000-0000C2580000}"/>
    <cellStyle name="입력 23 9" xfId="22898" xr:uid="{00000000-0005-0000-0000-0000C3580000}"/>
    <cellStyle name="입력 24" xfId="2918" xr:uid="{00000000-0005-0000-0000-0000C4580000}"/>
    <cellStyle name="입력 24 10" xfId="22900" xr:uid="{00000000-0005-0000-0000-0000C5580000}"/>
    <cellStyle name="입력 24 11" xfId="22901" xr:uid="{00000000-0005-0000-0000-0000C6580000}"/>
    <cellStyle name="입력 24 12" xfId="22902" xr:uid="{00000000-0005-0000-0000-0000C7580000}"/>
    <cellStyle name="입력 24 13" xfId="22903" xr:uid="{00000000-0005-0000-0000-0000C8580000}"/>
    <cellStyle name="입력 24 14" xfId="22904" xr:uid="{00000000-0005-0000-0000-0000C9580000}"/>
    <cellStyle name="입력 24 15" xfId="22899" xr:uid="{00000000-0005-0000-0000-0000CA580000}"/>
    <cellStyle name="입력 24 2" xfId="2919" xr:uid="{00000000-0005-0000-0000-0000CB580000}"/>
    <cellStyle name="입력 24 2 2" xfId="22905" xr:uid="{00000000-0005-0000-0000-0000CC580000}"/>
    <cellStyle name="입력 24 3" xfId="22906" xr:uid="{00000000-0005-0000-0000-0000CD580000}"/>
    <cellStyle name="입력 24 4" xfId="22907" xr:uid="{00000000-0005-0000-0000-0000CE580000}"/>
    <cellStyle name="입력 24 5" xfId="22908" xr:uid="{00000000-0005-0000-0000-0000CF580000}"/>
    <cellStyle name="입력 24 6" xfId="22909" xr:uid="{00000000-0005-0000-0000-0000D0580000}"/>
    <cellStyle name="입력 24 7" xfId="22910" xr:uid="{00000000-0005-0000-0000-0000D1580000}"/>
    <cellStyle name="입력 24 8" xfId="22911" xr:uid="{00000000-0005-0000-0000-0000D2580000}"/>
    <cellStyle name="입력 24 9" xfId="22912" xr:uid="{00000000-0005-0000-0000-0000D3580000}"/>
    <cellStyle name="입력 25" xfId="2920" xr:uid="{00000000-0005-0000-0000-0000D4580000}"/>
    <cellStyle name="입력 25 10" xfId="22914" xr:uid="{00000000-0005-0000-0000-0000D5580000}"/>
    <cellStyle name="입력 25 11" xfId="22915" xr:uid="{00000000-0005-0000-0000-0000D6580000}"/>
    <cellStyle name="입력 25 12" xfId="22916" xr:uid="{00000000-0005-0000-0000-0000D7580000}"/>
    <cellStyle name="입력 25 13" xfId="22917" xr:uid="{00000000-0005-0000-0000-0000D8580000}"/>
    <cellStyle name="입력 25 14" xfId="22918" xr:uid="{00000000-0005-0000-0000-0000D9580000}"/>
    <cellStyle name="입력 25 15" xfId="22913" xr:uid="{00000000-0005-0000-0000-0000DA580000}"/>
    <cellStyle name="입력 25 2" xfId="2921" xr:uid="{00000000-0005-0000-0000-0000DB580000}"/>
    <cellStyle name="입력 25 2 2" xfId="22919" xr:uid="{00000000-0005-0000-0000-0000DC580000}"/>
    <cellStyle name="입력 25 3" xfId="22920" xr:uid="{00000000-0005-0000-0000-0000DD580000}"/>
    <cellStyle name="입력 25 4" xfId="22921" xr:uid="{00000000-0005-0000-0000-0000DE580000}"/>
    <cellStyle name="입력 25 5" xfId="22922" xr:uid="{00000000-0005-0000-0000-0000DF580000}"/>
    <cellStyle name="입력 25 6" xfId="22923" xr:uid="{00000000-0005-0000-0000-0000E0580000}"/>
    <cellStyle name="입력 25 7" xfId="22924" xr:uid="{00000000-0005-0000-0000-0000E1580000}"/>
    <cellStyle name="입력 25 8" xfId="22925" xr:uid="{00000000-0005-0000-0000-0000E2580000}"/>
    <cellStyle name="입력 25 9" xfId="22926" xr:uid="{00000000-0005-0000-0000-0000E3580000}"/>
    <cellStyle name="입력 26" xfId="2922" xr:uid="{00000000-0005-0000-0000-0000E4580000}"/>
    <cellStyle name="입력 26 10" xfId="22928" xr:uid="{00000000-0005-0000-0000-0000E5580000}"/>
    <cellStyle name="입력 26 11" xfId="22929" xr:uid="{00000000-0005-0000-0000-0000E6580000}"/>
    <cellStyle name="입력 26 12" xfId="22930" xr:uid="{00000000-0005-0000-0000-0000E7580000}"/>
    <cellStyle name="입력 26 13" xfId="22931" xr:uid="{00000000-0005-0000-0000-0000E8580000}"/>
    <cellStyle name="입력 26 14" xfId="22932" xr:uid="{00000000-0005-0000-0000-0000E9580000}"/>
    <cellStyle name="입력 26 15" xfId="22927" xr:uid="{00000000-0005-0000-0000-0000EA580000}"/>
    <cellStyle name="입력 26 2" xfId="2923" xr:uid="{00000000-0005-0000-0000-0000EB580000}"/>
    <cellStyle name="입력 26 2 2" xfId="22933" xr:uid="{00000000-0005-0000-0000-0000EC580000}"/>
    <cellStyle name="입력 26 3" xfId="22934" xr:uid="{00000000-0005-0000-0000-0000ED580000}"/>
    <cellStyle name="입력 26 4" xfId="22935" xr:uid="{00000000-0005-0000-0000-0000EE580000}"/>
    <cellStyle name="입력 26 5" xfId="22936" xr:uid="{00000000-0005-0000-0000-0000EF580000}"/>
    <cellStyle name="입력 26 6" xfId="22937" xr:uid="{00000000-0005-0000-0000-0000F0580000}"/>
    <cellStyle name="입력 26 7" xfId="22938" xr:uid="{00000000-0005-0000-0000-0000F1580000}"/>
    <cellStyle name="입력 26 8" xfId="22939" xr:uid="{00000000-0005-0000-0000-0000F2580000}"/>
    <cellStyle name="입력 26 9" xfId="22940" xr:uid="{00000000-0005-0000-0000-0000F3580000}"/>
    <cellStyle name="입력 27" xfId="2924" xr:uid="{00000000-0005-0000-0000-0000F4580000}"/>
    <cellStyle name="입력 27 10" xfId="22942" xr:uid="{00000000-0005-0000-0000-0000F5580000}"/>
    <cellStyle name="입력 27 11" xfId="22943" xr:uid="{00000000-0005-0000-0000-0000F6580000}"/>
    <cellStyle name="입력 27 12" xfId="22944" xr:uid="{00000000-0005-0000-0000-0000F7580000}"/>
    <cellStyle name="입력 27 13" xfId="22945" xr:uid="{00000000-0005-0000-0000-0000F8580000}"/>
    <cellStyle name="입력 27 14" xfId="22946" xr:uid="{00000000-0005-0000-0000-0000F9580000}"/>
    <cellStyle name="입력 27 15" xfId="22941" xr:uid="{00000000-0005-0000-0000-0000FA580000}"/>
    <cellStyle name="입력 27 2" xfId="2925" xr:uid="{00000000-0005-0000-0000-0000FB580000}"/>
    <cellStyle name="입력 27 2 2" xfId="22947" xr:uid="{00000000-0005-0000-0000-0000FC580000}"/>
    <cellStyle name="입력 27 3" xfId="22948" xr:uid="{00000000-0005-0000-0000-0000FD580000}"/>
    <cellStyle name="입력 27 4" xfId="22949" xr:uid="{00000000-0005-0000-0000-0000FE580000}"/>
    <cellStyle name="입력 27 5" xfId="22950" xr:uid="{00000000-0005-0000-0000-0000FF580000}"/>
    <cellStyle name="입력 27 6" xfId="22951" xr:uid="{00000000-0005-0000-0000-000000590000}"/>
    <cellStyle name="입력 27 7" xfId="22952" xr:uid="{00000000-0005-0000-0000-000001590000}"/>
    <cellStyle name="입력 27 8" xfId="22953" xr:uid="{00000000-0005-0000-0000-000002590000}"/>
    <cellStyle name="입력 27 9" xfId="22954" xr:uid="{00000000-0005-0000-0000-000003590000}"/>
    <cellStyle name="입력 28" xfId="2926" xr:uid="{00000000-0005-0000-0000-000004590000}"/>
    <cellStyle name="입력 28 10" xfId="22956" xr:uid="{00000000-0005-0000-0000-000005590000}"/>
    <cellStyle name="입력 28 11" xfId="22957" xr:uid="{00000000-0005-0000-0000-000006590000}"/>
    <cellStyle name="입력 28 12" xfId="22958" xr:uid="{00000000-0005-0000-0000-000007590000}"/>
    <cellStyle name="입력 28 13" xfId="22959" xr:uid="{00000000-0005-0000-0000-000008590000}"/>
    <cellStyle name="입력 28 14" xfId="22960" xr:uid="{00000000-0005-0000-0000-000009590000}"/>
    <cellStyle name="입력 28 15" xfId="22955" xr:uid="{00000000-0005-0000-0000-00000A590000}"/>
    <cellStyle name="입력 28 2" xfId="2927" xr:uid="{00000000-0005-0000-0000-00000B590000}"/>
    <cellStyle name="입력 28 2 2" xfId="22961" xr:uid="{00000000-0005-0000-0000-00000C590000}"/>
    <cellStyle name="입력 28 3" xfId="22962" xr:uid="{00000000-0005-0000-0000-00000D590000}"/>
    <cellStyle name="입력 28 4" xfId="22963" xr:uid="{00000000-0005-0000-0000-00000E590000}"/>
    <cellStyle name="입력 28 5" xfId="22964" xr:uid="{00000000-0005-0000-0000-00000F590000}"/>
    <cellStyle name="입력 28 6" xfId="22965" xr:uid="{00000000-0005-0000-0000-000010590000}"/>
    <cellStyle name="입력 28 7" xfId="22966" xr:uid="{00000000-0005-0000-0000-000011590000}"/>
    <cellStyle name="입력 28 8" xfId="22967" xr:uid="{00000000-0005-0000-0000-000012590000}"/>
    <cellStyle name="입력 28 9" xfId="22968" xr:uid="{00000000-0005-0000-0000-000013590000}"/>
    <cellStyle name="입력 29" xfId="2928" xr:uid="{00000000-0005-0000-0000-000014590000}"/>
    <cellStyle name="입력 29 10" xfId="22970" xr:uid="{00000000-0005-0000-0000-000015590000}"/>
    <cellStyle name="입력 29 11" xfId="22971" xr:uid="{00000000-0005-0000-0000-000016590000}"/>
    <cellStyle name="입력 29 12" xfId="22972" xr:uid="{00000000-0005-0000-0000-000017590000}"/>
    <cellStyle name="입력 29 13" xfId="22973" xr:uid="{00000000-0005-0000-0000-000018590000}"/>
    <cellStyle name="입력 29 14" xfId="22974" xr:uid="{00000000-0005-0000-0000-000019590000}"/>
    <cellStyle name="입력 29 15" xfId="22969" xr:uid="{00000000-0005-0000-0000-00001A590000}"/>
    <cellStyle name="입력 29 2" xfId="2929" xr:uid="{00000000-0005-0000-0000-00001B590000}"/>
    <cellStyle name="입력 29 2 2" xfId="22975" xr:uid="{00000000-0005-0000-0000-00001C590000}"/>
    <cellStyle name="입력 29 3" xfId="22976" xr:uid="{00000000-0005-0000-0000-00001D590000}"/>
    <cellStyle name="입력 29 4" xfId="22977" xr:uid="{00000000-0005-0000-0000-00001E590000}"/>
    <cellStyle name="입력 29 5" xfId="22978" xr:uid="{00000000-0005-0000-0000-00001F590000}"/>
    <cellStyle name="입력 29 6" xfId="22979" xr:uid="{00000000-0005-0000-0000-000020590000}"/>
    <cellStyle name="입력 29 7" xfId="22980" xr:uid="{00000000-0005-0000-0000-000021590000}"/>
    <cellStyle name="입력 29 8" xfId="22981" xr:uid="{00000000-0005-0000-0000-000022590000}"/>
    <cellStyle name="입력 29 9" xfId="22982" xr:uid="{00000000-0005-0000-0000-000023590000}"/>
    <cellStyle name="입력 3" xfId="2930" xr:uid="{00000000-0005-0000-0000-000024590000}"/>
    <cellStyle name="입력 3 10" xfId="22984" xr:uid="{00000000-0005-0000-0000-000025590000}"/>
    <cellStyle name="입력 3 11" xfId="22985" xr:uid="{00000000-0005-0000-0000-000026590000}"/>
    <cellStyle name="입력 3 12" xfId="22986" xr:uid="{00000000-0005-0000-0000-000027590000}"/>
    <cellStyle name="입력 3 13" xfId="22987" xr:uid="{00000000-0005-0000-0000-000028590000}"/>
    <cellStyle name="입력 3 14" xfId="22988" xr:uid="{00000000-0005-0000-0000-000029590000}"/>
    <cellStyle name="입력 3 15" xfId="22983" xr:uid="{00000000-0005-0000-0000-00002A590000}"/>
    <cellStyle name="입력 3 16" xfId="28224" xr:uid="{00000000-0005-0000-0000-00002B590000}"/>
    <cellStyle name="입력 3 2" xfId="2931" xr:uid="{00000000-0005-0000-0000-00002C590000}"/>
    <cellStyle name="입력 3 2 2" xfId="22989" xr:uid="{00000000-0005-0000-0000-00002D590000}"/>
    <cellStyle name="입력 3 3" xfId="22990" xr:uid="{00000000-0005-0000-0000-00002E590000}"/>
    <cellStyle name="입력 3 4" xfId="22991" xr:uid="{00000000-0005-0000-0000-00002F590000}"/>
    <cellStyle name="입력 3 5" xfId="22992" xr:uid="{00000000-0005-0000-0000-000030590000}"/>
    <cellStyle name="입력 3 6" xfId="22993" xr:uid="{00000000-0005-0000-0000-000031590000}"/>
    <cellStyle name="입력 3 7" xfId="22994" xr:uid="{00000000-0005-0000-0000-000032590000}"/>
    <cellStyle name="입력 3 8" xfId="22995" xr:uid="{00000000-0005-0000-0000-000033590000}"/>
    <cellStyle name="입력 3 9" xfId="22996" xr:uid="{00000000-0005-0000-0000-000034590000}"/>
    <cellStyle name="입력 30" xfId="2932" xr:uid="{00000000-0005-0000-0000-000035590000}"/>
    <cellStyle name="입력 30 10" xfId="22998" xr:uid="{00000000-0005-0000-0000-000036590000}"/>
    <cellStyle name="입력 30 11" xfId="22999" xr:uid="{00000000-0005-0000-0000-000037590000}"/>
    <cellStyle name="입력 30 12" xfId="23000" xr:uid="{00000000-0005-0000-0000-000038590000}"/>
    <cellStyle name="입력 30 13" xfId="23001" xr:uid="{00000000-0005-0000-0000-000039590000}"/>
    <cellStyle name="입력 30 14" xfId="23002" xr:uid="{00000000-0005-0000-0000-00003A590000}"/>
    <cellStyle name="입력 30 15" xfId="22997" xr:uid="{00000000-0005-0000-0000-00003B590000}"/>
    <cellStyle name="입력 30 2" xfId="2933" xr:uid="{00000000-0005-0000-0000-00003C590000}"/>
    <cellStyle name="입력 30 2 2" xfId="23003" xr:uid="{00000000-0005-0000-0000-00003D590000}"/>
    <cellStyle name="입력 30 3" xfId="23004" xr:uid="{00000000-0005-0000-0000-00003E590000}"/>
    <cellStyle name="입력 30 4" xfId="23005" xr:uid="{00000000-0005-0000-0000-00003F590000}"/>
    <cellStyle name="입력 30 5" xfId="23006" xr:uid="{00000000-0005-0000-0000-000040590000}"/>
    <cellStyle name="입력 30 6" xfId="23007" xr:uid="{00000000-0005-0000-0000-000041590000}"/>
    <cellStyle name="입력 30 7" xfId="23008" xr:uid="{00000000-0005-0000-0000-000042590000}"/>
    <cellStyle name="입력 30 8" xfId="23009" xr:uid="{00000000-0005-0000-0000-000043590000}"/>
    <cellStyle name="입력 30 9" xfId="23010" xr:uid="{00000000-0005-0000-0000-000044590000}"/>
    <cellStyle name="입력 31" xfId="2934" xr:uid="{00000000-0005-0000-0000-000045590000}"/>
    <cellStyle name="입력 31 10" xfId="23012" xr:uid="{00000000-0005-0000-0000-000046590000}"/>
    <cellStyle name="입력 31 11" xfId="23013" xr:uid="{00000000-0005-0000-0000-000047590000}"/>
    <cellStyle name="입력 31 12" xfId="23014" xr:uid="{00000000-0005-0000-0000-000048590000}"/>
    <cellStyle name="입력 31 13" xfId="23015" xr:uid="{00000000-0005-0000-0000-000049590000}"/>
    <cellStyle name="입력 31 14" xfId="23016" xr:uid="{00000000-0005-0000-0000-00004A590000}"/>
    <cellStyle name="입력 31 15" xfId="23011" xr:uid="{00000000-0005-0000-0000-00004B590000}"/>
    <cellStyle name="입력 31 2" xfId="2935" xr:uid="{00000000-0005-0000-0000-00004C590000}"/>
    <cellStyle name="입력 31 2 2" xfId="23017" xr:uid="{00000000-0005-0000-0000-00004D590000}"/>
    <cellStyle name="입력 31 3" xfId="23018" xr:uid="{00000000-0005-0000-0000-00004E590000}"/>
    <cellStyle name="입력 31 4" xfId="23019" xr:uid="{00000000-0005-0000-0000-00004F590000}"/>
    <cellStyle name="입력 31 5" xfId="23020" xr:uid="{00000000-0005-0000-0000-000050590000}"/>
    <cellStyle name="입력 31 6" xfId="23021" xr:uid="{00000000-0005-0000-0000-000051590000}"/>
    <cellStyle name="입력 31 7" xfId="23022" xr:uid="{00000000-0005-0000-0000-000052590000}"/>
    <cellStyle name="입력 31 8" xfId="23023" xr:uid="{00000000-0005-0000-0000-000053590000}"/>
    <cellStyle name="입력 31 9" xfId="23024" xr:uid="{00000000-0005-0000-0000-000054590000}"/>
    <cellStyle name="입력 32" xfId="2936" xr:uid="{00000000-0005-0000-0000-000055590000}"/>
    <cellStyle name="입력 32 10" xfId="23026" xr:uid="{00000000-0005-0000-0000-000056590000}"/>
    <cellStyle name="입력 32 11" xfId="23027" xr:uid="{00000000-0005-0000-0000-000057590000}"/>
    <cellStyle name="입력 32 12" xfId="23028" xr:uid="{00000000-0005-0000-0000-000058590000}"/>
    <cellStyle name="입력 32 13" xfId="23029" xr:uid="{00000000-0005-0000-0000-000059590000}"/>
    <cellStyle name="입력 32 14" xfId="23030" xr:uid="{00000000-0005-0000-0000-00005A590000}"/>
    <cellStyle name="입력 32 15" xfId="23025" xr:uid="{00000000-0005-0000-0000-00005B590000}"/>
    <cellStyle name="입력 32 2" xfId="2937" xr:uid="{00000000-0005-0000-0000-00005C590000}"/>
    <cellStyle name="입력 32 2 2" xfId="23031" xr:uid="{00000000-0005-0000-0000-00005D590000}"/>
    <cellStyle name="입력 32 3" xfId="23032" xr:uid="{00000000-0005-0000-0000-00005E590000}"/>
    <cellStyle name="입력 32 4" xfId="23033" xr:uid="{00000000-0005-0000-0000-00005F590000}"/>
    <cellStyle name="입력 32 5" xfId="23034" xr:uid="{00000000-0005-0000-0000-000060590000}"/>
    <cellStyle name="입력 32 6" xfId="23035" xr:uid="{00000000-0005-0000-0000-000061590000}"/>
    <cellStyle name="입력 32 7" xfId="23036" xr:uid="{00000000-0005-0000-0000-000062590000}"/>
    <cellStyle name="입력 32 8" xfId="23037" xr:uid="{00000000-0005-0000-0000-000063590000}"/>
    <cellStyle name="입력 32 9" xfId="23038" xr:uid="{00000000-0005-0000-0000-000064590000}"/>
    <cellStyle name="입력 33" xfId="2938" xr:uid="{00000000-0005-0000-0000-000065590000}"/>
    <cellStyle name="입력 33 10" xfId="23040" xr:uid="{00000000-0005-0000-0000-000066590000}"/>
    <cellStyle name="입력 33 11" xfId="23041" xr:uid="{00000000-0005-0000-0000-000067590000}"/>
    <cellStyle name="입력 33 12" xfId="23042" xr:uid="{00000000-0005-0000-0000-000068590000}"/>
    <cellStyle name="입력 33 13" xfId="23043" xr:uid="{00000000-0005-0000-0000-000069590000}"/>
    <cellStyle name="입력 33 14" xfId="23044" xr:uid="{00000000-0005-0000-0000-00006A590000}"/>
    <cellStyle name="입력 33 15" xfId="23039" xr:uid="{00000000-0005-0000-0000-00006B590000}"/>
    <cellStyle name="입력 33 2" xfId="2939" xr:uid="{00000000-0005-0000-0000-00006C590000}"/>
    <cellStyle name="입력 33 2 2" xfId="23045" xr:uid="{00000000-0005-0000-0000-00006D590000}"/>
    <cellStyle name="입력 33 3" xfId="23046" xr:uid="{00000000-0005-0000-0000-00006E590000}"/>
    <cellStyle name="입력 33 4" xfId="23047" xr:uid="{00000000-0005-0000-0000-00006F590000}"/>
    <cellStyle name="입력 33 5" xfId="23048" xr:uid="{00000000-0005-0000-0000-000070590000}"/>
    <cellStyle name="입력 33 6" xfId="23049" xr:uid="{00000000-0005-0000-0000-000071590000}"/>
    <cellStyle name="입력 33 7" xfId="23050" xr:uid="{00000000-0005-0000-0000-000072590000}"/>
    <cellStyle name="입력 33 8" xfId="23051" xr:uid="{00000000-0005-0000-0000-000073590000}"/>
    <cellStyle name="입력 33 9" xfId="23052" xr:uid="{00000000-0005-0000-0000-000074590000}"/>
    <cellStyle name="입력 34" xfId="2940" xr:uid="{00000000-0005-0000-0000-000075590000}"/>
    <cellStyle name="입력 34 10" xfId="23054" xr:uid="{00000000-0005-0000-0000-000076590000}"/>
    <cellStyle name="입력 34 11" xfId="23055" xr:uid="{00000000-0005-0000-0000-000077590000}"/>
    <cellStyle name="입력 34 12" xfId="23056" xr:uid="{00000000-0005-0000-0000-000078590000}"/>
    <cellStyle name="입력 34 13" xfId="23057" xr:uid="{00000000-0005-0000-0000-000079590000}"/>
    <cellStyle name="입력 34 14" xfId="23058" xr:uid="{00000000-0005-0000-0000-00007A590000}"/>
    <cellStyle name="입력 34 15" xfId="23053" xr:uid="{00000000-0005-0000-0000-00007B590000}"/>
    <cellStyle name="입력 34 2" xfId="2941" xr:uid="{00000000-0005-0000-0000-00007C590000}"/>
    <cellStyle name="입력 34 2 2" xfId="23059" xr:uid="{00000000-0005-0000-0000-00007D590000}"/>
    <cellStyle name="입력 34 3" xfId="23060" xr:uid="{00000000-0005-0000-0000-00007E590000}"/>
    <cellStyle name="입력 34 4" xfId="23061" xr:uid="{00000000-0005-0000-0000-00007F590000}"/>
    <cellStyle name="입력 34 5" xfId="23062" xr:uid="{00000000-0005-0000-0000-000080590000}"/>
    <cellStyle name="입력 34 6" xfId="23063" xr:uid="{00000000-0005-0000-0000-000081590000}"/>
    <cellStyle name="입력 34 7" xfId="23064" xr:uid="{00000000-0005-0000-0000-000082590000}"/>
    <cellStyle name="입력 34 8" xfId="23065" xr:uid="{00000000-0005-0000-0000-000083590000}"/>
    <cellStyle name="입력 34 9" xfId="23066" xr:uid="{00000000-0005-0000-0000-000084590000}"/>
    <cellStyle name="입력 35" xfId="2942" xr:uid="{00000000-0005-0000-0000-000085590000}"/>
    <cellStyle name="입력 35 10" xfId="23068" xr:uid="{00000000-0005-0000-0000-000086590000}"/>
    <cellStyle name="입력 35 11" xfId="23069" xr:uid="{00000000-0005-0000-0000-000087590000}"/>
    <cellStyle name="입력 35 12" xfId="23070" xr:uid="{00000000-0005-0000-0000-000088590000}"/>
    <cellStyle name="입력 35 13" xfId="23071" xr:uid="{00000000-0005-0000-0000-000089590000}"/>
    <cellStyle name="입력 35 14" xfId="23072" xr:uid="{00000000-0005-0000-0000-00008A590000}"/>
    <cellStyle name="입력 35 15" xfId="23067" xr:uid="{00000000-0005-0000-0000-00008B590000}"/>
    <cellStyle name="입력 35 2" xfId="2943" xr:uid="{00000000-0005-0000-0000-00008C590000}"/>
    <cellStyle name="입력 35 2 2" xfId="23073" xr:uid="{00000000-0005-0000-0000-00008D590000}"/>
    <cellStyle name="입력 35 3" xfId="23074" xr:uid="{00000000-0005-0000-0000-00008E590000}"/>
    <cellStyle name="입력 35 4" xfId="23075" xr:uid="{00000000-0005-0000-0000-00008F590000}"/>
    <cellStyle name="입력 35 5" xfId="23076" xr:uid="{00000000-0005-0000-0000-000090590000}"/>
    <cellStyle name="입력 35 6" xfId="23077" xr:uid="{00000000-0005-0000-0000-000091590000}"/>
    <cellStyle name="입력 35 7" xfId="23078" xr:uid="{00000000-0005-0000-0000-000092590000}"/>
    <cellStyle name="입력 35 8" xfId="23079" xr:uid="{00000000-0005-0000-0000-000093590000}"/>
    <cellStyle name="입력 35 9" xfId="23080" xr:uid="{00000000-0005-0000-0000-000094590000}"/>
    <cellStyle name="입력 36" xfId="2944" xr:uid="{00000000-0005-0000-0000-000095590000}"/>
    <cellStyle name="입력 36 10" xfId="23082" xr:uid="{00000000-0005-0000-0000-000096590000}"/>
    <cellStyle name="입력 36 11" xfId="23083" xr:uid="{00000000-0005-0000-0000-000097590000}"/>
    <cellStyle name="입력 36 12" xfId="23084" xr:uid="{00000000-0005-0000-0000-000098590000}"/>
    <cellStyle name="입력 36 13" xfId="23085" xr:uid="{00000000-0005-0000-0000-000099590000}"/>
    <cellStyle name="입력 36 14" xfId="23086" xr:uid="{00000000-0005-0000-0000-00009A590000}"/>
    <cellStyle name="입력 36 15" xfId="23081" xr:uid="{00000000-0005-0000-0000-00009B590000}"/>
    <cellStyle name="입력 36 2" xfId="2945" xr:uid="{00000000-0005-0000-0000-00009C590000}"/>
    <cellStyle name="입력 36 2 2" xfId="23087" xr:uid="{00000000-0005-0000-0000-00009D590000}"/>
    <cellStyle name="입력 36 3" xfId="23088" xr:uid="{00000000-0005-0000-0000-00009E590000}"/>
    <cellStyle name="입력 36 4" xfId="23089" xr:uid="{00000000-0005-0000-0000-00009F590000}"/>
    <cellStyle name="입력 36 5" xfId="23090" xr:uid="{00000000-0005-0000-0000-0000A0590000}"/>
    <cellStyle name="입력 36 6" xfId="23091" xr:uid="{00000000-0005-0000-0000-0000A1590000}"/>
    <cellStyle name="입력 36 7" xfId="23092" xr:uid="{00000000-0005-0000-0000-0000A2590000}"/>
    <cellStyle name="입력 36 8" xfId="23093" xr:uid="{00000000-0005-0000-0000-0000A3590000}"/>
    <cellStyle name="입력 36 9" xfId="23094" xr:uid="{00000000-0005-0000-0000-0000A4590000}"/>
    <cellStyle name="입력 37" xfId="2946" xr:uid="{00000000-0005-0000-0000-0000A5590000}"/>
    <cellStyle name="입력 37 10" xfId="23096" xr:uid="{00000000-0005-0000-0000-0000A6590000}"/>
    <cellStyle name="입력 37 11" xfId="23097" xr:uid="{00000000-0005-0000-0000-0000A7590000}"/>
    <cellStyle name="입력 37 12" xfId="23098" xr:uid="{00000000-0005-0000-0000-0000A8590000}"/>
    <cellStyle name="입력 37 13" xfId="23099" xr:uid="{00000000-0005-0000-0000-0000A9590000}"/>
    <cellStyle name="입력 37 14" xfId="23100" xr:uid="{00000000-0005-0000-0000-0000AA590000}"/>
    <cellStyle name="입력 37 15" xfId="23095" xr:uid="{00000000-0005-0000-0000-0000AB590000}"/>
    <cellStyle name="입력 37 2" xfId="2947" xr:uid="{00000000-0005-0000-0000-0000AC590000}"/>
    <cellStyle name="입력 37 2 2" xfId="23101" xr:uid="{00000000-0005-0000-0000-0000AD590000}"/>
    <cellStyle name="입력 37 3" xfId="23102" xr:uid="{00000000-0005-0000-0000-0000AE590000}"/>
    <cellStyle name="입력 37 4" xfId="23103" xr:uid="{00000000-0005-0000-0000-0000AF590000}"/>
    <cellStyle name="입력 37 5" xfId="23104" xr:uid="{00000000-0005-0000-0000-0000B0590000}"/>
    <cellStyle name="입력 37 6" xfId="23105" xr:uid="{00000000-0005-0000-0000-0000B1590000}"/>
    <cellStyle name="입력 37 7" xfId="23106" xr:uid="{00000000-0005-0000-0000-0000B2590000}"/>
    <cellStyle name="입력 37 8" xfId="23107" xr:uid="{00000000-0005-0000-0000-0000B3590000}"/>
    <cellStyle name="입력 37 9" xfId="23108" xr:uid="{00000000-0005-0000-0000-0000B4590000}"/>
    <cellStyle name="입력 38" xfId="2948" xr:uid="{00000000-0005-0000-0000-0000B5590000}"/>
    <cellStyle name="입력 38 10" xfId="23110" xr:uid="{00000000-0005-0000-0000-0000B6590000}"/>
    <cellStyle name="입력 38 11" xfId="23111" xr:uid="{00000000-0005-0000-0000-0000B7590000}"/>
    <cellStyle name="입력 38 12" xfId="23112" xr:uid="{00000000-0005-0000-0000-0000B8590000}"/>
    <cellStyle name="입력 38 13" xfId="23113" xr:uid="{00000000-0005-0000-0000-0000B9590000}"/>
    <cellStyle name="입력 38 14" xfId="23114" xr:uid="{00000000-0005-0000-0000-0000BA590000}"/>
    <cellStyle name="입력 38 15" xfId="23109" xr:uid="{00000000-0005-0000-0000-0000BB590000}"/>
    <cellStyle name="입력 38 2" xfId="2949" xr:uid="{00000000-0005-0000-0000-0000BC590000}"/>
    <cellStyle name="입력 38 2 2" xfId="23115" xr:uid="{00000000-0005-0000-0000-0000BD590000}"/>
    <cellStyle name="입력 38 3" xfId="23116" xr:uid="{00000000-0005-0000-0000-0000BE590000}"/>
    <cellStyle name="입력 38 4" xfId="23117" xr:uid="{00000000-0005-0000-0000-0000BF590000}"/>
    <cellStyle name="입력 38 5" xfId="23118" xr:uid="{00000000-0005-0000-0000-0000C0590000}"/>
    <cellStyle name="입력 38 6" xfId="23119" xr:uid="{00000000-0005-0000-0000-0000C1590000}"/>
    <cellStyle name="입력 38 7" xfId="23120" xr:uid="{00000000-0005-0000-0000-0000C2590000}"/>
    <cellStyle name="입력 38 8" xfId="23121" xr:uid="{00000000-0005-0000-0000-0000C3590000}"/>
    <cellStyle name="입력 38 9" xfId="23122" xr:uid="{00000000-0005-0000-0000-0000C4590000}"/>
    <cellStyle name="입력 39" xfId="2950" xr:uid="{00000000-0005-0000-0000-0000C5590000}"/>
    <cellStyle name="입력 39 10" xfId="23124" xr:uid="{00000000-0005-0000-0000-0000C6590000}"/>
    <cellStyle name="입력 39 11" xfId="23125" xr:uid="{00000000-0005-0000-0000-0000C7590000}"/>
    <cellStyle name="입력 39 12" xfId="23126" xr:uid="{00000000-0005-0000-0000-0000C8590000}"/>
    <cellStyle name="입력 39 13" xfId="23127" xr:uid="{00000000-0005-0000-0000-0000C9590000}"/>
    <cellStyle name="입력 39 14" xfId="23128" xr:uid="{00000000-0005-0000-0000-0000CA590000}"/>
    <cellStyle name="입력 39 15" xfId="23123" xr:uid="{00000000-0005-0000-0000-0000CB590000}"/>
    <cellStyle name="입력 39 2" xfId="2951" xr:uid="{00000000-0005-0000-0000-0000CC590000}"/>
    <cellStyle name="입력 39 2 2" xfId="23129" xr:uid="{00000000-0005-0000-0000-0000CD590000}"/>
    <cellStyle name="입력 39 3" xfId="23130" xr:uid="{00000000-0005-0000-0000-0000CE590000}"/>
    <cellStyle name="입력 39 4" xfId="23131" xr:uid="{00000000-0005-0000-0000-0000CF590000}"/>
    <cellStyle name="입력 39 5" xfId="23132" xr:uid="{00000000-0005-0000-0000-0000D0590000}"/>
    <cellStyle name="입력 39 6" xfId="23133" xr:uid="{00000000-0005-0000-0000-0000D1590000}"/>
    <cellStyle name="입력 39 7" xfId="23134" xr:uid="{00000000-0005-0000-0000-0000D2590000}"/>
    <cellStyle name="입력 39 8" xfId="23135" xr:uid="{00000000-0005-0000-0000-0000D3590000}"/>
    <cellStyle name="입력 39 9" xfId="23136" xr:uid="{00000000-0005-0000-0000-0000D4590000}"/>
    <cellStyle name="입력 4" xfId="2952" xr:uid="{00000000-0005-0000-0000-0000D5590000}"/>
    <cellStyle name="입력 4 10" xfId="23138" xr:uid="{00000000-0005-0000-0000-0000D6590000}"/>
    <cellStyle name="입력 4 11" xfId="23139" xr:uid="{00000000-0005-0000-0000-0000D7590000}"/>
    <cellStyle name="입력 4 12" xfId="23140" xr:uid="{00000000-0005-0000-0000-0000D8590000}"/>
    <cellStyle name="입력 4 13" xfId="23141" xr:uid="{00000000-0005-0000-0000-0000D9590000}"/>
    <cellStyle name="입력 4 14" xfId="23142" xr:uid="{00000000-0005-0000-0000-0000DA590000}"/>
    <cellStyle name="입력 4 15" xfId="23137" xr:uid="{00000000-0005-0000-0000-0000DB590000}"/>
    <cellStyle name="입력 4 16" xfId="27886" xr:uid="{00000000-0005-0000-0000-0000DC590000}"/>
    <cellStyle name="입력 4 16 2" xfId="28284" xr:uid="{00000000-0005-0000-0000-0000DD590000}"/>
    <cellStyle name="입력 4 2" xfId="2953" xr:uid="{00000000-0005-0000-0000-0000DE590000}"/>
    <cellStyle name="입력 4 2 2" xfId="23143" xr:uid="{00000000-0005-0000-0000-0000DF590000}"/>
    <cellStyle name="입력 4 2 3" xfId="28238" xr:uid="{00000000-0005-0000-0000-0000E0590000}"/>
    <cellStyle name="입력 4 2 3 2" xfId="28300" xr:uid="{00000000-0005-0000-0000-0000E1590000}"/>
    <cellStyle name="입력 4 3" xfId="23144" xr:uid="{00000000-0005-0000-0000-0000E2590000}"/>
    <cellStyle name="입력 4 4" xfId="23145" xr:uid="{00000000-0005-0000-0000-0000E3590000}"/>
    <cellStyle name="입력 4 5" xfId="23146" xr:uid="{00000000-0005-0000-0000-0000E4590000}"/>
    <cellStyle name="입력 4 6" xfId="23147" xr:uid="{00000000-0005-0000-0000-0000E5590000}"/>
    <cellStyle name="입력 4 7" xfId="23148" xr:uid="{00000000-0005-0000-0000-0000E6590000}"/>
    <cellStyle name="입력 4 8" xfId="23149" xr:uid="{00000000-0005-0000-0000-0000E7590000}"/>
    <cellStyle name="입력 4 9" xfId="23150" xr:uid="{00000000-0005-0000-0000-0000E8590000}"/>
    <cellStyle name="입력 40" xfId="2954" xr:uid="{00000000-0005-0000-0000-0000E9590000}"/>
    <cellStyle name="입력 40 10" xfId="23152" xr:uid="{00000000-0005-0000-0000-0000EA590000}"/>
    <cellStyle name="입력 40 11" xfId="23153" xr:uid="{00000000-0005-0000-0000-0000EB590000}"/>
    <cellStyle name="입력 40 12" xfId="23154" xr:uid="{00000000-0005-0000-0000-0000EC590000}"/>
    <cellStyle name="입력 40 13" xfId="23155" xr:uid="{00000000-0005-0000-0000-0000ED590000}"/>
    <cellStyle name="입력 40 14" xfId="23156" xr:uid="{00000000-0005-0000-0000-0000EE590000}"/>
    <cellStyle name="입력 40 15" xfId="23151" xr:uid="{00000000-0005-0000-0000-0000EF590000}"/>
    <cellStyle name="입력 40 2" xfId="2955" xr:uid="{00000000-0005-0000-0000-0000F0590000}"/>
    <cellStyle name="입력 40 2 2" xfId="23157" xr:uid="{00000000-0005-0000-0000-0000F1590000}"/>
    <cellStyle name="입력 40 3" xfId="23158" xr:uid="{00000000-0005-0000-0000-0000F2590000}"/>
    <cellStyle name="입력 40 4" xfId="23159" xr:uid="{00000000-0005-0000-0000-0000F3590000}"/>
    <cellStyle name="입력 40 5" xfId="23160" xr:uid="{00000000-0005-0000-0000-0000F4590000}"/>
    <cellStyle name="입력 40 6" xfId="23161" xr:uid="{00000000-0005-0000-0000-0000F5590000}"/>
    <cellStyle name="입력 40 7" xfId="23162" xr:uid="{00000000-0005-0000-0000-0000F6590000}"/>
    <cellStyle name="입력 40 8" xfId="23163" xr:uid="{00000000-0005-0000-0000-0000F7590000}"/>
    <cellStyle name="입력 40 9" xfId="23164" xr:uid="{00000000-0005-0000-0000-0000F8590000}"/>
    <cellStyle name="입력 41" xfId="2956" xr:uid="{00000000-0005-0000-0000-0000F9590000}"/>
    <cellStyle name="입력 41 10" xfId="23166" xr:uid="{00000000-0005-0000-0000-0000FA590000}"/>
    <cellStyle name="입력 41 11" xfId="23167" xr:uid="{00000000-0005-0000-0000-0000FB590000}"/>
    <cellStyle name="입력 41 12" xfId="23168" xr:uid="{00000000-0005-0000-0000-0000FC590000}"/>
    <cellStyle name="입력 41 13" xfId="23169" xr:uid="{00000000-0005-0000-0000-0000FD590000}"/>
    <cellStyle name="입력 41 14" xfId="23170" xr:uid="{00000000-0005-0000-0000-0000FE590000}"/>
    <cellStyle name="입력 41 15" xfId="23165" xr:uid="{00000000-0005-0000-0000-0000FF590000}"/>
    <cellStyle name="입력 41 2" xfId="2957" xr:uid="{00000000-0005-0000-0000-0000005A0000}"/>
    <cellStyle name="입력 41 2 2" xfId="23171" xr:uid="{00000000-0005-0000-0000-0000015A0000}"/>
    <cellStyle name="입력 41 3" xfId="23172" xr:uid="{00000000-0005-0000-0000-0000025A0000}"/>
    <cellStyle name="입력 41 4" xfId="23173" xr:uid="{00000000-0005-0000-0000-0000035A0000}"/>
    <cellStyle name="입력 41 5" xfId="23174" xr:uid="{00000000-0005-0000-0000-0000045A0000}"/>
    <cellStyle name="입력 41 6" xfId="23175" xr:uid="{00000000-0005-0000-0000-0000055A0000}"/>
    <cellStyle name="입력 41 7" xfId="23176" xr:uid="{00000000-0005-0000-0000-0000065A0000}"/>
    <cellStyle name="입력 41 8" xfId="23177" xr:uid="{00000000-0005-0000-0000-0000075A0000}"/>
    <cellStyle name="입력 41 9" xfId="23178" xr:uid="{00000000-0005-0000-0000-0000085A0000}"/>
    <cellStyle name="입력 42" xfId="2958" xr:uid="{00000000-0005-0000-0000-0000095A0000}"/>
    <cellStyle name="입력 42 10" xfId="23180" xr:uid="{00000000-0005-0000-0000-00000A5A0000}"/>
    <cellStyle name="입력 42 11" xfId="23181" xr:uid="{00000000-0005-0000-0000-00000B5A0000}"/>
    <cellStyle name="입력 42 12" xfId="23182" xr:uid="{00000000-0005-0000-0000-00000C5A0000}"/>
    <cellStyle name="입력 42 13" xfId="23183" xr:uid="{00000000-0005-0000-0000-00000D5A0000}"/>
    <cellStyle name="입력 42 14" xfId="23184" xr:uid="{00000000-0005-0000-0000-00000E5A0000}"/>
    <cellStyle name="입력 42 15" xfId="23179" xr:uid="{00000000-0005-0000-0000-00000F5A0000}"/>
    <cellStyle name="입력 42 2" xfId="2959" xr:uid="{00000000-0005-0000-0000-0000105A0000}"/>
    <cellStyle name="입력 42 2 2" xfId="23185" xr:uid="{00000000-0005-0000-0000-0000115A0000}"/>
    <cellStyle name="입력 42 3" xfId="23186" xr:uid="{00000000-0005-0000-0000-0000125A0000}"/>
    <cellStyle name="입력 42 4" xfId="23187" xr:uid="{00000000-0005-0000-0000-0000135A0000}"/>
    <cellStyle name="입력 42 5" xfId="23188" xr:uid="{00000000-0005-0000-0000-0000145A0000}"/>
    <cellStyle name="입력 42 6" xfId="23189" xr:uid="{00000000-0005-0000-0000-0000155A0000}"/>
    <cellStyle name="입력 42 7" xfId="23190" xr:uid="{00000000-0005-0000-0000-0000165A0000}"/>
    <cellStyle name="입력 42 8" xfId="23191" xr:uid="{00000000-0005-0000-0000-0000175A0000}"/>
    <cellStyle name="입력 42 9" xfId="23192" xr:uid="{00000000-0005-0000-0000-0000185A0000}"/>
    <cellStyle name="입력 43" xfId="2960" xr:uid="{00000000-0005-0000-0000-0000195A0000}"/>
    <cellStyle name="입력 43 10" xfId="23194" xr:uid="{00000000-0005-0000-0000-00001A5A0000}"/>
    <cellStyle name="입력 43 11" xfId="23195" xr:uid="{00000000-0005-0000-0000-00001B5A0000}"/>
    <cellStyle name="입력 43 12" xfId="23196" xr:uid="{00000000-0005-0000-0000-00001C5A0000}"/>
    <cellStyle name="입력 43 13" xfId="23197" xr:uid="{00000000-0005-0000-0000-00001D5A0000}"/>
    <cellStyle name="입력 43 14" xfId="23198" xr:uid="{00000000-0005-0000-0000-00001E5A0000}"/>
    <cellStyle name="입력 43 15" xfId="23193" xr:uid="{00000000-0005-0000-0000-00001F5A0000}"/>
    <cellStyle name="입력 43 2" xfId="2961" xr:uid="{00000000-0005-0000-0000-0000205A0000}"/>
    <cellStyle name="입력 43 2 2" xfId="23199" xr:uid="{00000000-0005-0000-0000-0000215A0000}"/>
    <cellStyle name="입력 43 3" xfId="23200" xr:uid="{00000000-0005-0000-0000-0000225A0000}"/>
    <cellStyle name="입력 43 4" xfId="23201" xr:uid="{00000000-0005-0000-0000-0000235A0000}"/>
    <cellStyle name="입력 43 5" xfId="23202" xr:uid="{00000000-0005-0000-0000-0000245A0000}"/>
    <cellStyle name="입력 43 6" xfId="23203" xr:uid="{00000000-0005-0000-0000-0000255A0000}"/>
    <cellStyle name="입력 43 7" xfId="23204" xr:uid="{00000000-0005-0000-0000-0000265A0000}"/>
    <cellStyle name="입력 43 8" xfId="23205" xr:uid="{00000000-0005-0000-0000-0000275A0000}"/>
    <cellStyle name="입력 43 9" xfId="23206" xr:uid="{00000000-0005-0000-0000-0000285A0000}"/>
    <cellStyle name="입력 44" xfId="2962" xr:uid="{00000000-0005-0000-0000-0000295A0000}"/>
    <cellStyle name="입력 44 2" xfId="23207" xr:uid="{00000000-0005-0000-0000-00002A5A0000}"/>
    <cellStyle name="입력 45" xfId="2963" xr:uid="{00000000-0005-0000-0000-00002B5A0000}"/>
    <cellStyle name="입력 45 2" xfId="23208" xr:uid="{00000000-0005-0000-0000-00002C5A0000}"/>
    <cellStyle name="입력 46" xfId="2887" xr:uid="{00000000-0005-0000-0000-00002D5A0000}"/>
    <cellStyle name="입력 47" xfId="22688" xr:uid="{00000000-0005-0000-0000-00002E5A0000}"/>
    <cellStyle name="입력 5" xfId="2964" xr:uid="{00000000-0005-0000-0000-00002F5A0000}"/>
    <cellStyle name="입력 5 10" xfId="23210" xr:uid="{00000000-0005-0000-0000-0000305A0000}"/>
    <cellStyle name="입력 5 11" xfId="23211" xr:uid="{00000000-0005-0000-0000-0000315A0000}"/>
    <cellStyle name="입력 5 12" xfId="23212" xr:uid="{00000000-0005-0000-0000-0000325A0000}"/>
    <cellStyle name="입력 5 13" xfId="23213" xr:uid="{00000000-0005-0000-0000-0000335A0000}"/>
    <cellStyle name="입력 5 14" xfId="23214" xr:uid="{00000000-0005-0000-0000-0000345A0000}"/>
    <cellStyle name="입력 5 15" xfId="23209" xr:uid="{00000000-0005-0000-0000-0000355A0000}"/>
    <cellStyle name="입력 5 2" xfId="2965" xr:uid="{00000000-0005-0000-0000-0000365A0000}"/>
    <cellStyle name="입력 5 2 2" xfId="23215" xr:uid="{00000000-0005-0000-0000-0000375A0000}"/>
    <cellStyle name="입력 5 3" xfId="23216" xr:uid="{00000000-0005-0000-0000-0000385A0000}"/>
    <cellStyle name="입력 5 4" xfId="23217" xr:uid="{00000000-0005-0000-0000-0000395A0000}"/>
    <cellStyle name="입력 5 5" xfId="23218" xr:uid="{00000000-0005-0000-0000-00003A5A0000}"/>
    <cellStyle name="입력 5 6" xfId="23219" xr:uid="{00000000-0005-0000-0000-00003B5A0000}"/>
    <cellStyle name="입력 5 7" xfId="23220" xr:uid="{00000000-0005-0000-0000-00003C5A0000}"/>
    <cellStyle name="입력 5 8" xfId="23221" xr:uid="{00000000-0005-0000-0000-00003D5A0000}"/>
    <cellStyle name="입력 5 9" xfId="23222" xr:uid="{00000000-0005-0000-0000-00003E5A0000}"/>
    <cellStyle name="입력 6" xfId="2966" xr:uid="{00000000-0005-0000-0000-00003F5A0000}"/>
    <cellStyle name="입력 6 10" xfId="23224" xr:uid="{00000000-0005-0000-0000-0000405A0000}"/>
    <cellStyle name="입력 6 11" xfId="23225" xr:uid="{00000000-0005-0000-0000-0000415A0000}"/>
    <cellStyle name="입력 6 12" xfId="23226" xr:uid="{00000000-0005-0000-0000-0000425A0000}"/>
    <cellStyle name="입력 6 13" xfId="23227" xr:uid="{00000000-0005-0000-0000-0000435A0000}"/>
    <cellStyle name="입력 6 14" xfId="23228" xr:uid="{00000000-0005-0000-0000-0000445A0000}"/>
    <cellStyle name="입력 6 15" xfId="23223" xr:uid="{00000000-0005-0000-0000-0000455A0000}"/>
    <cellStyle name="입력 6 2" xfId="2967" xr:uid="{00000000-0005-0000-0000-0000465A0000}"/>
    <cellStyle name="입력 6 2 2" xfId="23229" xr:uid="{00000000-0005-0000-0000-0000475A0000}"/>
    <cellStyle name="입력 6 3" xfId="23230" xr:uid="{00000000-0005-0000-0000-0000485A0000}"/>
    <cellStyle name="입력 6 4" xfId="23231" xr:uid="{00000000-0005-0000-0000-0000495A0000}"/>
    <cellStyle name="입력 6 5" xfId="23232" xr:uid="{00000000-0005-0000-0000-00004A5A0000}"/>
    <cellStyle name="입력 6 6" xfId="23233" xr:uid="{00000000-0005-0000-0000-00004B5A0000}"/>
    <cellStyle name="입력 6 7" xfId="23234" xr:uid="{00000000-0005-0000-0000-00004C5A0000}"/>
    <cellStyle name="입력 6 8" xfId="23235" xr:uid="{00000000-0005-0000-0000-00004D5A0000}"/>
    <cellStyle name="입력 6 9" xfId="23236" xr:uid="{00000000-0005-0000-0000-00004E5A0000}"/>
    <cellStyle name="입력 7" xfId="2968" xr:uid="{00000000-0005-0000-0000-00004F5A0000}"/>
    <cellStyle name="입력 7 10" xfId="23238" xr:uid="{00000000-0005-0000-0000-0000505A0000}"/>
    <cellStyle name="입력 7 11" xfId="23239" xr:uid="{00000000-0005-0000-0000-0000515A0000}"/>
    <cellStyle name="입력 7 12" xfId="23240" xr:uid="{00000000-0005-0000-0000-0000525A0000}"/>
    <cellStyle name="입력 7 13" xfId="23241" xr:uid="{00000000-0005-0000-0000-0000535A0000}"/>
    <cellStyle name="입력 7 14" xfId="23242" xr:uid="{00000000-0005-0000-0000-0000545A0000}"/>
    <cellStyle name="입력 7 15" xfId="23237" xr:uid="{00000000-0005-0000-0000-0000555A0000}"/>
    <cellStyle name="입력 7 2" xfId="2969" xr:uid="{00000000-0005-0000-0000-0000565A0000}"/>
    <cellStyle name="입력 7 2 2" xfId="23243" xr:uid="{00000000-0005-0000-0000-0000575A0000}"/>
    <cellStyle name="입력 7 3" xfId="23244" xr:uid="{00000000-0005-0000-0000-0000585A0000}"/>
    <cellStyle name="입력 7 4" xfId="23245" xr:uid="{00000000-0005-0000-0000-0000595A0000}"/>
    <cellStyle name="입력 7 5" xfId="23246" xr:uid="{00000000-0005-0000-0000-00005A5A0000}"/>
    <cellStyle name="입력 7 6" xfId="23247" xr:uid="{00000000-0005-0000-0000-00005B5A0000}"/>
    <cellStyle name="입력 7 7" xfId="23248" xr:uid="{00000000-0005-0000-0000-00005C5A0000}"/>
    <cellStyle name="입력 7 8" xfId="23249" xr:uid="{00000000-0005-0000-0000-00005D5A0000}"/>
    <cellStyle name="입력 7 9" xfId="23250" xr:uid="{00000000-0005-0000-0000-00005E5A0000}"/>
    <cellStyle name="입력 8" xfId="2970" xr:uid="{00000000-0005-0000-0000-00005F5A0000}"/>
    <cellStyle name="입력 8 10" xfId="23252" xr:uid="{00000000-0005-0000-0000-0000605A0000}"/>
    <cellStyle name="입력 8 11" xfId="23253" xr:uid="{00000000-0005-0000-0000-0000615A0000}"/>
    <cellStyle name="입력 8 12" xfId="23254" xr:uid="{00000000-0005-0000-0000-0000625A0000}"/>
    <cellStyle name="입력 8 13" xfId="23255" xr:uid="{00000000-0005-0000-0000-0000635A0000}"/>
    <cellStyle name="입력 8 14" xfId="23256" xr:uid="{00000000-0005-0000-0000-0000645A0000}"/>
    <cellStyle name="입력 8 15" xfId="23251" xr:uid="{00000000-0005-0000-0000-0000655A0000}"/>
    <cellStyle name="입력 8 2" xfId="2971" xr:uid="{00000000-0005-0000-0000-0000665A0000}"/>
    <cellStyle name="입력 8 2 2" xfId="23257" xr:uid="{00000000-0005-0000-0000-0000675A0000}"/>
    <cellStyle name="입력 8 3" xfId="23258" xr:uid="{00000000-0005-0000-0000-0000685A0000}"/>
    <cellStyle name="입력 8 4" xfId="23259" xr:uid="{00000000-0005-0000-0000-0000695A0000}"/>
    <cellStyle name="입력 8 5" xfId="23260" xr:uid="{00000000-0005-0000-0000-00006A5A0000}"/>
    <cellStyle name="입력 8 6" xfId="23261" xr:uid="{00000000-0005-0000-0000-00006B5A0000}"/>
    <cellStyle name="입력 8 7" xfId="23262" xr:uid="{00000000-0005-0000-0000-00006C5A0000}"/>
    <cellStyle name="입력 8 8" xfId="23263" xr:uid="{00000000-0005-0000-0000-00006D5A0000}"/>
    <cellStyle name="입력 8 9" xfId="23264" xr:uid="{00000000-0005-0000-0000-00006E5A0000}"/>
    <cellStyle name="입력 9" xfId="2972" xr:uid="{00000000-0005-0000-0000-00006F5A0000}"/>
    <cellStyle name="입력 9 10" xfId="23266" xr:uid="{00000000-0005-0000-0000-0000705A0000}"/>
    <cellStyle name="입력 9 11" xfId="23267" xr:uid="{00000000-0005-0000-0000-0000715A0000}"/>
    <cellStyle name="입력 9 12" xfId="23268" xr:uid="{00000000-0005-0000-0000-0000725A0000}"/>
    <cellStyle name="입력 9 13" xfId="23269" xr:uid="{00000000-0005-0000-0000-0000735A0000}"/>
    <cellStyle name="입력 9 14" xfId="23270" xr:uid="{00000000-0005-0000-0000-0000745A0000}"/>
    <cellStyle name="입력 9 15" xfId="23265" xr:uid="{00000000-0005-0000-0000-0000755A0000}"/>
    <cellStyle name="입력 9 2" xfId="2973" xr:uid="{00000000-0005-0000-0000-0000765A0000}"/>
    <cellStyle name="입력 9 2 2" xfId="23271" xr:uid="{00000000-0005-0000-0000-0000775A0000}"/>
    <cellStyle name="입력 9 3" xfId="23272" xr:uid="{00000000-0005-0000-0000-0000785A0000}"/>
    <cellStyle name="입력 9 4" xfId="23273" xr:uid="{00000000-0005-0000-0000-0000795A0000}"/>
    <cellStyle name="입력 9 5" xfId="23274" xr:uid="{00000000-0005-0000-0000-00007A5A0000}"/>
    <cellStyle name="입력 9 6" xfId="23275" xr:uid="{00000000-0005-0000-0000-00007B5A0000}"/>
    <cellStyle name="입력 9 7" xfId="23276" xr:uid="{00000000-0005-0000-0000-00007C5A0000}"/>
    <cellStyle name="입력 9 8" xfId="23277" xr:uid="{00000000-0005-0000-0000-00007D5A0000}"/>
    <cellStyle name="입력 9 9" xfId="23278" xr:uid="{00000000-0005-0000-0000-00007E5A0000}"/>
    <cellStyle name="제목 1 10" xfId="2976" xr:uid="{00000000-0005-0000-0000-00007F5A0000}"/>
    <cellStyle name="제목 1 10 10" xfId="23282" xr:uid="{00000000-0005-0000-0000-0000805A0000}"/>
    <cellStyle name="제목 1 10 11" xfId="23283" xr:uid="{00000000-0005-0000-0000-0000815A0000}"/>
    <cellStyle name="제목 1 10 12" xfId="23284" xr:uid="{00000000-0005-0000-0000-0000825A0000}"/>
    <cellStyle name="제목 1 10 13" xfId="23285" xr:uid="{00000000-0005-0000-0000-0000835A0000}"/>
    <cellStyle name="제목 1 10 14" xfId="23286" xr:uid="{00000000-0005-0000-0000-0000845A0000}"/>
    <cellStyle name="제목 1 10 15" xfId="23281" xr:uid="{00000000-0005-0000-0000-0000855A0000}"/>
    <cellStyle name="제목 1 10 2" xfId="2977" xr:uid="{00000000-0005-0000-0000-0000865A0000}"/>
    <cellStyle name="제목 1 10 2 2" xfId="23287" xr:uid="{00000000-0005-0000-0000-0000875A0000}"/>
    <cellStyle name="제목 1 10 3" xfId="23288" xr:uid="{00000000-0005-0000-0000-0000885A0000}"/>
    <cellStyle name="제목 1 10 4" xfId="23289" xr:uid="{00000000-0005-0000-0000-0000895A0000}"/>
    <cellStyle name="제목 1 10 5" xfId="23290" xr:uid="{00000000-0005-0000-0000-00008A5A0000}"/>
    <cellStyle name="제목 1 10 6" xfId="23291" xr:uid="{00000000-0005-0000-0000-00008B5A0000}"/>
    <cellStyle name="제목 1 10 7" xfId="23292" xr:uid="{00000000-0005-0000-0000-00008C5A0000}"/>
    <cellStyle name="제목 1 10 8" xfId="23293" xr:uid="{00000000-0005-0000-0000-00008D5A0000}"/>
    <cellStyle name="제목 1 10 9" xfId="23294" xr:uid="{00000000-0005-0000-0000-00008E5A0000}"/>
    <cellStyle name="제목 1 11" xfId="2978" xr:uid="{00000000-0005-0000-0000-00008F5A0000}"/>
    <cellStyle name="제목 1 11 10" xfId="23296" xr:uid="{00000000-0005-0000-0000-0000905A0000}"/>
    <cellStyle name="제목 1 11 11" xfId="23297" xr:uid="{00000000-0005-0000-0000-0000915A0000}"/>
    <cellStyle name="제목 1 11 12" xfId="23298" xr:uid="{00000000-0005-0000-0000-0000925A0000}"/>
    <cellStyle name="제목 1 11 13" xfId="23299" xr:uid="{00000000-0005-0000-0000-0000935A0000}"/>
    <cellStyle name="제목 1 11 14" xfId="23300" xr:uid="{00000000-0005-0000-0000-0000945A0000}"/>
    <cellStyle name="제목 1 11 15" xfId="23295" xr:uid="{00000000-0005-0000-0000-0000955A0000}"/>
    <cellStyle name="제목 1 11 2" xfId="2979" xr:uid="{00000000-0005-0000-0000-0000965A0000}"/>
    <cellStyle name="제목 1 11 2 2" xfId="23301" xr:uid="{00000000-0005-0000-0000-0000975A0000}"/>
    <cellStyle name="제목 1 11 3" xfId="23302" xr:uid="{00000000-0005-0000-0000-0000985A0000}"/>
    <cellStyle name="제목 1 11 4" xfId="23303" xr:uid="{00000000-0005-0000-0000-0000995A0000}"/>
    <cellStyle name="제목 1 11 5" xfId="23304" xr:uid="{00000000-0005-0000-0000-00009A5A0000}"/>
    <cellStyle name="제목 1 11 6" xfId="23305" xr:uid="{00000000-0005-0000-0000-00009B5A0000}"/>
    <cellStyle name="제목 1 11 7" xfId="23306" xr:uid="{00000000-0005-0000-0000-00009C5A0000}"/>
    <cellStyle name="제목 1 11 8" xfId="23307" xr:uid="{00000000-0005-0000-0000-00009D5A0000}"/>
    <cellStyle name="제목 1 11 9" xfId="23308" xr:uid="{00000000-0005-0000-0000-00009E5A0000}"/>
    <cellStyle name="제목 1 12" xfId="2980" xr:uid="{00000000-0005-0000-0000-00009F5A0000}"/>
    <cellStyle name="제목 1 12 10" xfId="23310" xr:uid="{00000000-0005-0000-0000-0000A05A0000}"/>
    <cellStyle name="제목 1 12 11" xfId="23311" xr:uid="{00000000-0005-0000-0000-0000A15A0000}"/>
    <cellStyle name="제목 1 12 12" xfId="23312" xr:uid="{00000000-0005-0000-0000-0000A25A0000}"/>
    <cellStyle name="제목 1 12 13" xfId="23313" xr:uid="{00000000-0005-0000-0000-0000A35A0000}"/>
    <cellStyle name="제목 1 12 14" xfId="23314" xr:uid="{00000000-0005-0000-0000-0000A45A0000}"/>
    <cellStyle name="제목 1 12 15" xfId="23309" xr:uid="{00000000-0005-0000-0000-0000A55A0000}"/>
    <cellStyle name="제목 1 12 2" xfId="2981" xr:uid="{00000000-0005-0000-0000-0000A65A0000}"/>
    <cellStyle name="제목 1 12 2 2" xfId="23315" xr:uid="{00000000-0005-0000-0000-0000A75A0000}"/>
    <cellStyle name="제목 1 12 3" xfId="23316" xr:uid="{00000000-0005-0000-0000-0000A85A0000}"/>
    <cellStyle name="제목 1 12 4" xfId="23317" xr:uid="{00000000-0005-0000-0000-0000A95A0000}"/>
    <cellStyle name="제목 1 12 5" xfId="23318" xr:uid="{00000000-0005-0000-0000-0000AA5A0000}"/>
    <cellStyle name="제목 1 12 6" xfId="23319" xr:uid="{00000000-0005-0000-0000-0000AB5A0000}"/>
    <cellStyle name="제목 1 12 7" xfId="23320" xr:uid="{00000000-0005-0000-0000-0000AC5A0000}"/>
    <cellStyle name="제목 1 12 8" xfId="23321" xr:uid="{00000000-0005-0000-0000-0000AD5A0000}"/>
    <cellStyle name="제목 1 12 9" xfId="23322" xr:uid="{00000000-0005-0000-0000-0000AE5A0000}"/>
    <cellStyle name="제목 1 13" xfId="2982" xr:uid="{00000000-0005-0000-0000-0000AF5A0000}"/>
    <cellStyle name="제목 1 13 10" xfId="23324" xr:uid="{00000000-0005-0000-0000-0000B05A0000}"/>
    <cellStyle name="제목 1 13 11" xfId="23325" xr:uid="{00000000-0005-0000-0000-0000B15A0000}"/>
    <cellStyle name="제목 1 13 12" xfId="23326" xr:uid="{00000000-0005-0000-0000-0000B25A0000}"/>
    <cellStyle name="제목 1 13 13" xfId="23327" xr:uid="{00000000-0005-0000-0000-0000B35A0000}"/>
    <cellStyle name="제목 1 13 14" xfId="23328" xr:uid="{00000000-0005-0000-0000-0000B45A0000}"/>
    <cellStyle name="제목 1 13 15" xfId="23323" xr:uid="{00000000-0005-0000-0000-0000B55A0000}"/>
    <cellStyle name="제목 1 13 2" xfId="2983" xr:uid="{00000000-0005-0000-0000-0000B65A0000}"/>
    <cellStyle name="제목 1 13 2 2" xfId="23329" xr:uid="{00000000-0005-0000-0000-0000B75A0000}"/>
    <cellStyle name="제목 1 13 3" xfId="23330" xr:uid="{00000000-0005-0000-0000-0000B85A0000}"/>
    <cellStyle name="제목 1 13 4" xfId="23331" xr:uid="{00000000-0005-0000-0000-0000B95A0000}"/>
    <cellStyle name="제목 1 13 5" xfId="23332" xr:uid="{00000000-0005-0000-0000-0000BA5A0000}"/>
    <cellStyle name="제목 1 13 6" xfId="23333" xr:uid="{00000000-0005-0000-0000-0000BB5A0000}"/>
    <cellStyle name="제목 1 13 7" xfId="23334" xr:uid="{00000000-0005-0000-0000-0000BC5A0000}"/>
    <cellStyle name="제목 1 13 8" xfId="23335" xr:uid="{00000000-0005-0000-0000-0000BD5A0000}"/>
    <cellStyle name="제목 1 13 9" xfId="23336" xr:uid="{00000000-0005-0000-0000-0000BE5A0000}"/>
    <cellStyle name="제목 1 14" xfId="2984" xr:uid="{00000000-0005-0000-0000-0000BF5A0000}"/>
    <cellStyle name="제목 1 14 10" xfId="23338" xr:uid="{00000000-0005-0000-0000-0000C05A0000}"/>
    <cellStyle name="제목 1 14 11" xfId="23339" xr:uid="{00000000-0005-0000-0000-0000C15A0000}"/>
    <cellStyle name="제목 1 14 12" xfId="23340" xr:uid="{00000000-0005-0000-0000-0000C25A0000}"/>
    <cellStyle name="제목 1 14 13" xfId="23341" xr:uid="{00000000-0005-0000-0000-0000C35A0000}"/>
    <cellStyle name="제목 1 14 14" xfId="23342" xr:uid="{00000000-0005-0000-0000-0000C45A0000}"/>
    <cellStyle name="제목 1 14 15" xfId="23337" xr:uid="{00000000-0005-0000-0000-0000C55A0000}"/>
    <cellStyle name="제목 1 14 2" xfId="2985" xr:uid="{00000000-0005-0000-0000-0000C65A0000}"/>
    <cellStyle name="제목 1 14 2 2" xfId="23343" xr:uid="{00000000-0005-0000-0000-0000C75A0000}"/>
    <cellStyle name="제목 1 14 3" xfId="23344" xr:uid="{00000000-0005-0000-0000-0000C85A0000}"/>
    <cellStyle name="제목 1 14 4" xfId="23345" xr:uid="{00000000-0005-0000-0000-0000C95A0000}"/>
    <cellStyle name="제목 1 14 5" xfId="23346" xr:uid="{00000000-0005-0000-0000-0000CA5A0000}"/>
    <cellStyle name="제목 1 14 6" xfId="23347" xr:uid="{00000000-0005-0000-0000-0000CB5A0000}"/>
    <cellStyle name="제목 1 14 7" xfId="23348" xr:uid="{00000000-0005-0000-0000-0000CC5A0000}"/>
    <cellStyle name="제목 1 14 8" xfId="23349" xr:uid="{00000000-0005-0000-0000-0000CD5A0000}"/>
    <cellStyle name="제목 1 14 9" xfId="23350" xr:uid="{00000000-0005-0000-0000-0000CE5A0000}"/>
    <cellStyle name="제목 1 15" xfId="2986" xr:uid="{00000000-0005-0000-0000-0000CF5A0000}"/>
    <cellStyle name="제목 1 15 10" xfId="23352" xr:uid="{00000000-0005-0000-0000-0000D05A0000}"/>
    <cellStyle name="제목 1 15 11" xfId="23353" xr:uid="{00000000-0005-0000-0000-0000D15A0000}"/>
    <cellStyle name="제목 1 15 12" xfId="23354" xr:uid="{00000000-0005-0000-0000-0000D25A0000}"/>
    <cellStyle name="제목 1 15 13" xfId="23355" xr:uid="{00000000-0005-0000-0000-0000D35A0000}"/>
    <cellStyle name="제목 1 15 14" xfId="23356" xr:uid="{00000000-0005-0000-0000-0000D45A0000}"/>
    <cellStyle name="제목 1 15 15" xfId="23351" xr:uid="{00000000-0005-0000-0000-0000D55A0000}"/>
    <cellStyle name="제목 1 15 2" xfId="2987" xr:uid="{00000000-0005-0000-0000-0000D65A0000}"/>
    <cellStyle name="제목 1 15 2 2" xfId="23357" xr:uid="{00000000-0005-0000-0000-0000D75A0000}"/>
    <cellStyle name="제목 1 15 3" xfId="23358" xr:uid="{00000000-0005-0000-0000-0000D85A0000}"/>
    <cellStyle name="제목 1 15 4" xfId="23359" xr:uid="{00000000-0005-0000-0000-0000D95A0000}"/>
    <cellStyle name="제목 1 15 5" xfId="23360" xr:uid="{00000000-0005-0000-0000-0000DA5A0000}"/>
    <cellStyle name="제목 1 15 6" xfId="23361" xr:uid="{00000000-0005-0000-0000-0000DB5A0000}"/>
    <cellStyle name="제목 1 15 7" xfId="23362" xr:uid="{00000000-0005-0000-0000-0000DC5A0000}"/>
    <cellStyle name="제목 1 15 8" xfId="23363" xr:uid="{00000000-0005-0000-0000-0000DD5A0000}"/>
    <cellStyle name="제목 1 15 9" xfId="23364" xr:uid="{00000000-0005-0000-0000-0000DE5A0000}"/>
    <cellStyle name="제목 1 16" xfId="2988" xr:uid="{00000000-0005-0000-0000-0000DF5A0000}"/>
    <cellStyle name="제목 1 16 10" xfId="23366" xr:uid="{00000000-0005-0000-0000-0000E05A0000}"/>
    <cellStyle name="제목 1 16 11" xfId="23367" xr:uid="{00000000-0005-0000-0000-0000E15A0000}"/>
    <cellStyle name="제목 1 16 12" xfId="23368" xr:uid="{00000000-0005-0000-0000-0000E25A0000}"/>
    <cellStyle name="제목 1 16 13" xfId="23369" xr:uid="{00000000-0005-0000-0000-0000E35A0000}"/>
    <cellStyle name="제목 1 16 14" xfId="23370" xr:uid="{00000000-0005-0000-0000-0000E45A0000}"/>
    <cellStyle name="제목 1 16 15" xfId="23365" xr:uid="{00000000-0005-0000-0000-0000E55A0000}"/>
    <cellStyle name="제목 1 16 2" xfId="2989" xr:uid="{00000000-0005-0000-0000-0000E65A0000}"/>
    <cellStyle name="제목 1 16 2 2" xfId="23371" xr:uid="{00000000-0005-0000-0000-0000E75A0000}"/>
    <cellStyle name="제목 1 16 3" xfId="23372" xr:uid="{00000000-0005-0000-0000-0000E85A0000}"/>
    <cellStyle name="제목 1 16 4" xfId="23373" xr:uid="{00000000-0005-0000-0000-0000E95A0000}"/>
    <cellStyle name="제목 1 16 5" xfId="23374" xr:uid="{00000000-0005-0000-0000-0000EA5A0000}"/>
    <cellStyle name="제목 1 16 6" xfId="23375" xr:uid="{00000000-0005-0000-0000-0000EB5A0000}"/>
    <cellStyle name="제목 1 16 7" xfId="23376" xr:uid="{00000000-0005-0000-0000-0000EC5A0000}"/>
    <cellStyle name="제목 1 16 8" xfId="23377" xr:uid="{00000000-0005-0000-0000-0000ED5A0000}"/>
    <cellStyle name="제목 1 16 9" xfId="23378" xr:uid="{00000000-0005-0000-0000-0000EE5A0000}"/>
    <cellStyle name="제목 1 17" xfId="2990" xr:uid="{00000000-0005-0000-0000-0000EF5A0000}"/>
    <cellStyle name="제목 1 17 10" xfId="23380" xr:uid="{00000000-0005-0000-0000-0000F05A0000}"/>
    <cellStyle name="제목 1 17 11" xfId="23381" xr:uid="{00000000-0005-0000-0000-0000F15A0000}"/>
    <cellStyle name="제목 1 17 12" xfId="23382" xr:uid="{00000000-0005-0000-0000-0000F25A0000}"/>
    <cellStyle name="제목 1 17 13" xfId="23383" xr:uid="{00000000-0005-0000-0000-0000F35A0000}"/>
    <cellStyle name="제목 1 17 14" xfId="23384" xr:uid="{00000000-0005-0000-0000-0000F45A0000}"/>
    <cellStyle name="제목 1 17 15" xfId="23379" xr:uid="{00000000-0005-0000-0000-0000F55A0000}"/>
    <cellStyle name="제목 1 17 2" xfId="2991" xr:uid="{00000000-0005-0000-0000-0000F65A0000}"/>
    <cellStyle name="제목 1 17 2 2" xfId="23385" xr:uid="{00000000-0005-0000-0000-0000F75A0000}"/>
    <cellStyle name="제목 1 17 3" xfId="23386" xr:uid="{00000000-0005-0000-0000-0000F85A0000}"/>
    <cellStyle name="제목 1 17 4" xfId="23387" xr:uid="{00000000-0005-0000-0000-0000F95A0000}"/>
    <cellStyle name="제목 1 17 5" xfId="23388" xr:uid="{00000000-0005-0000-0000-0000FA5A0000}"/>
    <cellStyle name="제목 1 17 6" xfId="23389" xr:uid="{00000000-0005-0000-0000-0000FB5A0000}"/>
    <cellStyle name="제목 1 17 7" xfId="23390" xr:uid="{00000000-0005-0000-0000-0000FC5A0000}"/>
    <cellStyle name="제목 1 17 8" xfId="23391" xr:uid="{00000000-0005-0000-0000-0000FD5A0000}"/>
    <cellStyle name="제목 1 17 9" xfId="23392" xr:uid="{00000000-0005-0000-0000-0000FE5A0000}"/>
    <cellStyle name="제목 1 18" xfId="2992" xr:uid="{00000000-0005-0000-0000-0000FF5A0000}"/>
    <cellStyle name="제목 1 18 10" xfId="23394" xr:uid="{00000000-0005-0000-0000-0000005B0000}"/>
    <cellStyle name="제목 1 18 11" xfId="23395" xr:uid="{00000000-0005-0000-0000-0000015B0000}"/>
    <cellStyle name="제목 1 18 12" xfId="23396" xr:uid="{00000000-0005-0000-0000-0000025B0000}"/>
    <cellStyle name="제목 1 18 13" xfId="23397" xr:uid="{00000000-0005-0000-0000-0000035B0000}"/>
    <cellStyle name="제목 1 18 14" xfId="23398" xr:uid="{00000000-0005-0000-0000-0000045B0000}"/>
    <cellStyle name="제목 1 18 15" xfId="23393" xr:uid="{00000000-0005-0000-0000-0000055B0000}"/>
    <cellStyle name="제목 1 18 2" xfId="2993" xr:uid="{00000000-0005-0000-0000-0000065B0000}"/>
    <cellStyle name="제목 1 18 2 2" xfId="23399" xr:uid="{00000000-0005-0000-0000-0000075B0000}"/>
    <cellStyle name="제목 1 18 3" xfId="23400" xr:uid="{00000000-0005-0000-0000-0000085B0000}"/>
    <cellStyle name="제목 1 18 4" xfId="23401" xr:uid="{00000000-0005-0000-0000-0000095B0000}"/>
    <cellStyle name="제목 1 18 5" xfId="23402" xr:uid="{00000000-0005-0000-0000-00000A5B0000}"/>
    <cellStyle name="제목 1 18 6" xfId="23403" xr:uid="{00000000-0005-0000-0000-00000B5B0000}"/>
    <cellStyle name="제목 1 18 7" xfId="23404" xr:uid="{00000000-0005-0000-0000-00000C5B0000}"/>
    <cellStyle name="제목 1 18 8" xfId="23405" xr:uid="{00000000-0005-0000-0000-00000D5B0000}"/>
    <cellStyle name="제목 1 18 9" xfId="23406" xr:uid="{00000000-0005-0000-0000-00000E5B0000}"/>
    <cellStyle name="제목 1 19" xfId="2994" xr:uid="{00000000-0005-0000-0000-00000F5B0000}"/>
    <cellStyle name="제목 1 19 10" xfId="23408" xr:uid="{00000000-0005-0000-0000-0000105B0000}"/>
    <cellStyle name="제목 1 19 11" xfId="23409" xr:uid="{00000000-0005-0000-0000-0000115B0000}"/>
    <cellStyle name="제목 1 19 12" xfId="23410" xr:uid="{00000000-0005-0000-0000-0000125B0000}"/>
    <cellStyle name="제목 1 19 13" xfId="23411" xr:uid="{00000000-0005-0000-0000-0000135B0000}"/>
    <cellStyle name="제목 1 19 14" xfId="23412" xr:uid="{00000000-0005-0000-0000-0000145B0000}"/>
    <cellStyle name="제목 1 19 15" xfId="23407" xr:uid="{00000000-0005-0000-0000-0000155B0000}"/>
    <cellStyle name="제목 1 19 2" xfId="2995" xr:uid="{00000000-0005-0000-0000-0000165B0000}"/>
    <cellStyle name="제목 1 19 2 2" xfId="23413" xr:uid="{00000000-0005-0000-0000-0000175B0000}"/>
    <cellStyle name="제목 1 19 3" xfId="23414" xr:uid="{00000000-0005-0000-0000-0000185B0000}"/>
    <cellStyle name="제목 1 19 4" xfId="23415" xr:uid="{00000000-0005-0000-0000-0000195B0000}"/>
    <cellStyle name="제목 1 19 5" xfId="23416" xr:uid="{00000000-0005-0000-0000-00001A5B0000}"/>
    <cellStyle name="제목 1 19 6" xfId="23417" xr:uid="{00000000-0005-0000-0000-00001B5B0000}"/>
    <cellStyle name="제목 1 19 7" xfId="23418" xr:uid="{00000000-0005-0000-0000-00001C5B0000}"/>
    <cellStyle name="제목 1 19 8" xfId="23419" xr:uid="{00000000-0005-0000-0000-00001D5B0000}"/>
    <cellStyle name="제목 1 19 9" xfId="23420" xr:uid="{00000000-0005-0000-0000-00001E5B0000}"/>
    <cellStyle name="제목 1 2" xfId="2996" xr:uid="{00000000-0005-0000-0000-00001F5B0000}"/>
    <cellStyle name="제목 1 2 10" xfId="23422" xr:uid="{00000000-0005-0000-0000-0000205B0000}"/>
    <cellStyle name="제목 1 2 11" xfId="23423" xr:uid="{00000000-0005-0000-0000-0000215B0000}"/>
    <cellStyle name="제목 1 2 12" xfId="23424" xr:uid="{00000000-0005-0000-0000-0000225B0000}"/>
    <cellStyle name="제목 1 2 13" xfId="23425" xr:uid="{00000000-0005-0000-0000-0000235B0000}"/>
    <cellStyle name="제목 1 2 14" xfId="23426" xr:uid="{00000000-0005-0000-0000-0000245B0000}"/>
    <cellStyle name="제목 1 2 15" xfId="23421" xr:uid="{00000000-0005-0000-0000-0000255B0000}"/>
    <cellStyle name="제목 1 2 16" xfId="27979" xr:uid="{00000000-0005-0000-0000-0000265B0000}"/>
    <cellStyle name="제목 1 2 2" xfId="2997" xr:uid="{00000000-0005-0000-0000-0000275B0000}"/>
    <cellStyle name="제목 1 2 2 2" xfId="23427" xr:uid="{00000000-0005-0000-0000-0000285B0000}"/>
    <cellStyle name="제목 1 2 3" xfId="23428" xr:uid="{00000000-0005-0000-0000-0000295B0000}"/>
    <cellStyle name="제목 1 2 4" xfId="23429" xr:uid="{00000000-0005-0000-0000-00002A5B0000}"/>
    <cellStyle name="제목 1 2 5" xfId="23430" xr:uid="{00000000-0005-0000-0000-00002B5B0000}"/>
    <cellStyle name="제목 1 2 6" xfId="23431" xr:uid="{00000000-0005-0000-0000-00002C5B0000}"/>
    <cellStyle name="제목 1 2 7" xfId="23432" xr:uid="{00000000-0005-0000-0000-00002D5B0000}"/>
    <cellStyle name="제목 1 2 8" xfId="23433" xr:uid="{00000000-0005-0000-0000-00002E5B0000}"/>
    <cellStyle name="제목 1 2 9" xfId="23434" xr:uid="{00000000-0005-0000-0000-00002F5B0000}"/>
    <cellStyle name="제목 1 20" xfId="2998" xr:uid="{00000000-0005-0000-0000-0000305B0000}"/>
    <cellStyle name="제목 1 20 10" xfId="23436" xr:uid="{00000000-0005-0000-0000-0000315B0000}"/>
    <cellStyle name="제목 1 20 11" xfId="23437" xr:uid="{00000000-0005-0000-0000-0000325B0000}"/>
    <cellStyle name="제목 1 20 12" xfId="23438" xr:uid="{00000000-0005-0000-0000-0000335B0000}"/>
    <cellStyle name="제목 1 20 13" xfId="23439" xr:uid="{00000000-0005-0000-0000-0000345B0000}"/>
    <cellStyle name="제목 1 20 14" xfId="23440" xr:uid="{00000000-0005-0000-0000-0000355B0000}"/>
    <cellStyle name="제목 1 20 15" xfId="23435" xr:uid="{00000000-0005-0000-0000-0000365B0000}"/>
    <cellStyle name="제목 1 20 2" xfId="2999" xr:uid="{00000000-0005-0000-0000-0000375B0000}"/>
    <cellStyle name="제목 1 20 2 2" xfId="23441" xr:uid="{00000000-0005-0000-0000-0000385B0000}"/>
    <cellStyle name="제목 1 20 3" xfId="23442" xr:uid="{00000000-0005-0000-0000-0000395B0000}"/>
    <cellStyle name="제목 1 20 4" xfId="23443" xr:uid="{00000000-0005-0000-0000-00003A5B0000}"/>
    <cellStyle name="제목 1 20 5" xfId="23444" xr:uid="{00000000-0005-0000-0000-00003B5B0000}"/>
    <cellStyle name="제목 1 20 6" xfId="23445" xr:uid="{00000000-0005-0000-0000-00003C5B0000}"/>
    <cellStyle name="제목 1 20 7" xfId="23446" xr:uid="{00000000-0005-0000-0000-00003D5B0000}"/>
    <cellStyle name="제목 1 20 8" xfId="23447" xr:uid="{00000000-0005-0000-0000-00003E5B0000}"/>
    <cellStyle name="제목 1 20 9" xfId="23448" xr:uid="{00000000-0005-0000-0000-00003F5B0000}"/>
    <cellStyle name="제목 1 21" xfId="3000" xr:uid="{00000000-0005-0000-0000-0000405B0000}"/>
    <cellStyle name="제목 1 21 10" xfId="23450" xr:uid="{00000000-0005-0000-0000-0000415B0000}"/>
    <cellStyle name="제목 1 21 11" xfId="23451" xr:uid="{00000000-0005-0000-0000-0000425B0000}"/>
    <cellStyle name="제목 1 21 12" xfId="23452" xr:uid="{00000000-0005-0000-0000-0000435B0000}"/>
    <cellStyle name="제목 1 21 13" xfId="23453" xr:uid="{00000000-0005-0000-0000-0000445B0000}"/>
    <cellStyle name="제목 1 21 14" xfId="23454" xr:uid="{00000000-0005-0000-0000-0000455B0000}"/>
    <cellStyle name="제목 1 21 15" xfId="23449" xr:uid="{00000000-0005-0000-0000-0000465B0000}"/>
    <cellStyle name="제목 1 21 2" xfId="3001" xr:uid="{00000000-0005-0000-0000-0000475B0000}"/>
    <cellStyle name="제목 1 21 2 2" xfId="23455" xr:uid="{00000000-0005-0000-0000-0000485B0000}"/>
    <cellStyle name="제목 1 21 3" xfId="23456" xr:uid="{00000000-0005-0000-0000-0000495B0000}"/>
    <cellStyle name="제목 1 21 4" xfId="23457" xr:uid="{00000000-0005-0000-0000-00004A5B0000}"/>
    <cellStyle name="제목 1 21 5" xfId="23458" xr:uid="{00000000-0005-0000-0000-00004B5B0000}"/>
    <cellStyle name="제목 1 21 6" xfId="23459" xr:uid="{00000000-0005-0000-0000-00004C5B0000}"/>
    <cellStyle name="제목 1 21 7" xfId="23460" xr:uid="{00000000-0005-0000-0000-00004D5B0000}"/>
    <cellStyle name="제목 1 21 8" xfId="23461" xr:uid="{00000000-0005-0000-0000-00004E5B0000}"/>
    <cellStyle name="제목 1 21 9" xfId="23462" xr:uid="{00000000-0005-0000-0000-00004F5B0000}"/>
    <cellStyle name="제목 1 22" xfId="3002" xr:uid="{00000000-0005-0000-0000-0000505B0000}"/>
    <cellStyle name="제목 1 22 10" xfId="23464" xr:uid="{00000000-0005-0000-0000-0000515B0000}"/>
    <cellStyle name="제목 1 22 11" xfId="23465" xr:uid="{00000000-0005-0000-0000-0000525B0000}"/>
    <cellStyle name="제목 1 22 12" xfId="23466" xr:uid="{00000000-0005-0000-0000-0000535B0000}"/>
    <cellStyle name="제목 1 22 13" xfId="23467" xr:uid="{00000000-0005-0000-0000-0000545B0000}"/>
    <cellStyle name="제목 1 22 14" xfId="23468" xr:uid="{00000000-0005-0000-0000-0000555B0000}"/>
    <cellStyle name="제목 1 22 15" xfId="23463" xr:uid="{00000000-0005-0000-0000-0000565B0000}"/>
    <cellStyle name="제목 1 22 2" xfId="3003" xr:uid="{00000000-0005-0000-0000-0000575B0000}"/>
    <cellStyle name="제목 1 22 2 2" xfId="23469" xr:uid="{00000000-0005-0000-0000-0000585B0000}"/>
    <cellStyle name="제목 1 22 3" xfId="23470" xr:uid="{00000000-0005-0000-0000-0000595B0000}"/>
    <cellStyle name="제목 1 22 4" xfId="23471" xr:uid="{00000000-0005-0000-0000-00005A5B0000}"/>
    <cellStyle name="제목 1 22 5" xfId="23472" xr:uid="{00000000-0005-0000-0000-00005B5B0000}"/>
    <cellStyle name="제목 1 22 6" xfId="23473" xr:uid="{00000000-0005-0000-0000-00005C5B0000}"/>
    <cellStyle name="제목 1 22 7" xfId="23474" xr:uid="{00000000-0005-0000-0000-00005D5B0000}"/>
    <cellStyle name="제목 1 22 8" xfId="23475" xr:uid="{00000000-0005-0000-0000-00005E5B0000}"/>
    <cellStyle name="제목 1 22 9" xfId="23476" xr:uid="{00000000-0005-0000-0000-00005F5B0000}"/>
    <cellStyle name="제목 1 23" xfId="3004" xr:uid="{00000000-0005-0000-0000-0000605B0000}"/>
    <cellStyle name="제목 1 23 10" xfId="23478" xr:uid="{00000000-0005-0000-0000-0000615B0000}"/>
    <cellStyle name="제목 1 23 11" xfId="23479" xr:uid="{00000000-0005-0000-0000-0000625B0000}"/>
    <cellStyle name="제목 1 23 12" xfId="23480" xr:uid="{00000000-0005-0000-0000-0000635B0000}"/>
    <cellStyle name="제목 1 23 13" xfId="23481" xr:uid="{00000000-0005-0000-0000-0000645B0000}"/>
    <cellStyle name="제목 1 23 14" xfId="23482" xr:uid="{00000000-0005-0000-0000-0000655B0000}"/>
    <cellStyle name="제목 1 23 15" xfId="23477" xr:uid="{00000000-0005-0000-0000-0000665B0000}"/>
    <cellStyle name="제목 1 23 2" xfId="3005" xr:uid="{00000000-0005-0000-0000-0000675B0000}"/>
    <cellStyle name="제목 1 23 2 2" xfId="23483" xr:uid="{00000000-0005-0000-0000-0000685B0000}"/>
    <cellStyle name="제목 1 23 3" xfId="23484" xr:uid="{00000000-0005-0000-0000-0000695B0000}"/>
    <cellStyle name="제목 1 23 4" xfId="23485" xr:uid="{00000000-0005-0000-0000-00006A5B0000}"/>
    <cellStyle name="제목 1 23 5" xfId="23486" xr:uid="{00000000-0005-0000-0000-00006B5B0000}"/>
    <cellStyle name="제목 1 23 6" xfId="23487" xr:uid="{00000000-0005-0000-0000-00006C5B0000}"/>
    <cellStyle name="제목 1 23 7" xfId="23488" xr:uid="{00000000-0005-0000-0000-00006D5B0000}"/>
    <cellStyle name="제목 1 23 8" xfId="23489" xr:uid="{00000000-0005-0000-0000-00006E5B0000}"/>
    <cellStyle name="제목 1 23 9" xfId="23490" xr:uid="{00000000-0005-0000-0000-00006F5B0000}"/>
    <cellStyle name="제목 1 24" xfId="3006" xr:uid="{00000000-0005-0000-0000-0000705B0000}"/>
    <cellStyle name="제목 1 24 10" xfId="23492" xr:uid="{00000000-0005-0000-0000-0000715B0000}"/>
    <cellStyle name="제목 1 24 11" xfId="23493" xr:uid="{00000000-0005-0000-0000-0000725B0000}"/>
    <cellStyle name="제목 1 24 12" xfId="23494" xr:uid="{00000000-0005-0000-0000-0000735B0000}"/>
    <cellStyle name="제목 1 24 13" xfId="23495" xr:uid="{00000000-0005-0000-0000-0000745B0000}"/>
    <cellStyle name="제목 1 24 14" xfId="23496" xr:uid="{00000000-0005-0000-0000-0000755B0000}"/>
    <cellStyle name="제목 1 24 15" xfId="23491" xr:uid="{00000000-0005-0000-0000-0000765B0000}"/>
    <cellStyle name="제목 1 24 2" xfId="3007" xr:uid="{00000000-0005-0000-0000-0000775B0000}"/>
    <cellStyle name="제목 1 24 2 2" xfId="23497" xr:uid="{00000000-0005-0000-0000-0000785B0000}"/>
    <cellStyle name="제목 1 24 3" xfId="23498" xr:uid="{00000000-0005-0000-0000-0000795B0000}"/>
    <cellStyle name="제목 1 24 4" xfId="23499" xr:uid="{00000000-0005-0000-0000-00007A5B0000}"/>
    <cellStyle name="제목 1 24 5" xfId="23500" xr:uid="{00000000-0005-0000-0000-00007B5B0000}"/>
    <cellStyle name="제목 1 24 6" xfId="23501" xr:uid="{00000000-0005-0000-0000-00007C5B0000}"/>
    <cellStyle name="제목 1 24 7" xfId="23502" xr:uid="{00000000-0005-0000-0000-00007D5B0000}"/>
    <cellStyle name="제목 1 24 8" xfId="23503" xr:uid="{00000000-0005-0000-0000-00007E5B0000}"/>
    <cellStyle name="제목 1 24 9" xfId="23504" xr:uid="{00000000-0005-0000-0000-00007F5B0000}"/>
    <cellStyle name="제목 1 25" xfId="3008" xr:uid="{00000000-0005-0000-0000-0000805B0000}"/>
    <cellStyle name="제목 1 25 10" xfId="23506" xr:uid="{00000000-0005-0000-0000-0000815B0000}"/>
    <cellStyle name="제목 1 25 11" xfId="23507" xr:uid="{00000000-0005-0000-0000-0000825B0000}"/>
    <cellStyle name="제목 1 25 12" xfId="23508" xr:uid="{00000000-0005-0000-0000-0000835B0000}"/>
    <cellStyle name="제목 1 25 13" xfId="23509" xr:uid="{00000000-0005-0000-0000-0000845B0000}"/>
    <cellStyle name="제목 1 25 14" xfId="23510" xr:uid="{00000000-0005-0000-0000-0000855B0000}"/>
    <cellStyle name="제목 1 25 15" xfId="23505" xr:uid="{00000000-0005-0000-0000-0000865B0000}"/>
    <cellStyle name="제목 1 25 2" xfId="3009" xr:uid="{00000000-0005-0000-0000-0000875B0000}"/>
    <cellStyle name="제목 1 25 2 2" xfId="23511" xr:uid="{00000000-0005-0000-0000-0000885B0000}"/>
    <cellStyle name="제목 1 25 3" xfId="23512" xr:uid="{00000000-0005-0000-0000-0000895B0000}"/>
    <cellStyle name="제목 1 25 4" xfId="23513" xr:uid="{00000000-0005-0000-0000-00008A5B0000}"/>
    <cellStyle name="제목 1 25 5" xfId="23514" xr:uid="{00000000-0005-0000-0000-00008B5B0000}"/>
    <cellStyle name="제목 1 25 6" xfId="23515" xr:uid="{00000000-0005-0000-0000-00008C5B0000}"/>
    <cellStyle name="제목 1 25 7" xfId="23516" xr:uid="{00000000-0005-0000-0000-00008D5B0000}"/>
    <cellStyle name="제목 1 25 8" xfId="23517" xr:uid="{00000000-0005-0000-0000-00008E5B0000}"/>
    <cellStyle name="제목 1 25 9" xfId="23518" xr:uid="{00000000-0005-0000-0000-00008F5B0000}"/>
    <cellStyle name="제목 1 26" xfId="3010" xr:uid="{00000000-0005-0000-0000-0000905B0000}"/>
    <cellStyle name="제목 1 26 10" xfId="23520" xr:uid="{00000000-0005-0000-0000-0000915B0000}"/>
    <cellStyle name="제목 1 26 11" xfId="23521" xr:uid="{00000000-0005-0000-0000-0000925B0000}"/>
    <cellStyle name="제목 1 26 12" xfId="23522" xr:uid="{00000000-0005-0000-0000-0000935B0000}"/>
    <cellStyle name="제목 1 26 13" xfId="23523" xr:uid="{00000000-0005-0000-0000-0000945B0000}"/>
    <cellStyle name="제목 1 26 14" xfId="23524" xr:uid="{00000000-0005-0000-0000-0000955B0000}"/>
    <cellStyle name="제목 1 26 15" xfId="23519" xr:uid="{00000000-0005-0000-0000-0000965B0000}"/>
    <cellStyle name="제목 1 26 2" xfId="3011" xr:uid="{00000000-0005-0000-0000-0000975B0000}"/>
    <cellStyle name="제목 1 26 2 2" xfId="23525" xr:uid="{00000000-0005-0000-0000-0000985B0000}"/>
    <cellStyle name="제목 1 26 3" xfId="23526" xr:uid="{00000000-0005-0000-0000-0000995B0000}"/>
    <cellStyle name="제목 1 26 4" xfId="23527" xr:uid="{00000000-0005-0000-0000-00009A5B0000}"/>
    <cellStyle name="제목 1 26 5" xfId="23528" xr:uid="{00000000-0005-0000-0000-00009B5B0000}"/>
    <cellStyle name="제목 1 26 6" xfId="23529" xr:uid="{00000000-0005-0000-0000-00009C5B0000}"/>
    <cellStyle name="제목 1 26 7" xfId="23530" xr:uid="{00000000-0005-0000-0000-00009D5B0000}"/>
    <cellStyle name="제목 1 26 8" xfId="23531" xr:uid="{00000000-0005-0000-0000-00009E5B0000}"/>
    <cellStyle name="제목 1 26 9" xfId="23532" xr:uid="{00000000-0005-0000-0000-00009F5B0000}"/>
    <cellStyle name="제목 1 27" xfId="3012" xr:uid="{00000000-0005-0000-0000-0000A05B0000}"/>
    <cellStyle name="제목 1 27 10" xfId="23534" xr:uid="{00000000-0005-0000-0000-0000A15B0000}"/>
    <cellStyle name="제목 1 27 11" xfId="23535" xr:uid="{00000000-0005-0000-0000-0000A25B0000}"/>
    <cellStyle name="제목 1 27 12" xfId="23536" xr:uid="{00000000-0005-0000-0000-0000A35B0000}"/>
    <cellStyle name="제목 1 27 13" xfId="23537" xr:uid="{00000000-0005-0000-0000-0000A45B0000}"/>
    <cellStyle name="제목 1 27 14" xfId="23538" xr:uid="{00000000-0005-0000-0000-0000A55B0000}"/>
    <cellStyle name="제목 1 27 15" xfId="23533" xr:uid="{00000000-0005-0000-0000-0000A65B0000}"/>
    <cellStyle name="제목 1 27 2" xfId="3013" xr:uid="{00000000-0005-0000-0000-0000A75B0000}"/>
    <cellStyle name="제목 1 27 2 2" xfId="23539" xr:uid="{00000000-0005-0000-0000-0000A85B0000}"/>
    <cellStyle name="제목 1 27 3" xfId="23540" xr:uid="{00000000-0005-0000-0000-0000A95B0000}"/>
    <cellStyle name="제목 1 27 4" xfId="23541" xr:uid="{00000000-0005-0000-0000-0000AA5B0000}"/>
    <cellStyle name="제목 1 27 5" xfId="23542" xr:uid="{00000000-0005-0000-0000-0000AB5B0000}"/>
    <cellStyle name="제목 1 27 6" xfId="23543" xr:uid="{00000000-0005-0000-0000-0000AC5B0000}"/>
    <cellStyle name="제목 1 27 7" xfId="23544" xr:uid="{00000000-0005-0000-0000-0000AD5B0000}"/>
    <cellStyle name="제목 1 27 8" xfId="23545" xr:uid="{00000000-0005-0000-0000-0000AE5B0000}"/>
    <cellStyle name="제목 1 27 9" xfId="23546" xr:uid="{00000000-0005-0000-0000-0000AF5B0000}"/>
    <cellStyle name="제목 1 28" xfId="3014" xr:uid="{00000000-0005-0000-0000-0000B05B0000}"/>
    <cellStyle name="제목 1 28 10" xfId="23548" xr:uid="{00000000-0005-0000-0000-0000B15B0000}"/>
    <cellStyle name="제목 1 28 11" xfId="23549" xr:uid="{00000000-0005-0000-0000-0000B25B0000}"/>
    <cellStyle name="제목 1 28 12" xfId="23550" xr:uid="{00000000-0005-0000-0000-0000B35B0000}"/>
    <cellStyle name="제목 1 28 13" xfId="23551" xr:uid="{00000000-0005-0000-0000-0000B45B0000}"/>
    <cellStyle name="제목 1 28 14" xfId="23552" xr:uid="{00000000-0005-0000-0000-0000B55B0000}"/>
    <cellStyle name="제목 1 28 15" xfId="23547" xr:uid="{00000000-0005-0000-0000-0000B65B0000}"/>
    <cellStyle name="제목 1 28 2" xfId="3015" xr:uid="{00000000-0005-0000-0000-0000B75B0000}"/>
    <cellStyle name="제목 1 28 2 2" xfId="23553" xr:uid="{00000000-0005-0000-0000-0000B85B0000}"/>
    <cellStyle name="제목 1 28 3" xfId="23554" xr:uid="{00000000-0005-0000-0000-0000B95B0000}"/>
    <cellStyle name="제목 1 28 4" xfId="23555" xr:uid="{00000000-0005-0000-0000-0000BA5B0000}"/>
    <cellStyle name="제목 1 28 5" xfId="23556" xr:uid="{00000000-0005-0000-0000-0000BB5B0000}"/>
    <cellStyle name="제목 1 28 6" xfId="23557" xr:uid="{00000000-0005-0000-0000-0000BC5B0000}"/>
    <cellStyle name="제목 1 28 7" xfId="23558" xr:uid="{00000000-0005-0000-0000-0000BD5B0000}"/>
    <cellStyle name="제목 1 28 8" xfId="23559" xr:uid="{00000000-0005-0000-0000-0000BE5B0000}"/>
    <cellStyle name="제목 1 28 9" xfId="23560" xr:uid="{00000000-0005-0000-0000-0000BF5B0000}"/>
    <cellStyle name="제목 1 29" xfId="3016" xr:uid="{00000000-0005-0000-0000-0000C05B0000}"/>
    <cellStyle name="제목 1 29 10" xfId="23562" xr:uid="{00000000-0005-0000-0000-0000C15B0000}"/>
    <cellStyle name="제목 1 29 11" xfId="23563" xr:uid="{00000000-0005-0000-0000-0000C25B0000}"/>
    <cellStyle name="제목 1 29 12" xfId="23564" xr:uid="{00000000-0005-0000-0000-0000C35B0000}"/>
    <cellStyle name="제목 1 29 13" xfId="23565" xr:uid="{00000000-0005-0000-0000-0000C45B0000}"/>
    <cellStyle name="제목 1 29 14" xfId="23566" xr:uid="{00000000-0005-0000-0000-0000C55B0000}"/>
    <cellStyle name="제목 1 29 15" xfId="23561" xr:uid="{00000000-0005-0000-0000-0000C65B0000}"/>
    <cellStyle name="제목 1 29 2" xfId="3017" xr:uid="{00000000-0005-0000-0000-0000C75B0000}"/>
    <cellStyle name="제목 1 29 2 2" xfId="23567" xr:uid="{00000000-0005-0000-0000-0000C85B0000}"/>
    <cellStyle name="제목 1 29 3" xfId="23568" xr:uid="{00000000-0005-0000-0000-0000C95B0000}"/>
    <cellStyle name="제목 1 29 4" xfId="23569" xr:uid="{00000000-0005-0000-0000-0000CA5B0000}"/>
    <cellStyle name="제목 1 29 5" xfId="23570" xr:uid="{00000000-0005-0000-0000-0000CB5B0000}"/>
    <cellStyle name="제목 1 29 6" xfId="23571" xr:uid="{00000000-0005-0000-0000-0000CC5B0000}"/>
    <cellStyle name="제목 1 29 7" xfId="23572" xr:uid="{00000000-0005-0000-0000-0000CD5B0000}"/>
    <cellStyle name="제목 1 29 8" xfId="23573" xr:uid="{00000000-0005-0000-0000-0000CE5B0000}"/>
    <cellStyle name="제목 1 29 9" xfId="23574" xr:uid="{00000000-0005-0000-0000-0000CF5B0000}"/>
    <cellStyle name="제목 1 3" xfId="3018" xr:uid="{00000000-0005-0000-0000-0000D05B0000}"/>
    <cellStyle name="제목 1 3 10" xfId="23576" xr:uid="{00000000-0005-0000-0000-0000D15B0000}"/>
    <cellStyle name="제목 1 3 11" xfId="23577" xr:uid="{00000000-0005-0000-0000-0000D25B0000}"/>
    <cellStyle name="제목 1 3 12" xfId="23578" xr:uid="{00000000-0005-0000-0000-0000D35B0000}"/>
    <cellStyle name="제목 1 3 13" xfId="23579" xr:uid="{00000000-0005-0000-0000-0000D45B0000}"/>
    <cellStyle name="제목 1 3 14" xfId="23580" xr:uid="{00000000-0005-0000-0000-0000D55B0000}"/>
    <cellStyle name="제목 1 3 15" xfId="23575" xr:uid="{00000000-0005-0000-0000-0000D65B0000}"/>
    <cellStyle name="제목 1 3 16" xfId="28225" xr:uid="{00000000-0005-0000-0000-0000D75B0000}"/>
    <cellStyle name="제목 1 3 2" xfId="3019" xr:uid="{00000000-0005-0000-0000-0000D85B0000}"/>
    <cellStyle name="제목 1 3 2 2" xfId="23581" xr:uid="{00000000-0005-0000-0000-0000D95B0000}"/>
    <cellStyle name="제목 1 3 3" xfId="23582" xr:uid="{00000000-0005-0000-0000-0000DA5B0000}"/>
    <cellStyle name="제목 1 3 4" xfId="23583" xr:uid="{00000000-0005-0000-0000-0000DB5B0000}"/>
    <cellStyle name="제목 1 3 5" xfId="23584" xr:uid="{00000000-0005-0000-0000-0000DC5B0000}"/>
    <cellStyle name="제목 1 3 6" xfId="23585" xr:uid="{00000000-0005-0000-0000-0000DD5B0000}"/>
    <cellStyle name="제목 1 3 7" xfId="23586" xr:uid="{00000000-0005-0000-0000-0000DE5B0000}"/>
    <cellStyle name="제목 1 3 8" xfId="23587" xr:uid="{00000000-0005-0000-0000-0000DF5B0000}"/>
    <cellStyle name="제목 1 3 9" xfId="23588" xr:uid="{00000000-0005-0000-0000-0000E05B0000}"/>
    <cellStyle name="제목 1 30" xfId="3020" xr:uid="{00000000-0005-0000-0000-0000E15B0000}"/>
    <cellStyle name="제목 1 30 10" xfId="23590" xr:uid="{00000000-0005-0000-0000-0000E25B0000}"/>
    <cellStyle name="제목 1 30 11" xfId="23591" xr:uid="{00000000-0005-0000-0000-0000E35B0000}"/>
    <cellStyle name="제목 1 30 12" xfId="23592" xr:uid="{00000000-0005-0000-0000-0000E45B0000}"/>
    <cellStyle name="제목 1 30 13" xfId="23593" xr:uid="{00000000-0005-0000-0000-0000E55B0000}"/>
    <cellStyle name="제목 1 30 14" xfId="23594" xr:uid="{00000000-0005-0000-0000-0000E65B0000}"/>
    <cellStyle name="제목 1 30 15" xfId="23589" xr:uid="{00000000-0005-0000-0000-0000E75B0000}"/>
    <cellStyle name="제목 1 30 2" xfId="3021" xr:uid="{00000000-0005-0000-0000-0000E85B0000}"/>
    <cellStyle name="제목 1 30 2 2" xfId="23595" xr:uid="{00000000-0005-0000-0000-0000E95B0000}"/>
    <cellStyle name="제목 1 30 3" xfId="23596" xr:uid="{00000000-0005-0000-0000-0000EA5B0000}"/>
    <cellStyle name="제목 1 30 4" xfId="23597" xr:uid="{00000000-0005-0000-0000-0000EB5B0000}"/>
    <cellStyle name="제목 1 30 5" xfId="23598" xr:uid="{00000000-0005-0000-0000-0000EC5B0000}"/>
    <cellStyle name="제목 1 30 6" xfId="23599" xr:uid="{00000000-0005-0000-0000-0000ED5B0000}"/>
    <cellStyle name="제목 1 30 7" xfId="23600" xr:uid="{00000000-0005-0000-0000-0000EE5B0000}"/>
    <cellStyle name="제목 1 30 8" xfId="23601" xr:uid="{00000000-0005-0000-0000-0000EF5B0000}"/>
    <cellStyle name="제목 1 30 9" xfId="23602" xr:uid="{00000000-0005-0000-0000-0000F05B0000}"/>
    <cellStyle name="제목 1 31" xfId="3022" xr:uid="{00000000-0005-0000-0000-0000F15B0000}"/>
    <cellStyle name="제목 1 31 10" xfId="23604" xr:uid="{00000000-0005-0000-0000-0000F25B0000}"/>
    <cellStyle name="제목 1 31 11" xfId="23605" xr:uid="{00000000-0005-0000-0000-0000F35B0000}"/>
    <cellStyle name="제목 1 31 12" xfId="23606" xr:uid="{00000000-0005-0000-0000-0000F45B0000}"/>
    <cellStyle name="제목 1 31 13" xfId="23607" xr:uid="{00000000-0005-0000-0000-0000F55B0000}"/>
    <cellStyle name="제목 1 31 14" xfId="23608" xr:uid="{00000000-0005-0000-0000-0000F65B0000}"/>
    <cellStyle name="제목 1 31 15" xfId="23603" xr:uid="{00000000-0005-0000-0000-0000F75B0000}"/>
    <cellStyle name="제목 1 31 2" xfId="3023" xr:uid="{00000000-0005-0000-0000-0000F85B0000}"/>
    <cellStyle name="제목 1 31 2 2" xfId="23609" xr:uid="{00000000-0005-0000-0000-0000F95B0000}"/>
    <cellStyle name="제목 1 31 3" xfId="23610" xr:uid="{00000000-0005-0000-0000-0000FA5B0000}"/>
    <cellStyle name="제목 1 31 4" xfId="23611" xr:uid="{00000000-0005-0000-0000-0000FB5B0000}"/>
    <cellStyle name="제목 1 31 5" xfId="23612" xr:uid="{00000000-0005-0000-0000-0000FC5B0000}"/>
    <cellStyle name="제목 1 31 6" xfId="23613" xr:uid="{00000000-0005-0000-0000-0000FD5B0000}"/>
    <cellStyle name="제목 1 31 7" xfId="23614" xr:uid="{00000000-0005-0000-0000-0000FE5B0000}"/>
    <cellStyle name="제목 1 31 8" xfId="23615" xr:uid="{00000000-0005-0000-0000-0000FF5B0000}"/>
    <cellStyle name="제목 1 31 9" xfId="23616" xr:uid="{00000000-0005-0000-0000-0000005C0000}"/>
    <cellStyle name="제목 1 32" xfId="3024" xr:uid="{00000000-0005-0000-0000-0000015C0000}"/>
    <cellStyle name="제목 1 32 10" xfId="23618" xr:uid="{00000000-0005-0000-0000-0000025C0000}"/>
    <cellStyle name="제목 1 32 11" xfId="23619" xr:uid="{00000000-0005-0000-0000-0000035C0000}"/>
    <cellStyle name="제목 1 32 12" xfId="23620" xr:uid="{00000000-0005-0000-0000-0000045C0000}"/>
    <cellStyle name="제목 1 32 13" xfId="23621" xr:uid="{00000000-0005-0000-0000-0000055C0000}"/>
    <cellStyle name="제목 1 32 14" xfId="23622" xr:uid="{00000000-0005-0000-0000-0000065C0000}"/>
    <cellStyle name="제목 1 32 15" xfId="23617" xr:uid="{00000000-0005-0000-0000-0000075C0000}"/>
    <cellStyle name="제목 1 32 2" xfId="3025" xr:uid="{00000000-0005-0000-0000-0000085C0000}"/>
    <cellStyle name="제목 1 32 2 2" xfId="23623" xr:uid="{00000000-0005-0000-0000-0000095C0000}"/>
    <cellStyle name="제목 1 32 3" xfId="23624" xr:uid="{00000000-0005-0000-0000-00000A5C0000}"/>
    <cellStyle name="제목 1 32 4" xfId="23625" xr:uid="{00000000-0005-0000-0000-00000B5C0000}"/>
    <cellStyle name="제목 1 32 5" xfId="23626" xr:uid="{00000000-0005-0000-0000-00000C5C0000}"/>
    <cellStyle name="제목 1 32 6" xfId="23627" xr:uid="{00000000-0005-0000-0000-00000D5C0000}"/>
    <cellStyle name="제목 1 32 7" xfId="23628" xr:uid="{00000000-0005-0000-0000-00000E5C0000}"/>
    <cellStyle name="제목 1 32 8" xfId="23629" xr:uid="{00000000-0005-0000-0000-00000F5C0000}"/>
    <cellStyle name="제목 1 32 9" xfId="23630" xr:uid="{00000000-0005-0000-0000-0000105C0000}"/>
    <cellStyle name="제목 1 33" xfId="3026" xr:uid="{00000000-0005-0000-0000-0000115C0000}"/>
    <cellStyle name="제목 1 33 10" xfId="23632" xr:uid="{00000000-0005-0000-0000-0000125C0000}"/>
    <cellStyle name="제목 1 33 11" xfId="23633" xr:uid="{00000000-0005-0000-0000-0000135C0000}"/>
    <cellStyle name="제목 1 33 12" xfId="23634" xr:uid="{00000000-0005-0000-0000-0000145C0000}"/>
    <cellStyle name="제목 1 33 13" xfId="23635" xr:uid="{00000000-0005-0000-0000-0000155C0000}"/>
    <cellStyle name="제목 1 33 14" xfId="23636" xr:uid="{00000000-0005-0000-0000-0000165C0000}"/>
    <cellStyle name="제목 1 33 15" xfId="23631" xr:uid="{00000000-0005-0000-0000-0000175C0000}"/>
    <cellStyle name="제목 1 33 2" xfId="3027" xr:uid="{00000000-0005-0000-0000-0000185C0000}"/>
    <cellStyle name="제목 1 33 2 2" xfId="23637" xr:uid="{00000000-0005-0000-0000-0000195C0000}"/>
    <cellStyle name="제목 1 33 3" xfId="23638" xr:uid="{00000000-0005-0000-0000-00001A5C0000}"/>
    <cellStyle name="제목 1 33 4" xfId="23639" xr:uid="{00000000-0005-0000-0000-00001B5C0000}"/>
    <cellStyle name="제목 1 33 5" xfId="23640" xr:uid="{00000000-0005-0000-0000-00001C5C0000}"/>
    <cellStyle name="제목 1 33 6" xfId="23641" xr:uid="{00000000-0005-0000-0000-00001D5C0000}"/>
    <cellStyle name="제목 1 33 7" xfId="23642" xr:uid="{00000000-0005-0000-0000-00001E5C0000}"/>
    <cellStyle name="제목 1 33 8" xfId="23643" xr:uid="{00000000-0005-0000-0000-00001F5C0000}"/>
    <cellStyle name="제목 1 33 9" xfId="23644" xr:uid="{00000000-0005-0000-0000-0000205C0000}"/>
    <cellStyle name="제목 1 34" xfId="3028" xr:uid="{00000000-0005-0000-0000-0000215C0000}"/>
    <cellStyle name="제목 1 34 10" xfId="23646" xr:uid="{00000000-0005-0000-0000-0000225C0000}"/>
    <cellStyle name="제목 1 34 11" xfId="23647" xr:uid="{00000000-0005-0000-0000-0000235C0000}"/>
    <cellStyle name="제목 1 34 12" xfId="23648" xr:uid="{00000000-0005-0000-0000-0000245C0000}"/>
    <cellStyle name="제목 1 34 13" xfId="23649" xr:uid="{00000000-0005-0000-0000-0000255C0000}"/>
    <cellStyle name="제목 1 34 14" xfId="23650" xr:uid="{00000000-0005-0000-0000-0000265C0000}"/>
    <cellStyle name="제목 1 34 15" xfId="23645" xr:uid="{00000000-0005-0000-0000-0000275C0000}"/>
    <cellStyle name="제목 1 34 2" xfId="3029" xr:uid="{00000000-0005-0000-0000-0000285C0000}"/>
    <cellStyle name="제목 1 34 2 2" xfId="23651" xr:uid="{00000000-0005-0000-0000-0000295C0000}"/>
    <cellStyle name="제목 1 34 3" xfId="23652" xr:uid="{00000000-0005-0000-0000-00002A5C0000}"/>
    <cellStyle name="제목 1 34 4" xfId="23653" xr:uid="{00000000-0005-0000-0000-00002B5C0000}"/>
    <cellStyle name="제목 1 34 5" xfId="23654" xr:uid="{00000000-0005-0000-0000-00002C5C0000}"/>
    <cellStyle name="제목 1 34 6" xfId="23655" xr:uid="{00000000-0005-0000-0000-00002D5C0000}"/>
    <cellStyle name="제목 1 34 7" xfId="23656" xr:uid="{00000000-0005-0000-0000-00002E5C0000}"/>
    <cellStyle name="제목 1 34 8" xfId="23657" xr:uid="{00000000-0005-0000-0000-00002F5C0000}"/>
    <cellStyle name="제목 1 34 9" xfId="23658" xr:uid="{00000000-0005-0000-0000-0000305C0000}"/>
    <cellStyle name="제목 1 35" xfId="3030" xr:uid="{00000000-0005-0000-0000-0000315C0000}"/>
    <cellStyle name="제목 1 35 10" xfId="23660" xr:uid="{00000000-0005-0000-0000-0000325C0000}"/>
    <cellStyle name="제목 1 35 11" xfId="23661" xr:uid="{00000000-0005-0000-0000-0000335C0000}"/>
    <cellStyle name="제목 1 35 12" xfId="23662" xr:uid="{00000000-0005-0000-0000-0000345C0000}"/>
    <cellStyle name="제목 1 35 13" xfId="23663" xr:uid="{00000000-0005-0000-0000-0000355C0000}"/>
    <cellStyle name="제목 1 35 14" xfId="23664" xr:uid="{00000000-0005-0000-0000-0000365C0000}"/>
    <cellStyle name="제목 1 35 15" xfId="23659" xr:uid="{00000000-0005-0000-0000-0000375C0000}"/>
    <cellStyle name="제목 1 35 2" xfId="3031" xr:uid="{00000000-0005-0000-0000-0000385C0000}"/>
    <cellStyle name="제목 1 35 2 2" xfId="23665" xr:uid="{00000000-0005-0000-0000-0000395C0000}"/>
    <cellStyle name="제목 1 35 3" xfId="23666" xr:uid="{00000000-0005-0000-0000-00003A5C0000}"/>
    <cellStyle name="제목 1 35 4" xfId="23667" xr:uid="{00000000-0005-0000-0000-00003B5C0000}"/>
    <cellStyle name="제목 1 35 5" xfId="23668" xr:uid="{00000000-0005-0000-0000-00003C5C0000}"/>
    <cellStyle name="제목 1 35 6" xfId="23669" xr:uid="{00000000-0005-0000-0000-00003D5C0000}"/>
    <cellStyle name="제목 1 35 7" xfId="23670" xr:uid="{00000000-0005-0000-0000-00003E5C0000}"/>
    <cellStyle name="제목 1 35 8" xfId="23671" xr:uid="{00000000-0005-0000-0000-00003F5C0000}"/>
    <cellStyle name="제목 1 35 9" xfId="23672" xr:uid="{00000000-0005-0000-0000-0000405C0000}"/>
    <cellStyle name="제목 1 36" xfId="3032" xr:uid="{00000000-0005-0000-0000-0000415C0000}"/>
    <cellStyle name="제목 1 36 10" xfId="23674" xr:uid="{00000000-0005-0000-0000-0000425C0000}"/>
    <cellStyle name="제목 1 36 11" xfId="23675" xr:uid="{00000000-0005-0000-0000-0000435C0000}"/>
    <cellStyle name="제목 1 36 12" xfId="23676" xr:uid="{00000000-0005-0000-0000-0000445C0000}"/>
    <cellStyle name="제목 1 36 13" xfId="23677" xr:uid="{00000000-0005-0000-0000-0000455C0000}"/>
    <cellStyle name="제목 1 36 14" xfId="23678" xr:uid="{00000000-0005-0000-0000-0000465C0000}"/>
    <cellStyle name="제목 1 36 15" xfId="23673" xr:uid="{00000000-0005-0000-0000-0000475C0000}"/>
    <cellStyle name="제목 1 36 2" xfId="3033" xr:uid="{00000000-0005-0000-0000-0000485C0000}"/>
    <cellStyle name="제목 1 36 2 2" xfId="23679" xr:uid="{00000000-0005-0000-0000-0000495C0000}"/>
    <cellStyle name="제목 1 36 3" xfId="23680" xr:uid="{00000000-0005-0000-0000-00004A5C0000}"/>
    <cellStyle name="제목 1 36 4" xfId="23681" xr:uid="{00000000-0005-0000-0000-00004B5C0000}"/>
    <cellStyle name="제목 1 36 5" xfId="23682" xr:uid="{00000000-0005-0000-0000-00004C5C0000}"/>
    <cellStyle name="제목 1 36 6" xfId="23683" xr:uid="{00000000-0005-0000-0000-00004D5C0000}"/>
    <cellStyle name="제목 1 36 7" xfId="23684" xr:uid="{00000000-0005-0000-0000-00004E5C0000}"/>
    <cellStyle name="제목 1 36 8" xfId="23685" xr:uid="{00000000-0005-0000-0000-00004F5C0000}"/>
    <cellStyle name="제목 1 36 9" xfId="23686" xr:uid="{00000000-0005-0000-0000-0000505C0000}"/>
    <cellStyle name="제목 1 37" xfId="3034" xr:uid="{00000000-0005-0000-0000-0000515C0000}"/>
    <cellStyle name="제목 1 37 10" xfId="23688" xr:uid="{00000000-0005-0000-0000-0000525C0000}"/>
    <cellStyle name="제목 1 37 11" xfId="23689" xr:uid="{00000000-0005-0000-0000-0000535C0000}"/>
    <cellStyle name="제목 1 37 12" xfId="23690" xr:uid="{00000000-0005-0000-0000-0000545C0000}"/>
    <cellStyle name="제목 1 37 13" xfId="23691" xr:uid="{00000000-0005-0000-0000-0000555C0000}"/>
    <cellStyle name="제목 1 37 14" xfId="23692" xr:uid="{00000000-0005-0000-0000-0000565C0000}"/>
    <cellStyle name="제목 1 37 15" xfId="23687" xr:uid="{00000000-0005-0000-0000-0000575C0000}"/>
    <cellStyle name="제목 1 37 2" xfId="3035" xr:uid="{00000000-0005-0000-0000-0000585C0000}"/>
    <cellStyle name="제목 1 37 2 2" xfId="23693" xr:uid="{00000000-0005-0000-0000-0000595C0000}"/>
    <cellStyle name="제목 1 37 3" xfId="23694" xr:uid="{00000000-0005-0000-0000-00005A5C0000}"/>
    <cellStyle name="제목 1 37 4" xfId="23695" xr:uid="{00000000-0005-0000-0000-00005B5C0000}"/>
    <cellStyle name="제목 1 37 5" xfId="23696" xr:uid="{00000000-0005-0000-0000-00005C5C0000}"/>
    <cellStyle name="제목 1 37 6" xfId="23697" xr:uid="{00000000-0005-0000-0000-00005D5C0000}"/>
    <cellStyle name="제목 1 37 7" xfId="23698" xr:uid="{00000000-0005-0000-0000-00005E5C0000}"/>
    <cellStyle name="제목 1 37 8" xfId="23699" xr:uid="{00000000-0005-0000-0000-00005F5C0000}"/>
    <cellStyle name="제목 1 37 9" xfId="23700" xr:uid="{00000000-0005-0000-0000-0000605C0000}"/>
    <cellStyle name="제목 1 38" xfId="3036" xr:uid="{00000000-0005-0000-0000-0000615C0000}"/>
    <cellStyle name="제목 1 38 10" xfId="23702" xr:uid="{00000000-0005-0000-0000-0000625C0000}"/>
    <cellStyle name="제목 1 38 11" xfId="23703" xr:uid="{00000000-0005-0000-0000-0000635C0000}"/>
    <cellStyle name="제목 1 38 12" xfId="23704" xr:uid="{00000000-0005-0000-0000-0000645C0000}"/>
    <cellStyle name="제목 1 38 13" xfId="23705" xr:uid="{00000000-0005-0000-0000-0000655C0000}"/>
    <cellStyle name="제목 1 38 14" xfId="23706" xr:uid="{00000000-0005-0000-0000-0000665C0000}"/>
    <cellStyle name="제목 1 38 15" xfId="23701" xr:uid="{00000000-0005-0000-0000-0000675C0000}"/>
    <cellStyle name="제목 1 38 2" xfId="3037" xr:uid="{00000000-0005-0000-0000-0000685C0000}"/>
    <cellStyle name="제목 1 38 2 2" xfId="23707" xr:uid="{00000000-0005-0000-0000-0000695C0000}"/>
    <cellStyle name="제목 1 38 3" xfId="23708" xr:uid="{00000000-0005-0000-0000-00006A5C0000}"/>
    <cellStyle name="제목 1 38 4" xfId="23709" xr:uid="{00000000-0005-0000-0000-00006B5C0000}"/>
    <cellStyle name="제목 1 38 5" xfId="23710" xr:uid="{00000000-0005-0000-0000-00006C5C0000}"/>
    <cellStyle name="제목 1 38 6" xfId="23711" xr:uid="{00000000-0005-0000-0000-00006D5C0000}"/>
    <cellStyle name="제목 1 38 7" xfId="23712" xr:uid="{00000000-0005-0000-0000-00006E5C0000}"/>
    <cellStyle name="제목 1 38 8" xfId="23713" xr:uid="{00000000-0005-0000-0000-00006F5C0000}"/>
    <cellStyle name="제목 1 38 9" xfId="23714" xr:uid="{00000000-0005-0000-0000-0000705C0000}"/>
    <cellStyle name="제목 1 39" xfId="3038" xr:uid="{00000000-0005-0000-0000-0000715C0000}"/>
    <cellStyle name="제목 1 39 10" xfId="23716" xr:uid="{00000000-0005-0000-0000-0000725C0000}"/>
    <cellStyle name="제목 1 39 11" xfId="23717" xr:uid="{00000000-0005-0000-0000-0000735C0000}"/>
    <cellStyle name="제목 1 39 12" xfId="23718" xr:uid="{00000000-0005-0000-0000-0000745C0000}"/>
    <cellStyle name="제목 1 39 13" xfId="23719" xr:uid="{00000000-0005-0000-0000-0000755C0000}"/>
    <cellStyle name="제목 1 39 14" xfId="23720" xr:uid="{00000000-0005-0000-0000-0000765C0000}"/>
    <cellStyle name="제목 1 39 15" xfId="23715" xr:uid="{00000000-0005-0000-0000-0000775C0000}"/>
    <cellStyle name="제목 1 39 2" xfId="3039" xr:uid="{00000000-0005-0000-0000-0000785C0000}"/>
    <cellStyle name="제목 1 39 2 2" xfId="23721" xr:uid="{00000000-0005-0000-0000-0000795C0000}"/>
    <cellStyle name="제목 1 39 3" xfId="23722" xr:uid="{00000000-0005-0000-0000-00007A5C0000}"/>
    <cellStyle name="제목 1 39 4" xfId="23723" xr:uid="{00000000-0005-0000-0000-00007B5C0000}"/>
    <cellStyle name="제목 1 39 5" xfId="23724" xr:uid="{00000000-0005-0000-0000-00007C5C0000}"/>
    <cellStyle name="제목 1 39 6" xfId="23725" xr:uid="{00000000-0005-0000-0000-00007D5C0000}"/>
    <cellStyle name="제목 1 39 7" xfId="23726" xr:uid="{00000000-0005-0000-0000-00007E5C0000}"/>
    <cellStyle name="제목 1 39 8" xfId="23727" xr:uid="{00000000-0005-0000-0000-00007F5C0000}"/>
    <cellStyle name="제목 1 39 9" xfId="23728" xr:uid="{00000000-0005-0000-0000-0000805C0000}"/>
    <cellStyle name="제목 1 4" xfId="3040" xr:uid="{00000000-0005-0000-0000-0000815C0000}"/>
    <cellStyle name="제목 1 4 10" xfId="23730" xr:uid="{00000000-0005-0000-0000-0000825C0000}"/>
    <cellStyle name="제목 1 4 11" xfId="23731" xr:uid="{00000000-0005-0000-0000-0000835C0000}"/>
    <cellStyle name="제목 1 4 12" xfId="23732" xr:uid="{00000000-0005-0000-0000-0000845C0000}"/>
    <cellStyle name="제목 1 4 13" xfId="23733" xr:uid="{00000000-0005-0000-0000-0000855C0000}"/>
    <cellStyle name="제목 1 4 14" xfId="23734" xr:uid="{00000000-0005-0000-0000-0000865C0000}"/>
    <cellStyle name="제목 1 4 15" xfId="23729" xr:uid="{00000000-0005-0000-0000-0000875C0000}"/>
    <cellStyle name="제목 1 4 16" xfId="27888" xr:uid="{00000000-0005-0000-0000-0000885C0000}"/>
    <cellStyle name="제목 1 4 2" xfId="3041" xr:uid="{00000000-0005-0000-0000-0000895C0000}"/>
    <cellStyle name="제목 1 4 2 2" xfId="23735" xr:uid="{00000000-0005-0000-0000-00008A5C0000}"/>
    <cellStyle name="제목 1 4 3" xfId="23736" xr:uid="{00000000-0005-0000-0000-00008B5C0000}"/>
    <cellStyle name="제목 1 4 4" xfId="23737" xr:uid="{00000000-0005-0000-0000-00008C5C0000}"/>
    <cellStyle name="제목 1 4 5" xfId="23738" xr:uid="{00000000-0005-0000-0000-00008D5C0000}"/>
    <cellStyle name="제목 1 4 6" xfId="23739" xr:uid="{00000000-0005-0000-0000-00008E5C0000}"/>
    <cellStyle name="제목 1 4 7" xfId="23740" xr:uid="{00000000-0005-0000-0000-00008F5C0000}"/>
    <cellStyle name="제목 1 4 8" xfId="23741" xr:uid="{00000000-0005-0000-0000-0000905C0000}"/>
    <cellStyle name="제목 1 4 9" xfId="23742" xr:uid="{00000000-0005-0000-0000-0000915C0000}"/>
    <cellStyle name="제목 1 40" xfId="3042" xr:uid="{00000000-0005-0000-0000-0000925C0000}"/>
    <cellStyle name="제목 1 40 10" xfId="23744" xr:uid="{00000000-0005-0000-0000-0000935C0000}"/>
    <cellStyle name="제목 1 40 11" xfId="23745" xr:uid="{00000000-0005-0000-0000-0000945C0000}"/>
    <cellStyle name="제목 1 40 12" xfId="23746" xr:uid="{00000000-0005-0000-0000-0000955C0000}"/>
    <cellStyle name="제목 1 40 13" xfId="23747" xr:uid="{00000000-0005-0000-0000-0000965C0000}"/>
    <cellStyle name="제목 1 40 14" xfId="23748" xr:uid="{00000000-0005-0000-0000-0000975C0000}"/>
    <cellStyle name="제목 1 40 15" xfId="23743" xr:uid="{00000000-0005-0000-0000-0000985C0000}"/>
    <cellStyle name="제목 1 40 2" xfId="3043" xr:uid="{00000000-0005-0000-0000-0000995C0000}"/>
    <cellStyle name="제목 1 40 2 2" xfId="23749" xr:uid="{00000000-0005-0000-0000-00009A5C0000}"/>
    <cellStyle name="제목 1 40 3" xfId="23750" xr:uid="{00000000-0005-0000-0000-00009B5C0000}"/>
    <cellStyle name="제목 1 40 4" xfId="23751" xr:uid="{00000000-0005-0000-0000-00009C5C0000}"/>
    <cellStyle name="제목 1 40 5" xfId="23752" xr:uid="{00000000-0005-0000-0000-00009D5C0000}"/>
    <cellStyle name="제목 1 40 6" xfId="23753" xr:uid="{00000000-0005-0000-0000-00009E5C0000}"/>
    <cellStyle name="제목 1 40 7" xfId="23754" xr:uid="{00000000-0005-0000-0000-00009F5C0000}"/>
    <cellStyle name="제목 1 40 8" xfId="23755" xr:uid="{00000000-0005-0000-0000-0000A05C0000}"/>
    <cellStyle name="제목 1 40 9" xfId="23756" xr:uid="{00000000-0005-0000-0000-0000A15C0000}"/>
    <cellStyle name="제목 1 41" xfId="3044" xr:uid="{00000000-0005-0000-0000-0000A25C0000}"/>
    <cellStyle name="제목 1 41 10" xfId="23758" xr:uid="{00000000-0005-0000-0000-0000A35C0000}"/>
    <cellStyle name="제목 1 41 11" xfId="23759" xr:uid="{00000000-0005-0000-0000-0000A45C0000}"/>
    <cellStyle name="제목 1 41 12" xfId="23760" xr:uid="{00000000-0005-0000-0000-0000A55C0000}"/>
    <cellStyle name="제목 1 41 13" xfId="23761" xr:uid="{00000000-0005-0000-0000-0000A65C0000}"/>
    <cellStyle name="제목 1 41 14" xfId="23762" xr:uid="{00000000-0005-0000-0000-0000A75C0000}"/>
    <cellStyle name="제목 1 41 15" xfId="23757" xr:uid="{00000000-0005-0000-0000-0000A85C0000}"/>
    <cellStyle name="제목 1 41 2" xfId="3045" xr:uid="{00000000-0005-0000-0000-0000A95C0000}"/>
    <cellStyle name="제목 1 41 2 2" xfId="23763" xr:uid="{00000000-0005-0000-0000-0000AA5C0000}"/>
    <cellStyle name="제목 1 41 3" xfId="23764" xr:uid="{00000000-0005-0000-0000-0000AB5C0000}"/>
    <cellStyle name="제목 1 41 4" xfId="23765" xr:uid="{00000000-0005-0000-0000-0000AC5C0000}"/>
    <cellStyle name="제목 1 41 5" xfId="23766" xr:uid="{00000000-0005-0000-0000-0000AD5C0000}"/>
    <cellStyle name="제목 1 41 6" xfId="23767" xr:uid="{00000000-0005-0000-0000-0000AE5C0000}"/>
    <cellStyle name="제목 1 41 7" xfId="23768" xr:uid="{00000000-0005-0000-0000-0000AF5C0000}"/>
    <cellStyle name="제목 1 41 8" xfId="23769" xr:uid="{00000000-0005-0000-0000-0000B05C0000}"/>
    <cellStyle name="제목 1 41 9" xfId="23770" xr:uid="{00000000-0005-0000-0000-0000B15C0000}"/>
    <cellStyle name="제목 1 42" xfId="3046" xr:uid="{00000000-0005-0000-0000-0000B25C0000}"/>
    <cellStyle name="제목 1 42 10" xfId="23772" xr:uid="{00000000-0005-0000-0000-0000B35C0000}"/>
    <cellStyle name="제목 1 42 11" xfId="23773" xr:uid="{00000000-0005-0000-0000-0000B45C0000}"/>
    <cellStyle name="제목 1 42 12" xfId="23774" xr:uid="{00000000-0005-0000-0000-0000B55C0000}"/>
    <cellStyle name="제목 1 42 13" xfId="23775" xr:uid="{00000000-0005-0000-0000-0000B65C0000}"/>
    <cellStyle name="제목 1 42 14" xfId="23776" xr:uid="{00000000-0005-0000-0000-0000B75C0000}"/>
    <cellStyle name="제목 1 42 15" xfId="23771" xr:uid="{00000000-0005-0000-0000-0000B85C0000}"/>
    <cellStyle name="제목 1 42 2" xfId="3047" xr:uid="{00000000-0005-0000-0000-0000B95C0000}"/>
    <cellStyle name="제목 1 42 2 2" xfId="23777" xr:uid="{00000000-0005-0000-0000-0000BA5C0000}"/>
    <cellStyle name="제목 1 42 3" xfId="23778" xr:uid="{00000000-0005-0000-0000-0000BB5C0000}"/>
    <cellStyle name="제목 1 42 4" xfId="23779" xr:uid="{00000000-0005-0000-0000-0000BC5C0000}"/>
    <cellStyle name="제목 1 42 5" xfId="23780" xr:uid="{00000000-0005-0000-0000-0000BD5C0000}"/>
    <cellStyle name="제목 1 42 6" xfId="23781" xr:uid="{00000000-0005-0000-0000-0000BE5C0000}"/>
    <cellStyle name="제목 1 42 7" xfId="23782" xr:uid="{00000000-0005-0000-0000-0000BF5C0000}"/>
    <cellStyle name="제목 1 42 8" xfId="23783" xr:uid="{00000000-0005-0000-0000-0000C05C0000}"/>
    <cellStyle name="제목 1 42 9" xfId="23784" xr:uid="{00000000-0005-0000-0000-0000C15C0000}"/>
    <cellStyle name="제목 1 43" xfId="3048" xr:uid="{00000000-0005-0000-0000-0000C25C0000}"/>
    <cellStyle name="제목 1 43 10" xfId="23786" xr:uid="{00000000-0005-0000-0000-0000C35C0000}"/>
    <cellStyle name="제목 1 43 11" xfId="23787" xr:uid="{00000000-0005-0000-0000-0000C45C0000}"/>
    <cellStyle name="제목 1 43 12" xfId="23788" xr:uid="{00000000-0005-0000-0000-0000C55C0000}"/>
    <cellStyle name="제목 1 43 13" xfId="23789" xr:uid="{00000000-0005-0000-0000-0000C65C0000}"/>
    <cellStyle name="제목 1 43 14" xfId="23790" xr:uid="{00000000-0005-0000-0000-0000C75C0000}"/>
    <cellStyle name="제목 1 43 15" xfId="23785" xr:uid="{00000000-0005-0000-0000-0000C85C0000}"/>
    <cellStyle name="제목 1 43 2" xfId="3049" xr:uid="{00000000-0005-0000-0000-0000C95C0000}"/>
    <cellStyle name="제목 1 43 2 2" xfId="23791" xr:uid="{00000000-0005-0000-0000-0000CA5C0000}"/>
    <cellStyle name="제목 1 43 3" xfId="23792" xr:uid="{00000000-0005-0000-0000-0000CB5C0000}"/>
    <cellStyle name="제목 1 43 4" xfId="23793" xr:uid="{00000000-0005-0000-0000-0000CC5C0000}"/>
    <cellStyle name="제목 1 43 5" xfId="23794" xr:uid="{00000000-0005-0000-0000-0000CD5C0000}"/>
    <cellStyle name="제목 1 43 6" xfId="23795" xr:uid="{00000000-0005-0000-0000-0000CE5C0000}"/>
    <cellStyle name="제목 1 43 7" xfId="23796" xr:uid="{00000000-0005-0000-0000-0000CF5C0000}"/>
    <cellStyle name="제목 1 43 8" xfId="23797" xr:uid="{00000000-0005-0000-0000-0000D05C0000}"/>
    <cellStyle name="제목 1 43 9" xfId="23798" xr:uid="{00000000-0005-0000-0000-0000D15C0000}"/>
    <cellStyle name="제목 1 44" xfId="3050" xr:uid="{00000000-0005-0000-0000-0000D25C0000}"/>
    <cellStyle name="제목 1 44 2" xfId="23799" xr:uid="{00000000-0005-0000-0000-0000D35C0000}"/>
    <cellStyle name="제목 1 45" xfId="3051" xr:uid="{00000000-0005-0000-0000-0000D45C0000}"/>
    <cellStyle name="제목 1 45 2" xfId="23800" xr:uid="{00000000-0005-0000-0000-0000D55C0000}"/>
    <cellStyle name="제목 1 46" xfId="2975" xr:uid="{00000000-0005-0000-0000-0000D65C0000}"/>
    <cellStyle name="제목 1 47" xfId="23280" xr:uid="{00000000-0005-0000-0000-0000D75C0000}"/>
    <cellStyle name="제목 1 48" xfId="27625" xr:uid="{00000000-0005-0000-0000-0000D85C0000}"/>
    <cellStyle name="제목 1 5" xfId="3052" xr:uid="{00000000-0005-0000-0000-0000D95C0000}"/>
    <cellStyle name="제목 1 5 10" xfId="23802" xr:uid="{00000000-0005-0000-0000-0000DA5C0000}"/>
    <cellStyle name="제목 1 5 11" xfId="23803" xr:uid="{00000000-0005-0000-0000-0000DB5C0000}"/>
    <cellStyle name="제목 1 5 12" xfId="23804" xr:uid="{00000000-0005-0000-0000-0000DC5C0000}"/>
    <cellStyle name="제목 1 5 13" xfId="23805" xr:uid="{00000000-0005-0000-0000-0000DD5C0000}"/>
    <cellStyle name="제목 1 5 14" xfId="23806" xr:uid="{00000000-0005-0000-0000-0000DE5C0000}"/>
    <cellStyle name="제목 1 5 15" xfId="23801" xr:uid="{00000000-0005-0000-0000-0000DF5C0000}"/>
    <cellStyle name="제목 1 5 2" xfId="3053" xr:uid="{00000000-0005-0000-0000-0000E05C0000}"/>
    <cellStyle name="제목 1 5 2 2" xfId="23807" xr:uid="{00000000-0005-0000-0000-0000E15C0000}"/>
    <cellStyle name="제목 1 5 3" xfId="23808" xr:uid="{00000000-0005-0000-0000-0000E25C0000}"/>
    <cellStyle name="제목 1 5 4" xfId="23809" xr:uid="{00000000-0005-0000-0000-0000E35C0000}"/>
    <cellStyle name="제목 1 5 5" xfId="23810" xr:uid="{00000000-0005-0000-0000-0000E45C0000}"/>
    <cellStyle name="제목 1 5 6" xfId="23811" xr:uid="{00000000-0005-0000-0000-0000E55C0000}"/>
    <cellStyle name="제목 1 5 7" xfId="23812" xr:uid="{00000000-0005-0000-0000-0000E65C0000}"/>
    <cellStyle name="제목 1 5 8" xfId="23813" xr:uid="{00000000-0005-0000-0000-0000E75C0000}"/>
    <cellStyle name="제목 1 5 9" xfId="23814" xr:uid="{00000000-0005-0000-0000-0000E85C0000}"/>
    <cellStyle name="제목 1 6" xfId="3054" xr:uid="{00000000-0005-0000-0000-0000E95C0000}"/>
    <cellStyle name="제목 1 6 10" xfId="23816" xr:uid="{00000000-0005-0000-0000-0000EA5C0000}"/>
    <cellStyle name="제목 1 6 11" xfId="23817" xr:uid="{00000000-0005-0000-0000-0000EB5C0000}"/>
    <cellStyle name="제목 1 6 12" xfId="23818" xr:uid="{00000000-0005-0000-0000-0000EC5C0000}"/>
    <cellStyle name="제목 1 6 13" xfId="23819" xr:uid="{00000000-0005-0000-0000-0000ED5C0000}"/>
    <cellStyle name="제목 1 6 14" xfId="23820" xr:uid="{00000000-0005-0000-0000-0000EE5C0000}"/>
    <cellStyle name="제목 1 6 15" xfId="23815" xr:uid="{00000000-0005-0000-0000-0000EF5C0000}"/>
    <cellStyle name="제목 1 6 2" xfId="3055" xr:uid="{00000000-0005-0000-0000-0000F05C0000}"/>
    <cellStyle name="제목 1 6 2 2" xfId="23821" xr:uid="{00000000-0005-0000-0000-0000F15C0000}"/>
    <cellStyle name="제목 1 6 3" xfId="23822" xr:uid="{00000000-0005-0000-0000-0000F25C0000}"/>
    <cellStyle name="제목 1 6 4" xfId="23823" xr:uid="{00000000-0005-0000-0000-0000F35C0000}"/>
    <cellStyle name="제목 1 6 5" xfId="23824" xr:uid="{00000000-0005-0000-0000-0000F45C0000}"/>
    <cellStyle name="제목 1 6 6" xfId="23825" xr:uid="{00000000-0005-0000-0000-0000F55C0000}"/>
    <cellStyle name="제목 1 6 7" xfId="23826" xr:uid="{00000000-0005-0000-0000-0000F65C0000}"/>
    <cellStyle name="제목 1 6 8" xfId="23827" xr:uid="{00000000-0005-0000-0000-0000F75C0000}"/>
    <cellStyle name="제목 1 6 9" xfId="23828" xr:uid="{00000000-0005-0000-0000-0000F85C0000}"/>
    <cellStyle name="제목 1 7" xfId="3056" xr:uid="{00000000-0005-0000-0000-0000F95C0000}"/>
    <cellStyle name="제목 1 7 10" xfId="23830" xr:uid="{00000000-0005-0000-0000-0000FA5C0000}"/>
    <cellStyle name="제목 1 7 11" xfId="23831" xr:uid="{00000000-0005-0000-0000-0000FB5C0000}"/>
    <cellStyle name="제목 1 7 12" xfId="23832" xr:uid="{00000000-0005-0000-0000-0000FC5C0000}"/>
    <cellStyle name="제목 1 7 13" xfId="23833" xr:uid="{00000000-0005-0000-0000-0000FD5C0000}"/>
    <cellStyle name="제목 1 7 14" xfId="23834" xr:uid="{00000000-0005-0000-0000-0000FE5C0000}"/>
    <cellStyle name="제목 1 7 15" xfId="23829" xr:uid="{00000000-0005-0000-0000-0000FF5C0000}"/>
    <cellStyle name="제목 1 7 2" xfId="3057" xr:uid="{00000000-0005-0000-0000-0000005D0000}"/>
    <cellStyle name="제목 1 7 2 2" xfId="23835" xr:uid="{00000000-0005-0000-0000-0000015D0000}"/>
    <cellStyle name="제목 1 7 3" xfId="23836" xr:uid="{00000000-0005-0000-0000-0000025D0000}"/>
    <cellStyle name="제목 1 7 4" xfId="23837" xr:uid="{00000000-0005-0000-0000-0000035D0000}"/>
    <cellStyle name="제목 1 7 5" xfId="23838" xr:uid="{00000000-0005-0000-0000-0000045D0000}"/>
    <cellStyle name="제목 1 7 6" xfId="23839" xr:uid="{00000000-0005-0000-0000-0000055D0000}"/>
    <cellStyle name="제목 1 7 7" xfId="23840" xr:uid="{00000000-0005-0000-0000-0000065D0000}"/>
    <cellStyle name="제목 1 7 8" xfId="23841" xr:uid="{00000000-0005-0000-0000-0000075D0000}"/>
    <cellStyle name="제목 1 7 9" xfId="23842" xr:uid="{00000000-0005-0000-0000-0000085D0000}"/>
    <cellStyle name="제목 1 8" xfId="3058" xr:uid="{00000000-0005-0000-0000-0000095D0000}"/>
    <cellStyle name="제목 1 8 10" xfId="23844" xr:uid="{00000000-0005-0000-0000-00000A5D0000}"/>
    <cellStyle name="제목 1 8 11" xfId="23845" xr:uid="{00000000-0005-0000-0000-00000B5D0000}"/>
    <cellStyle name="제목 1 8 12" xfId="23846" xr:uid="{00000000-0005-0000-0000-00000C5D0000}"/>
    <cellStyle name="제목 1 8 13" xfId="23847" xr:uid="{00000000-0005-0000-0000-00000D5D0000}"/>
    <cellStyle name="제목 1 8 14" xfId="23848" xr:uid="{00000000-0005-0000-0000-00000E5D0000}"/>
    <cellStyle name="제목 1 8 15" xfId="23843" xr:uid="{00000000-0005-0000-0000-00000F5D0000}"/>
    <cellStyle name="제목 1 8 2" xfId="3059" xr:uid="{00000000-0005-0000-0000-0000105D0000}"/>
    <cellStyle name="제목 1 8 2 2" xfId="23849" xr:uid="{00000000-0005-0000-0000-0000115D0000}"/>
    <cellStyle name="제목 1 8 3" xfId="23850" xr:uid="{00000000-0005-0000-0000-0000125D0000}"/>
    <cellStyle name="제목 1 8 4" xfId="23851" xr:uid="{00000000-0005-0000-0000-0000135D0000}"/>
    <cellStyle name="제목 1 8 5" xfId="23852" xr:uid="{00000000-0005-0000-0000-0000145D0000}"/>
    <cellStyle name="제목 1 8 6" xfId="23853" xr:uid="{00000000-0005-0000-0000-0000155D0000}"/>
    <cellStyle name="제목 1 8 7" xfId="23854" xr:uid="{00000000-0005-0000-0000-0000165D0000}"/>
    <cellStyle name="제목 1 8 8" xfId="23855" xr:uid="{00000000-0005-0000-0000-0000175D0000}"/>
    <cellStyle name="제목 1 8 9" xfId="23856" xr:uid="{00000000-0005-0000-0000-0000185D0000}"/>
    <cellStyle name="제목 1 9" xfId="3060" xr:uid="{00000000-0005-0000-0000-0000195D0000}"/>
    <cellStyle name="제목 1 9 10" xfId="23858" xr:uid="{00000000-0005-0000-0000-00001A5D0000}"/>
    <cellStyle name="제목 1 9 11" xfId="23859" xr:uid="{00000000-0005-0000-0000-00001B5D0000}"/>
    <cellStyle name="제목 1 9 12" xfId="23860" xr:uid="{00000000-0005-0000-0000-00001C5D0000}"/>
    <cellStyle name="제목 1 9 13" xfId="23861" xr:uid="{00000000-0005-0000-0000-00001D5D0000}"/>
    <cellStyle name="제목 1 9 14" xfId="23862" xr:uid="{00000000-0005-0000-0000-00001E5D0000}"/>
    <cellStyle name="제목 1 9 15" xfId="23857" xr:uid="{00000000-0005-0000-0000-00001F5D0000}"/>
    <cellStyle name="제목 1 9 2" xfId="3061" xr:uid="{00000000-0005-0000-0000-0000205D0000}"/>
    <cellStyle name="제목 1 9 2 2" xfId="23863" xr:uid="{00000000-0005-0000-0000-0000215D0000}"/>
    <cellStyle name="제목 1 9 3" xfId="23864" xr:uid="{00000000-0005-0000-0000-0000225D0000}"/>
    <cellStyle name="제목 1 9 4" xfId="23865" xr:uid="{00000000-0005-0000-0000-0000235D0000}"/>
    <cellStyle name="제목 1 9 5" xfId="23866" xr:uid="{00000000-0005-0000-0000-0000245D0000}"/>
    <cellStyle name="제목 1 9 6" xfId="23867" xr:uid="{00000000-0005-0000-0000-0000255D0000}"/>
    <cellStyle name="제목 1 9 7" xfId="23868" xr:uid="{00000000-0005-0000-0000-0000265D0000}"/>
    <cellStyle name="제목 1 9 8" xfId="23869" xr:uid="{00000000-0005-0000-0000-0000275D0000}"/>
    <cellStyle name="제목 1 9 9" xfId="23870" xr:uid="{00000000-0005-0000-0000-0000285D0000}"/>
    <cellStyle name="제목 10" xfId="3062" xr:uid="{00000000-0005-0000-0000-0000295D0000}"/>
    <cellStyle name="제목 10 10" xfId="23872" xr:uid="{00000000-0005-0000-0000-00002A5D0000}"/>
    <cellStyle name="제목 10 11" xfId="23873" xr:uid="{00000000-0005-0000-0000-00002B5D0000}"/>
    <cellStyle name="제목 10 12" xfId="23874" xr:uid="{00000000-0005-0000-0000-00002C5D0000}"/>
    <cellStyle name="제목 10 13" xfId="23875" xr:uid="{00000000-0005-0000-0000-00002D5D0000}"/>
    <cellStyle name="제목 10 14" xfId="23876" xr:uid="{00000000-0005-0000-0000-00002E5D0000}"/>
    <cellStyle name="제목 10 15" xfId="23871" xr:uid="{00000000-0005-0000-0000-00002F5D0000}"/>
    <cellStyle name="제목 10 2" xfId="3063" xr:uid="{00000000-0005-0000-0000-0000305D0000}"/>
    <cellStyle name="제목 10 2 2" xfId="23877" xr:uid="{00000000-0005-0000-0000-0000315D0000}"/>
    <cellStyle name="제목 10 3" xfId="23878" xr:uid="{00000000-0005-0000-0000-0000325D0000}"/>
    <cellStyle name="제목 10 4" xfId="23879" xr:uid="{00000000-0005-0000-0000-0000335D0000}"/>
    <cellStyle name="제목 10 5" xfId="23880" xr:uid="{00000000-0005-0000-0000-0000345D0000}"/>
    <cellStyle name="제목 10 6" xfId="23881" xr:uid="{00000000-0005-0000-0000-0000355D0000}"/>
    <cellStyle name="제목 10 7" xfId="23882" xr:uid="{00000000-0005-0000-0000-0000365D0000}"/>
    <cellStyle name="제목 10 8" xfId="23883" xr:uid="{00000000-0005-0000-0000-0000375D0000}"/>
    <cellStyle name="제목 10 9" xfId="23884" xr:uid="{00000000-0005-0000-0000-0000385D0000}"/>
    <cellStyle name="제목 11" xfId="3064" xr:uid="{00000000-0005-0000-0000-0000395D0000}"/>
    <cellStyle name="제목 11 10" xfId="23886" xr:uid="{00000000-0005-0000-0000-00003A5D0000}"/>
    <cellStyle name="제목 11 11" xfId="23887" xr:uid="{00000000-0005-0000-0000-00003B5D0000}"/>
    <cellStyle name="제목 11 12" xfId="23888" xr:uid="{00000000-0005-0000-0000-00003C5D0000}"/>
    <cellStyle name="제목 11 13" xfId="23889" xr:uid="{00000000-0005-0000-0000-00003D5D0000}"/>
    <cellStyle name="제목 11 14" xfId="23890" xr:uid="{00000000-0005-0000-0000-00003E5D0000}"/>
    <cellStyle name="제목 11 15" xfId="23885" xr:uid="{00000000-0005-0000-0000-00003F5D0000}"/>
    <cellStyle name="제목 11 2" xfId="3065" xr:uid="{00000000-0005-0000-0000-0000405D0000}"/>
    <cellStyle name="제목 11 2 2" xfId="23891" xr:uid="{00000000-0005-0000-0000-0000415D0000}"/>
    <cellStyle name="제목 11 3" xfId="23892" xr:uid="{00000000-0005-0000-0000-0000425D0000}"/>
    <cellStyle name="제목 11 4" xfId="23893" xr:uid="{00000000-0005-0000-0000-0000435D0000}"/>
    <cellStyle name="제목 11 5" xfId="23894" xr:uid="{00000000-0005-0000-0000-0000445D0000}"/>
    <cellStyle name="제목 11 6" xfId="23895" xr:uid="{00000000-0005-0000-0000-0000455D0000}"/>
    <cellStyle name="제목 11 7" xfId="23896" xr:uid="{00000000-0005-0000-0000-0000465D0000}"/>
    <cellStyle name="제목 11 8" xfId="23897" xr:uid="{00000000-0005-0000-0000-0000475D0000}"/>
    <cellStyle name="제목 11 9" xfId="23898" xr:uid="{00000000-0005-0000-0000-0000485D0000}"/>
    <cellStyle name="제목 12" xfId="3066" xr:uid="{00000000-0005-0000-0000-0000495D0000}"/>
    <cellStyle name="제목 12 10" xfId="23900" xr:uid="{00000000-0005-0000-0000-00004A5D0000}"/>
    <cellStyle name="제목 12 11" xfId="23901" xr:uid="{00000000-0005-0000-0000-00004B5D0000}"/>
    <cellStyle name="제목 12 12" xfId="23902" xr:uid="{00000000-0005-0000-0000-00004C5D0000}"/>
    <cellStyle name="제목 12 13" xfId="23903" xr:uid="{00000000-0005-0000-0000-00004D5D0000}"/>
    <cellStyle name="제목 12 14" xfId="23904" xr:uid="{00000000-0005-0000-0000-00004E5D0000}"/>
    <cellStyle name="제목 12 15" xfId="23899" xr:uid="{00000000-0005-0000-0000-00004F5D0000}"/>
    <cellStyle name="제목 12 2" xfId="3067" xr:uid="{00000000-0005-0000-0000-0000505D0000}"/>
    <cellStyle name="제목 12 2 2" xfId="23905" xr:uid="{00000000-0005-0000-0000-0000515D0000}"/>
    <cellStyle name="제목 12 3" xfId="23906" xr:uid="{00000000-0005-0000-0000-0000525D0000}"/>
    <cellStyle name="제목 12 4" xfId="23907" xr:uid="{00000000-0005-0000-0000-0000535D0000}"/>
    <cellStyle name="제목 12 5" xfId="23908" xr:uid="{00000000-0005-0000-0000-0000545D0000}"/>
    <cellStyle name="제목 12 6" xfId="23909" xr:uid="{00000000-0005-0000-0000-0000555D0000}"/>
    <cellStyle name="제목 12 7" xfId="23910" xr:uid="{00000000-0005-0000-0000-0000565D0000}"/>
    <cellStyle name="제목 12 8" xfId="23911" xr:uid="{00000000-0005-0000-0000-0000575D0000}"/>
    <cellStyle name="제목 12 9" xfId="23912" xr:uid="{00000000-0005-0000-0000-0000585D0000}"/>
    <cellStyle name="제목 13" xfId="3068" xr:uid="{00000000-0005-0000-0000-0000595D0000}"/>
    <cellStyle name="제목 13 10" xfId="23914" xr:uid="{00000000-0005-0000-0000-00005A5D0000}"/>
    <cellStyle name="제목 13 11" xfId="23915" xr:uid="{00000000-0005-0000-0000-00005B5D0000}"/>
    <cellStyle name="제목 13 12" xfId="23916" xr:uid="{00000000-0005-0000-0000-00005C5D0000}"/>
    <cellStyle name="제목 13 13" xfId="23917" xr:uid="{00000000-0005-0000-0000-00005D5D0000}"/>
    <cellStyle name="제목 13 14" xfId="23918" xr:uid="{00000000-0005-0000-0000-00005E5D0000}"/>
    <cellStyle name="제목 13 15" xfId="23913" xr:uid="{00000000-0005-0000-0000-00005F5D0000}"/>
    <cellStyle name="제목 13 2" xfId="3069" xr:uid="{00000000-0005-0000-0000-0000605D0000}"/>
    <cellStyle name="제목 13 2 2" xfId="23919" xr:uid="{00000000-0005-0000-0000-0000615D0000}"/>
    <cellStyle name="제목 13 3" xfId="23920" xr:uid="{00000000-0005-0000-0000-0000625D0000}"/>
    <cellStyle name="제목 13 4" xfId="23921" xr:uid="{00000000-0005-0000-0000-0000635D0000}"/>
    <cellStyle name="제목 13 5" xfId="23922" xr:uid="{00000000-0005-0000-0000-0000645D0000}"/>
    <cellStyle name="제목 13 6" xfId="23923" xr:uid="{00000000-0005-0000-0000-0000655D0000}"/>
    <cellStyle name="제목 13 7" xfId="23924" xr:uid="{00000000-0005-0000-0000-0000665D0000}"/>
    <cellStyle name="제목 13 8" xfId="23925" xr:uid="{00000000-0005-0000-0000-0000675D0000}"/>
    <cellStyle name="제목 13 9" xfId="23926" xr:uid="{00000000-0005-0000-0000-0000685D0000}"/>
    <cellStyle name="제목 14" xfId="3070" xr:uid="{00000000-0005-0000-0000-0000695D0000}"/>
    <cellStyle name="제목 14 10" xfId="23928" xr:uid="{00000000-0005-0000-0000-00006A5D0000}"/>
    <cellStyle name="제목 14 11" xfId="23929" xr:uid="{00000000-0005-0000-0000-00006B5D0000}"/>
    <cellStyle name="제목 14 12" xfId="23930" xr:uid="{00000000-0005-0000-0000-00006C5D0000}"/>
    <cellStyle name="제목 14 13" xfId="23931" xr:uid="{00000000-0005-0000-0000-00006D5D0000}"/>
    <cellStyle name="제목 14 14" xfId="23932" xr:uid="{00000000-0005-0000-0000-00006E5D0000}"/>
    <cellStyle name="제목 14 15" xfId="23927" xr:uid="{00000000-0005-0000-0000-00006F5D0000}"/>
    <cellStyle name="제목 14 2" xfId="3071" xr:uid="{00000000-0005-0000-0000-0000705D0000}"/>
    <cellStyle name="제목 14 2 2" xfId="23933" xr:uid="{00000000-0005-0000-0000-0000715D0000}"/>
    <cellStyle name="제목 14 3" xfId="23934" xr:uid="{00000000-0005-0000-0000-0000725D0000}"/>
    <cellStyle name="제목 14 4" xfId="23935" xr:uid="{00000000-0005-0000-0000-0000735D0000}"/>
    <cellStyle name="제목 14 5" xfId="23936" xr:uid="{00000000-0005-0000-0000-0000745D0000}"/>
    <cellStyle name="제목 14 6" xfId="23937" xr:uid="{00000000-0005-0000-0000-0000755D0000}"/>
    <cellStyle name="제목 14 7" xfId="23938" xr:uid="{00000000-0005-0000-0000-0000765D0000}"/>
    <cellStyle name="제목 14 8" xfId="23939" xr:uid="{00000000-0005-0000-0000-0000775D0000}"/>
    <cellStyle name="제목 14 9" xfId="23940" xr:uid="{00000000-0005-0000-0000-0000785D0000}"/>
    <cellStyle name="제목 15" xfId="3072" xr:uid="{00000000-0005-0000-0000-0000795D0000}"/>
    <cellStyle name="제목 15 10" xfId="23942" xr:uid="{00000000-0005-0000-0000-00007A5D0000}"/>
    <cellStyle name="제목 15 11" xfId="23943" xr:uid="{00000000-0005-0000-0000-00007B5D0000}"/>
    <cellStyle name="제목 15 12" xfId="23944" xr:uid="{00000000-0005-0000-0000-00007C5D0000}"/>
    <cellStyle name="제목 15 13" xfId="23945" xr:uid="{00000000-0005-0000-0000-00007D5D0000}"/>
    <cellStyle name="제목 15 14" xfId="23946" xr:uid="{00000000-0005-0000-0000-00007E5D0000}"/>
    <cellStyle name="제목 15 15" xfId="23941" xr:uid="{00000000-0005-0000-0000-00007F5D0000}"/>
    <cellStyle name="제목 15 2" xfId="3073" xr:uid="{00000000-0005-0000-0000-0000805D0000}"/>
    <cellStyle name="제목 15 2 2" xfId="23947" xr:uid="{00000000-0005-0000-0000-0000815D0000}"/>
    <cellStyle name="제목 15 3" xfId="23948" xr:uid="{00000000-0005-0000-0000-0000825D0000}"/>
    <cellStyle name="제목 15 4" xfId="23949" xr:uid="{00000000-0005-0000-0000-0000835D0000}"/>
    <cellStyle name="제목 15 5" xfId="23950" xr:uid="{00000000-0005-0000-0000-0000845D0000}"/>
    <cellStyle name="제목 15 6" xfId="23951" xr:uid="{00000000-0005-0000-0000-0000855D0000}"/>
    <cellStyle name="제목 15 7" xfId="23952" xr:uid="{00000000-0005-0000-0000-0000865D0000}"/>
    <cellStyle name="제목 15 8" xfId="23953" xr:uid="{00000000-0005-0000-0000-0000875D0000}"/>
    <cellStyle name="제목 15 9" xfId="23954" xr:uid="{00000000-0005-0000-0000-0000885D0000}"/>
    <cellStyle name="제목 16" xfId="3074" xr:uid="{00000000-0005-0000-0000-0000895D0000}"/>
    <cellStyle name="제목 16 10" xfId="23956" xr:uid="{00000000-0005-0000-0000-00008A5D0000}"/>
    <cellStyle name="제목 16 11" xfId="23957" xr:uid="{00000000-0005-0000-0000-00008B5D0000}"/>
    <cellStyle name="제목 16 12" xfId="23958" xr:uid="{00000000-0005-0000-0000-00008C5D0000}"/>
    <cellStyle name="제목 16 13" xfId="23959" xr:uid="{00000000-0005-0000-0000-00008D5D0000}"/>
    <cellStyle name="제목 16 14" xfId="23960" xr:uid="{00000000-0005-0000-0000-00008E5D0000}"/>
    <cellStyle name="제목 16 15" xfId="23955" xr:uid="{00000000-0005-0000-0000-00008F5D0000}"/>
    <cellStyle name="제목 16 2" xfId="3075" xr:uid="{00000000-0005-0000-0000-0000905D0000}"/>
    <cellStyle name="제목 16 2 2" xfId="23961" xr:uid="{00000000-0005-0000-0000-0000915D0000}"/>
    <cellStyle name="제목 16 3" xfId="23962" xr:uid="{00000000-0005-0000-0000-0000925D0000}"/>
    <cellStyle name="제목 16 4" xfId="23963" xr:uid="{00000000-0005-0000-0000-0000935D0000}"/>
    <cellStyle name="제목 16 5" xfId="23964" xr:uid="{00000000-0005-0000-0000-0000945D0000}"/>
    <cellStyle name="제목 16 6" xfId="23965" xr:uid="{00000000-0005-0000-0000-0000955D0000}"/>
    <cellStyle name="제목 16 7" xfId="23966" xr:uid="{00000000-0005-0000-0000-0000965D0000}"/>
    <cellStyle name="제목 16 8" xfId="23967" xr:uid="{00000000-0005-0000-0000-0000975D0000}"/>
    <cellStyle name="제목 16 9" xfId="23968" xr:uid="{00000000-0005-0000-0000-0000985D0000}"/>
    <cellStyle name="제목 17" xfId="3076" xr:uid="{00000000-0005-0000-0000-0000995D0000}"/>
    <cellStyle name="제목 17 10" xfId="23970" xr:uid="{00000000-0005-0000-0000-00009A5D0000}"/>
    <cellStyle name="제목 17 11" xfId="23971" xr:uid="{00000000-0005-0000-0000-00009B5D0000}"/>
    <cellStyle name="제목 17 12" xfId="23972" xr:uid="{00000000-0005-0000-0000-00009C5D0000}"/>
    <cellStyle name="제목 17 13" xfId="23973" xr:uid="{00000000-0005-0000-0000-00009D5D0000}"/>
    <cellStyle name="제목 17 14" xfId="23974" xr:uid="{00000000-0005-0000-0000-00009E5D0000}"/>
    <cellStyle name="제목 17 15" xfId="23969" xr:uid="{00000000-0005-0000-0000-00009F5D0000}"/>
    <cellStyle name="제목 17 2" xfId="3077" xr:uid="{00000000-0005-0000-0000-0000A05D0000}"/>
    <cellStyle name="제목 17 2 2" xfId="23975" xr:uid="{00000000-0005-0000-0000-0000A15D0000}"/>
    <cellStyle name="제목 17 3" xfId="23976" xr:uid="{00000000-0005-0000-0000-0000A25D0000}"/>
    <cellStyle name="제목 17 4" xfId="23977" xr:uid="{00000000-0005-0000-0000-0000A35D0000}"/>
    <cellStyle name="제목 17 5" xfId="23978" xr:uid="{00000000-0005-0000-0000-0000A45D0000}"/>
    <cellStyle name="제목 17 6" xfId="23979" xr:uid="{00000000-0005-0000-0000-0000A55D0000}"/>
    <cellStyle name="제목 17 7" xfId="23980" xr:uid="{00000000-0005-0000-0000-0000A65D0000}"/>
    <cellStyle name="제목 17 8" xfId="23981" xr:uid="{00000000-0005-0000-0000-0000A75D0000}"/>
    <cellStyle name="제목 17 9" xfId="23982" xr:uid="{00000000-0005-0000-0000-0000A85D0000}"/>
    <cellStyle name="제목 18" xfId="3078" xr:uid="{00000000-0005-0000-0000-0000A95D0000}"/>
    <cellStyle name="제목 18 10" xfId="23984" xr:uid="{00000000-0005-0000-0000-0000AA5D0000}"/>
    <cellStyle name="제목 18 11" xfId="23985" xr:uid="{00000000-0005-0000-0000-0000AB5D0000}"/>
    <cellStyle name="제목 18 12" xfId="23986" xr:uid="{00000000-0005-0000-0000-0000AC5D0000}"/>
    <cellStyle name="제목 18 13" xfId="23987" xr:uid="{00000000-0005-0000-0000-0000AD5D0000}"/>
    <cellStyle name="제목 18 14" xfId="23988" xr:uid="{00000000-0005-0000-0000-0000AE5D0000}"/>
    <cellStyle name="제목 18 15" xfId="23983" xr:uid="{00000000-0005-0000-0000-0000AF5D0000}"/>
    <cellStyle name="제목 18 2" xfId="3079" xr:uid="{00000000-0005-0000-0000-0000B05D0000}"/>
    <cellStyle name="제목 18 2 2" xfId="23989" xr:uid="{00000000-0005-0000-0000-0000B15D0000}"/>
    <cellStyle name="제목 18 3" xfId="23990" xr:uid="{00000000-0005-0000-0000-0000B25D0000}"/>
    <cellStyle name="제목 18 4" xfId="23991" xr:uid="{00000000-0005-0000-0000-0000B35D0000}"/>
    <cellStyle name="제목 18 5" xfId="23992" xr:uid="{00000000-0005-0000-0000-0000B45D0000}"/>
    <cellStyle name="제목 18 6" xfId="23993" xr:uid="{00000000-0005-0000-0000-0000B55D0000}"/>
    <cellStyle name="제목 18 7" xfId="23994" xr:uid="{00000000-0005-0000-0000-0000B65D0000}"/>
    <cellStyle name="제목 18 8" xfId="23995" xr:uid="{00000000-0005-0000-0000-0000B75D0000}"/>
    <cellStyle name="제목 18 9" xfId="23996" xr:uid="{00000000-0005-0000-0000-0000B85D0000}"/>
    <cellStyle name="제목 19" xfId="3080" xr:uid="{00000000-0005-0000-0000-0000B95D0000}"/>
    <cellStyle name="제목 19 10" xfId="23998" xr:uid="{00000000-0005-0000-0000-0000BA5D0000}"/>
    <cellStyle name="제목 19 11" xfId="23999" xr:uid="{00000000-0005-0000-0000-0000BB5D0000}"/>
    <cellStyle name="제목 19 12" xfId="24000" xr:uid="{00000000-0005-0000-0000-0000BC5D0000}"/>
    <cellStyle name="제목 19 13" xfId="24001" xr:uid="{00000000-0005-0000-0000-0000BD5D0000}"/>
    <cellStyle name="제목 19 14" xfId="24002" xr:uid="{00000000-0005-0000-0000-0000BE5D0000}"/>
    <cellStyle name="제목 19 15" xfId="23997" xr:uid="{00000000-0005-0000-0000-0000BF5D0000}"/>
    <cellStyle name="제목 19 2" xfId="3081" xr:uid="{00000000-0005-0000-0000-0000C05D0000}"/>
    <cellStyle name="제목 19 2 2" xfId="24003" xr:uid="{00000000-0005-0000-0000-0000C15D0000}"/>
    <cellStyle name="제목 19 3" xfId="24004" xr:uid="{00000000-0005-0000-0000-0000C25D0000}"/>
    <cellStyle name="제목 19 4" xfId="24005" xr:uid="{00000000-0005-0000-0000-0000C35D0000}"/>
    <cellStyle name="제목 19 5" xfId="24006" xr:uid="{00000000-0005-0000-0000-0000C45D0000}"/>
    <cellStyle name="제목 19 6" xfId="24007" xr:uid="{00000000-0005-0000-0000-0000C55D0000}"/>
    <cellStyle name="제목 19 7" xfId="24008" xr:uid="{00000000-0005-0000-0000-0000C65D0000}"/>
    <cellStyle name="제목 19 8" xfId="24009" xr:uid="{00000000-0005-0000-0000-0000C75D0000}"/>
    <cellStyle name="제목 19 9" xfId="24010" xr:uid="{00000000-0005-0000-0000-0000C85D0000}"/>
    <cellStyle name="제목 2 10" xfId="3083" xr:uid="{00000000-0005-0000-0000-0000C95D0000}"/>
    <cellStyle name="제목 2 10 10" xfId="24013" xr:uid="{00000000-0005-0000-0000-0000CA5D0000}"/>
    <cellStyle name="제목 2 10 11" xfId="24014" xr:uid="{00000000-0005-0000-0000-0000CB5D0000}"/>
    <cellStyle name="제목 2 10 12" xfId="24015" xr:uid="{00000000-0005-0000-0000-0000CC5D0000}"/>
    <cellStyle name="제목 2 10 13" xfId="24016" xr:uid="{00000000-0005-0000-0000-0000CD5D0000}"/>
    <cellStyle name="제목 2 10 14" xfId="24017" xr:uid="{00000000-0005-0000-0000-0000CE5D0000}"/>
    <cellStyle name="제목 2 10 15" xfId="24012" xr:uid="{00000000-0005-0000-0000-0000CF5D0000}"/>
    <cellStyle name="제목 2 10 2" xfId="3084" xr:uid="{00000000-0005-0000-0000-0000D05D0000}"/>
    <cellStyle name="제목 2 10 2 2" xfId="24018" xr:uid="{00000000-0005-0000-0000-0000D15D0000}"/>
    <cellStyle name="제목 2 10 3" xfId="24019" xr:uid="{00000000-0005-0000-0000-0000D25D0000}"/>
    <cellStyle name="제목 2 10 4" xfId="24020" xr:uid="{00000000-0005-0000-0000-0000D35D0000}"/>
    <cellStyle name="제목 2 10 5" xfId="24021" xr:uid="{00000000-0005-0000-0000-0000D45D0000}"/>
    <cellStyle name="제목 2 10 6" xfId="24022" xr:uid="{00000000-0005-0000-0000-0000D55D0000}"/>
    <cellStyle name="제목 2 10 7" xfId="24023" xr:uid="{00000000-0005-0000-0000-0000D65D0000}"/>
    <cellStyle name="제목 2 10 8" xfId="24024" xr:uid="{00000000-0005-0000-0000-0000D75D0000}"/>
    <cellStyle name="제목 2 10 9" xfId="24025" xr:uid="{00000000-0005-0000-0000-0000D85D0000}"/>
    <cellStyle name="제목 2 11" xfId="3085" xr:uid="{00000000-0005-0000-0000-0000D95D0000}"/>
    <cellStyle name="제목 2 11 10" xfId="24027" xr:uid="{00000000-0005-0000-0000-0000DA5D0000}"/>
    <cellStyle name="제목 2 11 11" xfId="24028" xr:uid="{00000000-0005-0000-0000-0000DB5D0000}"/>
    <cellStyle name="제목 2 11 12" xfId="24029" xr:uid="{00000000-0005-0000-0000-0000DC5D0000}"/>
    <cellStyle name="제목 2 11 13" xfId="24030" xr:uid="{00000000-0005-0000-0000-0000DD5D0000}"/>
    <cellStyle name="제목 2 11 14" xfId="24031" xr:uid="{00000000-0005-0000-0000-0000DE5D0000}"/>
    <cellStyle name="제목 2 11 15" xfId="24026" xr:uid="{00000000-0005-0000-0000-0000DF5D0000}"/>
    <cellStyle name="제목 2 11 2" xfId="3086" xr:uid="{00000000-0005-0000-0000-0000E05D0000}"/>
    <cellStyle name="제목 2 11 2 2" xfId="24032" xr:uid="{00000000-0005-0000-0000-0000E15D0000}"/>
    <cellStyle name="제목 2 11 3" xfId="24033" xr:uid="{00000000-0005-0000-0000-0000E25D0000}"/>
    <cellStyle name="제목 2 11 4" xfId="24034" xr:uid="{00000000-0005-0000-0000-0000E35D0000}"/>
    <cellStyle name="제목 2 11 5" xfId="24035" xr:uid="{00000000-0005-0000-0000-0000E45D0000}"/>
    <cellStyle name="제목 2 11 6" xfId="24036" xr:uid="{00000000-0005-0000-0000-0000E55D0000}"/>
    <cellStyle name="제목 2 11 7" xfId="24037" xr:uid="{00000000-0005-0000-0000-0000E65D0000}"/>
    <cellStyle name="제목 2 11 8" xfId="24038" xr:uid="{00000000-0005-0000-0000-0000E75D0000}"/>
    <cellStyle name="제목 2 11 9" xfId="24039" xr:uid="{00000000-0005-0000-0000-0000E85D0000}"/>
    <cellStyle name="제목 2 12" xfId="3087" xr:uid="{00000000-0005-0000-0000-0000E95D0000}"/>
    <cellStyle name="제목 2 12 10" xfId="24041" xr:uid="{00000000-0005-0000-0000-0000EA5D0000}"/>
    <cellStyle name="제목 2 12 11" xfId="24042" xr:uid="{00000000-0005-0000-0000-0000EB5D0000}"/>
    <cellStyle name="제목 2 12 12" xfId="24043" xr:uid="{00000000-0005-0000-0000-0000EC5D0000}"/>
    <cellStyle name="제목 2 12 13" xfId="24044" xr:uid="{00000000-0005-0000-0000-0000ED5D0000}"/>
    <cellStyle name="제목 2 12 14" xfId="24045" xr:uid="{00000000-0005-0000-0000-0000EE5D0000}"/>
    <cellStyle name="제목 2 12 15" xfId="24040" xr:uid="{00000000-0005-0000-0000-0000EF5D0000}"/>
    <cellStyle name="제목 2 12 2" xfId="3088" xr:uid="{00000000-0005-0000-0000-0000F05D0000}"/>
    <cellStyle name="제목 2 12 2 2" xfId="24046" xr:uid="{00000000-0005-0000-0000-0000F15D0000}"/>
    <cellStyle name="제목 2 12 3" xfId="24047" xr:uid="{00000000-0005-0000-0000-0000F25D0000}"/>
    <cellStyle name="제목 2 12 4" xfId="24048" xr:uid="{00000000-0005-0000-0000-0000F35D0000}"/>
    <cellStyle name="제목 2 12 5" xfId="24049" xr:uid="{00000000-0005-0000-0000-0000F45D0000}"/>
    <cellStyle name="제목 2 12 6" xfId="24050" xr:uid="{00000000-0005-0000-0000-0000F55D0000}"/>
    <cellStyle name="제목 2 12 7" xfId="24051" xr:uid="{00000000-0005-0000-0000-0000F65D0000}"/>
    <cellStyle name="제목 2 12 8" xfId="24052" xr:uid="{00000000-0005-0000-0000-0000F75D0000}"/>
    <cellStyle name="제목 2 12 9" xfId="24053" xr:uid="{00000000-0005-0000-0000-0000F85D0000}"/>
    <cellStyle name="제목 2 13" xfId="3089" xr:uid="{00000000-0005-0000-0000-0000F95D0000}"/>
    <cellStyle name="제목 2 13 10" xfId="24055" xr:uid="{00000000-0005-0000-0000-0000FA5D0000}"/>
    <cellStyle name="제목 2 13 11" xfId="24056" xr:uid="{00000000-0005-0000-0000-0000FB5D0000}"/>
    <cellStyle name="제목 2 13 12" xfId="24057" xr:uid="{00000000-0005-0000-0000-0000FC5D0000}"/>
    <cellStyle name="제목 2 13 13" xfId="24058" xr:uid="{00000000-0005-0000-0000-0000FD5D0000}"/>
    <cellStyle name="제목 2 13 14" xfId="24059" xr:uid="{00000000-0005-0000-0000-0000FE5D0000}"/>
    <cellStyle name="제목 2 13 15" xfId="24054" xr:uid="{00000000-0005-0000-0000-0000FF5D0000}"/>
    <cellStyle name="제목 2 13 2" xfId="3090" xr:uid="{00000000-0005-0000-0000-0000005E0000}"/>
    <cellStyle name="제목 2 13 2 2" xfId="24060" xr:uid="{00000000-0005-0000-0000-0000015E0000}"/>
    <cellStyle name="제목 2 13 3" xfId="24061" xr:uid="{00000000-0005-0000-0000-0000025E0000}"/>
    <cellStyle name="제목 2 13 4" xfId="24062" xr:uid="{00000000-0005-0000-0000-0000035E0000}"/>
    <cellStyle name="제목 2 13 5" xfId="24063" xr:uid="{00000000-0005-0000-0000-0000045E0000}"/>
    <cellStyle name="제목 2 13 6" xfId="24064" xr:uid="{00000000-0005-0000-0000-0000055E0000}"/>
    <cellStyle name="제목 2 13 7" xfId="24065" xr:uid="{00000000-0005-0000-0000-0000065E0000}"/>
    <cellStyle name="제목 2 13 8" xfId="24066" xr:uid="{00000000-0005-0000-0000-0000075E0000}"/>
    <cellStyle name="제목 2 13 9" xfId="24067" xr:uid="{00000000-0005-0000-0000-0000085E0000}"/>
    <cellStyle name="제목 2 14" xfId="3091" xr:uid="{00000000-0005-0000-0000-0000095E0000}"/>
    <cellStyle name="제목 2 14 10" xfId="24069" xr:uid="{00000000-0005-0000-0000-00000A5E0000}"/>
    <cellStyle name="제목 2 14 11" xfId="24070" xr:uid="{00000000-0005-0000-0000-00000B5E0000}"/>
    <cellStyle name="제목 2 14 12" xfId="24071" xr:uid="{00000000-0005-0000-0000-00000C5E0000}"/>
    <cellStyle name="제목 2 14 13" xfId="24072" xr:uid="{00000000-0005-0000-0000-00000D5E0000}"/>
    <cellStyle name="제목 2 14 14" xfId="24073" xr:uid="{00000000-0005-0000-0000-00000E5E0000}"/>
    <cellStyle name="제목 2 14 15" xfId="24068" xr:uid="{00000000-0005-0000-0000-00000F5E0000}"/>
    <cellStyle name="제목 2 14 2" xfId="3092" xr:uid="{00000000-0005-0000-0000-0000105E0000}"/>
    <cellStyle name="제목 2 14 2 2" xfId="24074" xr:uid="{00000000-0005-0000-0000-0000115E0000}"/>
    <cellStyle name="제목 2 14 3" xfId="24075" xr:uid="{00000000-0005-0000-0000-0000125E0000}"/>
    <cellStyle name="제목 2 14 4" xfId="24076" xr:uid="{00000000-0005-0000-0000-0000135E0000}"/>
    <cellStyle name="제목 2 14 5" xfId="24077" xr:uid="{00000000-0005-0000-0000-0000145E0000}"/>
    <cellStyle name="제목 2 14 6" xfId="24078" xr:uid="{00000000-0005-0000-0000-0000155E0000}"/>
    <cellStyle name="제목 2 14 7" xfId="24079" xr:uid="{00000000-0005-0000-0000-0000165E0000}"/>
    <cellStyle name="제목 2 14 8" xfId="24080" xr:uid="{00000000-0005-0000-0000-0000175E0000}"/>
    <cellStyle name="제목 2 14 9" xfId="24081" xr:uid="{00000000-0005-0000-0000-0000185E0000}"/>
    <cellStyle name="제목 2 15" xfId="3093" xr:uid="{00000000-0005-0000-0000-0000195E0000}"/>
    <cellStyle name="제목 2 15 10" xfId="24083" xr:uid="{00000000-0005-0000-0000-00001A5E0000}"/>
    <cellStyle name="제목 2 15 11" xfId="24084" xr:uid="{00000000-0005-0000-0000-00001B5E0000}"/>
    <cellStyle name="제목 2 15 12" xfId="24085" xr:uid="{00000000-0005-0000-0000-00001C5E0000}"/>
    <cellStyle name="제목 2 15 13" xfId="24086" xr:uid="{00000000-0005-0000-0000-00001D5E0000}"/>
    <cellStyle name="제목 2 15 14" xfId="24087" xr:uid="{00000000-0005-0000-0000-00001E5E0000}"/>
    <cellStyle name="제목 2 15 15" xfId="24082" xr:uid="{00000000-0005-0000-0000-00001F5E0000}"/>
    <cellStyle name="제목 2 15 2" xfId="3094" xr:uid="{00000000-0005-0000-0000-0000205E0000}"/>
    <cellStyle name="제목 2 15 2 2" xfId="24088" xr:uid="{00000000-0005-0000-0000-0000215E0000}"/>
    <cellStyle name="제목 2 15 3" xfId="24089" xr:uid="{00000000-0005-0000-0000-0000225E0000}"/>
    <cellStyle name="제목 2 15 4" xfId="24090" xr:uid="{00000000-0005-0000-0000-0000235E0000}"/>
    <cellStyle name="제목 2 15 5" xfId="24091" xr:uid="{00000000-0005-0000-0000-0000245E0000}"/>
    <cellStyle name="제목 2 15 6" xfId="24092" xr:uid="{00000000-0005-0000-0000-0000255E0000}"/>
    <cellStyle name="제목 2 15 7" xfId="24093" xr:uid="{00000000-0005-0000-0000-0000265E0000}"/>
    <cellStyle name="제목 2 15 8" xfId="24094" xr:uid="{00000000-0005-0000-0000-0000275E0000}"/>
    <cellStyle name="제목 2 15 9" xfId="24095" xr:uid="{00000000-0005-0000-0000-0000285E0000}"/>
    <cellStyle name="제목 2 16" xfId="3095" xr:uid="{00000000-0005-0000-0000-0000295E0000}"/>
    <cellStyle name="제목 2 16 10" xfId="24097" xr:uid="{00000000-0005-0000-0000-00002A5E0000}"/>
    <cellStyle name="제목 2 16 11" xfId="24098" xr:uid="{00000000-0005-0000-0000-00002B5E0000}"/>
    <cellStyle name="제목 2 16 12" xfId="24099" xr:uid="{00000000-0005-0000-0000-00002C5E0000}"/>
    <cellStyle name="제목 2 16 13" xfId="24100" xr:uid="{00000000-0005-0000-0000-00002D5E0000}"/>
    <cellStyle name="제목 2 16 14" xfId="24101" xr:uid="{00000000-0005-0000-0000-00002E5E0000}"/>
    <cellStyle name="제목 2 16 15" xfId="24096" xr:uid="{00000000-0005-0000-0000-00002F5E0000}"/>
    <cellStyle name="제목 2 16 2" xfId="3096" xr:uid="{00000000-0005-0000-0000-0000305E0000}"/>
    <cellStyle name="제목 2 16 2 2" xfId="24102" xr:uid="{00000000-0005-0000-0000-0000315E0000}"/>
    <cellStyle name="제목 2 16 3" xfId="24103" xr:uid="{00000000-0005-0000-0000-0000325E0000}"/>
    <cellStyle name="제목 2 16 4" xfId="24104" xr:uid="{00000000-0005-0000-0000-0000335E0000}"/>
    <cellStyle name="제목 2 16 5" xfId="24105" xr:uid="{00000000-0005-0000-0000-0000345E0000}"/>
    <cellStyle name="제목 2 16 6" xfId="24106" xr:uid="{00000000-0005-0000-0000-0000355E0000}"/>
    <cellStyle name="제목 2 16 7" xfId="24107" xr:uid="{00000000-0005-0000-0000-0000365E0000}"/>
    <cellStyle name="제목 2 16 8" xfId="24108" xr:uid="{00000000-0005-0000-0000-0000375E0000}"/>
    <cellStyle name="제목 2 16 9" xfId="24109" xr:uid="{00000000-0005-0000-0000-0000385E0000}"/>
    <cellStyle name="제목 2 17" xfId="3097" xr:uid="{00000000-0005-0000-0000-0000395E0000}"/>
    <cellStyle name="제목 2 17 10" xfId="24111" xr:uid="{00000000-0005-0000-0000-00003A5E0000}"/>
    <cellStyle name="제목 2 17 11" xfId="24112" xr:uid="{00000000-0005-0000-0000-00003B5E0000}"/>
    <cellStyle name="제목 2 17 12" xfId="24113" xr:uid="{00000000-0005-0000-0000-00003C5E0000}"/>
    <cellStyle name="제목 2 17 13" xfId="24114" xr:uid="{00000000-0005-0000-0000-00003D5E0000}"/>
    <cellStyle name="제목 2 17 14" xfId="24115" xr:uid="{00000000-0005-0000-0000-00003E5E0000}"/>
    <cellStyle name="제목 2 17 15" xfId="24110" xr:uid="{00000000-0005-0000-0000-00003F5E0000}"/>
    <cellStyle name="제목 2 17 2" xfId="3098" xr:uid="{00000000-0005-0000-0000-0000405E0000}"/>
    <cellStyle name="제목 2 17 2 2" xfId="24116" xr:uid="{00000000-0005-0000-0000-0000415E0000}"/>
    <cellStyle name="제목 2 17 3" xfId="24117" xr:uid="{00000000-0005-0000-0000-0000425E0000}"/>
    <cellStyle name="제목 2 17 4" xfId="24118" xr:uid="{00000000-0005-0000-0000-0000435E0000}"/>
    <cellStyle name="제목 2 17 5" xfId="24119" xr:uid="{00000000-0005-0000-0000-0000445E0000}"/>
    <cellStyle name="제목 2 17 6" xfId="24120" xr:uid="{00000000-0005-0000-0000-0000455E0000}"/>
    <cellStyle name="제목 2 17 7" xfId="24121" xr:uid="{00000000-0005-0000-0000-0000465E0000}"/>
    <cellStyle name="제목 2 17 8" xfId="24122" xr:uid="{00000000-0005-0000-0000-0000475E0000}"/>
    <cellStyle name="제목 2 17 9" xfId="24123" xr:uid="{00000000-0005-0000-0000-0000485E0000}"/>
    <cellStyle name="제목 2 18" xfId="3099" xr:uid="{00000000-0005-0000-0000-0000495E0000}"/>
    <cellStyle name="제목 2 18 10" xfId="24125" xr:uid="{00000000-0005-0000-0000-00004A5E0000}"/>
    <cellStyle name="제목 2 18 11" xfId="24126" xr:uid="{00000000-0005-0000-0000-00004B5E0000}"/>
    <cellStyle name="제목 2 18 12" xfId="24127" xr:uid="{00000000-0005-0000-0000-00004C5E0000}"/>
    <cellStyle name="제목 2 18 13" xfId="24128" xr:uid="{00000000-0005-0000-0000-00004D5E0000}"/>
    <cellStyle name="제목 2 18 14" xfId="24129" xr:uid="{00000000-0005-0000-0000-00004E5E0000}"/>
    <cellStyle name="제목 2 18 15" xfId="24124" xr:uid="{00000000-0005-0000-0000-00004F5E0000}"/>
    <cellStyle name="제목 2 18 2" xfId="3100" xr:uid="{00000000-0005-0000-0000-0000505E0000}"/>
    <cellStyle name="제목 2 18 2 2" xfId="24130" xr:uid="{00000000-0005-0000-0000-0000515E0000}"/>
    <cellStyle name="제목 2 18 3" xfId="24131" xr:uid="{00000000-0005-0000-0000-0000525E0000}"/>
    <cellStyle name="제목 2 18 4" xfId="24132" xr:uid="{00000000-0005-0000-0000-0000535E0000}"/>
    <cellStyle name="제목 2 18 5" xfId="24133" xr:uid="{00000000-0005-0000-0000-0000545E0000}"/>
    <cellStyle name="제목 2 18 6" xfId="24134" xr:uid="{00000000-0005-0000-0000-0000555E0000}"/>
    <cellStyle name="제목 2 18 7" xfId="24135" xr:uid="{00000000-0005-0000-0000-0000565E0000}"/>
    <cellStyle name="제목 2 18 8" xfId="24136" xr:uid="{00000000-0005-0000-0000-0000575E0000}"/>
    <cellStyle name="제목 2 18 9" xfId="24137" xr:uid="{00000000-0005-0000-0000-0000585E0000}"/>
    <cellStyle name="제목 2 19" xfId="3101" xr:uid="{00000000-0005-0000-0000-0000595E0000}"/>
    <cellStyle name="제목 2 19 10" xfId="24139" xr:uid="{00000000-0005-0000-0000-00005A5E0000}"/>
    <cellStyle name="제목 2 19 11" xfId="24140" xr:uid="{00000000-0005-0000-0000-00005B5E0000}"/>
    <cellStyle name="제목 2 19 12" xfId="24141" xr:uid="{00000000-0005-0000-0000-00005C5E0000}"/>
    <cellStyle name="제목 2 19 13" xfId="24142" xr:uid="{00000000-0005-0000-0000-00005D5E0000}"/>
    <cellStyle name="제목 2 19 14" xfId="24143" xr:uid="{00000000-0005-0000-0000-00005E5E0000}"/>
    <cellStyle name="제목 2 19 15" xfId="24138" xr:uid="{00000000-0005-0000-0000-00005F5E0000}"/>
    <cellStyle name="제목 2 19 2" xfId="3102" xr:uid="{00000000-0005-0000-0000-0000605E0000}"/>
    <cellStyle name="제목 2 19 2 2" xfId="24144" xr:uid="{00000000-0005-0000-0000-0000615E0000}"/>
    <cellStyle name="제목 2 19 3" xfId="24145" xr:uid="{00000000-0005-0000-0000-0000625E0000}"/>
    <cellStyle name="제목 2 19 4" xfId="24146" xr:uid="{00000000-0005-0000-0000-0000635E0000}"/>
    <cellStyle name="제목 2 19 5" xfId="24147" xr:uid="{00000000-0005-0000-0000-0000645E0000}"/>
    <cellStyle name="제목 2 19 6" xfId="24148" xr:uid="{00000000-0005-0000-0000-0000655E0000}"/>
    <cellStyle name="제목 2 19 7" xfId="24149" xr:uid="{00000000-0005-0000-0000-0000665E0000}"/>
    <cellStyle name="제목 2 19 8" xfId="24150" xr:uid="{00000000-0005-0000-0000-0000675E0000}"/>
    <cellStyle name="제목 2 19 9" xfId="24151" xr:uid="{00000000-0005-0000-0000-0000685E0000}"/>
    <cellStyle name="제목 2 2" xfId="3103" xr:uid="{00000000-0005-0000-0000-0000695E0000}"/>
    <cellStyle name="제목 2 2 10" xfId="24153" xr:uid="{00000000-0005-0000-0000-00006A5E0000}"/>
    <cellStyle name="제목 2 2 11" xfId="24154" xr:uid="{00000000-0005-0000-0000-00006B5E0000}"/>
    <cellStyle name="제목 2 2 12" xfId="24155" xr:uid="{00000000-0005-0000-0000-00006C5E0000}"/>
    <cellStyle name="제목 2 2 13" xfId="24156" xr:uid="{00000000-0005-0000-0000-00006D5E0000}"/>
    <cellStyle name="제목 2 2 14" xfId="24157" xr:uid="{00000000-0005-0000-0000-00006E5E0000}"/>
    <cellStyle name="제목 2 2 15" xfId="24152" xr:uid="{00000000-0005-0000-0000-00006F5E0000}"/>
    <cellStyle name="제목 2 2 16" xfId="27980" xr:uid="{00000000-0005-0000-0000-0000705E0000}"/>
    <cellStyle name="제목 2 2 2" xfId="3104" xr:uid="{00000000-0005-0000-0000-0000715E0000}"/>
    <cellStyle name="제목 2 2 2 2" xfId="24158" xr:uid="{00000000-0005-0000-0000-0000725E0000}"/>
    <cellStyle name="제목 2 2 3" xfId="24159" xr:uid="{00000000-0005-0000-0000-0000735E0000}"/>
    <cellStyle name="제목 2 2 4" xfId="24160" xr:uid="{00000000-0005-0000-0000-0000745E0000}"/>
    <cellStyle name="제목 2 2 5" xfId="24161" xr:uid="{00000000-0005-0000-0000-0000755E0000}"/>
    <cellStyle name="제목 2 2 6" xfId="24162" xr:uid="{00000000-0005-0000-0000-0000765E0000}"/>
    <cellStyle name="제목 2 2 7" xfId="24163" xr:uid="{00000000-0005-0000-0000-0000775E0000}"/>
    <cellStyle name="제목 2 2 8" xfId="24164" xr:uid="{00000000-0005-0000-0000-0000785E0000}"/>
    <cellStyle name="제목 2 2 9" xfId="24165" xr:uid="{00000000-0005-0000-0000-0000795E0000}"/>
    <cellStyle name="제목 2 20" xfId="3105" xr:uid="{00000000-0005-0000-0000-00007A5E0000}"/>
    <cellStyle name="제목 2 20 10" xfId="24167" xr:uid="{00000000-0005-0000-0000-00007B5E0000}"/>
    <cellStyle name="제목 2 20 11" xfId="24168" xr:uid="{00000000-0005-0000-0000-00007C5E0000}"/>
    <cellStyle name="제목 2 20 12" xfId="24169" xr:uid="{00000000-0005-0000-0000-00007D5E0000}"/>
    <cellStyle name="제목 2 20 13" xfId="24170" xr:uid="{00000000-0005-0000-0000-00007E5E0000}"/>
    <cellStyle name="제목 2 20 14" xfId="24171" xr:uid="{00000000-0005-0000-0000-00007F5E0000}"/>
    <cellStyle name="제목 2 20 15" xfId="24166" xr:uid="{00000000-0005-0000-0000-0000805E0000}"/>
    <cellStyle name="제목 2 20 2" xfId="3106" xr:uid="{00000000-0005-0000-0000-0000815E0000}"/>
    <cellStyle name="제목 2 20 2 2" xfId="24172" xr:uid="{00000000-0005-0000-0000-0000825E0000}"/>
    <cellStyle name="제목 2 20 3" xfId="24173" xr:uid="{00000000-0005-0000-0000-0000835E0000}"/>
    <cellStyle name="제목 2 20 4" xfId="24174" xr:uid="{00000000-0005-0000-0000-0000845E0000}"/>
    <cellStyle name="제목 2 20 5" xfId="24175" xr:uid="{00000000-0005-0000-0000-0000855E0000}"/>
    <cellStyle name="제목 2 20 6" xfId="24176" xr:uid="{00000000-0005-0000-0000-0000865E0000}"/>
    <cellStyle name="제목 2 20 7" xfId="24177" xr:uid="{00000000-0005-0000-0000-0000875E0000}"/>
    <cellStyle name="제목 2 20 8" xfId="24178" xr:uid="{00000000-0005-0000-0000-0000885E0000}"/>
    <cellStyle name="제목 2 20 9" xfId="24179" xr:uid="{00000000-0005-0000-0000-0000895E0000}"/>
    <cellStyle name="제목 2 21" xfId="3107" xr:uid="{00000000-0005-0000-0000-00008A5E0000}"/>
    <cellStyle name="제목 2 21 10" xfId="24181" xr:uid="{00000000-0005-0000-0000-00008B5E0000}"/>
    <cellStyle name="제목 2 21 11" xfId="24182" xr:uid="{00000000-0005-0000-0000-00008C5E0000}"/>
    <cellStyle name="제목 2 21 12" xfId="24183" xr:uid="{00000000-0005-0000-0000-00008D5E0000}"/>
    <cellStyle name="제목 2 21 13" xfId="24184" xr:uid="{00000000-0005-0000-0000-00008E5E0000}"/>
    <cellStyle name="제목 2 21 14" xfId="24185" xr:uid="{00000000-0005-0000-0000-00008F5E0000}"/>
    <cellStyle name="제목 2 21 15" xfId="24180" xr:uid="{00000000-0005-0000-0000-0000905E0000}"/>
    <cellStyle name="제목 2 21 2" xfId="3108" xr:uid="{00000000-0005-0000-0000-0000915E0000}"/>
    <cellStyle name="제목 2 21 2 2" xfId="24186" xr:uid="{00000000-0005-0000-0000-0000925E0000}"/>
    <cellStyle name="제목 2 21 3" xfId="24187" xr:uid="{00000000-0005-0000-0000-0000935E0000}"/>
    <cellStyle name="제목 2 21 4" xfId="24188" xr:uid="{00000000-0005-0000-0000-0000945E0000}"/>
    <cellStyle name="제목 2 21 5" xfId="24189" xr:uid="{00000000-0005-0000-0000-0000955E0000}"/>
    <cellStyle name="제목 2 21 6" xfId="24190" xr:uid="{00000000-0005-0000-0000-0000965E0000}"/>
    <cellStyle name="제목 2 21 7" xfId="24191" xr:uid="{00000000-0005-0000-0000-0000975E0000}"/>
    <cellStyle name="제목 2 21 8" xfId="24192" xr:uid="{00000000-0005-0000-0000-0000985E0000}"/>
    <cellStyle name="제목 2 21 9" xfId="24193" xr:uid="{00000000-0005-0000-0000-0000995E0000}"/>
    <cellStyle name="제목 2 22" xfId="3109" xr:uid="{00000000-0005-0000-0000-00009A5E0000}"/>
    <cellStyle name="제목 2 22 10" xfId="24195" xr:uid="{00000000-0005-0000-0000-00009B5E0000}"/>
    <cellStyle name="제목 2 22 11" xfId="24196" xr:uid="{00000000-0005-0000-0000-00009C5E0000}"/>
    <cellStyle name="제목 2 22 12" xfId="24197" xr:uid="{00000000-0005-0000-0000-00009D5E0000}"/>
    <cellStyle name="제목 2 22 13" xfId="24198" xr:uid="{00000000-0005-0000-0000-00009E5E0000}"/>
    <cellStyle name="제목 2 22 14" xfId="24199" xr:uid="{00000000-0005-0000-0000-00009F5E0000}"/>
    <cellStyle name="제목 2 22 15" xfId="24194" xr:uid="{00000000-0005-0000-0000-0000A05E0000}"/>
    <cellStyle name="제목 2 22 2" xfId="3110" xr:uid="{00000000-0005-0000-0000-0000A15E0000}"/>
    <cellStyle name="제목 2 22 2 2" xfId="24200" xr:uid="{00000000-0005-0000-0000-0000A25E0000}"/>
    <cellStyle name="제목 2 22 3" xfId="24201" xr:uid="{00000000-0005-0000-0000-0000A35E0000}"/>
    <cellStyle name="제목 2 22 4" xfId="24202" xr:uid="{00000000-0005-0000-0000-0000A45E0000}"/>
    <cellStyle name="제목 2 22 5" xfId="24203" xr:uid="{00000000-0005-0000-0000-0000A55E0000}"/>
    <cellStyle name="제목 2 22 6" xfId="24204" xr:uid="{00000000-0005-0000-0000-0000A65E0000}"/>
    <cellStyle name="제목 2 22 7" xfId="24205" xr:uid="{00000000-0005-0000-0000-0000A75E0000}"/>
    <cellStyle name="제목 2 22 8" xfId="24206" xr:uid="{00000000-0005-0000-0000-0000A85E0000}"/>
    <cellStyle name="제목 2 22 9" xfId="24207" xr:uid="{00000000-0005-0000-0000-0000A95E0000}"/>
    <cellStyle name="제목 2 23" xfId="3111" xr:uid="{00000000-0005-0000-0000-0000AA5E0000}"/>
    <cellStyle name="제목 2 23 10" xfId="24209" xr:uid="{00000000-0005-0000-0000-0000AB5E0000}"/>
    <cellStyle name="제목 2 23 11" xfId="24210" xr:uid="{00000000-0005-0000-0000-0000AC5E0000}"/>
    <cellStyle name="제목 2 23 12" xfId="24211" xr:uid="{00000000-0005-0000-0000-0000AD5E0000}"/>
    <cellStyle name="제목 2 23 13" xfId="24212" xr:uid="{00000000-0005-0000-0000-0000AE5E0000}"/>
    <cellStyle name="제목 2 23 14" xfId="24213" xr:uid="{00000000-0005-0000-0000-0000AF5E0000}"/>
    <cellStyle name="제목 2 23 15" xfId="24208" xr:uid="{00000000-0005-0000-0000-0000B05E0000}"/>
    <cellStyle name="제목 2 23 2" xfId="3112" xr:uid="{00000000-0005-0000-0000-0000B15E0000}"/>
    <cellStyle name="제목 2 23 2 2" xfId="24214" xr:uid="{00000000-0005-0000-0000-0000B25E0000}"/>
    <cellStyle name="제목 2 23 3" xfId="24215" xr:uid="{00000000-0005-0000-0000-0000B35E0000}"/>
    <cellStyle name="제목 2 23 4" xfId="24216" xr:uid="{00000000-0005-0000-0000-0000B45E0000}"/>
    <cellStyle name="제목 2 23 5" xfId="24217" xr:uid="{00000000-0005-0000-0000-0000B55E0000}"/>
    <cellStyle name="제목 2 23 6" xfId="24218" xr:uid="{00000000-0005-0000-0000-0000B65E0000}"/>
    <cellStyle name="제목 2 23 7" xfId="24219" xr:uid="{00000000-0005-0000-0000-0000B75E0000}"/>
    <cellStyle name="제목 2 23 8" xfId="24220" xr:uid="{00000000-0005-0000-0000-0000B85E0000}"/>
    <cellStyle name="제목 2 23 9" xfId="24221" xr:uid="{00000000-0005-0000-0000-0000B95E0000}"/>
    <cellStyle name="제목 2 24" xfId="3113" xr:uid="{00000000-0005-0000-0000-0000BA5E0000}"/>
    <cellStyle name="제목 2 24 10" xfId="24223" xr:uid="{00000000-0005-0000-0000-0000BB5E0000}"/>
    <cellStyle name="제목 2 24 11" xfId="24224" xr:uid="{00000000-0005-0000-0000-0000BC5E0000}"/>
    <cellStyle name="제목 2 24 12" xfId="24225" xr:uid="{00000000-0005-0000-0000-0000BD5E0000}"/>
    <cellStyle name="제목 2 24 13" xfId="24226" xr:uid="{00000000-0005-0000-0000-0000BE5E0000}"/>
    <cellStyle name="제목 2 24 14" xfId="24227" xr:uid="{00000000-0005-0000-0000-0000BF5E0000}"/>
    <cellStyle name="제목 2 24 15" xfId="24222" xr:uid="{00000000-0005-0000-0000-0000C05E0000}"/>
    <cellStyle name="제목 2 24 2" xfId="3114" xr:uid="{00000000-0005-0000-0000-0000C15E0000}"/>
    <cellStyle name="제목 2 24 2 2" xfId="24228" xr:uid="{00000000-0005-0000-0000-0000C25E0000}"/>
    <cellStyle name="제목 2 24 3" xfId="24229" xr:uid="{00000000-0005-0000-0000-0000C35E0000}"/>
    <cellStyle name="제목 2 24 4" xfId="24230" xr:uid="{00000000-0005-0000-0000-0000C45E0000}"/>
    <cellStyle name="제목 2 24 5" xfId="24231" xr:uid="{00000000-0005-0000-0000-0000C55E0000}"/>
    <cellStyle name="제목 2 24 6" xfId="24232" xr:uid="{00000000-0005-0000-0000-0000C65E0000}"/>
    <cellStyle name="제목 2 24 7" xfId="24233" xr:uid="{00000000-0005-0000-0000-0000C75E0000}"/>
    <cellStyle name="제목 2 24 8" xfId="24234" xr:uid="{00000000-0005-0000-0000-0000C85E0000}"/>
    <cellStyle name="제목 2 24 9" xfId="24235" xr:uid="{00000000-0005-0000-0000-0000C95E0000}"/>
    <cellStyle name="제목 2 25" xfId="3115" xr:uid="{00000000-0005-0000-0000-0000CA5E0000}"/>
    <cellStyle name="제목 2 25 10" xfId="24237" xr:uid="{00000000-0005-0000-0000-0000CB5E0000}"/>
    <cellStyle name="제목 2 25 11" xfId="24238" xr:uid="{00000000-0005-0000-0000-0000CC5E0000}"/>
    <cellStyle name="제목 2 25 12" xfId="24239" xr:uid="{00000000-0005-0000-0000-0000CD5E0000}"/>
    <cellStyle name="제목 2 25 13" xfId="24240" xr:uid="{00000000-0005-0000-0000-0000CE5E0000}"/>
    <cellStyle name="제목 2 25 14" xfId="24241" xr:uid="{00000000-0005-0000-0000-0000CF5E0000}"/>
    <cellStyle name="제목 2 25 15" xfId="24236" xr:uid="{00000000-0005-0000-0000-0000D05E0000}"/>
    <cellStyle name="제목 2 25 2" xfId="3116" xr:uid="{00000000-0005-0000-0000-0000D15E0000}"/>
    <cellStyle name="제목 2 25 2 2" xfId="24242" xr:uid="{00000000-0005-0000-0000-0000D25E0000}"/>
    <cellStyle name="제목 2 25 3" xfId="24243" xr:uid="{00000000-0005-0000-0000-0000D35E0000}"/>
    <cellStyle name="제목 2 25 4" xfId="24244" xr:uid="{00000000-0005-0000-0000-0000D45E0000}"/>
    <cellStyle name="제목 2 25 5" xfId="24245" xr:uid="{00000000-0005-0000-0000-0000D55E0000}"/>
    <cellStyle name="제목 2 25 6" xfId="24246" xr:uid="{00000000-0005-0000-0000-0000D65E0000}"/>
    <cellStyle name="제목 2 25 7" xfId="24247" xr:uid="{00000000-0005-0000-0000-0000D75E0000}"/>
    <cellStyle name="제목 2 25 8" xfId="24248" xr:uid="{00000000-0005-0000-0000-0000D85E0000}"/>
    <cellStyle name="제목 2 25 9" xfId="24249" xr:uid="{00000000-0005-0000-0000-0000D95E0000}"/>
    <cellStyle name="제목 2 26" xfId="3117" xr:uid="{00000000-0005-0000-0000-0000DA5E0000}"/>
    <cellStyle name="제목 2 26 10" xfId="24251" xr:uid="{00000000-0005-0000-0000-0000DB5E0000}"/>
    <cellStyle name="제목 2 26 11" xfId="24252" xr:uid="{00000000-0005-0000-0000-0000DC5E0000}"/>
    <cellStyle name="제목 2 26 12" xfId="24253" xr:uid="{00000000-0005-0000-0000-0000DD5E0000}"/>
    <cellStyle name="제목 2 26 13" xfId="24254" xr:uid="{00000000-0005-0000-0000-0000DE5E0000}"/>
    <cellStyle name="제목 2 26 14" xfId="24255" xr:uid="{00000000-0005-0000-0000-0000DF5E0000}"/>
    <cellStyle name="제목 2 26 15" xfId="24250" xr:uid="{00000000-0005-0000-0000-0000E05E0000}"/>
    <cellStyle name="제목 2 26 2" xfId="3118" xr:uid="{00000000-0005-0000-0000-0000E15E0000}"/>
    <cellStyle name="제목 2 26 2 2" xfId="24256" xr:uid="{00000000-0005-0000-0000-0000E25E0000}"/>
    <cellStyle name="제목 2 26 3" xfId="24257" xr:uid="{00000000-0005-0000-0000-0000E35E0000}"/>
    <cellStyle name="제목 2 26 4" xfId="24258" xr:uid="{00000000-0005-0000-0000-0000E45E0000}"/>
    <cellStyle name="제목 2 26 5" xfId="24259" xr:uid="{00000000-0005-0000-0000-0000E55E0000}"/>
    <cellStyle name="제목 2 26 6" xfId="24260" xr:uid="{00000000-0005-0000-0000-0000E65E0000}"/>
    <cellStyle name="제목 2 26 7" xfId="24261" xr:uid="{00000000-0005-0000-0000-0000E75E0000}"/>
    <cellStyle name="제목 2 26 8" xfId="24262" xr:uid="{00000000-0005-0000-0000-0000E85E0000}"/>
    <cellStyle name="제목 2 26 9" xfId="24263" xr:uid="{00000000-0005-0000-0000-0000E95E0000}"/>
    <cellStyle name="제목 2 27" xfId="3119" xr:uid="{00000000-0005-0000-0000-0000EA5E0000}"/>
    <cellStyle name="제목 2 27 10" xfId="24265" xr:uid="{00000000-0005-0000-0000-0000EB5E0000}"/>
    <cellStyle name="제목 2 27 11" xfId="24266" xr:uid="{00000000-0005-0000-0000-0000EC5E0000}"/>
    <cellStyle name="제목 2 27 12" xfId="24267" xr:uid="{00000000-0005-0000-0000-0000ED5E0000}"/>
    <cellStyle name="제목 2 27 13" xfId="24268" xr:uid="{00000000-0005-0000-0000-0000EE5E0000}"/>
    <cellStyle name="제목 2 27 14" xfId="24269" xr:uid="{00000000-0005-0000-0000-0000EF5E0000}"/>
    <cellStyle name="제목 2 27 15" xfId="24264" xr:uid="{00000000-0005-0000-0000-0000F05E0000}"/>
    <cellStyle name="제목 2 27 2" xfId="3120" xr:uid="{00000000-0005-0000-0000-0000F15E0000}"/>
    <cellStyle name="제목 2 27 2 2" xfId="24270" xr:uid="{00000000-0005-0000-0000-0000F25E0000}"/>
    <cellStyle name="제목 2 27 3" xfId="24271" xr:uid="{00000000-0005-0000-0000-0000F35E0000}"/>
    <cellStyle name="제목 2 27 4" xfId="24272" xr:uid="{00000000-0005-0000-0000-0000F45E0000}"/>
    <cellStyle name="제목 2 27 5" xfId="24273" xr:uid="{00000000-0005-0000-0000-0000F55E0000}"/>
    <cellStyle name="제목 2 27 6" xfId="24274" xr:uid="{00000000-0005-0000-0000-0000F65E0000}"/>
    <cellStyle name="제목 2 27 7" xfId="24275" xr:uid="{00000000-0005-0000-0000-0000F75E0000}"/>
    <cellStyle name="제목 2 27 8" xfId="24276" xr:uid="{00000000-0005-0000-0000-0000F85E0000}"/>
    <cellStyle name="제목 2 27 9" xfId="24277" xr:uid="{00000000-0005-0000-0000-0000F95E0000}"/>
    <cellStyle name="제목 2 28" xfId="3121" xr:uid="{00000000-0005-0000-0000-0000FA5E0000}"/>
    <cellStyle name="제목 2 28 10" xfId="24279" xr:uid="{00000000-0005-0000-0000-0000FB5E0000}"/>
    <cellStyle name="제목 2 28 11" xfId="24280" xr:uid="{00000000-0005-0000-0000-0000FC5E0000}"/>
    <cellStyle name="제목 2 28 12" xfId="24281" xr:uid="{00000000-0005-0000-0000-0000FD5E0000}"/>
    <cellStyle name="제목 2 28 13" xfId="24282" xr:uid="{00000000-0005-0000-0000-0000FE5E0000}"/>
    <cellStyle name="제목 2 28 14" xfId="24283" xr:uid="{00000000-0005-0000-0000-0000FF5E0000}"/>
    <cellStyle name="제목 2 28 15" xfId="24278" xr:uid="{00000000-0005-0000-0000-0000005F0000}"/>
    <cellStyle name="제목 2 28 2" xfId="3122" xr:uid="{00000000-0005-0000-0000-0000015F0000}"/>
    <cellStyle name="제목 2 28 2 2" xfId="24284" xr:uid="{00000000-0005-0000-0000-0000025F0000}"/>
    <cellStyle name="제목 2 28 3" xfId="24285" xr:uid="{00000000-0005-0000-0000-0000035F0000}"/>
    <cellStyle name="제목 2 28 4" xfId="24286" xr:uid="{00000000-0005-0000-0000-0000045F0000}"/>
    <cellStyle name="제목 2 28 5" xfId="24287" xr:uid="{00000000-0005-0000-0000-0000055F0000}"/>
    <cellStyle name="제목 2 28 6" xfId="24288" xr:uid="{00000000-0005-0000-0000-0000065F0000}"/>
    <cellStyle name="제목 2 28 7" xfId="24289" xr:uid="{00000000-0005-0000-0000-0000075F0000}"/>
    <cellStyle name="제목 2 28 8" xfId="24290" xr:uid="{00000000-0005-0000-0000-0000085F0000}"/>
    <cellStyle name="제목 2 28 9" xfId="24291" xr:uid="{00000000-0005-0000-0000-0000095F0000}"/>
    <cellStyle name="제목 2 29" xfId="3123" xr:uid="{00000000-0005-0000-0000-00000A5F0000}"/>
    <cellStyle name="제목 2 29 10" xfId="24293" xr:uid="{00000000-0005-0000-0000-00000B5F0000}"/>
    <cellStyle name="제목 2 29 11" xfId="24294" xr:uid="{00000000-0005-0000-0000-00000C5F0000}"/>
    <cellStyle name="제목 2 29 12" xfId="24295" xr:uid="{00000000-0005-0000-0000-00000D5F0000}"/>
    <cellStyle name="제목 2 29 13" xfId="24296" xr:uid="{00000000-0005-0000-0000-00000E5F0000}"/>
    <cellStyle name="제목 2 29 14" xfId="24297" xr:uid="{00000000-0005-0000-0000-00000F5F0000}"/>
    <cellStyle name="제목 2 29 15" xfId="24292" xr:uid="{00000000-0005-0000-0000-0000105F0000}"/>
    <cellStyle name="제목 2 29 2" xfId="3124" xr:uid="{00000000-0005-0000-0000-0000115F0000}"/>
    <cellStyle name="제목 2 29 2 2" xfId="24298" xr:uid="{00000000-0005-0000-0000-0000125F0000}"/>
    <cellStyle name="제목 2 29 3" xfId="24299" xr:uid="{00000000-0005-0000-0000-0000135F0000}"/>
    <cellStyle name="제목 2 29 4" xfId="24300" xr:uid="{00000000-0005-0000-0000-0000145F0000}"/>
    <cellStyle name="제목 2 29 5" xfId="24301" xr:uid="{00000000-0005-0000-0000-0000155F0000}"/>
    <cellStyle name="제목 2 29 6" xfId="24302" xr:uid="{00000000-0005-0000-0000-0000165F0000}"/>
    <cellStyle name="제목 2 29 7" xfId="24303" xr:uid="{00000000-0005-0000-0000-0000175F0000}"/>
    <cellStyle name="제목 2 29 8" xfId="24304" xr:uid="{00000000-0005-0000-0000-0000185F0000}"/>
    <cellStyle name="제목 2 29 9" xfId="24305" xr:uid="{00000000-0005-0000-0000-0000195F0000}"/>
    <cellStyle name="제목 2 3" xfId="3125" xr:uid="{00000000-0005-0000-0000-00001A5F0000}"/>
    <cellStyle name="제목 2 3 10" xfId="24307" xr:uid="{00000000-0005-0000-0000-00001B5F0000}"/>
    <cellStyle name="제목 2 3 11" xfId="24308" xr:uid="{00000000-0005-0000-0000-00001C5F0000}"/>
    <cellStyle name="제목 2 3 12" xfId="24309" xr:uid="{00000000-0005-0000-0000-00001D5F0000}"/>
    <cellStyle name="제목 2 3 13" xfId="24310" xr:uid="{00000000-0005-0000-0000-00001E5F0000}"/>
    <cellStyle name="제목 2 3 14" xfId="24311" xr:uid="{00000000-0005-0000-0000-00001F5F0000}"/>
    <cellStyle name="제목 2 3 15" xfId="24306" xr:uid="{00000000-0005-0000-0000-0000205F0000}"/>
    <cellStyle name="제목 2 3 16" xfId="28226" xr:uid="{00000000-0005-0000-0000-0000215F0000}"/>
    <cellStyle name="제목 2 3 2" xfId="3126" xr:uid="{00000000-0005-0000-0000-0000225F0000}"/>
    <cellStyle name="제목 2 3 2 2" xfId="24312" xr:uid="{00000000-0005-0000-0000-0000235F0000}"/>
    <cellStyle name="제목 2 3 3" xfId="24313" xr:uid="{00000000-0005-0000-0000-0000245F0000}"/>
    <cellStyle name="제목 2 3 4" xfId="24314" xr:uid="{00000000-0005-0000-0000-0000255F0000}"/>
    <cellStyle name="제목 2 3 5" xfId="24315" xr:uid="{00000000-0005-0000-0000-0000265F0000}"/>
    <cellStyle name="제목 2 3 6" xfId="24316" xr:uid="{00000000-0005-0000-0000-0000275F0000}"/>
    <cellStyle name="제목 2 3 7" xfId="24317" xr:uid="{00000000-0005-0000-0000-0000285F0000}"/>
    <cellStyle name="제목 2 3 8" xfId="24318" xr:uid="{00000000-0005-0000-0000-0000295F0000}"/>
    <cellStyle name="제목 2 3 9" xfId="24319" xr:uid="{00000000-0005-0000-0000-00002A5F0000}"/>
    <cellStyle name="제목 2 30" xfId="3127" xr:uid="{00000000-0005-0000-0000-00002B5F0000}"/>
    <cellStyle name="제목 2 30 10" xfId="24321" xr:uid="{00000000-0005-0000-0000-00002C5F0000}"/>
    <cellStyle name="제목 2 30 11" xfId="24322" xr:uid="{00000000-0005-0000-0000-00002D5F0000}"/>
    <cellStyle name="제목 2 30 12" xfId="24323" xr:uid="{00000000-0005-0000-0000-00002E5F0000}"/>
    <cellStyle name="제목 2 30 13" xfId="24324" xr:uid="{00000000-0005-0000-0000-00002F5F0000}"/>
    <cellStyle name="제목 2 30 14" xfId="24325" xr:uid="{00000000-0005-0000-0000-0000305F0000}"/>
    <cellStyle name="제목 2 30 15" xfId="24320" xr:uid="{00000000-0005-0000-0000-0000315F0000}"/>
    <cellStyle name="제목 2 30 2" xfId="3128" xr:uid="{00000000-0005-0000-0000-0000325F0000}"/>
    <cellStyle name="제목 2 30 2 2" xfId="24326" xr:uid="{00000000-0005-0000-0000-0000335F0000}"/>
    <cellStyle name="제목 2 30 3" xfId="24327" xr:uid="{00000000-0005-0000-0000-0000345F0000}"/>
    <cellStyle name="제목 2 30 4" xfId="24328" xr:uid="{00000000-0005-0000-0000-0000355F0000}"/>
    <cellStyle name="제목 2 30 5" xfId="24329" xr:uid="{00000000-0005-0000-0000-0000365F0000}"/>
    <cellStyle name="제목 2 30 6" xfId="24330" xr:uid="{00000000-0005-0000-0000-0000375F0000}"/>
    <cellStyle name="제목 2 30 7" xfId="24331" xr:uid="{00000000-0005-0000-0000-0000385F0000}"/>
    <cellStyle name="제목 2 30 8" xfId="24332" xr:uid="{00000000-0005-0000-0000-0000395F0000}"/>
    <cellStyle name="제목 2 30 9" xfId="24333" xr:uid="{00000000-0005-0000-0000-00003A5F0000}"/>
    <cellStyle name="제목 2 31" xfId="3129" xr:uid="{00000000-0005-0000-0000-00003B5F0000}"/>
    <cellStyle name="제목 2 31 10" xfId="24335" xr:uid="{00000000-0005-0000-0000-00003C5F0000}"/>
    <cellStyle name="제목 2 31 11" xfId="24336" xr:uid="{00000000-0005-0000-0000-00003D5F0000}"/>
    <cellStyle name="제목 2 31 12" xfId="24337" xr:uid="{00000000-0005-0000-0000-00003E5F0000}"/>
    <cellStyle name="제목 2 31 13" xfId="24338" xr:uid="{00000000-0005-0000-0000-00003F5F0000}"/>
    <cellStyle name="제목 2 31 14" xfId="24339" xr:uid="{00000000-0005-0000-0000-0000405F0000}"/>
    <cellStyle name="제목 2 31 15" xfId="24334" xr:uid="{00000000-0005-0000-0000-0000415F0000}"/>
    <cellStyle name="제목 2 31 2" xfId="3130" xr:uid="{00000000-0005-0000-0000-0000425F0000}"/>
    <cellStyle name="제목 2 31 2 2" xfId="24340" xr:uid="{00000000-0005-0000-0000-0000435F0000}"/>
    <cellStyle name="제목 2 31 3" xfId="24341" xr:uid="{00000000-0005-0000-0000-0000445F0000}"/>
    <cellStyle name="제목 2 31 4" xfId="24342" xr:uid="{00000000-0005-0000-0000-0000455F0000}"/>
    <cellStyle name="제목 2 31 5" xfId="24343" xr:uid="{00000000-0005-0000-0000-0000465F0000}"/>
    <cellStyle name="제목 2 31 6" xfId="24344" xr:uid="{00000000-0005-0000-0000-0000475F0000}"/>
    <cellStyle name="제목 2 31 7" xfId="24345" xr:uid="{00000000-0005-0000-0000-0000485F0000}"/>
    <cellStyle name="제목 2 31 8" xfId="24346" xr:uid="{00000000-0005-0000-0000-0000495F0000}"/>
    <cellStyle name="제목 2 31 9" xfId="24347" xr:uid="{00000000-0005-0000-0000-00004A5F0000}"/>
    <cellStyle name="제목 2 32" xfId="3131" xr:uid="{00000000-0005-0000-0000-00004B5F0000}"/>
    <cellStyle name="제목 2 32 10" xfId="24349" xr:uid="{00000000-0005-0000-0000-00004C5F0000}"/>
    <cellStyle name="제목 2 32 11" xfId="24350" xr:uid="{00000000-0005-0000-0000-00004D5F0000}"/>
    <cellStyle name="제목 2 32 12" xfId="24351" xr:uid="{00000000-0005-0000-0000-00004E5F0000}"/>
    <cellStyle name="제목 2 32 13" xfId="24352" xr:uid="{00000000-0005-0000-0000-00004F5F0000}"/>
    <cellStyle name="제목 2 32 14" xfId="24353" xr:uid="{00000000-0005-0000-0000-0000505F0000}"/>
    <cellStyle name="제목 2 32 15" xfId="24348" xr:uid="{00000000-0005-0000-0000-0000515F0000}"/>
    <cellStyle name="제목 2 32 2" xfId="3132" xr:uid="{00000000-0005-0000-0000-0000525F0000}"/>
    <cellStyle name="제목 2 32 2 2" xfId="24354" xr:uid="{00000000-0005-0000-0000-0000535F0000}"/>
    <cellStyle name="제목 2 32 3" xfId="24355" xr:uid="{00000000-0005-0000-0000-0000545F0000}"/>
    <cellStyle name="제목 2 32 4" xfId="24356" xr:uid="{00000000-0005-0000-0000-0000555F0000}"/>
    <cellStyle name="제목 2 32 5" xfId="24357" xr:uid="{00000000-0005-0000-0000-0000565F0000}"/>
    <cellStyle name="제목 2 32 6" xfId="24358" xr:uid="{00000000-0005-0000-0000-0000575F0000}"/>
    <cellStyle name="제목 2 32 7" xfId="24359" xr:uid="{00000000-0005-0000-0000-0000585F0000}"/>
    <cellStyle name="제목 2 32 8" xfId="24360" xr:uid="{00000000-0005-0000-0000-0000595F0000}"/>
    <cellStyle name="제목 2 32 9" xfId="24361" xr:uid="{00000000-0005-0000-0000-00005A5F0000}"/>
    <cellStyle name="제목 2 33" xfId="3133" xr:uid="{00000000-0005-0000-0000-00005B5F0000}"/>
    <cellStyle name="제목 2 33 10" xfId="24363" xr:uid="{00000000-0005-0000-0000-00005C5F0000}"/>
    <cellStyle name="제목 2 33 11" xfId="24364" xr:uid="{00000000-0005-0000-0000-00005D5F0000}"/>
    <cellStyle name="제목 2 33 12" xfId="24365" xr:uid="{00000000-0005-0000-0000-00005E5F0000}"/>
    <cellStyle name="제목 2 33 13" xfId="24366" xr:uid="{00000000-0005-0000-0000-00005F5F0000}"/>
    <cellStyle name="제목 2 33 14" xfId="24367" xr:uid="{00000000-0005-0000-0000-0000605F0000}"/>
    <cellStyle name="제목 2 33 15" xfId="24362" xr:uid="{00000000-0005-0000-0000-0000615F0000}"/>
    <cellStyle name="제목 2 33 2" xfId="3134" xr:uid="{00000000-0005-0000-0000-0000625F0000}"/>
    <cellStyle name="제목 2 33 2 2" xfId="24368" xr:uid="{00000000-0005-0000-0000-0000635F0000}"/>
    <cellStyle name="제목 2 33 3" xfId="24369" xr:uid="{00000000-0005-0000-0000-0000645F0000}"/>
    <cellStyle name="제목 2 33 4" xfId="24370" xr:uid="{00000000-0005-0000-0000-0000655F0000}"/>
    <cellStyle name="제목 2 33 5" xfId="24371" xr:uid="{00000000-0005-0000-0000-0000665F0000}"/>
    <cellStyle name="제목 2 33 6" xfId="24372" xr:uid="{00000000-0005-0000-0000-0000675F0000}"/>
    <cellStyle name="제목 2 33 7" xfId="24373" xr:uid="{00000000-0005-0000-0000-0000685F0000}"/>
    <cellStyle name="제목 2 33 8" xfId="24374" xr:uid="{00000000-0005-0000-0000-0000695F0000}"/>
    <cellStyle name="제목 2 33 9" xfId="24375" xr:uid="{00000000-0005-0000-0000-00006A5F0000}"/>
    <cellStyle name="제목 2 34" xfId="3135" xr:uid="{00000000-0005-0000-0000-00006B5F0000}"/>
    <cellStyle name="제목 2 34 10" xfId="24377" xr:uid="{00000000-0005-0000-0000-00006C5F0000}"/>
    <cellStyle name="제목 2 34 11" xfId="24378" xr:uid="{00000000-0005-0000-0000-00006D5F0000}"/>
    <cellStyle name="제목 2 34 12" xfId="24379" xr:uid="{00000000-0005-0000-0000-00006E5F0000}"/>
    <cellStyle name="제목 2 34 13" xfId="24380" xr:uid="{00000000-0005-0000-0000-00006F5F0000}"/>
    <cellStyle name="제목 2 34 14" xfId="24381" xr:uid="{00000000-0005-0000-0000-0000705F0000}"/>
    <cellStyle name="제목 2 34 15" xfId="24376" xr:uid="{00000000-0005-0000-0000-0000715F0000}"/>
    <cellStyle name="제목 2 34 2" xfId="3136" xr:uid="{00000000-0005-0000-0000-0000725F0000}"/>
    <cellStyle name="제목 2 34 2 2" xfId="24382" xr:uid="{00000000-0005-0000-0000-0000735F0000}"/>
    <cellStyle name="제목 2 34 3" xfId="24383" xr:uid="{00000000-0005-0000-0000-0000745F0000}"/>
    <cellStyle name="제목 2 34 4" xfId="24384" xr:uid="{00000000-0005-0000-0000-0000755F0000}"/>
    <cellStyle name="제목 2 34 5" xfId="24385" xr:uid="{00000000-0005-0000-0000-0000765F0000}"/>
    <cellStyle name="제목 2 34 6" xfId="24386" xr:uid="{00000000-0005-0000-0000-0000775F0000}"/>
    <cellStyle name="제목 2 34 7" xfId="24387" xr:uid="{00000000-0005-0000-0000-0000785F0000}"/>
    <cellStyle name="제목 2 34 8" xfId="24388" xr:uid="{00000000-0005-0000-0000-0000795F0000}"/>
    <cellStyle name="제목 2 34 9" xfId="24389" xr:uid="{00000000-0005-0000-0000-00007A5F0000}"/>
    <cellStyle name="제목 2 35" xfId="3137" xr:uid="{00000000-0005-0000-0000-00007B5F0000}"/>
    <cellStyle name="제목 2 35 10" xfId="24391" xr:uid="{00000000-0005-0000-0000-00007C5F0000}"/>
    <cellStyle name="제목 2 35 11" xfId="24392" xr:uid="{00000000-0005-0000-0000-00007D5F0000}"/>
    <cellStyle name="제목 2 35 12" xfId="24393" xr:uid="{00000000-0005-0000-0000-00007E5F0000}"/>
    <cellStyle name="제목 2 35 13" xfId="24394" xr:uid="{00000000-0005-0000-0000-00007F5F0000}"/>
    <cellStyle name="제목 2 35 14" xfId="24395" xr:uid="{00000000-0005-0000-0000-0000805F0000}"/>
    <cellStyle name="제목 2 35 15" xfId="24390" xr:uid="{00000000-0005-0000-0000-0000815F0000}"/>
    <cellStyle name="제목 2 35 2" xfId="3138" xr:uid="{00000000-0005-0000-0000-0000825F0000}"/>
    <cellStyle name="제목 2 35 2 2" xfId="24396" xr:uid="{00000000-0005-0000-0000-0000835F0000}"/>
    <cellStyle name="제목 2 35 3" xfId="24397" xr:uid="{00000000-0005-0000-0000-0000845F0000}"/>
    <cellStyle name="제목 2 35 4" xfId="24398" xr:uid="{00000000-0005-0000-0000-0000855F0000}"/>
    <cellStyle name="제목 2 35 5" xfId="24399" xr:uid="{00000000-0005-0000-0000-0000865F0000}"/>
    <cellStyle name="제목 2 35 6" xfId="24400" xr:uid="{00000000-0005-0000-0000-0000875F0000}"/>
    <cellStyle name="제목 2 35 7" xfId="24401" xr:uid="{00000000-0005-0000-0000-0000885F0000}"/>
    <cellStyle name="제목 2 35 8" xfId="24402" xr:uid="{00000000-0005-0000-0000-0000895F0000}"/>
    <cellStyle name="제목 2 35 9" xfId="24403" xr:uid="{00000000-0005-0000-0000-00008A5F0000}"/>
    <cellStyle name="제목 2 36" xfId="3139" xr:uid="{00000000-0005-0000-0000-00008B5F0000}"/>
    <cellStyle name="제목 2 36 10" xfId="24405" xr:uid="{00000000-0005-0000-0000-00008C5F0000}"/>
    <cellStyle name="제목 2 36 11" xfId="24406" xr:uid="{00000000-0005-0000-0000-00008D5F0000}"/>
    <cellStyle name="제목 2 36 12" xfId="24407" xr:uid="{00000000-0005-0000-0000-00008E5F0000}"/>
    <cellStyle name="제목 2 36 13" xfId="24408" xr:uid="{00000000-0005-0000-0000-00008F5F0000}"/>
    <cellStyle name="제목 2 36 14" xfId="24409" xr:uid="{00000000-0005-0000-0000-0000905F0000}"/>
    <cellStyle name="제목 2 36 15" xfId="24404" xr:uid="{00000000-0005-0000-0000-0000915F0000}"/>
    <cellStyle name="제목 2 36 2" xfId="3140" xr:uid="{00000000-0005-0000-0000-0000925F0000}"/>
    <cellStyle name="제목 2 36 2 2" xfId="24410" xr:uid="{00000000-0005-0000-0000-0000935F0000}"/>
    <cellStyle name="제목 2 36 3" xfId="24411" xr:uid="{00000000-0005-0000-0000-0000945F0000}"/>
    <cellStyle name="제목 2 36 4" xfId="24412" xr:uid="{00000000-0005-0000-0000-0000955F0000}"/>
    <cellStyle name="제목 2 36 5" xfId="24413" xr:uid="{00000000-0005-0000-0000-0000965F0000}"/>
    <cellStyle name="제목 2 36 6" xfId="24414" xr:uid="{00000000-0005-0000-0000-0000975F0000}"/>
    <cellStyle name="제목 2 36 7" xfId="24415" xr:uid="{00000000-0005-0000-0000-0000985F0000}"/>
    <cellStyle name="제목 2 36 8" xfId="24416" xr:uid="{00000000-0005-0000-0000-0000995F0000}"/>
    <cellStyle name="제목 2 36 9" xfId="24417" xr:uid="{00000000-0005-0000-0000-00009A5F0000}"/>
    <cellStyle name="제목 2 37" xfId="3141" xr:uid="{00000000-0005-0000-0000-00009B5F0000}"/>
    <cellStyle name="제목 2 37 10" xfId="24419" xr:uid="{00000000-0005-0000-0000-00009C5F0000}"/>
    <cellStyle name="제목 2 37 11" xfId="24420" xr:uid="{00000000-0005-0000-0000-00009D5F0000}"/>
    <cellStyle name="제목 2 37 12" xfId="24421" xr:uid="{00000000-0005-0000-0000-00009E5F0000}"/>
    <cellStyle name="제목 2 37 13" xfId="24422" xr:uid="{00000000-0005-0000-0000-00009F5F0000}"/>
    <cellStyle name="제목 2 37 14" xfId="24423" xr:uid="{00000000-0005-0000-0000-0000A05F0000}"/>
    <cellStyle name="제목 2 37 15" xfId="24418" xr:uid="{00000000-0005-0000-0000-0000A15F0000}"/>
    <cellStyle name="제목 2 37 2" xfId="3142" xr:uid="{00000000-0005-0000-0000-0000A25F0000}"/>
    <cellStyle name="제목 2 37 2 2" xfId="24424" xr:uid="{00000000-0005-0000-0000-0000A35F0000}"/>
    <cellStyle name="제목 2 37 3" xfId="24425" xr:uid="{00000000-0005-0000-0000-0000A45F0000}"/>
    <cellStyle name="제목 2 37 4" xfId="24426" xr:uid="{00000000-0005-0000-0000-0000A55F0000}"/>
    <cellStyle name="제목 2 37 5" xfId="24427" xr:uid="{00000000-0005-0000-0000-0000A65F0000}"/>
    <cellStyle name="제목 2 37 6" xfId="24428" xr:uid="{00000000-0005-0000-0000-0000A75F0000}"/>
    <cellStyle name="제목 2 37 7" xfId="24429" xr:uid="{00000000-0005-0000-0000-0000A85F0000}"/>
    <cellStyle name="제목 2 37 8" xfId="24430" xr:uid="{00000000-0005-0000-0000-0000A95F0000}"/>
    <cellStyle name="제목 2 37 9" xfId="24431" xr:uid="{00000000-0005-0000-0000-0000AA5F0000}"/>
    <cellStyle name="제목 2 38" xfId="3143" xr:uid="{00000000-0005-0000-0000-0000AB5F0000}"/>
    <cellStyle name="제목 2 38 10" xfId="24433" xr:uid="{00000000-0005-0000-0000-0000AC5F0000}"/>
    <cellStyle name="제목 2 38 11" xfId="24434" xr:uid="{00000000-0005-0000-0000-0000AD5F0000}"/>
    <cellStyle name="제목 2 38 12" xfId="24435" xr:uid="{00000000-0005-0000-0000-0000AE5F0000}"/>
    <cellStyle name="제목 2 38 13" xfId="24436" xr:uid="{00000000-0005-0000-0000-0000AF5F0000}"/>
    <cellStyle name="제목 2 38 14" xfId="24437" xr:uid="{00000000-0005-0000-0000-0000B05F0000}"/>
    <cellStyle name="제목 2 38 15" xfId="24432" xr:uid="{00000000-0005-0000-0000-0000B15F0000}"/>
    <cellStyle name="제목 2 38 2" xfId="3144" xr:uid="{00000000-0005-0000-0000-0000B25F0000}"/>
    <cellStyle name="제목 2 38 2 2" xfId="24438" xr:uid="{00000000-0005-0000-0000-0000B35F0000}"/>
    <cellStyle name="제목 2 38 3" xfId="24439" xr:uid="{00000000-0005-0000-0000-0000B45F0000}"/>
    <cellStyle name="제목 2 38 4" xfId="24440" xr:uid="{00000000-0005-0000-0000-0000B55F0000}"/>
    <cellStyle name="제목 2 38 5" xfId="24441" xr:uid="{00000000-0005-0000-0000-0000B65F0000}"/>
    <cellStyle name="제목 2 38 6" xfId="24442" xr:uid="{00000000-0005-0000-0000-0000B75F0000}"/>
    <cellStyle name="제목 2 38 7" xfId="24443" xr:uid="{00000000-0005-0000-0000-0000B85F0000}"/>
    <cellStyle name="제목 2 38 8" xfId="24444" xr:uid="{00000000-0005-0000-0000-0000B95F0000}"/>
    <cellStyle name="제목 2 38 9" xfId="24445" xr:uid="{00000000-0005-0000-0000-0000BA5F0000}"/>
    <cellStyle name="제목 2 39" xfId="3145" xr:uid="{00000000-0005-0000-0000-0000BB5F0000}"/>
    <cellStyle name="제목 2 39 10" xfId="24447" xr:uid="{00000000-0005-0000-0000-0000BC5F0000}"/>
    <cellStyle name="제목 2 39 11" xfId="24448" xr:uid="{00000000-0005-0000-0000-0000BD5F0000}"/>
    <cellStyle name="제목 2 39 12" xfId="24449" xr:uid="{00000000-0005-0000-0000-0000BE5F0000}"/>
    <cellStyle name="제목 2 39 13" xfId="24450" xr:uid="{00000000-0005-0000-0000-0000BF5F0000}"/>
    <cellStyle name="제목 2 39 14" xfId="24451" xr:uid="{00000000-0005-0000-0000-0000C05F0000}"/>
    <cellStyle name="제목 2 39 15" xfId="24446" xr:uid="{00000000-0005-0000-0000-0000C15F0000}"/>
    <cellStyle name="제목 2 39 2" xfId="3146" xr:uid="{00000000-0005-0000-0000-0000C25F0000}"/>
    <cellStyle name="제목 2 39 2 2" xfId="24452" xr:uid="{00000000-0005-0000-0000-0000C35F0000}"/>
    <cellStyle name="제목 2 39 3" xfId="24453" xr:uid="{00000000-0005-0000-0000-0000C45F0000}"/>
    <cellStyle name="제목 2 39 4" xfId="24454" xr:uid="{00000000-0005-0000-0000-0000C55F0000}"/>
    <cellStyle name="제목 2 39 5" xfId="24455" xr:uid="{00000000-0005-0000-0000-0000C65F0000}"/>
    <cellStyle name="제목 2 39 6" xfId="24456" xr:uid="{00000000-0005-0000-0000-0000C75F0000}"/>
    <cellStyle name="제목 2 39 7" xfId="24457" xr:uid="{00000000-0005-0000-0000-0000C85F0000}"/>
    <cellStyle name="제목 2 39 8" xfId="24458" xr:uid="{00000000-0005-0000-0000-0000C95F0000}"/>
    <cellStyle name="제목 2 39 9" xfId="24459" xr:uid="{00000000-0005-0000-0000-0000CA5F0000}"/>
    <cellStyle name="제목 2 4" xfId="3147" xr:uid="{00000000-0005-0000-0000-0000CB5F0000}"/>
    <cellStyle name="제목 2 4 10" xfId="24461" xr:uid="{00000000-0005-0000-0000-0000CC5F0000}"/>
    <cellStyle name="제목 2 4 11" xfId="24462" xr:uid="{00000000-0005-0000-0000-0000CD5F0000}"/>
    <cellStyle name="제목 2 4 12" xfId="24463" xr:uid="{00000000-0005-0000-0000-0000CE5F0000}"/>
    <cellStyle name="제목 2 4 13" xfId="24464" xr:uid="{00000000-0005-0000-0000-0000CF5F0000}"/>
    <cellStyle name="제목 2 4 14" xfId="24465" xr:uid="{00000000-0005-0000-0000-0000D05F0000}"/>
    <cellStyle name="제목 2 4 15" xfId="24460" xr:uid="{00000000-0005-0000-0000-0000D15F0000}"/>
    <cellStyle name="제목 2 4 16" xfId="27889" xr:uid="{00000000-0005-0000-0000-0000D25F0000}"/>
    <cellStyle name="제목 2 4 2" xfId="3148" xr:uid="{00000000-0005-0000-0000-0000D35F0000}"/>
    <cellStyle name="제목 2 4 2 2" xfId="24466" xr:uid="{00000000-0005-0000-0000-0000D45F0000}"/>
    <cellStyle name="제목 2 4 3" xfId="24467" xr:uid="{00000000-0005-0000-0000-0000D55F0000}"/>
    <cellStyle name="제목 2 4 4" xfId="24468" xr:uid="{00000000-0005-0000-0000-0000D65F0000}"/>
    <cellStyle name="제목 2 4 5" xfId="24469" xr:uid="{00000000-0005-0000-0000-0000D75F0000}"/>
    <cellStyle name="제목 2 4 6" xfId="24470" xr:uid="{00000000-0005-0000-0000-0000D85F0000}"/>
    <cellStyle name="제목 2 4 7" xfId="24471" xr:uid="{00000000-0005-0000-0000-0000D95F0000}"/>
    <cellStyle name="제목 2 4 8" xfId="24472" xr:uid="{00000000-0005-0000-0000-0000DA5F0000}"/>
    <cellStyle name="제목 2 4 9" xfId="24473" xr:uid="{00000000-0005-0000-0000-0000DB5F0000}"/>
    <cellStyle name="제목 2 40" xfId="3149" xr:uid="{00000000-0005-0000-0000-0000DC5F0000}"/>
    <cellStyle name="제목 2 40 10" xfId="24475" xr:uid="{00000000-0005-0000-0000-0000DD5F0000}"/>
    <cellStyle name="제목 2 40 11" xfId="24476" xr:uid="{00000000-0005-0000-0000-0000DE5F0000}"/>
    <cellStyle name="제목 2 40 12" xfId="24477" xr:uid="{00000000-0005-0000-0000-0000DF5F0000}"/>
    <cellStyle name="제목 2 40 13" xfId="24478" xr:uid="{00000000-0005-0000-0000-0000E05F0000}"/>
    <cellStyle name="제목 2 40 14" xfId="24479" xr:uid="{00000000-0005-0000-0000-0000E15F0000}"/>
    <cellStyle name="제목 2 40 15" xfId="24474" xr:uid="{00000000-0005-0000-0000-0000E25F0000}"/>
    <cellStyle name="제목 2 40 2" xfId="3150" xr:uid="{00000000-0005-0000-0000-0000E35F0000}"/>
    <cellStyle name="제목 2 40 2 2" xfId="24480" xr:uid="{00000000-0005-0000-0000-0000E45F0000}"/>
    <cellStyle name="제목 2 40 3" xfId="24481" xr:uid="{00000000-0005-0000-0000-0000E55F0000}"/>
    <cellStyle name="제목 2 40 4" xfId="24482" xr:uid="{00000000-0005-0000-0000-0000E65F0000}"/>
    <cellStyle name="제목 2 40 5" xfId="24483" xr:uid="{00000000-0005-0000-0000-0000E75F0000}"/>
    <cellStyle name="제목 2 40 6" xfId="24484" xr:uid="{00000000-0005-0000-0000-0000E85F0000}"/>
    <cellStyle name="제목 2 40 7" xfId="24485" xr:uid="{00000000-0005-0000-0000-0000E95F0000}"/>
    <cellStyle name="제목 2 40 8" xfId="24486" xr:uid="{00000000-0005-0000-0000-0000EA5F0000}"/>
    <cellStyle name="제목 2 40 9" xfId="24487" xr:uid="{00000000-0005-0000-0000-0000EB5F0000}"/>
    <cellStyle name="제목 2 41" xfId="3151" xr:uid="{00000000-0005-0000-0000-0000EC5F0000}"/>
    <cellStyle name="제목 2 41 10" xfId="24489" xr:uid="{00000000-0005-0000-0000-0000ED5F0000}"/>
    <cellStyle name="제목 2 41 11" xfId="24490" xr:uid="{00000000-0005-0000-0000-0000EE5F0000}"/>
    <cellStyle name="제목 2 41 12" xfId="24491" xr:uid="{00000000-0005-0000-0000-0000EF5F0000}"/>
    <cellStyle name="제목 2 41 13" xfId="24492" xr:uid="{00000000-0005-0000-0000-0000F05F0000}"/>
    <cellStyle name="제목 2 41 14" xfId="24493" xr:uid="{00000000-0005-0000-0000-0000F15F0000}"/>
    <cellStyle name="제목 2 41 15" xfId="24488" xr:uid="{00000000-0005-0000-0000-0000F25F0000}"/>
    <cellStyle name="제목 2 41 2" xfId="3152" xr:uid="{00000000-0005-0000-0000-0000F35F0000}"/>
    <cellStyle name="제목 2 41 2 2" xfId="24494" xr:uid="{00000000-0005-0000-0000-0000F45F0000}"/>
    <cellStyle name="제목 2 41 3" xfId="24495" xr:uid="{00000000-0005-0000-0000-0000F55F0000}"/>
    <cellStyle name="제목 2 41 4" xfId="24496" xr:uid="{00000000-0005-0000-0000-0000F65F0000}"/>
    <cellStyle name="제목 2 41 5" xfId="24497" xr:uid="{00000000-0005-0000-0000-0000F75F0000}"/>
    <cellStyle name="제목 2 41 6" xfId="24498" xr:uid="{00000000-0005-0000-0000-0000F85F0000}"/>
    <cellStyle name="제목 2 41 7" xfId="24499" xr:uid="{00000000-0005-0000-0000-0000F95F0000}"/>
    <cellStyle name="제목 2 41 8" xfId="24500" xr:uid="{00000000-0005-0000-0000-0000FA5F0000}"/>
    <cellStyle name="제목 2 41 9" xfId="24501" xr:uid="{00000000-0005-0000-0000-0000FB5F0000}"/>
    <cellStyle name="제목 2 42" xfId="3153" xr:uid="{00000000-0005-0000-0000-0000FC5F0000}"/>
    <cellStyle name="제목 2 42 10" xfId="24503" xr:uid="{00000000-0005-0000-0000-0000FD5F0000}"/>
    <cellStyle name="제목 2 42 11" xfId="24504" xr:uid="{00000000-0005-0000-0000-0000FE5F0000}"/>
    <cellStyle name="제목 2 42 12" xfId="24505" xr:uid="{00000000-0005-0000-0000-0000FF5F0000}"/>
    <cellStyle name="제목 2 42 13" xfId="24506" xr:uid="{00000000-0005-0000-0000-000000600000}"/>
    <cellStyle name="제목 2 42 14" xfId="24507" xr:uid="{00000000-0005-0000-0000-000001600000}"/>
    <cellStyle name="제목 2 42 15" xfId="24502" xr:uid="{00000000-0005-0000-0000-000002600000}"/>
    <cellStyle name="제목 2 42 2" xfId="3154" xr:uid="{00000000-0005-0000-0000-000003600000}"/>
    <cellStyle name="제목 2 42 2 2" xfId="24508" xr:uid="{00000000-0005-0000-0000-000004600000}"/>
    <cellStyle name="제목 2 42 3" xfId="24509" xr:uid="{00000000-0005-0000-0000-000005600000}"/>
    <cellStyle name="제목 2 42 4" xfId="24510" xr:uid="{00000000-0005-0000-0000-000006600000}"/>
    <cellStyle name="제목 2 42 5" xfId="24511" xr:uid="{00000000-0005-0000-0000-000007600000}"/>
    <cellStyle name="제목 2 42 6" xfId="24512" xr:uid="{00000000-0005-0000-0000-000008600000}"/>
    <cellStyle name="제목 2 42 7" xfId="24513" xr:uid="{00000000-0005-0000-0000-000009600000}"/>
    <cellStyle name="제목 2 42 8" xfId="24514" xr:uid="{00000000-0005-0000-0000-00000A600000}"/>
    <cellStyle name="제목 2 42 9" xfId="24515" xr:uid="{00000000-0005-0000-0000-00000B600000}"/>
    <cellStyle name="제목 2 43" xfId="3155" xr:uid="{00000000-0005-0000-0000-00000C600000}"/>
    <cellStyle name="제목 2 43 10" xfId="24517" xr:uid="{00000000-0005-0000-0000-00000D600000}"/>
    <cellStyle name="제목 2 43 11" xfId="24518" xr:uid="{00000000-0005-0000-0000-00000E600000}"/>
    <cellStyle name="제목 2 43 12" xfId="24519" xr:uid="{00000000-0005-0000-0000-00000F600000}"/>
    <cellStyle name="제목 2 43 13" xfId="24520" xr:uid="{00000000-0005-0000-0000-000010600000}"/>
    <cellStyle name="제목 2 43 14" xfId="24521" xr:uid="{00000000-0005-0000-0000-000011600000}"/>
    <cellStyle name="제목 2 43 15" xfId="24516" xr:uid="{00000000-0005-0000-0000-000012600000}"/>
    <cellStyle name="제목 2 43 2" xfId="3156" xr:uid="{00000000-0005-0000-0000-000013600000}"/>
    <cellStyle name="제목 2 43 2 2" xfId="24522" xr:uid="{00000000-0005-0000-0000-000014600000}"/>
    <cellStyle name="제목 2 43 3" xfId="24523" xr:uid="{00000000-0005-0000-0000-000015600000}"/>
    <cellStyle name="제목 2 43 4" xfId="24524" xr:uid="{00000000-0005-0000-0000-000016600000}"/>
    <cellStyle name="제목 2 43 5" xfId="24525" xr:uid="{00000000-0005-0000-0000-000017600000}"/>
    <cellStyle name="제목 2 43 6" xfId="24526" xr:uid="{00000000-0005-0000-0000-000018600000}"/>
    <cellStyle name="제목 2 43 7" xfId="24527" xr:uid="{00000000-0005-0000-0000-000019600000}"/>
    <cellStyle name="제목 2 43 8" xfId="24528" xr:uid="{00000000-0005-0000-0000-00001A600000}"/>
    <cellStyle name="제목 2 43 9" xfId="24529" xr:uid="{00000000-0005-0000-0000-00001B600000}"/>
    <cellStyle name="제목 2 44" xfId="3157" xr:uid="{00000000-0005-0000-0000-00001C600000}"/>
    <cellStyle name="제목 2 44 2" xfId="24530" xr:uid="{00000000-0005-0000-0000-00001D600000}"/>
    <cellStyle name="제목 2 45" xfId="3158" xr:uid="{00000000-0005-0000-0000-00001E600000}"/>
    <cellStyle name="제목 2 45 2" xfId="24531" xr:uid="{00000000-0005-0000-0000-00001F600000}"/>
    <cellStyle name="제목 2 46" xfId="3082" xr:uid="{00000000-0005-0000-0000-000020600000}"/>
    <cellStyle name="제목 2 47" xfId="24011" xr:uid="{00000000-0005-0000-0000-000021600000}"/>
    <cellStyle name="제목 2 48" xfId="27624" xr:uid="{00000000-0005-0000-0000-000022600000}"/>
    <cellStyle name="제목 2 5" xfId="3159" xr:uid="{00000000-0005-0000-0000-000023600000}"/>
    <cellStyle name="제목 2 5 10" xfId="24533" xr:uid="{00000000-0005-0000-0000-000024600000}"/>
    <cellStyle name="제목 2 5 11" xfId="24534" xr:uid="{00000000-0005-0000-0000-000025600000}"/>
    <cellStyle name="제목 2 5 12" xfId="24535" xr:uid="{00000000-0005-0000-0000-000026600000}"/>
    <cellStyle name="제목 2 5 13" xfId="24536" xr:uid="{00000000-0005-0000-0000-000027600000}"/>
    <cellStyle name="제목 2 5 14" xfId="24537" xr:uid="{00000000-0005-0000-0000-000028600000}"/>
    <cellStyle name="제목 2 5 15" xfId="24532" xr:uid="{00000000-0005-0000-0000-000029600000}"/>
    <cellStyle name="제목 2 5 2" xfId="3160" xr:uid="{00000000-0005-0000-0000-00002A600000}"/>
    <cellStyle name="제목 2 5 2 2" xfId="24538" xr:uid="{00000000-0005-0000-0000-00002B600000}"/>
    <cellStyle name="제목 2 5 3" xfId="24539" xr:uid="{00000000-0005-0000-0000-00002C600000}"/>
    <cellStyle name="제목 2 5 4" xfId="24540" xr:uid="{00000000-0005-0000-0000-00002D600000}"/>
    <cellStyle name="제목 2 5 5" xfId="24541" xr:uid="{00000000-0005-0000-0000-00002E600000}"/>
    <cellStyle name="제목 2 5 6" xfId="24542" xr:uid="{00000000-0005-0000-0000-00002F600000}"/>
    <cellStyle name="제목 2 5 7" xfId="24543" xr:uid="{00000000-0005-0000-0000-000030600000}"/>
    <cellStyle name="제목 2 5 8" xfId="24544" xr:uid="{00000000-0005-0000-0000-000031600000}"/>
    <cellStyle name="제목 2 5 9" xfId="24545" xr:uid="{00000000-0005-0000-0000-000032600000}"/>
    <cellStyle name="제목 2 6" xfId="3161" xr:uid="{00000000-0005-0000-0000-000033600000}"/>
    <cellStyle name="제목 2 6 10" xfId="24547" xr:uid="{00000000-0005-0000-0000-000034600000}"/>
    <cellStyle name="제목 2 6 11" xfId="24548" xr:uid="{00000000-0005-0000-0000-000035600000}"/>
    <cellStyle name="제목 2 6 12" xfId="24549" xr:uid="{00000000-0005-0000-0000-000036600000}"/>
    <cellStyle name="제목 2 6 13" xfId="24550" xr:uid="{00000000-0005-0000-0000-000037600000}"/>
    <cellStyle name="제목 2 6 14" xfId="24551" xr:uid="{00000000-0005-0000-0000-000038600000}"/>
    <cellStyle name="제목 2 6 15" xfId="24546" xr:uid="{00000000-0005-0000-0000-000039600000}"/>
    <cellStyle name="제목 2 6 2" xfId="3162" xr:uid="{00000000-0005-0000-0000-00003A600000}"/>
    <cellStyle name="제목 2 6 2 2" xfId="24552" xr:uid="{00000000-0005-0000-0000-00003B600000}"/>
    <cellStyle name="제목 2 6 3" xfId="24553" xr:uid="{00000000-0005-0000-0000-00003C600000}"/>
    <cellStyle name="제목 2 6 4" xfId="24554" xr:uid="{00000000-0005-0000-0000-00003D600000}"/>
    <cellStyle name="제목 2 6 5" xfId="24555" xr:uid="{00000000-0005-0000-0000-00003E600000}"/>
    <cellStyle name="제목 2 6 6" xfId="24556" xr:uid="{00000000-0005-0000-0000-00003F600000}"/>
    <cellStyle name="제목 2 6 7" xfId="24557" xr:uid="{00000000-0005-0000-0000-000040600000}"/>
    <cellStyle name="제목 2 6 8" xfId="24558" xr:uid="{00000000-0005-0000-0000-000041600000}"/>
    <cellStyle name="제목 2 6 9" xfId="24559" xr:uid="{00000000-0005-0000-0000-000042600000}"/>
    <cellStyle name="제목 2 7" xfId="3163" xr:uid="{00000000-0005-0000-0000-000043600000}"/>
    <cellStyle name="제목 2 7 10" xfId="24561" xr:uid="{00000000-0005-0000-0000-000044600000}"/>
    <cellStyle name="제목 2 7 11" xfId="24562" xr:uid="{00000000-0005-0000-0000-000045600000}"/>
    <cellStyle name="제목 2 7 12" xfId="24563" xr:uid="{00000000-0005-0000-0000-000046600000}"/>
    <cellStyle name="제목 2 7 13" xfId="24564" xr:uid="{00000000-0005-0000-0000-000047600000}"/>
    <cellStyle name="제목 2 7 14" xfId="24565" xr:uid="{00000000-0005-0000-0000-000048600000}"/>
    <cellStyle name="제목 2 7 15" xfId="24560" xr:uid="{00000000-0005-0000-0000-000049600000}"/>
    <cellStyle name="제목 2 7 2" xfId="3164" xr:uid="{00000000-0005-0000-0000-00004A600000}"/>
    <cellStyle name="제목 2 7 2 2" xfId="24566" xr:uid="{00000000-0005-0000-0000-00004B600000}"/>
    <cellStyle name="제목 2 7 3" xfId="24567" xr:uid="{00000000-0005-0000-0000-00004C600000}"/>
    <cellStyle name="제목 2 7 4" xfId="24568" xr:uid="{00000000-0005-0000-0000-00004D600000}"/>
    <cellStyle name="제목 2 7 5" xfId="24569" xr:uid="{00000000-0005-0000-0000-00004E600000}"/>
    <cellStyle name="제목 2 7 6" xfId="24570" xr:uid="{00000000-0005-0000-0000-00004F600000}"/>
    <cellStyle name="제목 2 7 7" xfId="24571" xr:uid="{00000000-0005-0000-0000-000050600000}"/>
    <cellStyle name="제목 2 7 8" xfId="24572" xr:uid="{00000000-0005-0000-0000-000051600000}"/>
    <cellStyle name="제목 2 7 9" xfId="24573" xr:uid="{00000000-0005-0000-0000-000052600000}"/>
    <cellStyle name="제목 2 8" xfId="3165" xr:uid="{00000000-0005-0000-0000-000053600000}"/>
    <cellStyle name="제목 2 8 10" xfId="24575" xr:uid="{00000000-0005-0000-0000-000054600000}"/>
    <cellStyle name="제목 2 8 11" xfId="24576" xr:uid="{00000000-0005-0000-0000-000055600000}"/>
    <cellStyle name="제목 2 8 12" xfId="24577" xr:uid="{00000000-0005-0000-0000-000056600000}"/>
    <cellStyle name="제목 2 8 13" xfId="24578" xr:uid="{00000000-0005-0000-0000-000057600000}"/>
    <cellStyle name="제목 2 8 14" xfId="24579" xr:uid="{00000000-0005-0000-0000-000058600000}"/>
    <cellStyle name="제목 2 8 15" xfId="24574" xr:uid="{00000000-0005-0000-0000-000059600000}"/>
    <cellStyle name="제목 2 8 2" xfId="3166" xr:uid="{00000000-0005-0000-0000-00005A600000}"/>
    <cellStyle name="제목 2 8 2 2" xfId="24580" xr:uid="{00000000-0005-0000-0000-00005B600000}"/>
    <cellStyle name="제목 2 8 3" xfId="24581" xr:uid="{00000000-0005-0000-0000-00005C600000}"/>
    <cellStyle name="제목 2 8 4" xfId="24582" xr:uid="{00000000-0005-0000-0000-00005D600000}"/>
    <cellStyle name="제목 2 8 5" xfId="24583" xr:uid="{00000000-0005-0000-0000-00005E600000}"/>
    <cellStyle name="제목 2 8 6" xfId="24584" xr:uid="{00000000-0005-0000-0000-00005F600000}"/>
    <cellStyle name="제목 2 8 7" xfId="24585" xr:uid="{00000000-0005-0000-0000-000060600000}"/>
    <cellStyle name="제목 2 8 8" xfId="24586" xr:uid="{00000000-0005-0000-0000-000061600000}"/>
    <cellStyle name="제목 2 8 9" xfId="24587" xr:uid="{00000000-0005-0000-0000-000062600000}"/>
    <cellStyle name="제목 2 9" xfId="3167" xr:uid="{00000000-0005-0000-0000-000063600000}"/>
    <cellStyle name="제목 2 9 10" xfId="24589" xr:uid="{00000000-0005-0000-0000-000064600000}"/>
    <cellStyle name="제목 2 9 11" xfId="24590" xr:uid="{00000000-0005-0000-0000-000065600000}"/>
    <cellStyle name="제목 2 9 12" xfId="24591" xr:uid="{00000000-0005-0000-0000-000066600000}"/>
    <cellStyle name="제목 2 9 13" xfId="24592" xr:uid="{00000000-0005-0000-0000-000067600000}"/>
    <cellStyle name="제목 2 9 14" xfId="24593" xr:uid="{00000000-0005-0000-0000-000068600000}"/>
    <cellStyle name="제목 2 9 15" xfId="24588" xr:uid="{00000000-0005-0000-0000-000069600000}"/>
    <cellStyle name="제목 2 9 2" xfId="3168" xr:uid="{00000000-0005-0000-0000-00006A600000}"/>
    <cellStyle name="제목 2 9 2 2" xfId="24594" xr:uid="{00000000-0005-0000-0000-00006B600000}"/>
    <cellStyle name="제목 2 9 3" xfId="24595" xr:uid="{00000000-0005-0000-0000-00006C600000}"/>
    <cellStyle name="제목 2 9 4" xfId="24596" xr:uid="{00000000-0005-0000-0000-00006D600000}"/>
    <cellStyle name="제목 2 9 5" xfId="24597" xr:uid="{00000000-0005-0000-0000-00006E600000}"/>
    <cellStyle name="제목 2 9 6" xfId="24598" xr:uid="{00000000-0005-0000-0000-00006F600000}"/>
    <cellStyle name="제목 2 9 7" xfId="24599" xr:uid="{00000000-0005-0000-0000-000070600000}"/>
    <cellStyle name="제목 2 9 8" xfId="24600" xr:uid="{00000000-0005-0000-0000-000071600000}"/>
    <cellStyle name="제목 2 9 9" xfId="24601" xr:uid="{00000000-0005-0000-0000-000072600000}"/>
    <cellStyle name="제목 20" xfId="3169" xr:uid="{00000000-0005-0000-0000-000073600000}"/>
    <cellStyle name="제목 20 10" xfId="24603" xr:uid="{00000000-0005-0000-0000-000074600000}"/>
    <cellStyle name="제목 20 11" xfId="24604" xr:uid="{00000000-0005-0000-0000-000075600000}"/>
    <cellStyle name="제목 20 12" xfId="24605" xr:uid="{00000000-0005-0000-0000-000076600000}"/>
    <cellStyle name="제목 20 13" xfId="24606" xr:uid="{00000000-0005-0000-0000-000077600000}"/>
    <cellStyle name="제목 20 14" xfId="24607" xr:uid="{00000000-0005-0000-0000-000078600000}"/>
    <cellStyle name="제목 20 15" xfId="24602" xr:uid="{00000000-0005-0000-0000-000079600000}"/>
    <cellStyle name="제목 20 2" xfId="3170" xr:uid="{00000000-0005-0000-0000-00007A600000}"/>
    <cellStyle name="제목 20 2 2" xfId="24608" xr:uid="{00000000-0005-0000-0000-00007B600000}"/>
    <cellStyle name="제목 20 3" xfId="24609" xr:uid="{00000000-0005-0000-0000-00007C600000}"/>
    <cellStyle name="제목 20 4" xfId="24610" xr:uid="{00000000-0005-0000-0000-00007D600000}"/>
    <cellStyle name="제목 20 5" xfId="24611" xr:uid="{00000000-0005-0000-0000-00007E600000}"/>
    <cellStyle name="제목 20 6" xfId="24612" xr:uid="{00000000-0005-0000-0000-00007F600000}"/>
    <cellStyle name="제목 20 7" xfId="24613" xr:uid="{00000000-0005-0000-0000-000080600000}"/>
    <cellStyle name="제목 20 8" xfId="24614" xr:uid="{00000000-0005-0000-0000-000081600000}"/>
    <cellStyle name="제목 20 9" xfId="24615" xr:uid="{00000000-0005-0000-0000-000082600000}"/>
    <cellStyle name="제목 21" xfId="3171" xr:uid="{00000000-0005-0000-0000-000083600000}"/>
    <cellStyle name="제목 21 10" xfId="24617" xr:uid="{00000000-0005-0000-0000-000084600000}"/>
    <cellStyle name="제목 21 11" xfId="24618" xr:uid="{00000000-0005-0000-0000-000085600000}"/>
    <cellStyle name="제목 21 12" xfId="24619" xr:uid="{00000000-0005-0000-0000-000086600000}"/>
    <cellStyle name="제목 21 13" xfId="24620" xr:uid="{00000000-0005-0000-0000-000087600000}"/>
    <cellStyle name="제목 21 14" xfId="24621" xr:uid="{00000000-0005-0000-0000-000088600000}"/>
    <cellStyle name="제목 21 15" xfId="24616" xr:uid="{00000000-0005-0000-0000-000089600000}"/>
    <cellStyle name="제목 21 2" xfId="3172" xr:uid="{00000000-0005-0000-0000-00008A600000}"/>
    <cellStyle name="제목 21 2 2" xfId="24622" xr:uid="{00000000-0005-0000-0000-00008B600000}"/>
    <cellStyle name="제목 21 3" xfId="24623" xr:uid="{00000000-0005-0000-0000-00008C600000}"/>
    <cellStyle name="제목 21 4" xfId="24624" xr:uid="{00000000-0005-0000-0000-00008D600000}"/>
    <cellStyle name="제목 21 5" xfId="24625" xr:uid="{00000000-0005-0000-0000-00008E600000}"/>
    <cellStyle name="제목 21 6" xfId="24626" xr:uid="{00000000-0005-0000-0000-00008F600000}"/>
    <cellStyle name="제목 21 7" xfId="24627" xr:uid="{00000000-0005-0000-0000-000090600000}"/>
    <cellStyle name="제목 21 8" xfId="24628" xr:uid="{00000000-0005-0000-0000-000091600000}"/>
    <cellStyle name="제목 21 9" xfId="24629" xr:uid="{00000000-0005-0000-0000-000092600000}"/>
    <cellStyle name="제목 22" xfId="3173" xr:uid="{00000000-0005-0000-0000-000093600000}"/>
    <cellStyle name="제목 22 10" xfId="24631" xr:uid="{00000000-0005-0000-0000-000094600000}"/>
    <cellStyle name="제목 22 11" xfId="24632" xr:uid="{00000000-0005-0000-0000-000095600000}"/>
    <cellStyle name="제목 22 12" xfId="24633" xr:uid="{00000000-0005-0000-0000-000096600000}"/>
    <cellStyle name="제목 22 13" xfId="24634" xr:uid="{00000000-0005-0000-0000-000097600000}"/>
    <cellStyle name="제목 22 14" xfId="24635" xr:uid="{00000000-0005-0000-0000-000098600000}"/>
    <cellStyle name="제목 22 15" xfId="24630" xr:uid="{00000000-0005-0000-0000-000099600000}"/>
    <cellStyle name="제목 22 2" xfId="3174" xr:uid="{00000000-0005-0000-0000-00009A600000}"/>
    <cellStyle name="제목 22 2 2" xfId="24636" xr:uid="{00000000-0005-0000-0000-00009B600000}"/>
    <cellStyle name="제목 22 3" xfId="24637" xr:uid="{00000000-0005-0000-0000-00009C600000}"/>
    <cellStyle name="제목 22 4" xfId="24638" xr:uid="{00000000-0005-0000-0000-00009D600000}"/>
    <cellStyle name="제목 22 5" xfId="24639" xr:uid="{00000000-0005-0000-0000-00009E600000}"/>
    <cellStyle name="제목 22 6" xfId="24640" xr:uid="{00000000-0005-0000-0000-00009F600000}"/>
    <cellStyle name="제목 22 7" xfId="24641" xr:uid="{00000000-0005-0000-0000-0000A0600000}"/>
    <cellStyle name="제목 22 8" xfId="24642" xr:uid="{00000000-0005-0000-0000-0000A1600000}"/>
    <cellStyle name="제목 22 9" xfId="24643" xr:uid="{00000000-0005-0000-0000-0000A2600000}"/>
    <cellStyle name="제목 23" xfId="3175" xr:uid="{00000000-0005-0000-0000-0000A3600000}"/>
    <cellStyle name="제목 23 10" xfId="24645" xr:uid="{00000000-0005-0000-0000-0000A4600000}"/>
    <cellStyle name="제목 23 11" xfId="24646" xr:uid="{00000000-0005-0000-0000-0000A5600000}"/>
    <cellStyle name="제목 23 12" xfId="24647" xr:uid="{00000000-0005-0000-0000-0000A6600000}"/>
    <cellStyle name="제목 23 13" xfId="24648" xr:uid="{00000000-0005-0000-0000-0000A7600000}"/>
    <cellStyle name="제목 23 14" xfId="24649" xr:uid="{00000000-0005-0000-0000-0000A8600000}"/>
    <cellStyle name="제목 23 15" xfId="24644" xr:uid="{00000000-0005-0000-0000-0000A9600000}"/>
    <cellStyle name="제목 23 2" xfId="3176" xr:uid="{00000000-0005-0000-0000-0000AA600000}"/>
    <cellStyle name="제목 23 2 2" xfId="24650" xr:uid="{00000000-0005-0000-0000-0000AB600000}"/>
    <cellStyle name="제목 23 3" xfId="24651" xr:uid="{00000000-0005-0000-0000-0000AC600000}"/>
    <cellStyle name="제목 23 4" xfId="24652" xr:uid="{00000000-0005-0000-0000-0000AD600000}"/>
    <cellStyle name="제목 23 5" xfId="24653" xr:uid="{00000000-0005-0000-0000-0000AE600000}"/>
    <cellStyle name="제목 23 6" xfId="24654" xr:uid="{00000000-0005-0000-0000-0000AF600000}"/>
    <cellStyle name="제목 23 7" xfId="24655" xr:uid="{00000000-0005-0000-0000-0000B0600000}"/>
    <cellStyle name="제목 23 8" xfId="24656" xr:uid="{00000000-0005-0000-0000-0000B1600000}"/>
    <cellStyle name="제목 23 9" xfId="24657" xr:uid="{00000000-0005-0000-0000-0000B2600000}"/>
    <cellStyle name="제목 24" xfId="3177" xr:uid="{00000000-0005-0000-0000-0000B3600000}"/>
    <cellStyle name="제목 24 10" xfId="24659" xr:uid="{00000000-0005-0000-0000-0000B4600000}"/>
    <cellStyle name="제목 24 11" xfId="24660" xr:uid="{00000000-0005-0000-0000-0000B5600000}"/>
    <cellStyle name="제목 24 12" xfId="24661" xr:uid="{00000000-0005-0000-0000-0000B6600000}"/>
    <cellStyle name="제목 24 13" xfId="24662" xr:uid="{00000000-0005-0000-0000-0000B7600000}"/>
    <cellStyle name="제목 24 14" xfId="24663" xr:uid="{00000000-0005-0000-0000-0000B8600000}"/>
    <cellStyle name="제목 24 15" xfId="24658" xr:uid="{00000000-0005-0000-0000-0000B9600000}"/>
    <cellStyle name="제목 24 2" xfId="3178" xr:uid="{00000000-0005-0000-0000-0000BA600000}"/>
    <cellStyle name="제목 24 2 2" xfId="24664" xr:uid="{00000000-0005-0000-0000-0000BB600000}"/>
    <cellStyle name="제목 24 3" xfId="24665" xr:uid="{00000000-0005-0000-0000-0000BC600000}"/>
    <cellStyle name="제목 24 4" xfId="24666" xr:uid="{00000000-0005-0000-0000-0000BD600000}"/>
    <cellStyle name="제목 24 5" xfId="24667" xr:uid="{00000000-0005-0000-0000-0000BE600000}"/>
    <cellStyle name="제목 24 6" xfId="24668" xr:uid="{00000000-0005-0000-0000-0000BF600000}"/>
    <cellStyle name="제목 24 7" xfId="24669" xr:uid="{00000000-0005-0000-0000-0000C0600000}"/>
    <cellStyle name="제목 24 8" xfId="24670" xr:uid="{00000000-0005-0000-0000-0000C1600000}"/>
    <cellStyle name="제목 24 9" xfId="24671" xr:uid="{00000000-0005-0000-0000-0000C2600000}"/>
    <cellStyle name="제목 25" xfId="3179" xr:uid="{00000000-0005-0000-0000-0000C3600000}"/>
    <cellStyle name="제목 25 10" xfId="24673" xr:uid="{00000000-0005-0000-0000-0000C4600000}"/>
    <cellStyle name="제목 25 11" xfId="24674" xr:uid="{00000000-0005-0000-0000-0000C5600000}"/>
    <cellStyle name="제목 25 12" xfId="24675" xr:uid="{00000000-0005-0000-0000-0000C6600000}"/>
    <cellStyle name="제목 25 13" xfId="24676" xr:uid="{00000000-0005-0000-0000-0000C7600000}"/>
    <cellStyle name="제목 25 14" xfId="24677" xr:uid="{00000000-0005-0000-0000-0000C8600000}"/>
    <cellStyle name="제목 25 15" xfId="24672" xr:uid="{00000000-0005-0000-0000-0000C9600000}"/>
    <cellStyle name="제목 25 2" xfId="3180" xr:uid="{00000000-0005-0000-0000-0000CA600000}"/>
    <cellStyle name="제목 25 2 2" xfId="24678" xr:uid="{00000000-0005-0000-0000-0000CB600000}"/>
    <cellStyle name="제목 25 3" xfId="24679" xr:uid="{00000000-0005-0000-0000-0000CC600000}"/>
    <cellStyle name="제목 25 4" xfId="24680" xr:uid="{00000000-0005-0000-0000-0000CD600000}"/>
    <cellStyle name="제목 25 5" xfId="24681" xr:uid="{00000000-0005-0000-0000-0000CE600000}"/>
    <cellStyle name="제목 25 6" xfId="24682" xr:uid="{00000000-0005-0000-0000-0000CF600000}"/>
    <cellStyle name="제목 25 7" xfId="24683" xr:uid="{00000000-0005-0000-0000-0000D0600000}"/>
    <cellStyle name="제목 25 8" xfId="24684" xr:uid="{00000000-0005-0000-0000-0000D1600000}"/>
    <cellStyle name="제목 25 9" xfId="24685" xr:uid="{00000000-0005-0000-0000-0000D2600000}"/>
    <cellStyle name="제목 26" xfId="3181" xr:uid="{00000000-0005-0000-0000-0000D3600000}"/>
    <cellStyle name="제목 26 10" xfId="24687" xr:uid="{00000000-0005-0000-0000-0000D4600000}"/>
    <cellStyle name="제목 26 11" xfId="24688" xr:uid="{00000000-0005-0000-0000-0000D5600000}"/>
    <cellStyle name="제목 26 12" xfId="24689" xr:uid="{00000000-0005-0000-0000-0000D6600000}"/>
    <cellStyle name="제목 26 13" xfId="24690" xr:uid="{00000000-0005-0000-0000-0000D7600000}"/>
    <cellStyle name="제목 26 14" xfId="24691" xr:uid="{00000000-0005-0000-0000-0000D8600000}"/>
    <cellStyle name="제목 26 15" xfId="24686" xr:uid="{00000000-0005-0000-0000-0000D9600000}"/>
    <cellStyle name="제목 26 2" xfId="3182" xr:uid="{00000000-0005-0000-0000-0000DA600000}"/>
    <cellStyle name="제목 26 2 2" xfId="24692" xr:uid="{00000000-0005-0000-0000-0000DB600000}"/>
    <cellStyle name="제목 26 3" xfId="24693" xr:uid="{00000000-0005-0000-0000-0000DC600000}"/>
    <cellStyle name="제목 26 4" xfId="24694" xr:uid="{00000000-0005-0000-0000-0000DD600000}"/>
    <cellStyle name="제목 26 5" xfId="24695" xr:uid="{00000000-0005-0000-0000-0000DE600000}"/>
    <cellStyle name="제목 26 6" xfId="24696" xr:uid="{00000000-0005-0000-0000-0000DF600000}"/>
    <cellStyle name="제목 26 7" xfId="24697" xr:uid="{00000000-0005-0000-0000-0000E0600000}"/>
    <cellStyle name="제목 26 8" xfId="24698" xr:uid="{00000000-0005-0000-0000-0000E1600000}"/>
    <cellStyle name="제목 26 9" xfId="24699" xr:uid="{00000000-0005-0000-0000-0000E2600000}"/>
    <cellStyle name="제목 27" xfId="3183" xr:uid="{00000000-0005-0000-0000-0000E3600000}"/>
    <cellStyle name="제목 27 10" xfId="24701" xr:uid="{00000000-0005-0000-0000-0000E4600000}"/>
    <cellStyle name="제목 27 11" xfId="24702" xr:uid="{00000000-0005-0000-0000-0000E5600000}"/>
    <cellStyle name="제목 27 12" xfId="24703" xr:uid="{00000000-0005-0000-0000-0000E6600000}"/>
    <cellStyle name="제목 27 13" xfId="24704" xr:uid="{00000000-0005-0000-0000-0000E7600000}"/>
    <cellStyle name="제목 27 14" xfId="24705" xr:uid="{00000000-0005-0000-0000-0000E8600000}"/>
    <cellStyle name="제목 27 15" xfId="24700" xr:uid="{00000000-0005-0000-0000-0000E9600000}"/>
    <cellStyle name="제목 27 2" xfId="3184" xr:uid="{00000000-0005-0000-0000-0000EA600000}"/>
    <cellStyle name="제목 27 2 2" xfId="24706" xr:uid="{00000000-0005-0000-0000-0000EB600000}"/>
    <cellStyle name="제목 27 3" xfId="24707" xr:uid="{00000000-0005-0000-0000-0000EC600000}"/>
    <cellStyle name="제목 27 4" xfId="24708" xr:uid="{00000000-0005-0000-0000-0000ED600000}"/>
    <cellStyle name="제목 27 5" xfId="24709" xr:uid="{00000000-0005-0000-0000-0000EE600000}"/>
    <cellStyle name="제목 27 6" xfId="24710" xr:uid="{00000000-0005-0000-0000-0000EF600000}"/>
    <cellStyle name="제목 27 7" xfId="24711" xr:uid="{00000000-0005-0000-0000-0000F0600000}"/>
    <cellStyle name="제목 27 8" xfId="24712" xr:uid="{00000000-0005-0000-0000-0000F1600000}"/>
    <cellStyle name="제목 27 9" xfId="24713" xr:uid="{00000000-0005-0000-0000-0000F2600000}"/>
    <cellStyle name="제목 28" xfId="3185" xr:uid="{00000000-0005-0000-0000-0000F3600000}"/>
    <cellStyle name="제목 28 10" xfId="24715" xr:uid="{00000000-0005-0000-0000-0000F4600000}"/>
    <cellStyle name="제목 28 11" xfId="24716" xr:uid="{00000000-0005-0000-0000-0000F5600000}"/>
    <cellStyle name="제목 28 12" xfId="24717" xr:uid="{00000000-0005-0000-0000-0000F6600000}"/>
    <cellStyle name="제목 28 13" xfId="24718" xr:uid="{00000000-0005-0000-0000-0000F7600000}"/>
    <cellStyle name="제목 28 14" xfId="24719" xr:uid="{00000000-0005-0000-0000-0000F8600000}"/>
    <cellStyle name="제목 28 15" xfId="24714" xr:uid="{00000000-0005-0000-0000-0000F9600000}"/>
    <cellStyle name="제목 28 2" xfId="3186" xr:uid="{00000000-0005-0000-0000-0000FA600000}"/>
    <cellStyle name="제목 28 2 2" xfId="24720" xr:uid="{00000000-0005-0000-0000-0000FB600000}"/>
    <cellStyle name="제목 28 3" xfId="24721" xr:uid="{00000000-0005-0000-0000-0000FC600000}"/>
    <cellStyle name="제목 28 4" xfId="24722" xr:uid="{00000000-0005-0000-0000-0000FD600000}"/>
    <cellStyle name="제목 28 5" xfId="24723" xr:uid="{00000000-0005-0000-0000-0000FE600000}"/>
    <cellStyle name="제목 28 6" xfId="24724" xr:uid="{00000000-0005-0000-0000-0000FF600000}"/>
    <cellStyle name="제목 28 7" xfId="24725" xr:uid="{00000000-0005-0000-0000-000000610000}"/>
    <cellStyle name="제목 28 8" xfId="24726" xr:uid="{00000000-0005-0000-0000-000001610000}"/>
    <cellStyle name="제목 28 9" xfId="24727" xr:uid="{00000000-0005-0000-0000-000002610000}"/>
    <cellStyle name="제목 29" xfId="3187" xr:uid="{00000000-0005-0000-0000-000003610000}"/>
    <cellStyle name="제목 29 10" xfId="24729" xr:uid="{00000000-0005-0000-0000-000004610000}"/>
    <cellStyle name="제목 29 11" xfId="24730" xr:uid="{00000000-0005-0000-0000-000005610000}"/>
    <cellStyle name="제목 29 12" xfId="24731" xr:uid="{00000000-0005-0000-0000-000006610000}"/>
    <cellStyle name="제목 29 13" xfId="24732" xr:uid="{00000000-0005-0000-0000-000007610000}"/>
    <cellStyle name="제목 29 14" xfId="24733" xr:uid="{00000000-0005-0000-0000-000008610000}"/>
    <cellStyle name="제목 29 15" xfId="24728" xr:uid="{00000000-0005-0000-0000-000009610000}"/>
    <cellStyle name="제목 29 2" xfId="3188" xr:uid="{00000000-0005-0000-0000-00000A610000}"/>
    <cellStyle name="제목 29 2 2" xfId="24734" xr:uid="{00000000-0005-0000-0000-00000B610000}"/>
    <cellStyle name="제목 29 3" xfId="24735" xr:uid="{00000000-0005-0000-0000-00000C610000}"/>
    <cellStyle name="제목 29 4" xfId="24736" xr:uid="{00000000-0005-0000-0000-00000D610000}"/>
    <cellStyle name="제목 29 5" xfId="24737" xr:uid="{00000000-0005-0000-0000-00000E610000}"/>
    <cellStyle name="제목 29 6" xfId="24738" xr:uid="{00000000-0005-0000-0000-00000F610000}"/>
    <cellStyle name="제목 29 7" xfId="24739" xr:uid="{00000000-0005-0000-0000-000010610000}"/>
    <cellStyle name="제목 29 8" xfId="24740" xr:uid="{00000000-0005-0000-0000-000011610000}"/>
    <cellStyle name="제목 29 9" xfId="24741" xr:uid="{00000000-0005-0000-0000-000012610000}"/>
    <cellStyle name="제목 3 10" xfId="3190" xr:uid="{00000000-0005-0000-0000-000013610000}"/>
    <cellStyle name="제목 3 10 10" xfId="24744" xr:uid="{00000000-0005-0000-0000-000014610000}"/>
    <cellStyle name="제목 3 10 11" xfId="24745" xr:uid="{00000000-0005-0000-0000-000015610000}"/>
    <cellStyle name="제목 3 10 12" xfId="24746" xr:uid="{00000000-0005-0000-0000-000016610000}"/>
    <cellStyle name="제목 3 10 13" xfId="24747" xr:uid="{00000000-0005-0000-0000-000017610000}"/>
    <cellStyle name="제목 3 10 14" xfId="24748" xr:uid="{00000000-0005-0000-0000-000018610000}"/>
    <cellStyle name="제목 3 10 15" xfId="24743" xr:uid="{00000000-0005-0000-0000-000019610000}"/>
    <cellStyle name="제목 3 10 2" xfId="3191" xr:uid="{00000000-0005-0000-0000-00001A610000}"/>
    <cellStyle name="제목 3 10 2 2" xfId="24749" xr:uid="{00000000-0005-0000-0000-00001B610000}"/>
    <cellStyle name="제목 3 10 3" xfId="24750" xr:uid="{00000000-0005-0000-0000-00001C610000}"/>
    <cellStyle name="제목 3 10 4" xfId="24751" xr:uid="{00000000-0005-0000-0000-00001D610000}"/>
    <cellStyle name="제목 3 10 5" xfId="24752" xr:uid="{00000000-0005-0000-0000-00001E610000}"/>
    <cellStyle name="제목 3 10 6" xfId="24753" xr:uid="{00000000-0005-0000-0000-00001F610000}"/>
    <cellStyle name="제목 3 10 7" xfId="24754" xr:uid="{00000000-0005-0000-0000-000020610000}"/>
    <cellStyle name="제목 3 10 8" xfId="24755" xr:uid="{00000000-0005-0000-0000-000021610000}"/>
    <cellStyle name="제목 3 10 9" xfId="24756" xr:uid="{00000000-0005-0000-0000-000022610000}"/>
    <cellStyle name="제목 3 11" xfId="3192" xr:uid="{00000000-0005-0000-0000-000023610000}"/>
    <cellStyle name="제목 3 11 10" xfId="24758" xr:uid="{00000000-0005-0000-0000-000024610000}"/>
    <cellStyle name="제목 3 11 11" xfId="24759" xr:uid="{00000000-0005-0000-0000-000025610000}"/>
    <cellStyle name="제목 3 11 12" xfId="24760" xr:uid="{00000000-0005-0000-0000-000026610000}"/>
    <cellStyle name="제목 3 11 13" xfId="24761" xr:uid="{00000000-0005-0000-0000-000027610000}"/>
    <cellStyle name="제목 3 11 14" xfId="24762" xr:uid="{00000000-0005-0000-0000-000028610000}"/>
    <cellStyle name="제목 3 11 15" xfId="24757" xr:uid="{00000000-0005-0000-0000-000029610000}"/>
    <cellStyle name="제목 3 11 2" xfId="3193" xr:uid="{00000000-0005-0000-0000-00002A610000}"/>
    <cellStyle name="제목 3 11 2 2" xfId="24763" xr:uid="{00000000-0005-0000-0000-00002B610000}"/>
    <cellStyle name="제목 3 11 3" xfId="24764" xr:uid="{00000000-0005-0000-0000-00002C610000}"/>
    <cellStyle name="제목 3 11 4" xfId="24765" xr:uid="{00000000-0005-0000-0000-00002D610000}"/>
    <cellStyle name="제목 3 11 5" xfId="24766" xr:uid="{00000000-0005-0000-0000-00002E610000}"/>
    <cellStyle name="제목 3 11 6" xfId="24767" xr:uid="{00000000-0005-0000-0000-00002F610000}"/>
    <cellStyle name="제목 3 11 7" xfId="24768" xr:uid="{00000000-0005-0000-0000-000030610000}"/>
    <cellStyle name="제목 3 11 8" xfId="24769" xr:uid="{00000000-0005-0000-0000-000031610000}"/>
    <cellStyle name="제목 3 11 9" xfId="24770" xr:uid="{00000000-0005-0000-0000-000032610000}"/>
    <cellStyle name="제목 3 12" xfId="3194" xr:uid="{00000000-0005-0000-0000-000033610000}"/>
    <cellStyle name="제목 3 12 10" xfId="24772" xr:uid="{00000000-0005-0000-0000-000034610000}"/>
    <cellStyle name="제목 3 12 11" xfId="24773" xr:uid="{00000000-0005-0000-0000-000035610000}"/>
    <cellStyle name="제목 3 12 12" xfId="24774" xr:uid="{00000000-0005-0000-0000-000036610000}"/>
    <cellStyle name="제목 3 12 13" xfId="24775" xr:uid="{00000000-0005-0000-0000-000037610000}"/>
    <cellStyle name="제목 3 12 14" xfId="24776" xr:uid="{00000000-0005-0000-0000-000038610000}"/>
    <cellStyle name="제목 3 12 15" xfId="24771" xr:uid="{00000000-0005-0000-0000-000039610000}"/>
    <cellStyle name="제목 3 12 2" xfId="3195" xr:uid="{00000000-0005-0000-0000-00003A610000}"/>
    <cellStyle name="제목 3 12 2 2" xfId="24777" xr:uid="{00000000-0005-0000-0000-00003B610000}"/>
    <cellStyle name="제목 3 12 3" xfId="24778" xr:uid="{00000000-0005-0000-0000-00003C610000}"/>
    <cellStyle name="제목 3 12 4" xfId="24779" xr:uid="{00000000-0005-0000-0000-00003D610000}"/>
    <cellStyle name="제목 3 12 5" xfId="24780" xr:uid="{00000000-0005-0000-0000-00003E610000}"/>
    <cellStyle name="제목 3 12 6" xfId="24781" xr:uid="{00000000-0005-0000-0000-00003F610000}"/>
    <cellStyle name="제목 3 12 7" xfId="24782" xr:uid="{00000000-0005-0000-0000-000040610000}"/>
    <cellStyle name="제목 3 12 8" xfId="24783" xr:uid="{00000000-0005-0000-0000-000041610000}"/>
    <cellStyle name="제목 3 12 9" xfId="24784" xr:uid="{00000000-0005-0000-0000-000042610000}"/>
    <cellStyle name="제목 3 13" xfId="3196" xr:uid="{00000000-0005-0000-0000-000043610000}"/>
    <cellStyle name="제목 3 13 10" xfId="24786" xr:uid="{00000000-0005-0000-0000-000044610000}"/>
    <cellStyle name="제목 3 13 11" xfId="24787" xr:uid="{00000000-0005-0000-0000-000045610000}"/>
    <cellStyle name="제목 3 13 12" xfId="24788" xr:uid="{00000000-0005-0000-0000-000046610000}"/>
    <cellStyle name="제목 3 13 13" xfId="24789" xr:uid="{00000000-0005-0000-0000-000047610000}"/>
    <cellStyle name="제목 3 13 14" xfId="24790" xr:uid="{00000000-0005-0000-0000-000048610000}"/>
    <cellStyle name="제목 3 13 15" xfId="24785" xr:uid="{00000000-0005-0000-0000-000049610000}"/>
    <cellStyle name="제목 3 13 2" xfId="3197" xr:uid="{00000000-0005-0000-0000-00004A610000}"/>
    <cellStyle name="제목 3 13 2 2" xfId="24791" xr:uid="{00000000-0005-0000-0000-00004B610000}"/>
    <cellStyle name="제목 3 13 3" xfId="24792" xr:uid="{00000000-0005-0000-0000-00004C610000}"/>
    <cellStyle name="제목 3 13 4" xfId="24793" xr:uid="{00000000-0005-0000-0000-00004D610000}"/>
    <cellStyle name="제목 3 13 5" xfId="24794" xr:uid="{00000000-0005-0000-0000-00004E610000}"/>
    <cellStyle name="제목 3 13 6" xfId="24795" xr:uid="{00000000-0005-0000-0000-00004F610000}"/>
    <cellStyle name="제목 3 13 7" xfId="24796" xr:uid="{00000000-0005-0000-0000-000050610000}"/>
    <cellStyle name="제목 3 13 8" xfId="24797" xr:uid="{00000000-0005-0000-0000-000051610000}"/>
    <cellStyle name="제목 3 13 9" xfId="24798" xr:uid="{00000000-0005-0000-0000-000052610000}"/>
    <cellStyle name="제목 3 14" xfId="3198" xr:uid="{00000000-0005-0000-0000-000053610000}"/>
    <cellStyle name="제목 3 14 10" xfId="24800" xr:uid="{00000000-0005-0000-0000-000054610000}"/>
    <cellStyle name="제목 3 14 11" xfId="24801" xr:uid="{00000000-0005-0000-0000-000055610000}"/>
    <cellStyle name="제목 3 14 12" xfId="24802" xr:uid="{00000000-0005-0000-0000-000056610000}"/>
    <cellStyle name="제목 3 14 13" xfId="24803" xr:uid="{00000000-0005-0000-0000-000057610000}"/>
    <cellStyle name="제목 3 14 14" xfId="24804" xr:uid="{00000000-0005-0000-0000-000058610000}"/>
    <cellStyle name="제목 3 14 15" xfId="24799" xr:uid="{00000000-0005-0000-0000-000059610000}"/>
    <cellStyle name="제목 3 14 2" xfId="3199" xr:uid="{00000000-0005-0000-0000-00005A610000}"/>
    <cellStyle name="제목 3 14 2 2" xfId="24805" xr:uid="{00000000-0005-0000-0000-00005B610000}"/>
    <cellStyle name="제목 3 14 3" xfId="24806" xr:uid="{00000000-0005-0000-0000-00005C610000}"/>
    <cellStyle name="제목 3 14 4" xfId="24807" xr:uid="{00000000-0005-0000-0000-00005D610000}"/>
    <cellStyle name="제목 3 14 5" xfId="24808" xr:uid="{00000000-0005-0000-0000-00005E610000}"/>
    <cellStyle name="제목 3 14 6" xfId="24809" xr:uid="{00000000-0005-0000-0000-00005F610000}"/>
    <cellStyle name="제목 3 14 7" xfId="24810" xr:uid="{00000000-0005-0000-0000-000060610000}"/>
    <cellStyle name="제목 3 14 8" xfId="24811" xr:uid="{00000000-0005-0000-0000-000061610000}"/>
    <cellStyle name="제목 3 14 9" xfId="24812" xr:uid="{00000000-0005-0000-0000-000062610000}"/>
    <cellStyle name="제목 3 15" xfId="3200" xr:uid="{00000000-0005-0000-0000-000063610000}"/>
    <cellStyle name="제목 3 15 10" xfId="24814" xr:uid="{00000000-0005-0000-0000-000064610000}"/>
    <cellStyle name="제목 3 15 11" xfId="24815" xr:uid="{00000000-0005-0000-0000-000065610000}"/>
    <cellStyle name="제목 3 15 12" xfId="24816" xr:uid="{00000000-0005-0000-0000-000066610000}"/>
    <cellStyle name="제목 3 15 13" xfId="24817" xr:uid="{00000000-0005-0000-0000-000067610000}"/>
    <cellStyle name="제목 3 15 14" xfId="24818" xr:uid="{00000000-0005-0000-0000-000068610000}"/>
    <cellStyle name="제목 3 15 15" xfId="24813" xr:uid="{00000000-0005-0000-0000-000069610000}"/>
    <cellStyle name="제목 3 15 2" xfId="3201" xr:uid="{00000000-0005-0000-0000-00006A610000}"/>
    <cellStyle name="제목 3 15 2 2" xfId="24819" xr:uid="{00000000-0005-0000-0000-00006B610000}"/>
    <cellStyle name="제목 3 15 3" xfId="24820" xr:uid="{00000000-0005-0000-0000-00006C610000}"/>
    <cellStyle name="제목 3 15 4" xfId="24821" xr:uid="{00000000-0005-0000-0000-00006D610000}"/>
    <cellStyle name="제목 3 15 5" xfId="24822" xr:uid="{00000000-0005-0000-0000-00006E610000}"/>
    <cellStyle name="제목 3 15 6" xfId="24823" xr:uid="{00000000-0005-0000-0000-00006F610000}"/>
    <cellStyle name="제목 3 15 7" xfId="24824" xr:uid="{00000000-0005-0000-0000-000070610000}"/>
    <cellStyle name="제목 3 15 8" xfId="24825" xr:uid="{00000000-0005-0000-0000-000071610000}"/>
    <cellStyle name="제목 3 15 9" xfId="24826" xr:uid="{00000000-0005-0000-0000-000072610000}"/>
    <cellStyle name="제목 3 16" xfId="3202" xr:uid="{00000000-0005-0000-0000-000073610000}"/>
    <cellStyle name="제목 3 16 10" xfId="24828" xr:uid="{00000000-0005-0000-0000-000074610000}"/>
    <cellStyle name="제목 3 16 11" xfId="24829" xr:uid="{00000000-0005-0000-0000-000075610000}"/>
    <cellStyle name="제목 3 16 12" xfId="24830" xr:uid="{00000000-0005-0000-0000-000076610000}"/>
    <cellStyle name="제목 3 16 13" xfId="24831" xr:uid="{00000000-0005-0000-0000-000077610000}"/>
    <cellStyle name="제목 3 16 14" xfId="24832" xr:uid="{00000000-0005-0000-0000-000078610000}"/>
    <cellStyle name="제목 3 16 15" xfId="24827" xr:uid="{00000000-0005-0000-0000-000079610000}"/>
    <cellStyle name="제목 3 16 2" xfId="3203" xr:uid="{00000000-0005-0000-0000-00007A610000}"/>
    <cellStyle name="제목 3 16 2 2" xfId="24833" xr:uid="{00000000-0005-0000-0000-00007B610000}"/>
    <cellStyle name="제목 3 16 3" xfId="24834" xr:uid="{00000000-0005-0000-0000-00007C610000}"/>
    <cellStyle name="제목 3 16 4" xfId="24835" xr:uid="{00000000-0005-0000-0000-00007D610000}"/>
    <cellStyle name="제목 3 16 5" xfId="24836" xr:uid="{00000000-0005-0000-0000-00007E610000}"/>
    <cellStyle name="제목 3 16 6" xfId="24837" xr:uid="{00000000-0005-0000-0000-00007F610000}"/>
    <cellStyle name="제목 3 16 7" xfId="24838" xr:uid="{00000000-0005-0000-0000-000080610000}"/>
    <cellStyle name="제목 3 16 8" xfId="24839" xr:uid="{00000000-0005-0000-0000-000081610000}"/>
    <cellStyle name="제목 3 16 9" xfId="24840" xr:uid="{00000000-0005-0000-0000-000082610000}"/>
    <cellStyle name="제목 3 17" xfId="3204" xr:uid="{00000000-0005-0000-0000-000083610000}"/>
    <cellStyle name="제목 3 17 10" xfId="24842" xr:uid="{00000000-0005-0000-0000-000084610000}"/>
    <cellStyle name="제목 3 17 11" xfId="24843" xr:uid="{00000000-0005-0000-0000-000085610000}"/>
    <cellStyle name="제목 3 17 12" xfId="24844" xr:uid="{00000000-0005-0000-0000-000086610000}"/>
    <cellStyle name="제목 3 17 13" xfId="24845" xr:uid="{00000000-0005-0000-0000-000087610000}"/>
    <cellStyle name="제목 3 17 14" xfId="24846" xr:uid="{00000000-0005-0000-0000-000088610000}"/>
    <cellStyle name="제목 3 17 15" xfId="24841" xr:uid="{00000000-0005-0000-0000-000089610000}"/>
    <cellStyle name="제목 3 17 2" xfId="3205" xr:uid="{00000000-0005-0000-0000-00008A610000}"/>
    <cellStyle name="제목 3 17 2 2" xfId="24847" xr:uid="{00000000-0005-0000-0000-00008B610000}"/>
    <cellStyle name="제목 3 17 3" xfId="24848" xr:uid="{00000000-0005-0000-0000-00008C610000}"/>
    <cellStyle name="제목 3 17 4" xfId="24849" xr:uid="{00000000-0005-0000-0000-00008D610000}"/>
    <cellStyle name="제목 3 17 5" xfId="24850" xr:uid="{00000000-0005-0000-0000-00008E610000}"/>
    <cellStyle name="제목 3 17 6" xfId="24851" xr:uid="{00000000-0005-0000-0000-00008F610000}"/>
    <cellStyle name="제목 3 17 7" xfId="24852" xr:uid="{00000000-0005-0000-0000-000090610000}"/>
    <cellStyle name="제목 3 17 8" xfId="24853" xr:uid="{00000000-0005-0000-0000-000091610000}"/>
    <cellStyle name="제목 3 17 9" xfId="24854" xr:uid="{00000000-0005-0000-0000-000092610000}"/>
    <cellStyle name="제목 3 18" xfId="3206" xr:uid="{00000000-0005-0000-0000-000093610000}"/>
    <cellStyle name="제목 3 18 10" xfId="24856" xr:uid="{00000000-0005-0000-0000-000094610000}"/>
    <cellStyle name="제목 3 18 11" xfId="24857" xr:uid="{00000000-0005-0000-0000-000095610000}"/>
    <cellStyle name="제목 3 18 12" xfId="24858" xr:uid="{00000000-0005-0000-0000-000096610000}"/>
    <cellStyle name="제목 3 18 13" xfId="24859" xr:uid="{00000000-0005-0000-0000-000097610000}"/>
    <cellStyle name="제목 3 18 14" xfId="24860" xr:uid="{00000000-0005-0000-0000-000098610000}"/>
    <cellStyle name="제목 3 18 15" xfId="24855" xr:uid="{00000000-0005-0000-0000-000099610000}"/>
    <cellStyle name="제목 3 18 2" xfId="3207" xr:uid="{00000000-0005-0000-0000-00009A610000}"/>
    <cellStyle name="제목 3 18 2 2" xfId="24861" xr:uid="{00000000-0005-0000-0000-00009B610000}"/>
    <cellStyle name="제목 3 18 3" xfId="24862" xr:uid="{00000000-0005-0000-0000-00009C610000}"/>
    <cellStyle name="제목 3 18 4" xfId="24863" xr:uid="{00000000-0005-0000-0000-00009D610000}"/>
    <cellStyle name="제목 3 18 5" xfId="24864" xr:uid="{00000000-0005-0000-0000-00009E610000}"/>
    <cellStyle name="제목 3 18 6" xfId="24865" xr:uid="{00000000-0005-0000-0000-00009F610000}"/>
    <cellStyle name="제목 3 18 7" xfId="24866" xr:uid="{00000000-0005-0000-0000-0000A0610000}"/>
    <cellStyle name="제목 3 18 8" xfId="24867" xr:uid="{00000000-0005-0000-0000-0000A1610000}"/>
    <cellStyle name="제목 3 18 9" xfId="24868" xr:uid="{00000000-0005-0000-0000-0000A2610000}"/>
    <cellStyle name="제목 3 19" xfId="3208" xr:uid="{00000000-0005-0000-0000-0000A3610000}"/>
    <cellStyle name="제목 3 19 10" xfId="24870" xr:uid="{00000000-0005-0000-0000-0000A4610000}"/>
    <cellStyle name="제목 3 19 11" xfId="24871" xr:uid="{00000000-0005-0000-0000-0000A5610000}"/>
    <cellStyle name="제목 3 19 12" xfId="24872" xr:uid="{00000000-0005-0000-0000-0000A6610000}"/>
    <cellStyle name="제목 3 19 13" xfId="24873" xr:uid="{00000000-0005-0000-0000-0000A7610000}"/>
    <cellStyle name="제목 3 19 14" xfId="24874" xr:uid="{00000000-0005-0000-0000-0000A8610000}"/>
    <cellStyle name="제목 3 19 15" xfId="24869" xr:uid="{00000000-0005-0000-0000-0000A9610000}"/>
    <cellStyle name="제목 3 19 2" xfId="3209" xr:uid="{00000000-0005-0000-0000-0000AA610000}"/>
    <cellStyle name="제목 3 19 2 2" xfId="24875" xr:uid="{00000000-0005-0000-0000-0000AB610000}"/>
    <cellStyle name="제목 3 19 3" xfId="24876" xr:uid="{00000000-0005-0000-0000-0000AC610000}"/>
    <cellStyle name="제목 3 19 4" xfId="24877" xr:uid="{00000000-0005-0000-0000-0000AD610000}"/>
    <cellStyle name="제목 3 19 5" xfId="24878" xr:uid="{00000000-0005-0000-0000-0000AE610000}"/>
    <cellStyle name="제목 3 19 6" xfId="24879" xr:uid="{00000000-0005-0000-0000-0000AF610000}"/>
    <cellStyle name="제목 3 19 7" xfId="24880" xr:uid="{00000000-0005-0000-0000-0000B0610000}"/>
    <cellStyle name="제목 3 19 8" xfId="24881" xr:uid="{00000000-0005-0000-0000-0000B1610000}"/>
    <cellStyle name="제목 3 19 9" xfId="24882" xr:uid="{00000000-0005-0000-0000-0000B2610000}"/>
    <cellStyle name="제목 3 2" xfId="3210" xr:uid="{00000000-0005-0000-0000-0000B3610000}"/>
    <cellStyle name="제목 3 2 10" xfId="24884" xr:uid="{00000000-0005-0000-0000-0000B4610000}"/>
    <cellStyle name="제목 3 2 11" xfId="24885" xr:uid="{00000000-0005-0000-0000-0000B5610000}"/>
    <cellStyle name="제목 3 2 12" xfId="24886" xr:uid="{00000000-0005-0000-0000-0000B6610000}"/>
    <cellStyle name="제목 3 2 13" xfId="24887" xr:uid="{00000000-0005-0000-0000-0000B7610000}"/>
    <cellStyle name="제목 3 2 14" xfId="24888" xr:uid="{00000000-0005-0000-0000-0000B8610000}"/>
    <cellStyle name="제목 3 2 15" xfId="24883" xr:uid="{00000000-0005-0000-0000-0000B9610000}"/>
    <cellStyle name="제목 3 2 16" xfId="27981" xr:uid="{00000000-0005-0000-0000-0000BA610000}"/>
    <cellStyle name="제목 3 2 2" xfId="3211" xr:uid="{00000000-0005-0000-0000-0000BB610000}"/>
    <cellStyle name="제목 3 2 2 2" xfId="24889" xr:uid="{00000000-0005-0000-0000-0000BC610000}"/>
    <cellStyle name="제목 3 2 3" xfId="24890" xr:uid="{00000000-0005-0000-0000-0000BD610000}"/>
    <cellStyle name="제목 3 2 4" xfId="24891" xr:uid="{00000000-0005-0000-0000-0000BE610000}"/>
    <cellStyle name="제목 3 2 5" xfId="24892" xr:uid="{00000000-0005-0000-0000-0000BF610000}"/>
    <cellStyle name="제목 3 2 6" xfId="24893" xr:uid="{00000000-0005-0000-0000-0000C0610000}"/>
    <cellStyle name="제목 3 2 7" xfId="24894" xr:uid="{00000000-0005-0000-0000-0000C1610000}"/>
    <cellStyle name="제목 3 2 8" xfId="24895" xr:uid="{00000000-0005-0000-0000-0000C2610000}"/>
    <cellStyle name="제목 3 2 9" xfId="24896" xr:uid="{00000000-0005-0000-0000-0000C3610000}"/>
    <cellStyle name="제목 3 20" xfId="3212" xr:uid="{00000000-0005-0000-0000-0000C4610000}"/>
    <cellStyle name="제목 3 20 10" xfId="24898" xr:uid="{00000000-0005-0000-0000-0000C5610000}"/>
    <cellStyle name="제목 3 20 11" xfId="24899" xr:uid="{00000000-0005-0000-0000-0000C6610000}"/>
    <cellStyle name="제목 3 20 12" xfId="24900" xr:uid="{00000000-0005-0000-0000-0000C7610000}"/>
    <cellStyle name="제목 3 20 13" xfId="24901" xr:uid="{00000000-0005-0000-0000-0000C8610000}"/>
    <cellStyle name="제목 3 20 14" xfId="24902" xr:uid="{00000000-0005-0000-0000-0000C9610000}"/>
    <cellStyle name="제목 3 20 15" xfId="24897" xr:uid="{00000000-0005-0000-0000-0000CA610000}"/>
    <cellStyle name="제목 3 20 2" xfId="3213" xr:uid="{00000000-0005-0000-0000-0000CB610000}"/>
    <cellStyle name="제목 3 20 2 2" xfId="24903" xr:uid="{00000000-0005-0000-0000-0000CC610000}"/>
    <cellStyle name="제목 3 20 3" xfId="24904" xr:uid="{00000000-0005-0000-0000-0000CD610000}"/>
    <cellStyle name="제목 3 20 4" xfId="24905" xr:uid="{00000000-0005-0000-0000-0000CE610000}"/>
    <cellStyle name="제목 3 20 5" xfId="24906" xr:uid="{00000000-0005-0000-0000-0000CF610000}"/>
    <cellStyle name="제목 3 20 6" xfId="24907" xr:uid="{00000000-0005-0000-0000-0000D0610000}"/>
    <cellStyle name="제목 3 20 7" xfId="24908" xr:uid="{00000000-0005-0000-0000-0000D1610000}"/>
    <cellStyle name="제목 3 20 8" xfId="24909" xr:uid="{00000000-0005-0000-0000-0000D2610000}"/>
    <cellStyle name="제목 3 20 9" xfId="24910" xr:uid="{00000000-0005-0000-0000-0000D3610000}"/>
    <cellStyle name="제목 3 21" xfId="3214" xr:uid="{00000000-0005-0000-0000-0000D4610000}"/>
    <cellStyle name="제목 3 21 10" xfId="24912" xr:uid="{00000000-0005-0000-0000-0000D5610000}"/>
    <cellStyle name="제목 3 21 11" xfId="24913" xr:uid="{00000000-0005-0000-0000-0000D6610000}"/>
    <cellStyle name="제목 3 21 12" xfId="24914" xr:uid="{00000000-0005-0000-0000-0000D7610000}"/>
    <cellStyle name="제목 3 21 13" xfId="24915" xr:uid="{00000000-0005-0000-0000-0000D8610000}"/>
    <cellStyle name="제목 3 21 14" xfId="24916" xr:uid="{00000000-0005-0000-0000-0000D9610000}"/>
    <cellStyle name="제목 3 21 15" xfId="24911" xr:uid="{00000000-0005-0000-0000-0000DA610000}"/>
    <cellStyle name="제목 3 21 2" xfId="3215" xr:uid="{00000000-0005-0000-0000-0000DB610000}"/>
    <cellStyle name="제목 3 21 2 2" xfId="24917" xr:uid="{00000000-0005-0000-0000-0000DC610000}"/>
    <cellStyle name="제목 3 21 3" xfId="24918" xr:uid="{00000000-0005-0000-0000-0000DD610000}"/>
    <cellStyle name="제목 3 21 4" xfId="24919" xr:uid="{00000000-0005-0000-0000-0000DE610000}"/>
    <cellStyle name="제목 3 21 5" xfId="24920" xr:uid="{00000000-0005-0000-0000-0000DF610000}"/>
    <cellStyle name="제목 3 21 6" xfId="24921" xr:uid="{00000000-0005-0000-0000-0000E0610000}"/>
    <cellStyle name="제목 3 21 7" xfId="24922" xr:uid="{00000000-0005-0000-0000-0000E1610000}"/>
    <cellStyle name="제목 3 21 8" xfId="24923" xr:uid="{00000000-0005-0000-0000-0000E2610000}"/>
    <cellStyle name="제목 3 21 9" xfId="24924" xr:uid="{00000000-0005-0000-0000-0000E3610000}"/>
    <cellStyle name="제목 3 22" xfId="3216" xr:uid="{00000000-0005-0000-0000-0000E4610000}"/>
    <cellStyle name="제목 3 22 10" xfId="24926" xr:uid="{00000000-0005-0000-0000-0000E5610000}"/>
    <cellStyle name="제목 3 22 11" xfId="24927" xr:uid="{00000000-0005-0000-0000-0000E6610000}"/>
    <cellStyle name="제목 3 22 12" xfId="24928" xr:uid="{00000000-0005-0000-0000-0000E7610000}"/>
    <cellStyle name="제목 3 22 13" xfId="24929" xr:uid="{00000000-0005-0000-0000-0000E8610000}"/>
    <cellStyle name="제목 3 22 14" xfId="24930" xr:uid="{00000000-0005-0000-0000-0000E9610000}"/>
    <cellStyle name="제목 3 22 15" xfId="24925" xr:uid="{00000000-0005-0000-0000-0000EA610000}"/>
    <cellStyle name="제목 3 22 2" xfId="3217" xr:uid="{00000000-0005-0000-0000-0000EB610000}"/>
    <cellStyle name="제목 3 22 2 2" xfId="24931" xr:uid="{00000000-0005-0000-0000-0000EC610000}"/>
    <cellStyle name="제목 3 22 3" xfId="24932" xr:uid="{00000000-0005-0000-0000-0000ED610000}"/>
    <cellStyle name="제목 3 22 4" xfId="24933" xr:uid="{00000000-0005-0000-0000-0000EE610000}"/>
    <cellStyle name="제목 3 22 5" xfId="24934" xr:uid="{00000000-0005-0000-0000-0000EF610000}"/>
    <cellStyle name="제목 3 22 6" xfId="24935" xr:uid="{00000000-0005-0000-0000-0000F0610000}"/>
    <cellStyle name="제목 3 22 7" xfId="24936" xr:uid="{00000000-0005-0000-0000-0000F1610000}"/>
    <cellStyle name="제목 3 22 8" xfId="24937" xr:uid="{00000000-0005-0000-0000-0000F2610000}"/>
    <cellStyle name="제목 3 22 9" xfId="24938" xr:uid="{00000000-0005-0000-0000-0000F3610000}"/>
    <cellStyle name="제목 3 23" xfId="3218" xr:uid="{00000000-0005-0000-0000-0000F4610000}"/>
    <cellStyle name="제목 3 23 10" xfId="24940" xr:uid="{00000000-0005-0000-0000-0000F5610000}"/>
    <cellStyle name="제목 3 23 11" xfId="24941" xr:uid="{00000000-0005-0000-0000-0000F6610000}"/>
    <cellStyle name="제목 3 23 12" xfId="24942" xr:uid="{00000000-0005-0000-0000-0000F7610000}"/>
    <cellStyle name="제목 3 23 13" xfId="24943" xr:uid="{00000000-0005-0000-0000-0000F8610000}"/>
    <cellStyle name="제목 3 23 14" xfId="24944" xr:uid="{00000000-0005-0000-0000-0000F9610000}"/>
    <cellStyle name="제목 3 23 15" xfId="24939" xr:uid="{00000000-0005-0000-0000-0000FA610000}"/>
    <cellStyle name="제목 3 23 2" xfId="3219" xr:uid="{00000000-0005-0000-0000-0000FB610000}"/>
    <cellStyle name="제목 3 23 2 2" xfId="24945" xr:uid="{00000000-0005-0000-0000-0000FC610000}"/>
    <cellStyle name="제목 3 23 3" xfId="24946" xr:uid="{00000000-0005-0000-0000-0000FD610000}"/>
    <cellStyle name="제목 3 23 4" xfId="24947" xr:uid="{00000000-0005-0000-0000-0000FE610000}"/>
    <cellStyle name="제목 3 23 5" xfId="24948" xr:uid="{00000000-0005-0000-0000-0000FF610000}"/>
    <cellStyle name="제목 3 23 6" xfId="24949" xr:uid="{00000000-0005-0000-0000-000000620000}"/>
    <cellStyle name="제목 3 23 7" xfId="24950" xr:uid="{00000000-0005-0000-0000-000001620000}"/>
    <cellStyle name="제목 3 23 8" xfId="24951" xr:uid="{00000000-0005-0000-0000-000002620000}"/>
    <cellStyle name="제목 3 23 9" xfId="24952" xr:uid="{00000000-0005-0000-0000-000003620000}"/>
    <cellStyle name="제목 3 24" xfId="3220" xr:uid="{00000000-0005-0000-0000-000004620000}"/>
    <cellStyle name="제목 3 24 10" xfId="24954" xr:uid="{00000000-0005-0000-0000-000005620000}"/>
    <cellStyle name="제목 3 24 11" xfId="24955" xr:uid="{00000000-0005-0000-0000-000006620000}"/>
    <cellStyle name="제목 3 24 12" xfId="24956" xr:uid="{00000000-0005-0000-0000-000007620000}"/>
    <cellStyle name="제목 3 24 13" xfId="24957" xr:uid="{00000000-0005-0000-0000-000008620000}"/>
    <cellStyle name="제목 3 24 14" xfId="24958" xr:uid="{00000000-0005-0000-0000-000009620000}"/>
    <cellStyle name="제목 3 24 15" xfId="24953" xr:uid="{00000000-0005-0000-0000-00000A620000}"/>
    <cellStyle name="제목 3 24 2" xfId="3221" xr:uid="{00000000-0005-0000-0000-00000B620000}"/>
    <cellStyle name="제목 3 24 2 2" xfId="24959" xr:uid="{00000000-0005-0000-0000-00000C620000}"/>
    <cellStyle name="제목 3 24 3" xfId="24960" xr:uid="{00000000-0005-0000-0000-00000D620000}"/>
    <cellStyle name="제목 3 24 4" xfId="24961" xr:uid="{00000000-0005-0000-0000-00000E620000}"/>
    <cellStyle name="제목 3 24 5" xfId="24962" xr:uid="{00000000-0005-0000-0000-00000F620000}"/>
    <cellStyle name="제목 3 24 6" xfId="24963" xr:uid="{00000000-0005-0000-0000-000010620000}"/>
    <cellStyle name="제목 3 24 7" xfId="24964" xr:uid="{00000000-0005-0000-0000-000011620000}"/>
    <cellStyle name="제목 3 24 8" xfId="24965" xr:uid="{00000000-0005-0000-0000-000012620000}"/>
    <cellStyle name="제목 3 24 9" xfId="24966" xr:uid="{00000000-0005-0000-0000-000013620000}"/>
    <cellStyle name="제목 3 25" xfId="3222" xr:uid="{00000000-0005-0000-0000-000014620000}"/>
    <cellStyle name="제목 3 25 10" xfId="24968" xr:uid="{00000000-0005-0000-0000-000015620000}"/>
    <cellStyle name="제목 3 25 11" xfId="24969" xr:uid="{00000000-0005-0000-0000-000016620000}"/>
    <cellStyle name="제목 3 25 12" xfId="24970" xr:uid="{00000000-0005-0000-0000-000017620000}"/>
    <cellStyle name="제목 3 25 13" xfId="24971" xr:uid="{00000000-0005-0000-0000-000018620000}"/>
    <cellStyle name="제목 3 25 14" xfId="24972" xr:uid="{00000000-0005-0000-0000-000019620000}"/>
    <cellStyle name="제목 3 25 15" xfId="24967" xr:uid="{00000000-0005-0000-0000-00001A620000}"/>
    <cellStyle name="제목 3 25 2" xfId="3223" xr:uid="{00000000-0005-0000-0000-00001B620000}"/>
    <cellStyle name="제목 3 25 2 2" xfId="24973" xr:uid="{00000000-0005-0000-0000-00001C620000}"/>
    <cellStyle name="제목 3 25 3" xfId="24974" xr:uid="{00000000-0005-0000-0000-00001D620000}"/>
    <cellStyle name="제목 3 25 4" xfId="24975" xr:uid="{00000000-0005-0000-0000-00001E620000}"/>
    <cellStyle name="제목 3 25 5" xfId="24976" xr:uid="{00000000-0005-0000-0000-00001F620000}"/>
    <cellStyle name="제목 3 25 6" xfId="24977" xr:uid="{00000000-0005-0000-0000-000020620000}"/>
    <cellStyle name="제목 3 25 7" xfId="24978" xr:uid="{00000000-0005-0000-0000-000021620000}"/>
    <cellStyle name="제목 3 25 8" xfId="24979" xr:uid="{00000000-0005-0000-0000-000022620000}"/>
    <cellStyle name="제목 3 25 9" xfId="24980" xr:uid="{00000000-0005-0000-0000-000023620000}"/>
    <cellStyle name="제목 3 26" xfId="3224" xr:uid="{00000000-0005-0000-0000-000024620000}"/>
    <cellStyle name="제목 3 26 10" xfId="24982" xr:uid="{00000000-0005-0000-0000-000025620000}"/>
    <cellStyle name="제목 3 26 11" xfId="24983" xr:uid="{00000000-0005-0000-0000-000026620000}"/>
    <cellStyle name="제목 3 26 12" xfId="24984" xr:uid="{00000000-0005-0000-0000-000027620000}"/>
    <cellStyle name="제목 3 26 13" xfId="24985" xr:uid="{00000000-0005-0000-0000-000028620000}"/>
    <cellStyle name="제목 3 26 14" xfId="24986" xr:uid="{00000000-0005-0000-0000-000029620000}"/>
    <cellStyle name="제목 3 26 15" xfId="24981" xr:uid="{00000000-0005-0000-0000-00002A620000}"/>
    <cellStyle name="제목 3 26 2" xfId="3225" xr:uid="{00000000-0005-0000-0000-00002B620000}"/>
    <cellStyle name="제목 3 26 2 2" xfId="24987" xr:uid="{00000000-0005-0000-0000-00002C620000}"/>
    <cellStyle name="제목 3 26 3" xfId="24988" xr:uid="{00000000-0005-0000-0000-00002D620000}"/>
    <cellStyle name="제목 3 26 4" xfId="24989" xr:uid="{00000000-0005-0000-0000-00002E620000}"/>
    <cellStyle name="제목 3 26 5" xfId="24990" xr:uid="{00000000-0005-0000-0000-00002F620000}"/>
    <cellStyle name="제목 3 26 6" xfId="24991" xr:uid="{00000000-0005-0000-0000-000030620000}"/>
    <cellStyle name="제목 3 26 7" xfId="24992" xr:uid="{00000000-0005-0000-0000-000031620000}"/>
    <cellStyle name="제목 3 26 8" xfId="24993" xr:uid="{00000000-0005-0000-0000-000032620000}"/>
    <cellStyle name="제목 3 26 9" xfId="24994" xr:uid="{00000000-0005-0000-0000-000033620000}"/>
    <cellStyle name="제목 3 27" xfId="3226" xr:uid="{00000000-0005-0000-0000-000034620000}"/>
    <cellStyle name="제목 3 27 10" xfId="24996" xr:uid="{00000000-0005-0000-0000-000035620000}"/>
    <cellStyle name="제목 3 27 11" xfId="24997" xr:uid="{00000000-0005-0000-0000-000036620000}"/>
    <cellStyle name="제목 3 27 12" xfId="24998" xr:uid="{00000000-0005-0000-0000-000037620000}"/>
    <cellStyle name="제목 3 27 13" xfId="24999" xr:uid="{00000000-0005-0000-0000-000038620000}"/>
    <cellStyle name="제목 3 27 14" xfId="25000" xr:uid="{00000000-0005-0000-0000-000039620000}"/>
    <cellStyle name="제목 3 27 15" xfId="24995" xr:uid="{00000000-0005-0000-0000-00003A620000}"/>
    <cellStyle name="제목 3 27 2" xfId="3227" xr:uid="{00000000-0005-0000-0000-00003B620000}"/>
    <cellStyle name="제목 3 27 2 2" xfId="25001" xr:uid="{00000000-0005-0000-0000-00003C620000}"/>
    <cellStyle name="제목 3 27 3" xfId="25002" xr:uid="{00000000-0005-0000-0000-00003D620000}"/>
    <cellStyle name="제목 3 27 4" xfId="25003" xr:uid="{00000000-0005-0000-0000-00003E620000}"/>
    <cellStyle name="제목 3 27 5" xfId="25004" xr:uid="{00000000-0005-0000-0000-00003F620000}"/>
    <cellStyle name="제목 3 27 6" xfId="25005" xr:uid="{00000000-0005-0000-0000-000040620000}"/>
    <cellStyle name="제목 3 27 7" xfId="25006" xr:uid="{00000000-0005-0000-0000-000041620000}"/>
    <cellStyle name="제목 3 27 8" xfId="25007" xr:uid="{00000000-0005-0000-0000-000042620000}"/>
    <cellStyle name="제목 3 27 9" xfId="25008" xr:uid="{00000000-0005-0000-0000-000043620000}"/>
    <cellStyle name="제목 3 28" xfId="3228" xr:uid="{00000000-0005-0000-0000-000044620000}"/>
    <cellStyle name="제목 3 28 10" xfId="25010" xr:uid="{00000000-0005-0000-0000-000045620000}"/>
    <cellStyle name="제목 3 28 11" xfId="25011" xr:uid="{00000000-0005-0000-0000-000046620000}"/>
    <cellStyle name="제목 3 28 12" xfId="25012" xr:uid="{00000000-0005-0000-0000-000047620000}"/>
    <cellStyle name="제목 3 28 13" xfId="25013" xr:uid="{00000000-0005-0000-0000-000048620000}"/>
    <cellStyle name="제목 3 28 14" xfId="25014" xr:uid="{00000000-0005-0000-0000-000049620000}"/>
    <cellStyle name="제목 3 28 15" xfId="25009" xr:uid="{00000000-0005-0000-0000-00004A620000}"/>
    <cellStyle name="제목 3 28 2" xfId="3229" xr:uid="{00000000-0005-0000-0000-00004B620000}"/>
    <cellStyle name="제목 3 28 2 2" xfId="25015" xr:uid="{00000000-0005-0000-0000-00004C620000}"/>
    <cellStyle name="제목 3 28 3" xfId="25016" xr:uid="{00000000-0005-0000-0000-00004D620000}"/>
    <cellStyle name="제목 3 28 4" xfId="25017" xr:uid="{00000000-0005-0000-0000-00004E620000}"/>
    <cellStyle name="제목 3 28 5" xfId="25018" xr:uid="{00000000-0005-0000-0000-00004F620000}"/>
    <cellStyle name="제목 3 28 6" xfId="25019" xr:uid="{00000000-0005-0000-0000-000050620000}"/>
    <cellStyle name="제목 3 28 7" xfId="25020" xr:uid="{00000000-0005-0000-0000-000051620000}"/>
    <cellStyle name="제목 3 28 8" xfId="25021" xr:uid="{00000000-0005-0000-0000-000052620000}"/>
    <cellStyle name="제목 3 28 9" xfId="25022" xr:uid="{00000000-0005-0000-0000-000053620000}"/>
    <cellStyle name="제목 3 29" xfId="3230" xr:uid="{00000000-0005-0000-0000-000054620000}"/>
    <cellStyle name="제목 3 29 10" xfId="25024" xr:uid="{00000000-0005-0000-0000-000055620000}"/>
    <cellStyle name="제목 3 29 11" xfId="25025" xr:uid="{00000000-0005-0000-0000-000056620000}"/>
    <cellStyle name="제목 3 29 12" xfId="25026" xr:uid="{00000000-0005-0000-0000-000057620000}"/>
    <cellStyle name="제목 3 29 13" xfId="25027" xr:uid="{00000000-0005-0000-0000-000058620000}"/>
    <cellStyle name="제목 3 29 14" xfId="25028" xr:uid="{00000000-0005-0000-0000-000059620000}"/>
    <cellStyle name="제목 3 29 15" xfId="25023" xr:uid="{00000000-0005-0000-0000-00005A620000}"/>
    <cellStyle name="제목 3 29 2" xfId="3231" xr:uid="{00000000-0005-0000-0000-00005B620000}"/>
    <cellStyle name="제목 3 29 2 2" xfId="25029" xr:uid="{00000000-0005-0000-0000-00005C620000}"/>
    <cellStyle name="제목 3 29 3" xfId="25030" xr:uid="{00000000-0005-0000-0000-00005D620000}"/>
    <cellStyle name="제목 3 29 4" xfId="25031" xr:uid="{00000000-0005-0000-0000-00005E620000}"/>
    <cellStyle name="제목 3 29 5" xfId="25032" xr:uid="{00000000-0005-0000-0000-00005F620000}"/>
    <cellStyle name="제목 3 29 6" xfId="25033" xr:uid="{00000000-0005-0000-0000-000060620000}"/>
    <cellStyle name="제목 3 29 7" xfId="25034" xr:uid="{00000000-0005-0000-0000-000061620000}"/>
    <cellStyle name="제목 3 29 8" xfId="25035" xr:uid="{00000000-0005-0000-0000-000062620000}"/>
    <cellStyle name="제목 3 29 9" xfId="25036" xr:uid="{00000000-0005-0000-0000-000063620000}"/>
    <cellStyle name="제목 3 3" xfId="3232" xr:uid="{00000000-0005-0000-0000-000064620000}"/>
    <cellStyle name="제목 3 3 10" xfId="25038" xr:uid="{00000000-0005-0000-0000-000065620000}"/>
    <cellStyle name="제목 3 3 11" xfId="25039" xr:uid="{00000000-0005-0000-0000-000066620000}"/>
    <cellStyle name="제목 3 3 12" xfId="25040" xr:uid="{00000000-0005-0000-0000-000067620000}"/>
    <cellStyle name="제목 3 3 13" xfId="25041" xr:uid="{00000000-0005-0000-0000-000068620000}"/>
    <cellStyle name="제목 3 3 14" xfId="25042" xr:uid="{00000000-0005-0000-0000-000069620000}"/>
    <cellStyle name="제목 3 3 15" xfId="25037" xr:uid="{00000000-0005-0000-0000-00006A620000}"/>
    <cellStyle name="제목 3 3 16" xfId="28227" xr:uid="{00000000-0005-0000-0000-00006B620000}"/>
    <cellStyle name="제목 3 3 2" xfId="3233" xr:uid="{00000000-0005-0000-0000-00006C620000}"/>
    <cellStyle name="제목 3 3 2 2" xfId="25043" xr:uid="{00000000-0005-0000-0000-00006D620000}"/>
    <cellStyle name="제목 3 3 3" xfId="25044" xr:uid="{00000000-0005-0000-0000-00006E620000}"/>
    <cellStyle name="제목 3 3 4" xfId="25045" xr:uid="{00000000-0005-0000-0000-00006F620000}"/>
    <cellStyle name="제목 3 3 5" xfId="25046" xr:uid="{00000000-0005-0000-0000-000070620000}"/>
    <cellStyle name="제목 3 3 6" xfId="25047" xr:uid="{00000000-0005-0000-0000-000071620000}"/>
    <cellStyle name="제목 3 3 7" xfId="25048" xr:uid="{00000000-0005-0000-0000-000072620000}"/>
    <cellStyle name="제목 3 3 8" xfId="25049" xr:uid="{00000000-0005-0000-0000-000073620000}"/>
    <cellStyle name="제목 3 3 9" xfId="25050" xr:uid="{00000000-0005-0000-0000-000074620000}"/>
    <cellStyle name="제목 3 30" xfId="3234" xr:uid="{00000000-0005-0000-0000-000075620000}"/>
    <cellStyle name="제목 3 30 10" xfId="25052" xr:uid="{00000000-0005-0000-0000-000076620000}"/>
    <cellStyle name="제목 3 30 11" xfId="25053" xr:uid="{00000000-0005-0000-0000-000077620000}"/>
    <cellStyle name="제목 3 30 12" xfId="25054" xr:uid="{00000000-0005-0000-0000-000078620000}"/>
    <cellStyle name="제목 3 30 13" xfId="25055" xr:uid="{00000000-0005-0000-0000-000079620000}"/>
    <cellStyle name="제목 3 30 14" xfId="25056" xr:uid="{00000000-0005-0000-0000-00007A620000}"/>
    <cellStyle name="제목 3 30 15" xfId="25051" xr:uid="{00000000-0005-0000-0000-00007B620000}"/>
    <cellStyle name="제목 3 30 2" xfId="3235" xr:uid="{00000000-0005-0000-0000-00007C620000}"/>
    <cellStyle name="제목 3 30 2 2" xfId="25057" xr:uid="{00000000-0005-0000-0000-00007D620000}"/>
    <cellStyle name="제목 3 30 3" xfId="25058" xr:uid="{00000000-0005-0000-0000-00007E620000}"/>
    <cellStyle name="제목 3 30 4" xfId="25059" xr:uid="{00000000-0005-0000-0000-00007F620000}"/>
    <cellStyle name="제목 3 30 5" xfId="25060" xr:uid="{00000000-0005-0000-0000-000080620000}"/>
    <cellStyle name="제목 3 30 6" xfId="25061" xr:uid="{00000000-0005-0000-0000-000081620000}"/>
    <cellStyle name="제목 3 30 7" xfId="25062" xr:uid="{00000000-0005-0000-0000-000082620000}"/>
    <cellStyle name="제목 3 30 8" xfId="25063" xr:uid="{00000000-0005-0000-0000-000083620000}"/>
    <cellStyle name="제목 3 30 9" xfId="25064" xr:uid="{00000000-0005-0000-0000-000084620000}"/>
    <cellStyle name="제목 3 31" xfId="3236" xr:uid="{00000000-0005-0000-0000-000085620000}"/>
    <cellStyle name="제목 3 31 10" xfId="25066" xr:uid="{00000000-0005-0000-0000-000086620000}"/>
    <cellStyle name="제목 3 31 11" xfId="25067" xr:uid="{00000000-0005-0000-0000-000087620000}"/>
    <cellStyle name="제목 3 31 12" xfId="25068" xr:uid="{00000000-0005-0000-0000-000088620000}"/>
    <cellStyle name="제목 3 31 13" xfId="25069" xr:uid="{00000000-0005-0000-0000-000089620000}"/>
    <cellStyle name="제목 3 31 14" xfId="25070" xr:uid="{00000000-0005-0000-0000-00008A620000}"/>
    <cellStyle name="제목 3 31 15" xfId="25065" xr:uid="{00000000-0005-0000-0000-00008B620000}"/>
    <cellStyle name="제목 3 31 2" xfId="3237" xr:uid="{00000000-0005-0000-0000-00008C620000}"/>
    <cellStyle name="제목 3 31 2 2" xfId="25071" xr:uid="{00000000-0005-0000-0000-00008D620000}"/>
    <cellStyle name="제목 3 31 3" xfId="25072" xr:uid="{00000000-0005-0000-0000-00008E620000}"/>
    <cellStyle name="제목 3 31 4" xfId="25073" xr:uid="{00000000-0005-0000-0000-00008F620000}"/>
    <cellStyle name="제목 3 31 5" xfId="25074" xr:uid="{00000000-0005-0000-0000-000090620000}"/>
    <cellStyle name="제목 3 31 6" xfId="25075" xr:uid="{00000000-0005-0000-0000-000091620000}"/>
    <cellStyle name="제목 3 31 7" xfId="25076" xr:uid="{00000000-0005-0000-0000-000092620000}"/>
    <cellStyle name="제목 3 31 8" xfId="25077" xr:uid="{00000000-0005-0000-0000-000093620000}"/>
    <cellStyle name="제목 3 31 9" xfId="25078" xr:uid="{00000000-0005-0000-0000-000094620000}"/>
    <cellStyle name="제목 3 32" xfId="3238" xr:uid="{00000000-0005-0000-0000-000095620000}"/>
    <cellStyle name="제목 3 32 10" xfId="25080" xr:uid="{00000000-0005-0000-0000-000096620000}"/>
    <cellStyle name="제목 3 32 11" xfId="25081" xr:uid="{00000000-0005-0000-0000-000097620000}"/>
    <cellStyle name="제목 3 32 12" xfId="25082" xr:uid="{00000000-0005-0000-0000-000098620000}"/>
    <cellStyle name="제목 3 32 13" xfId="25083" xr:uid="{00000000-0005-0000-0000-000099620000}"/>
    <cellStyle name="제목 3 32 14" xfId="25084" xr:uid="{00000000-0005-0000-0000-00009A620000}"/>
    <cellStyle name="제목 3 32 15" xfId="25079" xr:uid="{00000000-0005-0000-0000-00009B620000}"/>
    <cellStyle name="제목 3 32 2" xfId="3239" xr:uid="{00000000-0005-0000-0000-00009C620000}"/>
    <cellStyle name="제목 3 32 2 2" xfId="25085" xr:uid="{00000000-0005-0000-0000-00009D620000}"/>
    <cellStyle name="제목 3 32 3" xfId="25086" xr:uid="{00000000-0005-0000-0000-00009E620000}"/>
    <cellStyle name="제목 3 32 4" xfId="25087" xr:uid="{00000000-0005-0000-0000-00009F620000}"/>
    <cellStyle name="제목 3 32 5" xfId="25088" xr:uid="{00000000-0005-0000-0000-0000A0620000}"/>
    <cellStyle name="제목 3 32 6" xfId="25089" xr:uid="{00000000-0005-0000-0000-0000A1620000}"/>
    <cellStyle name="제목 3 32 7" xfId="25090" xr:uid="{00000000-0005-0000-0000-0000A2620000}"/>
    <cellStyle name="제목 3 32 8" xfId="25091" xr:uid="{00000000-0005-0000-0000-0000A3620000}"/>
    <cellStyle name="제목 3 32 9" xfId="25092" xr:uid="{00000000-0005-0000-0000-0000A4620000}"/>
    <cellStyle name="제목 3 33" xfId="3240" xr:uid="{00000000-0005-0000-0000-0000A5620000}"/>
    <cellStyle name="제목 3 33 10" xfId="25094" xr:uid="{00000000-0005-0000-0000-0000A6620000}"/>
    <cellStyle name="제목 3 33 11" xfId="25095" xr:uid="{00000000-0005-0000-0000-0000A7620000}"/>
    <cellStyle name="제목 3 33 12" xfId="25096" xr:uid="{00000000-0005-0000-0000-0000A8620000}"/>
    <cellStyle name="제목 3 33 13" xfId="25097" xr:uid="{00000000-0005-0000-0000-0000A9620000}"/>
    <cellStyle name="제목 3 33 14" xfId="25098" xr:uid="{00000000-0005-0000-0000-0000AA620000}"/>
    <cellStyle name="제목 3 33 15" xfId="25093" xr:uid="{00000000-0005-0000-0000-0000AB620000}"/>
    <cellStyle name="제목 3 33 2" xfId="3241" xr:uid="{00000000-0005-0000-0000-0000AC620000}"/>
    <cellStyle name="제목 3 33 2 2" xfId="25099" xr:uid="{00000000-0005-0000-0000-0000AD620000}"/>
    <cellStyle name="제목 3 33 3" xfId="25100" xr:uid="{00000000-0005-0000-0000-0000AE620000}"/>
    <cellStyle name="제목 3 33 4" xfId="25101" xr:uid="{00000000-0005-0000-0000-0000AF620000}"/>
    <cellStyle name="제목 3 33 5" xfId="25102" xr:uid="{00000000-0005-0000-0000-0000B0620000}"/>
    <cellStyle name="제목 3 33 6" xfId="25103" xr:uid="{00000000-0005-0000-0000-0000B1620000}"/>
    <cellStyle name="제목 3 33 7" xfId="25104" xr:uid="{00000000-0005-0000-0000-0000B2620000}"/>
    <cellStyle name="제목 3 33 8" xfId="25105" xr:uid="{00000000-0005-0000-0000-0000B3620000}"/>
    <cellStyle name="제목 3 33 9" xfId="25106" xr:uid="{00000000-0005-0000-0000-0000B4620000}"/>
    <cellStyle name="제목 3 34" xfId="3242" xr:uid="{00000000-0005-0000-0000-0000B5620000}"/>
    <cellStyle name="제목 3 34 10" xfId="25108" xr:uid="{00000000-0005-0000-0000-0000B6620000}"/>
    <cellStyle name="제목 3 34 11" xfId="25109" xr:uid="{00000000-0005-0000-0000-0000B7620000}"/>
    <cellStyle name="제목 3 34 12" xfId="25110" xr:uid="{00000000-0005-0000-0000-0000B8620000}"/>
    <cellStyle name="제목 3 34 13" xfId="25111" xr:uid="{00000000-0005-0000-0000-0000B9620000}"/>
    <cellStyle name="제목 3 34 14" xfId="25112" xr:uid="{00000000-0005-0000-0000-0000BA620000}"/>
    <cellStyle name="제목 3 34 15" xfId="25107" xr:uid="{00000000-0005-0000-0000-0000BB620000}"/>
    <cellStyle name="제목 3 34 2" xfId="3243" xr:uid="{00000000-0005-0000-0000-0000BC620000}"/>
    <cellStyle name="제목 3 34 2 2" xfId="25113" xr:uid="{00000000-0005-0000-0000-0000BD620000}"/>
    <cellStyle name="제목 3 34 3" xfId="25114" xr:uid="{00000000-0005-0000-0000-0000BE620000}"/>
    <cellStyle name="제목 3 34 4" xfId="25115" xr:uid="{00000000-0005-0000-0000-0000BF620000}"/>
    <cellStyle name="제목 3 34 5" xfId="25116" xr:uid="{00000000-0005-0000-0000-0000C0620000}"/>
    <cellStyle name="제목 3 34 6" xfId="25117" xr:uid="{00000000-0005-0000-0000-0000C1620000}"/>
    <cellStyle name="제목 3 34 7" xfId="25118" xr:uid="{00000000-0005-0000-0000-0000C2620000}"/>
    <cellStyle name="제목 3 34 8" xfId="25119" xr:uid="{00000000-0005-0000-0000-0000C3620000}"/>
    <cellStyle name="제목 3 34 9" xfId="25120" xr:uid="{00000000-0005-0000-0000-0000C4620000}"/>
    <cellStyle name="제목 3 35" xfId="3244" xr:uid="{00000000-0005-0000-0000-0000C5620000}"/>
    <cellStyle name="제목 3 35 10" xfId="25122" xr:uid="{00000000-0005-0000-0000-0000C6620000}"/>
    <cellStyle name="제목 3 35 11" xfId="25123" xr:uid="{00000000-0005-0000-0000-0000C7620000}"/>
    <cellStyle name="제목 3 35 12" xfId="25124" xr:uid="{00000000-0005-0000-0000-0000C8620000}"/>
    <cellStyle name="제목 3 35 13" xfId="25125" xr:uid="{00000000-0005-0000-0000-0000C9620000}"/>
    <cellStyle name="제목 3 35 14" xfId="25126" xr:uid="{00000000-0005-0000-0000-0000CA620000}"/>
    <cellStyle name="제목 3 35 15" xfId="25121" xr:uid="{00000000-0005-0000-0000-0000CB620000}"/>
    <cellStyle name="제목 3 35 2" xfId="3245" xr:uid="{00000000-0005-0000-0000-0000CC620000}"/>
    <cellStyle name="제목 3 35 2 2" xfId="25127" xr:uid="{00000000-0005-0000-0000-0000CD620000}"/>
    <cellStyle name="제목 3 35 3" xfId="25128" xr:uid="{00000000-0005-0000-0000-0000CE620000}"/>
    <cellStyle name="제목 3 35 4" xfId="25129" xr:uid="{00000000-0005-0000-0000-0000CF620000}"/>
    <cellStyle name="제목 3 35 5" xfId="25130" xr:uid="{00000000-0005-0000-0000-0000D0620000}"/>
    <cellStyle name="제목 3 35 6" xfId="25131" xr:uid="{00000000-0005-0000-0000-0000D1620000}"/>
    <cellStyle name="제목 3 35 7" xfId="25132" xr:uid="{00000000-0005-0000-0000-0000D2620000}"/>
    <cellStyle name="제목 3 35 8" xfId="25133" xr:uid="{00000000-0005-0000-0000-0000D3620000}"/>
    <cellStyle name="제목 3 35 9" xfId="25134" xr:uid="{00000000-0005-0000-0000-0000D4620000}"/>
    <cellStyle name="제목 3 36" xfId="3246" xr:uid="{00000000-0005-0000-0000-0000D5620000}"/>
    <cellStyle name="제목 3 36 10" xfId="25136" xr:uid="{00000000-0005-0000-0000-0000D6620000}"/>
    <cellStyle name="제목 3 36 11" xfId="25137" xr:uid="{00000000-0005-0000-0000-0000D7620000}"/>
    <cellStyle name="제목 3 36 12" xfId="25138" xr:uid="{00000000-0005-0000-0000-0000D8620000}"/>
    <cellStyle name="제목 3 36 13" xfId="25139" xr:uid="{00000000-0005-0000-0000-0000D9620000}"/>
    <cellStyle name="제목 3 36 14" xfId="25140" xr:uid="{00000000-0005-0000-0000-0000DA620000}"/>
    <cellStyle name="제목 3 36 15" xfId="25135" xr:uid="{00000000-0005-0000-0000-0000DB620000}"/>
    <cellStyle name="제목 3 36 2" xfId="3247" xr:uid="{00000000-0005-0000-0000-0000DC620000}"/>
    <cellStyle name="제목 3 36 2 2" xfId="25141" xr:uid="{00000000-0005-0000-0000-0000DD620000}"/>
    <cellStyle name="제목 3 36 3" xfId="25142" xr:uid="{00000000-0005-0000-0000-0000DE620000}"/>
    <cellStyle name="제목 3 36 4" xfId="25143" xr:uid="{00000000-0005-0000-0000-0000DF620000}"/>
    <cellStyle name="제목 3 36 5" xfId="25144" xr:uid="{00000000-0005-0000-0000-0000E0620000}"/>
    <cellStyle name="제목 3 36 6" xfId="25145" xr:uid="{00000000-0005-0000-0000-0000E1620000}"/>
    <cellStyle name="제목 3 36 7" xfId="25146" xr:uid="{00000000-0005-0000-0000-0000E2620000}"/>
    <cellStyle name="제목 3 36 8" xfId="25147" xr:uid="{00000000-0005-0000-0000-0000E3620000}"/>
    <cellStyle name="제목 3 36 9" xfId="25148" xr:uid="{00000000-0005-0000-0000-0000E4620000}"/>
    <cellStyle name="제목 3 37" xfId="3248" xr:uid="{00000000-0005-0000-0000-0000E5620000}"/>
    <cellStyle name="제목 3 37 10" xfId="25150" xr:uid="{00000000-0005-0000-0000-0000E6620000}"/>
    <cellStyle name="제목 3 37 11" xfId="25151" xr:uid="{00000000-0005-0000-0000-0000E7620000}"/>
    <cellStyle name="제목 3 37 12" xfId="25152" xr:uid="{00000000-0005-0000-0000-0000E8620000}"/>
    <cellStyle name="제목 3 37 13" xfId="25153" xr:uid="{00000000-0005-0000-0000-0000E9620000}"/>
    <cellStyle name="제목 3 37 14" xfId="25154" xr:uid="{00000000-0005-0000-0000-0000EA620000}"/>
    <cellStyle name="제목 3 37 15" xfId="25149" xr:uid="{00000000-0005-0000-0000-0000EB620000}"/>
    <cellStyle name="제목 3 37 2" xfId="3249" xr:uid="{00000000-0005-0000-0000-0000EC620000}"/>
    <cellStyle name="제목 3 37 2 2" xfId="25155" xr:uid="{00000000-0005-0000-0000-0000ED620000}"/>
    <cellStyle name="제목 3 37 3" xfId="25156" xr:uid="{00000000-0005-0000-0000-0000EE620000}"/>
    <cellStyle name="제목 3 37 4" xfId="25157" xr:uid="{00000000-0005-0000-0000-0000EF620000}"/>
    <cellStyle name="제목 3 37 5" xfId="25158" xr:uid="{00000000-0005-0000-0000-0000F0620000}"/>
    <cellStyle name="제목 3 37 6" xfId="25159" xr:uid="{00000000-0005-0000-0000-0000F1620000}"/>
    <cellStyle name="제목 3 37 7" xfId="25160" xr:uid="{00000000-0005-0000-0000-0000F2620000}"/>
    <cellStyle name="제목 3 37 8" xfId="25161" xr:uid="{00000000-0005-0000-0000-0000F3620000}"/>
    <cellStyle name="제목 3 37 9" xfId="25162" xr:uid="{00000000-0005-0000-0000-0000F4620000}"/>
    <cellStyle name="제목 3 38" xfId="3250" xr:uid="{00000000-0005-0000-0000-0000F5620000}"/>
    <cellStyle name="제목 3 38 10" xfId="25164" xr:uid="{00000000-0005-0000-0000-0000F6620000}"/>
    <cellStyle name="제목 3 38 11" xfId="25165" xr:uid="{00000000-0005-0000-0000-0000F7620000}"/>
    <cellStyle name="제목 3 38 12" xfId="25166" xr:uid="{00000000-0005-0000-0000-0000F8620000}"/>
    <cellStyle name="제목 3 38 13" xfId="25167" xr:uid="{00000000-0005-0000-0000-0000F9620000}"/>
    <cellStyle name="제목 3 38 14" xfId="25168" xr:uid="{00000000-0005-0000-0000-0000FA620000}"/>
    <cellStyle name="제목 3 38 15" xfId="25163" xr:uid="{00000000-0005-0000-0000-0000FB620000}"/>
    <cellStyle name="제목 3 38 2" xfId="3251" xr:uid="{00000000-0005-0000-0000-0000FC620000}"/>
    <cellStyle name="제목 3 38 2 2" xfId="25169" xr:uid="{00000000-0005-0000-0000-0000FD620000}"/>
    <cellStyle name="제목 3 38 3" xfId="25170" xr:uid="{00000000-0005-0000-0000-0000FE620000}"/>
    <cellStyle name="제목 3 38 4" xfId="25171" xr:uid="{00000000-0005-0000-0000-0000FF620000}"/>
    <cellStyle name="제목 3 38 5" xfId="25172" xr:uid="{00000000-0005-0000-0000-000000630000}"/>
    <cellStyle name="제목 3 38 6" xfId="25173" xr:uid="{00000000-0005-0000-0000-000001630000}"/>
    <cellStyle name="제목 3 38 7" xfId="25174" xr:uid="{00000000-0005-0000-0000-000002630000}"/>
    <cellStyle name="제목 3 38 8" xfId="25175" xr:uid="{00000000-0005-0000-0000-000003630000}"/>
    <cellStyle name="제목 3 38 9" xfId="25176" xr:uid="{00000000-0005-0000-0000-000004630000}"/>
    <cellStyle name="제목 3 39" xfId="3252" xr:uid="{00000000-0005-0000-0000-000005630000}"/>
    <cellStyle name="제목 3 39 10" xfId="25178" xr:uid="{00000000-0005-0000-0000-000006630000}"/>
    <cellStyle name="제목 3 39 11" xfId="25179" xr:uid="{00000000-0005-0000-0000-000007630000}"/>
    <cellStyle name="제목 3 39 12" xfId="25180" xr:uid="{00000000-0005-0000-0000-000008630000}"/>
    <cellStyle name="제목 3 39 13" xfId="25181" xr:uid="{00000000-0005-0000-0000-000009630000}"/>
    <cellStyle name="제목 3 39 14" xfId="25182" xr:uid="{00000000-0005-0000-0000-00000A630000}"/>
    <cellStyle name="제목 3 39 15" xfId="25177" xr:uid="{00000000-0005-0000-0000-00000B630000}"/>
    <cellStyle name="제목 3 39 2" xfId="3253" xr:uid="{00000000-0005-0000-0000-00000C630000}"/>
    <cellStyle name="제목 3 39 2 2" xfId="25183" xr:uid="{00000000-0005-0000-0000-00000D630000}"/>
    <cellStyle name="제목 3 39 3" xfId="25184" xr:uid="{00000000-0005-0000-0000-00000E630000}"/>
    <cellStyle name="제목 3 39 4" xfId="25185" xr:uid="{00000000-0005-0000-0000-00000F630000}"/>
    <cellStyle name="제목 3 39 5" xfId="25186" xr:uid="{00000000-0005-0000-0000-000010630000}"/>
    <cellStyle name="제목 3 39 6" xfId="25187" xr:uid="{00000000-0005-0000-0000-000011630000}"/>
    <cellStyle name="제목 3 39 7" xfId="25188" xr:uid="{00000000-0005-0000-0000-000012630000}"/>
    <cellStyle name="제목 3 39 8" xfId="25189" xr:uid="{00000000-0005-0000-0000-000013630000}"/>
    <cellStyle name="제목 3 39 9" xfId="25190" xr:uid="{00000000-0005-0000-0000-000014630000}"/>
    <cellStyle name="제목 3 4" xfId="3254" xr:uid="{00000000-0005-0000-0000-000015630000}"/>
    <cellStyle name="제목 3 4 10" xfId="25192" xr:uid="{00000000-0005-0000-0000-000016630000}"/>
    <cellStyle name="제목 3 4 11" xfId="25193" xr:uid="{00000000-0005-0000-0000-000017630000}"/>
    <cellStyle name="제목 3 4 12" xfId="25194" xr:uid="{00000000-0005-0000-0000-000018630000}"/>
    <cellStyle name="제목 3 4 13" xfId="25195" xr:uid="{00000000-0005-0000-0000-000019630000}"/>
    <cellStyle name="제목 3 4 14" xfId="25196" xr:uid="{00000000-0005-0000-0000-00001A630000}"/>
    <cellStyle name="제목 3 4 15" xfId="25191" xr:uid="{00000000-0005-0000-0000-00001B630000}"/>
    <cellStyle name="제목 3 4 16" xfId="27890" xr:uid="{00000000-0005-0000-0000-00001C630000}"/>
    <cellStyle name="제목 3 4 16 2" xfId="28285" xr:uid="{00000000-0005-0000-0000-00001D630000}"/>
    <cellStyle name="제목 3 4 2" xfId="3255" xr:uid="{00000000-0005-0000-0000-00001E630000}"/>
    <cellStyle name="제목 3 4 2 2" xfId="25197" xr:uid="{00000000-0005-0000-0000-00001F630000}"/>
    <cellStyle name="제목 3 4 3" xfId="25198" xr:uid="{00000000-0005-0000-0000-000020630000}"/>
    <cellStyle name="제목 3 4 4" xfId="25199" xr:uid="{00000000-0005-0000-0000-000021630000}"/>
    <cellStyle name="제목 3 4 5" xfId="25200" xr:uid="{00000000-0005-0000-0000-000022630000}"/>
    <cellStyle name="제목 3 4 6" xfId="25201" xr:uid="{00000000-0005-0000-0000-000023630000}"/>
    <cellStyle name="제목 3 4 7" xfId="25202" xr:uid="{00000000-0005-0000-0000-000024630000}"/>
    <cellStyle name="제목 3 4 8" xfId="25203" xr:uid="{00000000-0005-0000-0000-000025630000}"/>
    <cellStyle name="제목 3 4 9" xfId="25204" xr:uid="{00000000-0005-0000-0000-000026630000}"/>
    <cellStyle name="제목 3 40" xfId="3256" xr:uid="{00000000-0005-0000-0000-000027630000}"/>
    <cellStyle name="제목 3 40 10" xfId="25206" xr:uid="{00000000-0005-0000-0000-000028630000}"/>
    <cellStyle name="제목 3 40 11" xfId="25207" xr:uid="{00000000-0005-0000-0000-000029630000}"/>
    <cellStyle name="제목 3 40 12" xfId="25208" xr:uid="{00000000-0005-0000-0000-00002A630000}"/>
    <cellStyle name="제목 3 40 13" xfId="25209" xr:uid="{00000000-0005-0000-0000-00002B630000}"/>
    <cellStyle name="제목 3 40 14" xfId="25210" xr:uid="{00000000-0005-0000-0000-00002C630000}"/>
    <cellStyle name="제목 3 40 15" xfId="25205" xr:uid="{00000000-0005-0000-0000-00002D630000}"/>
    <cellStyle name="제목 3 40 2" xfId="3257" xr:uid="{00000000-0005-0000-0000-00002E630000}"/>
    <cellStyle name="제목 3 40 2 2" xfId="25211" xr:uid="{00000000-0005-0000-0000-00002F630000}"/>
    <cellStyle name="제목 3 40 3" xfId="25212" xr:uid="{00000000-0005-0000-0000-000030630000}"/>
    <cellStyle name="제목 3 40 4" xfId="25213" xr:uid="{00000000-0005-0000-0000-000031630000}"/>
    <cellStyle name="제목 3 40 5" xfId="25214" xr:uid="{00000000-0005-0000-0000-000032630000}"/>
    <cellStyle name="제목 3 40 6" xfId="25215" xr:uid="{00000000-0005-0000-0000-000033630000}"/>
    <cellStyle name="제목 3 40 7" xfId="25216" xr:uid="{00000000-0005-0000-0000-000034630000}"/>
    <cellStyle name="제목 3 40 8" xfId="25217" xr:uid="{00000000-0005-0000-0000-000035630000}"/>
    <cellStyle name="제목 3 40 9" xfId="25218" xr:uid="{00000000-0005-0000-0000-000036630000}"/>
    <cellStyle name="제목 3 41" xfId="3258" xr:uid="{00000000-0005-0000-0000-000037630000}"/>
    <cellStyle name="제목 3 41 10" xfId="25220" xr:uid="{00000000-0005-0000-0000-000038630000}"/>
    <cellStyle name="제목 3 41 11" xfId="25221" xr:uid="{00000000-0005-0000-0000-000039630000}"/>
    <cellStyle name="제목 3 41 12" xfId="25222" xr:uid="{00000000-0005-0000-0000-00003A630000}"/>
    <cellStyle name="제목 3 41 13" xfId="25223" xr:uid="{00000000-0005-0000-0000-00003B630000}"/>
    <cellStyle name="제목 3 41 14" xfId="25224" xr:uid="{00000000-0005-0000-0000-00003C630000}"/>
    <cellStyle name="제목 3 41 15" xfId="25219" xr:uid="{00000000-0005-0000-0000-00003D630000}"/>
    <cellStyle name="제목 3 41 2" xfId="3259" xr:uid="{00000000-0005-0000-0000-00003E630000}"/>
    <cellStyle name="제목 3 41 2 2" xfId="25225" xr:uid="{00000000-0005-0000-0000-00003F630000}"/>
    <cellStyle name="제목 3 41 3" xfId="25226" xr:uid="{00000000-0005-0000-0000-000040630000}"/>
    <cellStyle name="제목 3 41 4" xfId="25227" xr:uid="{00000000-0005-0000-0000-000041630000}"/>
    <cellStyle name="제목 3 41 5" xfId="25228" xr:uid="{00000000-0005-0000-0000-000042630000}"/>
    <cellStyle name="제목 3 41 6" xfId="25229" xr:uid="{00000000-0005-0000-0000-000043630000}"/>
    <cellStyle name="제목 3 41 7" xfId="25230" xr:uid="{00000000-0005-0000-0000-000044630000}"/>
    <cellStyle name="제목 3 41 8" xfId="25231" xr:uid="{00000000-0005-0000-0000-000045630000}"/>
    <cellStyle name="제목 3 41 9" xfId="25232" xr:uid="{00000000-0005-0000-0000-000046630000}"/>
    <cellStyle name="제목 3 42" xfId="3260" xr:uid="{00000000-0005-0000-0000-000047630000}"/>
    <cellStyle name="제목 3 42 10" xfId="25234" xr:uid="{00000000-0005-0000-0000-000048630000}"/>
    <cellStyle name="제목 3 42 11" xfId="25235" xr:uid="{00000000-0005-0000-0000-000049630000}"/>
    <cellStyle name="제목 3 42 12" xfId="25236" xr:uid="{00000000-0005-0000-0000-00004A630000}"/>
    <cellStyle name="제목 3 42 13" xfId="25237" xr:uid="{00000000-0005-0000-0000-00004B630000}"/>
    <cellStyle name="제목 3 42 14" xfId="25238" xr:uid="{00000000-0005-0000-0000-00004C630000}"/>
    <cellStyle name="제목 3 42 15" xfId="25233" xr:uid="{00000000-0005-0000-0000-00004D630000}"/>
    <cellStyle name="제목 3 42 2" xfId="3261" xr:uid="{00000000-0005-0000-0000-00004E630000}"/>
    <cellStyle name="제목 3 42 2 2" xfId="25239" xr:uid="{00000000-0005-0000-0000-00004F630000}"/>
    <cellStyle name="제목 3 42 3" xfId="25240" xr:uid="{00000000-0005-0000-0000-000050630000}"/>
    <cellStyle name="제목 3 42 4" xfId="25241" xr:uid="{00000000-0005-0000-0000-000051630000}"/>
    <cellStyle name="제목 3 42 5" xfId="25242" xr:uid="{00000000-0005-0000-0000-000052630000}"/>
    <cellStyle name="제목 3 42 6" xfId="25243" xr:uid="{00000000-0005-0000-0000-000053630000}"/>
    <cellStyle name="제목 3 42 7" xfId="25244" xr:uid="{00000000-0005-0000-0000-000054630000}"/>
    <cellStyle name="제목 3 42 8" xfId="25245" xr:uid="{00000000-0005-0000-0000-000055630000}"/>
    <cellStyle name="제목 3 42 9" xfId="25246" xr:uid="{00000000-0005-0000-0000-000056630000}"/>
    <cellStyle name="제목 3 43" xfId="3262" xr:uid="{00000000-0005-0000-0000-000057630000}"/>
    <cellStyle name="제목 3 43 10" xfId="25248" xr:uid="{00000000-0005-0000-0000-000058630000}"/>
    <cellStyle name="제목 3 43 11" xfId="25249" xr:uid="{00000000-0005-0000-0000-000059630000}"/>
    <cellStyle name="제목 3 43 12" xfId="25250" xr:uid="{00000000-0005-0000-0000-00005A630000}"/>
    <cellStyle name="제목 3 43 13" xfId="25251" xr:uid="{00000000-0005-0000-0000-00005B630000}"/>
    <cellStyle name="제목 3 43 14" xfId="25252" xr:uid="{00000000-0005-0000-0000-00005C630000}"/>
    <cellStyle name="제목 3 43 15" xfId="25247" xr:uid="{00000000-0005-0000-0000-00005D630000}"/>
    <cellStyle name="제목 3 43 2" xfId="3263" xr:uid="{00000000-0005-0000-0000-00005E630000}"/>
    <cellStyle name="제목 3 43 2 2" xfId="25253" xr:uid="{00000000-0005-0000-0000-00005F630000}"/>
    <cellStyle name="제목 3 43 3" xfId="25254" xr:uid="{00000000-0005-0000-0000-000060630000}"/>
    <cellStyle name="제목 3 43 4" xfId="25255" xr:uid="{00000000-0005-0000-0000-000061630000}"/>
    <cellStyle name="제목 3 43 5" xfId="25256" xr:uid="{00000000-0005-0000-0000-000062630000}"/>
    <cellStyle name="제목 3 43 6" xfId="25257" xr:uid="{00000000-0005-0000-0000-000063630000}"/>
    <cellStyle name="제목 3 43 7" xfId="25258" xr:uid="{00000000-0005-0000-0000-000064630000}"/>
    <cellStyle name="제목 3 43 8" xfId="25259" xr:uid="{00000000-0005-0000-0000-000065630000}"/>
    <cellStyle name="제목 3 43 9" xfId="25260" xr:uid="{00000000-0005-0000-0000-000066630000}"/>
    <cellStyle name="제목 3 44" xfId="3264" xr:uid="{00000000-0005-0000-0000-000067630000}"/>
    <cellStyle name="제목 3 44 2" xfId="25261" xr:uid="{00000000-0005-0000-0000-000068630000}"/>
    <cellStyle name="제목 3 45" xfId="3265" xr:uid="{00000000-0005-0000-0000-000069630000}"/>
    <cellStyle name="제목 3 45 2" xfId="25262" xr:uid="{00000000-0005-0000-0000-00006A630000}"/>
    <cellStyle name="제목 3 46" xfId="3189" xr:uid="{00000000-0005-0000-0000-00006B630000}"/>
    <cellStyle name="제목 3 47" xfId="24742" xr:uid="{00000000-0005-0000-0000-00006C630000}"/>
    <cellStyle name="제목 3 48" xfId="27623" xr:uid="{00000000-0005-0000-0000-00006D630000}"/>
    <cellStyle name="제목 3 48 2" xfId="28273" xr:uid="{00000000-0005-0000-0000-00006E630000}"/>
    <cellStyle name="제목 3 5" xfId="3266" xr:uid="{00000000-0005-0000-0000-00006F630000}"/>
    <cellStyle name="제목 3 5 10" xfId="25264" xr:uid="{00000000-0005-0000-0000-000070630000}"/>
    <cellStyle name="제목 3 5 11" xfId="25265" xr:uid="{00000000-0005-0000-0000-000071630000}"/>
    <cellStyle name="제목 3 5 12" xfId="25266" xr:uid="{00000000-0005-0000-0000-000072630000}"/>
    <cellStyle name="제목 3 5 13" xfId="25267" xr:uid="{00000000-0005-0000-0000-000073630000}"/>
    <cellStyle name="제목 3 5 14" xfId="25268" xr:uid="{00000000-0005-0000-0000-000074630000}"/>
    <cellStyle name="제목 3 5 15" xfId="25263" xr:uid="{00000000-0005-0000-0000-000075630000}"/>
    <cellStyle name="제목 3 5 2" xfId="3267" xr:uid="{00000000-0005-0000-0000-000076630000}"/>
    <cellStyle name="제목 3 5 2 2" xfId="25269" xr:uid="{00000000-0005-0000-0000-000077630000}"/>
    <cellStyle name="제목 3 5 3" xfId="25270" xr:uid="{00000000-0005-0000-0000-000078630000}"/>
    <cellStyle name="제목 3 5 4" xfId="25271" xr:uid="{00000000-0005-0000-0000-000079630000}"/>
    <cellStyle name="제목 3 5 5" xfId="25272" xr:uid="{00000000-0005-0000-0000-00007A630000}"/>
    <cellStyle name="제목 3 5 6" xfId="25273" xr:uid="{00000000-0005-0000-0000-00007B630000}"/>
    <cellStyle name="제목 3 5 7" xfId="25274" xr:uid="{00000000-0005-0000-0000-00007C630000}"/>
    <cellStyle name="제목 3 5 8" xfId="25275" xr:uid="{00000000-0005-0000-0000-00007D630000}"/>
    <cellStyle name="제목 3 5 9" xfId="25276" xr:uid="{00000000-0005-0000-0000-00007E630000}"/>
    <cellStyle name="제목 3 6" xfId="3268" xr:uid="{00000000-0005-0000-0000-00007F630000}"/>
    <cellStyle name="제목 3 6 10" xfId="25278" xr:uid="{00000000-0005-0000-0000-000080630000}"/>
    <cellStyle name="제목 3 6 11" xfId="25279" xr:uid="{00000000-0005-0000-0000-000081630000}"/>
    <cellStyle name="제목 3 6 12" xfId="25280" xr:uid="{00000000-0005-0000-0000-000082630000}"/>
    <cellStyle name="제목 3 6 13" xfId="25281" xr:uid="{00000000-0005-0000-0000-000083630000}"/>
    <cellStyle name="제목 3 6 14" xfId="25282" xr:uid="{00000000-0005-0000-0000-000084630000}"/>
    <cellStyle name="제목 3 6 15" xfId="25277" xr:uid="{00000000-0005-0000-0000-000085630000}"/>
    <cellStyle name="제목 3 6 2" xfId="3269" xr:uid="{00000000-0005-0000-0000-000086630000}"/>
    <cellStyle name="제목 3 6 2 2" xfId="25283" xr:uid="{00000000-0005-0000-0000-000087630000}"/>
    <cellStyle name="제목 3 6 3" xfId="25284" xr:uid="{00000000-0005-0000-0000-000088630000}"/>
    <cellStyle name="제목 3 6 4" xfId="25285" xr:uid="{00000000-0005-0000-0000-000089630000}"/>
    <cellStyle name="제목 3 6 5" xfId="25286" xr:uid="{00000000-0005-0000-0000-00008A630000}"/>
    <cellStyle name="제목 3 6 6" xfId="25287" xr:uid="{00000000-0005-0000-0000-00008B630000}"/>
    <cellStyle name="제목 3 6 7" xfId="25288" xr:uid="{00000000-0005-0000-0000-00008C630000}"/>
    <cellStyle name="제목 3 6 8" xfId="25289" xr:uid="{00000000-0005-0000-0000-00008D630000}"/>
    <cellStyle name="제목 3 6 9" xfId="25290" xr:uid="{00000000-0005-0000-0000-00008E630000}"/>
    <cellStyle name="제목 3 7" xfId="3270" xr:uid="{00000000-0005-0000-0000-00008F630000}"/>
    <cellStyle name="제목 3 7 10" xfId="25292" xr:uid="{00000000-0005-0000-0000-000090630000}"/>
    <cellStyle name="제목 3 7 11" xfId="25293" xr:uid="{00000000-0005-0000-0000-000091630000}"/>
    <cellStyle name="제목 3 7 12" xfId="25294" xr:uid="{00000000-0005-0000-0000-000092630000}"/>
    <cellStyle name="제목 3 7 13" xfId="25295" xr:uid="{00000000-0005-0000-0000-000093630000}"/>
    <cellStyle name="제목 3 7 14" xfId="25296" xr:uid="{00000000-0005-0000-0000-000094630000}"/>
    <cellStyle name="제목 3 7 15" xfId="25291" xr:uid="{00000000-0005-0000-0000-000095630000}"/>
    <cellStyle name="제목 3 7 2" xfId="3271" xr:uid="{00000000-0005-0000-0000-000096630000}"/>
    <cellStyle name="제목 3 7 2 2" xfId="25297" xr:uid="{00000000-0005-0000-0000-000097630000}"/>
    <cellStyle name="제목 3 7 3" xfId="25298" xr:uid="{00000000-0005-0000-0000-000098630000}"/>
    <cellStyle name="제목 3 7 4" xfId="25299" xr:uid="{00000000-0005-0000-0000-000099630000}"/>
    <cellStyle name="제목 3 7 5" xfId="25300" xr:uid="{00000000-0005-0000-0000-00009A630000}"/>
    <cellStyle name="제목 3 7 6" xfId="25301" xr:uid="{00000000-0005-0000-0000-00009B630000}"/>
    <cellStyle name="제목 3 7 7" xfId="25302" xr:uid="{00000000-0005-0000-0000-00009C630000}"/>
    <cellStyle name="제목 3 7 8" xfId="25303" xr:uid="{00000000-0005-0000-0000-00009D630000}"/>
    <cellStyle name="제목 3 7 9" xfId="25304" xr:uid="{00000000-0005-0000-0000-00009E630000}"/>
    <cellStyle name="제목 3 8" xfId="3272" xr:uid="{00000000-0005-0000-0000-00009F630000}"/>
    <cellStyle name="제목 3 8 10" xfId="25306" xr:uid="{00000000-0005-0000-0000-0000A0630000}"/>
    <cellStyle name="제목 3 8 11" xfId="25307" xr:uid="{00000000-0005-0000-0000-0000A1630000}"/>
    <cellStyle name="제목 3 8 12" xfId="25308" xr:uid="{00000000-0005-0000-0000-0000A2630000}"/>
    <cellStyle name="제목 3 8 13" xfId="25309" xr:uid="{00000000-0005-0000-0000-0000A3630000}"/>
    <cellStyle name="제목 3 8 14" xfId="25310" xr:uid="{00000000-0005-0000-0000-0000A4630000}"/>
    <cellStyle name="제목 3 8 15" xfId="25305" xr:uid="{00000000-0005-0000-0000-0000A5630000}"/>
    <cellStyle name="제목 3 8 2" xfId="3273" xr:uid="{00000000-0005-0000-0000-0000A6630000}"/>
    <cellStyle name="제목 3 8 2 2" xfId="25311" xr:uid="{00000000-0005-0000-0000-0000A7630000}"/>
    <cellStyle name="제목 3 8 3" xfId="25312" xr:uid="{00000000-0005-0000-0000-0000A8630000}"/>
    <cellStyle name="제목 3 8 4" xfId="25313" xr:uid="{00000000-0005-0000-0000-0000A9630000}"/>
    <cellStyle name="제목 3 8 5" xfId="25314" xr:uid="{00000000-0005-0000-0000-0000AA630000}"/>
    <cellStyle name="제목 3 8 6" xfId="25315" xr:uid="{00000000-0005-0000-0000-0000AB630000}"/>
    <cellStyle name="제목 3 8 7" xfId="25316" xr:uid="{00000000-0005-0000-0000-0000AC630000}"/>
    <cellStyle name="제목 3 8 8" xfId="25317" xr:uid="{00000000-0005-0000-0000-0000AD630000}"/>
    <cellStyle name="제목 3 8 9" xfId="25318" xr:uid="{00000000-0005-0000-0000-0000AE630000}"/>
    <cellStyle name="제목 3 9" xfId="3274" xr:uid="{00000000-0005-0000-0000-0000AF630000}"/>
    <cellStyle name="제목 3 9 10" xfId="25320" xr:uid="{00000000-0005-0000-0000-0000B0630000}"/>
    <cellStyle name="제목 3 9 11" xfId="25321" xr:uid="{00000000-0005-0000-0000-0000B1630000}"/>
    <cellStyle name="제목 3 9 12" xfId="25322" xr:uid="{00000000-0005-0000-0000-0000B2630000}"/>
    <cellStyle name="제목 3 9 13" xfId="25323" xr:uid="{00000000-0005-0000-0000-0000B3630000}"/>
    <cellStyle name="제목 3 9 14" xfId="25324" xr:uid="{00000000-0005-0000-0000-0000B4630000}"/>
    <cellStyle name="제목 3 9 15" xfId="25319" xr:uid="{00000000-0005-0000-0000-0000B5630000}"/>
    <cellStyle name="제목 3 9 2" xfId="3275" xr:uid="{00000000-0005-0000-0000-0000B6630000}"/>
    <cellStyle name="제목 3 9 2 2" xfId="25325" xr:uid="{00000000-0005-0000-0000-0000B7630000}"/>
    <cellStyle name="제목 3 9 3" xfId="25326" xr:uid="{00000000-0005-0000-0000-0000B8630000}"/>
    <cellStyle name="제목 3 9 4" xfId="25327" xr:uid="{00000000-0005-0000-0000-0000B9630000}"/>
    <cellStyle name="제목 3 9 5" xfId="25328" xr:uid="{00000000-0005-0000-0000-0000BA630000}"/>
    <cellStyle name="제목 3 9 6" xfId="25329" xr:uid="{00000000-0005-0000-0000-0000BB630000}"/>
    <cellStyle name="제목 3 9 7" xfId="25330" xr:uid="{00000000-0005-0000-0000-0000BC630000}"/>
    <cellStyle name="제목 3 9 8" xfId="25331" xr:uid="{00000000-0005-0000-0000-0000BD630000}"/>
    <cellStyle name="제목 3 9 9" xfId="25332" xr:uid="{00000000-0005-0000-0000-0000BE630000}"/>
    <cellStyle name="제목 30" xfId="3276" xr:uid="{00000000-0005-0000-0000-0000BF630000}"/>
    <cellStyle name="제목 30 10" xfId="25334" xr:uid="{00000000-0005-0000-0000-0000C0630000}"/>
    <cellStyle name="제목 30 11" xfId="25335" xr:uid="{00000000-0005-0000-0000-0000C1630000}"/>
    <cellStyle name="제목 30 12" xfId="25336" xr:uid="{00000000-0005-0000-0000-0000C2630000}"/>
    <cellStyle name="제목 30 13" xfId="25337" xr:uid="{00000000-0005-0000-0000-0000C3630000}"/>
    <cellStyle name="제목 30 14" xfId="25338" xr:uid="{00000000-0005-0000-0000-0000C4630000}"/>
    <cellStyle name="제목 30 15" xfId="25333" xr:uid="{00000000-0005-0000-0000-0000C5630000}"/>
    <cellStyle name="제목 30 2" xfId="3277" xr:uid="{00000000-0005-0000-0000-0000C6630000}"/>
    <cellStyle name="제목 30 2 2" xfId="25339" xr:uid="{00000000-0005-0000-0000-0000C7630000}"/>
    <cellStyle name="제목 30 3" xfId="25340" xr:uid="{00000000-0005-0000-0000-0000C8630000}"/>
    <cellStyle name="제목 30 4" xfId="25341" xr:uid="{00000000-0005-0000-0000-0000C9630000}"/>
    <cellStyle name="제목 30 5" xfId="25342" xr:uid="{00000000-0005-0000-0000-0000CA630000}"/>
    <cellStyle name="제목 30 6" xfId="25343" xr:uid="{00000000-0005-0000-0000-0000CB630000}"/>
    <cellStyle name="제목 30 7" xfId="25344" xr:uid="{00000000-0005-0000-0000-0000CC630000}"/>
    <cellStyle name="제목 30 8" xfId="25345" xr:uid="{00000000-0005-0000-0000-0000CD630000}"/>
    <cellStyle name="제목 30 9" xfId="25346" xr:uid="{00000000-0005-0000-0000-0000CE630000}"/>
    <cellStyle name="제목 31" xfId="3278" xr:uid="{00000000-0005-0000-0000-0000CF630000}"/>
    <cellStyle name="제목 31 10" xfId="25348" xr:uid="{00000000-0005-0000-0000-0000D0630000}"/>
    <cellStyle name="제목 31 11" xfId="25349" xr:uid="{00000000-0005-0000-0000-0000D1630000}"/>
    <cellStyle name="제목 31 12" xfId="25350" xr:uid="{00000000-0005-0000-0000-0000D2630000}"/>
    <cellStyle name="제목 31 13" xfId="25351" xr:uid="{00000000-0005-0000-0000-0000D3630000}"/>
    <cellStyle name="제목 31 14" xfId="25352" xr:uid="{00000000-0005-0000-0000-0000D4630000}"/>
    <cellStyle name="제목 31 15" xfId="25347" xr:uid="{00000000-0005-0000-0000-0000D5630000}"/>
    <cellStyle name="제목 31 2" xfId="3279" xr:uid="{00000000-0005-0000-0000-0000D6630000}"/>
    <cellStyle name="제목 31 2 2" xfId="25353" xr:uid="{00000000-0005-0000-0000-0000D7630000}"/>
    <cellStyle name="제목 31 3" xfId="25354" xr:uid="{00000000-0005-0000-0000-0000D8630000}"/>
    <cellStyle name="제목 31 4" xfId="25355" xr:uid="{00000000-0005-0000-0000-0000D9630000}"/>
    <cellStyle name="제목 31 5" xfId="25356" xr:uid="{00000000-0005-0000-0000-0000DA630000}"/>
    <cellStyle name="제목 31 6" xfId="25357" xr:uid="{00000000-0005-0000-0000-0000DB630000}"/>
    <cellStyle name="제목 31 7" xfId="25358" xr:uid="{00000000-0005-0000-0000-0000DC630000}"/>
    <cellStyle name="제목 31 8" xfId="25359" xr:uid="{00000000-0005-0000-0000-0000DD630000}"/>
    <cellStyle name="제목 31 9" xfId="25360" xr:uid="{00000000-0005-0000-0000-0000DE630000}"/>
    <cellStyle name="제목 32" xfId="3280" xr:uid="{00000000-0005-0000-0000-0000DF630000}"/>
    <cellStyle name="제목 32 10" xfId="25362" xr:uid="{00000000-0005-0000-0000-0000E0630000}"/>
    <cellStyle name="제목 32 11" xfId="25363" xr:uid="{00000000-0005-0000-0000-0000E1630000}"/>
    <cellStyle name="제목 32 12" xfId="25364" xr:uid="{00000000-0005-0000-0000-0000E2630000}"/>
    <cellStyle name="제목 32 13" xfId="25365" xr:uid="{00000000-0005-0000-0000-0000E3630000}"/>
    <cellStyle name="제목 32 14" xfId="25366" xr:uid="{00000000-0005-0000-0000-0000E4630000}"/>
    <cellStyle name="제목 32 15" xfId="25361" xr:uid="{00000000-0005-0000-0000-0000E5630000}"/>
    <cellStyle name="제목 32 2" xfId="3281" xr:uid="{00000000-0005-0000-0000-0000E6630000}"/>
    <cellStyle name="제목 32 2 2" xfId="25367" xr:uid="{00000000-0005-0000-0000-0000E7630000}"/>
    <cellStyle name="제목 32 3" xfId="25368" xr:uid="{00000000-0005-0000-0000-0000E8630000}"/>
    <cellStyle name="제목 32 4" xfId="25369" xr:uid="{00000000-0005-0000-0000-0000E9630000}"/>
    <cellStyle name="제목 32 5" xfId="25370" xr:uid="{00000000-0005-0000-0000-0000EA630000}"/>
    <cellStyle name="제목 32 6" xfId="25371" xr:uid="{00000000-0005-0000-0000-0000EB630000}"/>
    <cellStyle name="제목 32 7" xfId="25372" xr:uid="{00000000-0005-0000-0000-0000EC630000}"/>
    <cellStyle name="제목 32 8" xfId="25373" xr:uid="{00000000-0005-0000-0000-0000ED630000}"/>
    <cellStyle name="제목 32 9" xfId="25374" xr:uid="{00000000-0005-0000-0000-0000EE630000}"/>
    <cellStyle name="제목 33" xfId="3282" xr:uid="{00000000-0005-0000-0000-0000EF630000}"/>
    <cellStyle name="제목 33 10" xfId="25376" xr:uid="{00000000-0005-0000-0000-0000F0630000}"/>
    <cellStyle name="제목 33 11" xfId="25377" xr:uid="{00000000-0005-0000-0000-0000F1630000}"/>
    <cellStyle name="제목 33 12" xfId="25378" xr:uid="{00000000-0005-0000-0000-0000F2630000}"/>
    <cellStyle name="제목 33 13" xfId="25379" xr:uid="{00000000-0005-0000-0000-0000F3630000}"/>
    <cellStyle name="제목 33 14" xfId="25380" xr:uid="{00000000-0005-0000-0000-0000F4630000}"/>
    <cellStyle name="제목 33 15" xfId="25375" xr:uid="{00000000-0005-0000-0000-0000F5630000}"/>
    <cellStyle name="제목 33 2" xfId="3283" xr:uid="{00000000-0005-0000-0000-0000F6630000}"/>
    <cellStyle name="제목 33 2 2" xfId="25381" xr:uid="{00000000-0005-0000-0000-0000F7630000}"/>
    <cellStyle name="제목 33 3" xfId="25382" xr:uid="{00000000-0005-0000-0000-0000F8630000}"/>
    <cellStyle name="제목 33 4" xfId="25383" xr:uid="{00000000-0005-0000-0000-0000F9630000}"/>
    <cellStyle name="제목 33 5" xfId="25384" xr:uid="{00000000-0005-0000-0000-0000FA630000}"/>
    <cellStyle name="제목 33 6" xfId="25385" xr:uid="{00000000-0005-0000-0000-0000FB630000}"/>
    <cellStyle name="제목 33 7" xfId="25386" xr:uid="{00000000-0005-0000-0000-0000FC630000}"/>
    <cellStyle name="제목 33 8" xfId="25387" xr:uid="{00000000-0005-0000-0000-0000FD630000}"/>
    <cellStyle name="제목 33 9" xfId="25388" xr:uid="{00000000-0005-0000-0000-0000FE630000}"/>
    <cellStyle name="제목 34" xfId="3284" xr:uid="{00000000-0005-0000-0000-0000FF630000}"/>
    <cellStyle name="제목 34 10" xfId="25390" xr:uid="{00000000-0005-0000-0000-000000640000}"/>
    <cellStyle name="제목 34 11" xfId="25391" xr:uid="{00000000-0005-0000-0000-000001640000}"/>
    <cellStyle name="제목 34 12" xfId="25392" xr:uid="{00000000-0005-0000-0000-000002640000}"/>
    <cellStyle name="제목 34 13" xfId="25393" xr:uid="{00000000-0005-0000-0000-000003640000}"/>
    <cellStyle name="제목 34 14" xfId="25394" xr:uid="{00000000-0005-0000-0000-000004640000}"/>
    <cellStyle name="제목 34 15" xfId="25389" xr:uid="{00000000-0005-0000-0000-000005640000}"/>
    <cellStyle name="제목 34 2" xfId="3285" xr:uid="{00000000-0005-0000-0000-000006640000}"/>
    <cellStyle name="제목 34 2 2" xfId="25395" xr:uid="{00000000-0005-0000-0000-000007640000}"/>
    <cellStyle name="제목 34 3" xfId="25396" xr:uid="{00000000-0005-0000-0000-000008640000}"/>
    <cellStyle name="제목 34 4" xfId="25397" xr:uid="{00000000-0005-0000-0000-000009640000}"/>
    <cellStyle name="제목 34 5" xfId="25398" xr:uid="{00000000-0005-0000-0000-00000A640000}"/>
    <cellStyle name="제목 34 6" xfId="25399" xr:uid="{00000000-0005-0000-0000-00000B640000}"/>
    <cellStyle name="제목 34 7" xfId="25400" xr:uid="{00000000-0005-0000-0000-00000C640000}"/>
    <cellStyle name="제목 34 8" xfId="25401" xr:uid="{00000000-0005-0000-0000-00000D640000}"/>
    <cellStyle name="제목 34 9" xfId="25402" xr:uid="{00000000-0005-0000-0000-00000E640000}"/>
    <cellStyle name="제목 35" xfId="3286" xr:uid="{00000000-0005-0000-0000-00000F640000}"/>
    <cellStyle name="제목 35 10" xfId="25404" xr:uid="{00000000-0005-0000-0000-000010640000}"/>
    <cellStyle name="제목 35 11" xfId="25405" xr:uid="{00000000-0005-0000-0000-000011640000}"/>
    <cellStyle name="제목 35 12" xfId="25406" xr:uid="{00000000-0005-0000-0000-000012640000}"/>
    <cellStyle name="제목 35 13" xfId="25407" xr:uid="{00000000-0005-0000-0000-000013640000}"/>
    <cellStyle name="제목 35 14" xfId="25408" xr:uid="{00000000-0005-0000-0000-000014640000}"/>
    <cellStyle name="제목 35 15" xfId="25403" xr:uid="{00000000-0005-0000-0000-000015640000}"/>
    <cellStyle name="제목 35 2" xfId="3287" xr:uid="{00000000-0005-0000-0000-000016640000}"/>
    <cellStyle name="제목 35 2 2" xfId="25409" xr:uid="{00000000-0005-0000-0000-000017640000}"/>
    <cellStyle name="제목 35 3" xfId="25410" xr:uid="{00000000-0005-0000-0000-000018640000}"/>
    <cellStyle name="제목 35 4" xfId="25411" xr:uid="{00000000-0005-0000-0000-000019640000}"/>
    <cellStyle name="제목 35 5" xfId="25412" xr:uid="{00000000-0005-0000-0000-00001A640000}"/>
    <cellStyle name="제목 35 6" xfId="25413" xr:uid="{00000000-0005-0000-0000-00001B640000}"/>
    <cellStyle name="제목 35 7" xfId="25414" xr:uid="{00000000-0005-0000-0000-00001C640000}"/>
    <cellStyle name="제목 35 8" xfId="25415" xr:uid="{00000000-0005-0000-0000-00001D640000}"/>
    <cellStyle name="제목 35 9" xfId="25416" xr:uid="{00000000-0005-0000-0000-00001E640000}"/>
    <cellStyle name="제목 36" xfId="3288" xr:uid="{00000000-0005-0000-0000-00001F640000}"/>
    <cellStyle name="제목 36 10" xfId="25418" xr:uid="{00000000-0005-0000-0000-000020640000}"/>
    <cellStyle name="제목 36 11" xfId="25419" xr:uid="{00000000-0005-0000-0000-000021640000}"/>
    <cellStyle name="제목 36 12" xfId="25420" xr:uid="{00000000-0005-0000-0000-000022640000}"/>
    <cellStyle name="제목 36 13" xfId="25421" xr:uid="{00000000-0005-0000-0000-000023640000}"/>
    <cellStyle name="제목 36 14" xfId="25422" xr:uid="{00000000-0005-0000-0000-000024640000}"/>
    <cellStyle name="제목 36 15" xfId="25417" xr:uid="{00000000-0005-0000-0000-000025640000}"/>
    <cellStyle name="제목 36 2" xfId="3289" xr:uid="{00000000-0005-0000-0000-000026640000}"/>
    <cellStyle name="제목 36 2 2" xfId="25423" xr:uid="{00000000-0005-0000-0000-000027640000}"/>
    <cellStyle name="제목 36 3" xfId="25424" xr:uid="{00000000-0005-0000-0000-000028640000}"/>
    <cellStyle name="제목 36 4" xfId="25425" xr:uid="{00000000-0005-0000-0000-000029640000}"/>
    <cellStyle name="제목 36 5" xfId="25426" xr:uid="{00000000-0005-0000-0000-00002A640000}"/>
    <cellStyle name="제목 36 6" xfId="25427" xr:uid="{00000000-0005-0000-0000-00002B640000}"/>
    <cellStyle name="제목 36 7" xfId="25428" xr:uid="{00000000-0005-0000-0000-00002C640000}"/>
    <cellStyle name="제목 36 8" xfId="25429" xr:uid="{00000000-0005-0000-0000-00002D640000}"/>
    <cellStyle name="제목 36 9" xfId="25430" xr:uid="{00000000-0005-0000-0000-00002E640000}"/>
    <cellStyle name="제목 37" xfId="3290" xr:uid="{00000000-0005-0000-0000-00002F640000}"/>
    <cellStyle name="제목 37 10" xfId="25432" xr:uid="{00000000-0005-0000-0000-000030640000}"/>
    <cellStyle name="제목 37 11" xfId="25433" xr:uid="{00000000-0005-0000-0000-000031640000}"/>
    <cellStyle name="제목 37 12" xfId="25434" xr:uid="{00000000-0005-0000-0000-000032640000}"/>
    <cellStyle name="제목 37 13" xfId="25435" xr:uid="{00000000-0005-0000-0000-000033640000}"/>
    <cellStyle name="제목 37 14" xfId="25436" xr:uid="{00000000-0005-0000-0000-000034640000}"/>
    <cellStyle name="제목 37 15" xfId="25431" xr:uid="{00000000-0005-0000-0000-000035640000}"/>
    <cellStyle name="제목 37 2" xfId="3291" xr:uid="{00000000-0005-0000-0000-000036640000}"/>
    <cellStyle name="제목 37 2 2" xfId="25437" xr:uid="{00000000-0005-0000-0000-000037640000}"/>
    <cellStyle name="제목 37 3" xfId="25438" xr:uid="{00000000-0005-0000-0000-000038640000}"/>
    <cellStyle name="제목 37 4" xfId="25439" xr:uid="{00000000-0005-0000-0000-000039640000}"/>
    <cellStyle name="제목 37 5" xfId="25440" xr:uid="{00000000-0005-0000-0000-00003A640000}"/>
    <cellStyle name="제목 37 6" xfId="25441" xr:uid="{00000000-0005-0000-0000-00003B640000}"/>
    <cellStyle name="제목 37 7" xfId="25442" xr:uid="{00000000-0005-0000-0000-00003C640000}"/>
    <cellStyle name="제목 37 8" xfId="25443" xr:uid="{00000000-0005-0000-0000-00003D640000}"/>
    <cellStyle name="제목 37 9" xfId="25444" xr:uid="{00000000-0005-0000-0000-00003E640000}"/>
    <cellStyle name="제목 38" xfId="3292" xr:uid="{00000000-0005-0000-0000-00003F640000}"/>
    <cellStyle name="제목 38 10" xfId="25446" xr:uid="{00000000-0005-0000-0000-000040640000}"/>
    <cellStyle name="제목 38 11" xfId="25447" xr:uid="{00000000-0005-0000-0000-000041640000}"/>
    <cellStyle name="제목 38 12" xfId="25448" xr:uid="{00000000-0005-0000-0000-000042640000}"/>
    <cellStyle name="제목 38 13" xfId="25449" xr:uid="{00000000-0005-0000-0000-000043640000}"/>
    <cellStyle name="제목 38 14" xfId="25450" xr:uid="{00000000-0005-0000-0000-000044640000}"/>
    <cellStyle name="제목 38 15" xfId="25445" xr:uid="{00000000-0005-0000-0000-000045640000}"/>
    <cellStyle name="제목 38 2" xfId="3293" xr:uid="{00000000-0005-0000-0000-000046640000}"/>
    <cellStyle name="제목 38 2 2" xfId="25451" xr:uid="{00000000-0005-0000-0000-000047640000}"/>
    <cellStyle name="제목 38 3" xfId="25452" xr:uid="{00000000-0005-0000-0000-000048640000}"/>
    <cellStyle name="제목 38 4" xfId="25453" xr:uid="{00000000-0005-0000-0000-000049640000}"/>
    <cellStyle name="제목 38 5" xfId="25454" xr:uid="{00000000-0005-0000-0000-00004A640000}"/>
    <cellStyle name="제목 38 6" xfId="25455" xr:uid="{00000000-0005-0000-0000-00004B640000}"/>
    <cellStyle name="제목 38 7" xfId="25456" xr:uid="{00000000-0005-0000-0000-00004C640000}"/>
    <cellStyle name="제목 38 8" xfId="25457" xr:uid="{00000000-0005-0000-0000-00004D640000}"/>
    <cellStyle name="제목 38 9" xfId="25458" xr:uid="{00000000-0005-0000-0000-00004E640000}"/>
    <cellStyle name="제목 39" xfId="3294" xr:uid="{00000000-0005-0000-0000-00004F640000}"/>
    <cellStyle name="제목 39 10" xfId="25460" xr:uid="{00000000-0005-0000-0000-000050640000}"/>
    <cellStyle name="제목 39 11" xfId="25461" xr:uid="{00000000-0005-0000-0000-000051640000}"/>
    <cellStyle name="제목 39 12" xfId="25462" xr:uid="{00000000-0005-0000-0000-000052640000}"/>
    <cellStyle name="제목 39 13" xfId="25463" xr:uid="{00000000-0005-0000-0000-000053640000}"/>
    <cellStyle name="제목 39 14" xfId="25464" xr:uid="{00000000-0005-0000-0000-000054640000}"/>
    <cellStyle name="제목 39 15" xfId="25459" xr:uid="{00000000-0005-0000-0000-000055640000}"/>
    <cellStyle name="제목 39 2" xfId="3295" xr:uid="{00000000-0005-0000-0000-000056640000}"/>
    <cellStyle name="제목 39 2 2" xfId="25465" xr:uid="{00000000-0005-0000-0000-000057640000}"/>
    <cellStyle name="제목 39 3" xfId="25466" xr:uid="{00000000-0005-0000-0000-000058640000}"/>
    <cellStyle name="제목 39 4" xfId="25467" xr:uid="{00000000-0005-0000-0000-000059640000}"/>
    <cellStyle name="제목 39 5" xfId="25468" xr:uid="{00000000-0005-0000-0000-00005A640000}"/>
    <cellStyle name="제목 39 6" xfId="25469" xr:uid="{00000000-0005-0000-0000-00005B640000}"/>
    <cellStyle name="제목 39 7" xfId="25470" xr:uid="{00000000-0005-0000-0000-00005C640000}"/>
    <cellStyle name="제목 39 8" xfId="25471" xr:uid="{00000000-0005-0000-0000-00005D640000}"/>
    <cellStyle name="제목 39 9" xfId="25472" xr:uid="{00000000-0005-0000-0000-00005E640000}"/>
    <cellStyle name="제목 4 10" xfId="3297" xr:uid="{00000000-0005-0000-0000-00005F640000}"/>
    <cellStyle name="제목 4 10 10" xfId="25475" xr:uid="{00000000-0005-0000-0000-000060640000}"/>
    <cellStyle name="제목 4 10 11" xfId="25476" xr:uid="{00000000-0005-0000-0000-000061640000}"/>
    <cellStyle name="제목 4 10 12" xfId="25477" xr:uid="{00000000-0005-0000-0000-000062640000}"/>
    <cellStyle name="제목 4 10 13" xfId="25478" xr:uid="{00000000-0005-0000-0000-000063640000}"/>
    <cellStyle name="제목 4 10 14" xfId="25479" xr:uid="{00000000-0005-0000-0000-000064640000}"/>
    <cellStyle name="제목 4 10 15" xfId="25474" xr:uid="{00000000-0005-0000-0000-000065640000}"/>
    <cellStyle name="제목 4 10 2" xfId="3298" xr:uid="{00000000-0005-0000-0000-000066640000}"/>
    <cellStyle name="제목 4 10 2 2" xfId="25480" xr:uid="{00000000-0005-0000-0000-000067640000}"/>
    <cellStyle name="제목 4 10 3" xfId="25481" xr:uid="{00000000-0005-0000-0000-000068640000}"/>
    <cellStyle name="제목 4 10 4" xfId="25482" xr:uid="{00000000-0005-0000-0000-000069640000}"/>
    <cellStyle name="제목 4 10 5" xfId="25483" xr:uid="{00000000-0005-0000-0000-00006A640000}"/>
    <cellStyle name="제목 4 10 6" xfId="25484" xr:uid="{00000000-0005-0000-0000-00006B640000}"/>
    <cellStyle name="제목 4 10 7" xfId="25485" xr:uid="{00000000-0005-0000-0000-00006C640000}"/>
    <cellStyle name="제목 4 10 8" xfId="25486" xr:uid="{00000000-0005-0000-0000-00006D640000}"/>
    <cellStyle name="제목 4 10 9" xfId="25487" xr:uid="{00000000-0005-0000-0000-00006E640000}"/>
    <cellStyle name="제목 4 11" xfId="3299" xr:uid="{00000000-0005-0000-0000-00006F640000}"/>
    <cellStyle name="제목 4 11 10" xfId="25489" xr:uid="{00000000-0005-0000-0000-000070640000}"/>
    <cellStyle name="제목 4 11 11" xfId="25490" xr:uid="{00000000-0005-0000-0000-000071640000}"/>
    <cellStyle name="제목 4 11 12" xfId="25491" xr:uid="{00000000-0005-0000-0000-000072640000}"/>
    <cellStyle name="제목 4 11 13" xfId="25492" xr:uid="{00000000-0005-0000-0000-000073640000}"/>
    <cellStyle name="제목 4 11 14" xfId="25493" xr:uid="{00000000-0005-0000-0000-000074640000}"/>
    <cellStyle name="제목 4 11 15" xfId="25488" xr:uid="{00000000-0005-0000-0000-000075640000}"/>
    <cellStyle name="제목 4 11 2" xfId="3300" xr:uid="{00000000-0005-0000-0000-000076640000}"/>
    <cellStyle name="제목 4 11 2 2" xfId="25494" xr:uid="{00000000-0005-0000-0000-000077640000}"/>
    <cellStyle name="제목 4 11 3" xfId="25495" xr:uid="{00000000-0005-0000-0000-000078640000}"/>
    <cellStyle name="제목 4 11 4" xfId="25496" xr:uid="{00000000-0005-0000-0000-000079640000}"/>
    <cellStyle name="제목 4 11 5" xfId="25497" xr:uid="{00000000-0005-0000-0000-00007A640000}"/>
    <cellStyle name="제목 4 11 6" xfId="25498" xr:uid="{00000000-0005-0000-0000-00007B640000}"/>
    <cellStyle name="제목 4 11 7" xfId="25499" xr:uid="{00000000-0005-0000-0000-00007C640000}"/>
    <cellStyle name="제목 4 11 8" xfId="25500" xr:uid="{00000000-0005-0000-0000-00007D640000}"/>
    <cellStyle name="제목 4 11 9" xfId="25501" xr:uid="{00000000-0005-0000-0000-00007E640000}"/>
    <cellStyle name="제목 4 12" xfId="3301" xr:uid="{00000000-0005-0000-0000-00007F640000}"/>
    <cellStyle name="제목 4 12 10" xfId="25503" xr:uid="{00000000-0005-0000-0000-000080640000}"/>
    <cellStyle name="제목 4 12 11" xfId="25504" xr:uid="{00000000-0005-0000-0000-000081640000}"/>
    <cellStyle name="제목 4 12 12" xfId="25505" xr:uid="{00000000-0005-0000-0000-000082640000}"/>
    <cellStyle name="제목 4 12 13" xfId="25506" xr:uid="{00000000-0005-0000-0000-000083640000}"/>
    <cellStyle name="제목 4 12 14" xfId="25507" xr:uid="{00000000-0005-0000-0000-000084640000}"/>
    <cellStyle name="제목 4 12 15" xfId="25502" xr:uid="{00000000-0005-0000-0000-000085640000}"/>
    <cellStyle name="제목 4 12 2" xfId="3302" xr:uid="{00000000-0005-0000-0000-000086640000}"/>
    <cellStyle name="제목 4 12 2 2" xfId="25508" xr:uid="{00000000-0005-0000-0000-000087640000}"/>
    <cellStyle name="제목 4 12 3" xfId="25509" xr:uid="{00000000-0005-0000-0000-000088640000}"/>
    <cellStyle name="제목 4 12 4" xfId="25510" xr:uid="{00000000-0005-0000-0000-000089640000}"/>
    <cellStyle name="제목 4 12 5" xfId="25511" xr:uid="{00000000-0005-0000-0000-00008A640000}"/>
    <cellStyle name="제목 4 12 6" xfId="25512" xr:uid="{00000000-0005-0000-0000-00008B640000}"/>
    <cellStyle name="제목 4 12 7" xfId="25513" xr:uid="{00000000-0005-0000-0000-00008C640000}"/>
    <cellStyle name="제목 4 12 8" xfId="25514" xr:uid="{00000000-0005-0000-0000-00008D640000}"/>
    <cellStyle name="제목 4 12 9" xfId="25515" xr:uid="{00000000-0005-0000-0000-00008E640000}"/>
    <cellStyle name="제목 4 13" xfId="3303" xr:uid="{00000000-0005-0000-0000-00008F640000}"/>
    <cellStyle name="제목 4 13 10" xfId="25517" xr:uid="{00000000-0005-0000-0000-000090640000}"/>
    <cellStyle name="제목 4 13 11" xfId="25518" xr:uid="{00000000-0005-0000-0000-000091640000}"/>
    <cellStyle name="제목 4 13 12" xfId="25519" xr:uid="{00000000-0005-0000-0000-000092640000}"/>
    <cellStyle name="제목 4 13 13" xfId="25520" xr:uid="{00000000-0005-0000-0000-000093640000}"/>
    <cellStyle name="제목 4 13 14" xfId="25521" xr:uid="{00000000-0005-0000-0000-000094640000}"/>
    <cellStyle name="제목 4 13 15" xfId="25516" xr:uid="{00000000-0005-0000-0000-000095640000}"/>
    <cellStyle name="제목 4 13 2" xfId="3304" xr:uid="{00000000-0005-0000-0000-000096640000}"/>
    <cellStyle name="제목 4 13 2 2" xfId="25522" xr:uid="{00000000-0005-0000-0000-000097640000}"/>
    <cellStyle name="제목 4 13 3" xfId="25523" xr:uid="{00000000-0005-0000-0000-000098640000}"/>
    <cellStyle name="제목 4 13 4" xfId="25524" xr:uid="{00000000-0005-0000-0000-000099640000}"/>
    <cellStyle name="제목 4 13 5" xfId="25525" xr:uid="{00000000-0005-0000-0000-00009A640000}"/>
    <cellStyle name="제목 4 13 6" xfId="25526" xr:uid="{00000000-0005-0000-0000-00009B640000}"/>
    <cellStyle name="제목 4 13 7" xfId="25527" xr:uid="{00000000-0005-0000-0000-00009C640000}"/>
    <cellStyle name="제목 4 13 8" xfId="25528" xr:uid="{00000000-0005-0000-0000-00009D640000}"/>
    <cellStyle name="제목 4 13 9" xfId="25529" xr:uid="{00000000-0005-0000-0000-00009E640000}"/>
    <cellStyle name="제목 4 14" xfId="3305" xr:uid="{00000000-0005-0000-0000-00009F640000}"/>
    <cellStyle name="제목 4 14 10" xfId="25531" xr:uid="{00000000-0005-0000-0000-0000A0640000}"/>
    <cellStyle name="제목 4 14 11" xfId="25532" xr:uid="{00000000-0005-0000-0000-0000A1640000}"/>
    <cellStyle name="제목 4 14 12" xfId="25533" xr:uid="{00000000-0005-0000-0000-0000A2640000}"/>
    <cellStyle name="제목 4 14 13" xfId="25534" xr:uid="{00000000-0005-0000-0000-0000A3640000}"/>
    <cellStyle name="제목 4 14 14" xfId="25535" xr:uid="{00000000-0005-0000-0000-0000A4640000}"/>
    <cellStyle name="제목 4 14 15" xfId="25530" xr:uid="{00000000-0005-0000-0000-0000A5640000}"/>
    <cellStyle name="제목 4 14 2" xfId="3306" xr:uid="{00000000-0005-0000-0000-0000A6640000}"/>
    <cellStyle name="제목 4 14 2 2" xfId="25536" xr:uid="{00000000-0005-0000-0000-0000A7640000}"/>
    <cellStyle name="제목 4 14 3" xfId="25537" xr:uid="{00000000-0005-0000-0000-0000A8640000}"/>
    <cellStyle name="제목 4 14 4" xfId="25538" xr:uid="{00000000-0005-0000-0000-0000A9640000}"/>
    <cellStyle name="제목 4 14 5" xfId="25539" xr:uid="{00000000-0005-0000-0000-0000AA640000}"/>
    <cellStyle name="제목 4 14 6" xfId="25540" xr:uid="{00000000-0005-0000-0000-0000AB640000}"/>
    <cellStyle name="제목 4 14 7" xfId="25541" xr:uid="{00000000-0005-0000-0000-0000AC640000}"/>
    <cellStyle name="제목 4 14 8" xfId="25542" xr:uid="{00000000-0005-0000-0000-0000AD640000}"/>
    <cellStyle name="제목 4 14 9" xfId="25543" xr:uid="{00000000-0005-0000-0000-0000AE640000}"/>
    <cellStyle name="제목 4 15" xfId="3307" xr:uid="{00000000-0005-0000-0000-0000AF640000}"/>
    <cellStyle name="제목 4 15 10" xfId="25545" xr:uid="{00000000-0005-0000-0000-0000B0640000}"/>
    <cellStyle name="제목 4 15 11" xfId="25546" xr:uid="{00000000-0005-0000-0000-0000B1640000}"/>
    <cellStyle name="제목 4 15 12" xfId="25547" xr:uid="{00000000-0005-0000-0000-0000B2640000}"/>
    <cellStyle name="제목 4 15 13" xfId="25548" xr:uid="{00000000-0005-0000-0000-0000B3640000}"/>
    <cellStyle name="제목 4 15 14" xfId="25549" xr:uid="{00000000-0005-0000-0000-0000B4640000}"/>
    <cellStyle name="제목 4 15 15" xfId="25544" xr:uid="{00000000-0005-0000-0000-0000B5640000}"/>
    <cellStyle name="제목 4 15 2" xfId="3308" xr:uid="{00000000-0005-0000-0000-0000B6640000}"/>
    <cellStyle name="제목 4 15 2 2" xfId="25550" xr:uid="{00000000-0005-0000-0000-0000B7640000}"/>
    <cellStyle name="제목 4 15 3" xfId="25551" xr:uid="{00000000-0005-0000-0000-0000B8640000}"/>
    <cellStyle name="제목 4 15 4" xfId="25552" xr:uid="{00000000-0005-0000-0000-0000B9640000}"/>
    <cellStyle name="제목 4 15 5" xfId="25553" xr:uid="{00000000-0005-0000-0000-0000BA640000}"/>
    <cellStyle name="제목 4 15 6" xfId="25554" xr:uid="{00000000-0005-0000-0000-0000BB640000}"/>
    <cellStyle name="제목 4 15 7" xfId="25555" xr:uid="{00000000-0005-0000-0000-0000BC640000}"/>
    <cellStyle name="제목 4 15 8" xfId="25556" xr:uid="{00000000-0005-0000-0000-0000BD640000}"/>
    <cellStyle name="제목 4 15 9" xfId="25557" xr:uid="{00000000-0005-0000-0000-0000BE640000}"/>
    <cellStyle name="제목 4 16" xfId="3309" xr:uid="{00000000-0005-0000-0000-0000BF640000}"/>
    <cellStyle name="제목 4 16 10" xfId="25559" xr:uid="{00000000-0005-0000-0000-0000C0640000}"/>
    <cellStyle name="제목 4 16 11" xfId="25560" xr:uid="{00000000-0005-0000-0000-0000C1640000}"/>
    <cellStyle name="제목 4 16 12" xfId="25561" xr:uid="{00000000-0005-0000-0000-0000C2640000}"/>
    <cellStyle name="제목 4 16 13" xfId="25562" xr:uid="{00000000-0005-0000-0000-0000C3640000}"/>
    <cellStyle name="제목 4 16 14" xfId="25563" xr:uid="{00000000-0005-0000-0000-0000C4640000}"/>
    <cellStyle name="제목 4 16 15" xfId="25558" xr:uid="{00000000-0005-0000-0000-0000C5640000}"/>
    <cellStyle name="제목 4 16 2" xfId="3310" xr:uid="{00000000-0005-0000-0000-0000C6640000}"/>
    <cellStyle name="제목 4 16 2 2" xfId="25564" xr:uid="{00000000-0005-0000-0000-0000C7640000}"/>
    <cellStyle name="제목 4 16 3" xfId="25565" xr:uid="{00000000-0005-0000-0000-0000C8640000}"/>
    <cellStyle name="제목 4 16 4" xfId="25566" xr:uid="{00000000-0005-0000-0000-0000C9640000}"/>
    <cellStyle name="제목 4 16 5" xfId="25567" xr:uid="{00000000-0005-0000-0000-0000CA640000}"/>
    <cellStyle name="제목 4 16 6" xfId="25568" xr:uid="{00000000-0005-0000-0000-0000CB640000}"/>
    <cellStyle name="제목 4 16 7" xfId="25569" xr:uid="{00000000-0005-0000-0000-0000CC640000}"/>
    <cellStyle name="제목 4 16 8" xfId="25570" xr:uid="{00000000-0005-0000-0000-0000CD640000}"/>
    <cellStyle name="제목 4 16 9" xfId="25571" xr:uid="{00000000-0005-0000-0000-0000CE640000}"/>
    <cellStyle name="제목 4 17" xfId="3311" xr:uid="{00000000-0005-0000-0000-0000CF640000}"/>
    <cellStyle name="제목 4 17 10" xfId="25573" xr:uid="{00000000-0005-0000-0000-0000D0640000}"/>
    <cellStyle name="제목 4 17 11" xfId="25574" xr:uid="{00000000-0005-0000-0000-0000D1640000}"/>
    <cellStyle name="제목 4 17 12" xfId="25575" xr:uid="{00000000-0005-0000-0000-0000D2640000}"/>
    <cellStyle name="제목 4 17 13" xfId="25576" xr:uid="{00000000-0005-0000-0000-0000D3640000}"/>
    <cellStyle name="제목 4 17 14" xfId="25577" xr:uid="{00000000-0005-0000-0000-0000D4640000}"/>
    <cellStyle name="제목 4 17 15" xfId="25572" xr:uid="{00000000-0005-0000-0000-0000D5640000}"/>
    <cellStyle name="제목 4 17 2" xfId="3312" xr:uid="{00000000-0005-0000-0000-0000D6640000}"/>
    <cellStyle name="제목 4 17 2 2" xfId="25578" xr:uid="{00000000-0005-0000-0000-0000D7640000}"/>
    <cellStyle name="제목 4 17 3" xfId="25579" xr:uid="{00000000-0005-0000-0000-0000D8640000}"/>
    <cellStyle name="제목 4 17 4" xfId="25580" xr:uid="{00000000-0005-0000-0000-0000D9640000}"/>
    <cellStyle name="제목 4 17 5" xfId="25581" xr:uid="{00000000-0005-0000-0000-0000DA640000}"/>
    <cellStyle name="제목 4 17 6" xfId="25582" xr:uid="{00000000-0005-0000-0000-0000DB640000}"/>
    <cellStyle name="제목 4 17 7" xfId="25583" xr:uid="{00000000-0005-0000-0000-0000DC640000}"/>
    <cellStyle name="제목 4 17 8" xfId="25584" xr:uid="{00000000-0005-0000-0000-0000DD640000}"/>
    <cellStyle name="제목 4 17 9" xfId="25585" xr:uid="{00000000-0005-0000-0000-0000DE640000}"/>
    <cellStyle name="제목 4 18" xfId="3313" xr:uid="{00000000-0005-0000-0000-0000DF640000}"/>
    <cellStyle name="제목 4 18 10" xfId="25587" xr:uid="{00000000-0005-0000-0000-0000E0640000}"/>
    <cellStyle name="제목 4 18 11" xfId="25588" xr:uid="{00000000-0005-0000-0000-0000E1640000}"/>
    <cellStyle name="제목 4 18 12" xfId="25589" xr:uid="{00000000-0005-0000-0000-0000E2640000}"/>
    <cellStyle name="제목 4 18 13" xfId="25590" xr:uid="{00000000-0005-0000-0000-0000E3640000}"/>
    <cellStyle name="제목 4 18 14" xfId="25591" xr:uid="{00000000-0005-0000-0000-0000E4640000}"/>
    <cellStyle name="제목 4 18 15" xfId="25586" xr:uid="{00000000-0005-0000-0000-0000E5640000}"/>
    <cellStyle name="제목 4 18 2" xfId="3314" xr:uid="{00000000-0005-0000-0000-0000E6640000}"/>
    <cellStyle name="제목 4 18 2 2" xfId="25592" xr:uid="{00000000-0005-0000-0000-0000E7640000}"/>
    <cellStyle name="제목 4 18 3" xfId="25593" xr:uid="{00000000-0005-0000-0000-0000E8640000}"/>
    <cellStyle name="제목 4 18 4" xfId="25594" xr:uid="{00000000-0005-0000-0000-0000E9640000}"/>
    <cellStyle name="제목 4 18 5" xfId="25595" xr:uid="{00000000-0005-0000-0000-0000EA640000}"/>
    <cellStyle name="제목 4 18 6" xfId="25596" xr:uid="{00000000-0005-0000-0000-0000EB640000}"/>
    <cellStyle name="제목 4 18 7" xfId="25597" xr:uid="{00000000-0005-0000-0000-0000EC640000}"/>
    <cellStyle name="제목 4 18 8" xfId="25598" xr:uid="{00000000-0005-0000-0000-0000ED640000}"/>
    <cellStyle name="제목 4 18 9" xfId="25599" xr:uid="{00000000-0005-0000-0000-0000EE640000}"/>
    <cellStyle name="제목 4 19" xfId="3315" xr:uid="{00000000-0005-0000-0000-0000EF640000}"/>
    <cellStyle name="제목 4 19 10" xfId="25601" xr:uid="{00000000-0005-0000-0000-0000F0640000}"/>
    <cellStyle name="제목 4 19 11" xfId="25602" xr:uid="{00000000-0005-0000-0000-0000F1640000}"/>
    <cellStyle name="제목 4 19 12" xfId="25603" xr:uid="{00000000-0005-0000-0000-0000F2640000}"/>
    <cellStyle name="제목 4 19 13" xfId="25604" xr:uid="{00000000-0005-0000-0000-0000F3640000}"/>
    <cellStyle name="제목 4 19 14" xfId="25605" xr:uid="{00000000-0005-0000-0000-0000F4640000}"/>
    <cellStyle name="제목 4 19 15" xfId="25600" xr:uid="{00000000-0005-0000-0000-0000F5640000}"/>
    <cellStyle name="제목 4 19 2" xfId="3316" xr:uid="{00000000-0005-0000-0000-0000F6640000}"/>
    <cellStyle name="제목 4 19 2 2" xfId="25606" xr:uid="{00000000-0005-0000-0000-0000F7640000}"/>
    <cellStyle name="제목 4 19 3" xfId="25607" xr:uid="{00000000-0005-0000-0000-0000F8640000}"/>
    <cellStyle name="제목 4 19 4" xfId="25608" xr:uid="{00000000-0005-0000-0000-0000F9640000}"/>
    <cellStyle name="제목 4 19 5" xfId="25609" xr:uid="{00000000-0005-0000-0000-0000FA640000}"/>
    <cellStyle name="제목 4 19 6" xfId="25610" xr:uid="{00000000-0005-0000-0000-0000FB640000}"/>
    <cellStyle name="제목 4 19 7" xfId="25611" xr:uid="{00000000-0005-0000-0000-0000FC640000}"/>
    <cellStyle name="제목 4 19 8" xfId="25612" xr:uid="{00000000-0005-0000-0000-0000FD640000}"/>
    <cellStyle name="제목 4 19 9" xfId="25613" xr:uid="{00000000-0005-0000-0000-0000FE640000}"/>
    <cellStyle name="제목 4 2" xfId="3317" xr:uid="{00000000-0005-0000-0000-0000FF640000}"/>
    <cellStyle name="제목 4 2 10" xfId="25615" xr:uid="{00000000-0005-0000-0000-000000650000}"/>
    <cellStyle name="제목 4 2 11" xfId="25616" xr:uid="{00000000-0005-0000-0000-000001650000}"/>
    <cellStyle name="제목 4 2 12" xfId="25617" xr:uid="{00000000-0005-0000-0000-000002650000}"/>
    <cellStyle name="제목 4 2 13" xfId="25618" xr:uid="{00000000-0005-0000-0000-000003650000}"/>
    <cellStyle name="제목 4 2 14" xfId="25619" xr:uid="{00000000-0005-0000-0000-000004650000}"/>
    <cellStyle name="제목 4 2 15" xfId="25614" xr:uid="{00000000-0005-0000-0000-000005650000}"/>
    <cellStyle name="제목 4 2 16" xfId="27982" xr:uid="{00000000-0005-0000-0000-000006650000}"/>
    <cellStyle name="제목 4 2 2" xfId="3318" xr:uid="{00000000-0005-0000-0000-000007650000}"/>
    <cellStyle name="제목 4 2 2 2" xfId="25620" xr:uid="{00000000-0005-0000-0000-000008650000}"/>
    <cellStyle name="제목 4 2 3" xfId="25621" xr:uid="{00000000-0005-0000-0000-000009650000}"/>
    <cellStyle name="제목 4 2 4" xfId="25622" xr:uid="{00000000-0005-0000-0000-00000A650000}"/>
    <cellStyle name="제목 4 2 5" xfId="25623" xr:uid="{00000000-0005-0000-0000-00000B650000}"/>
    <cellStyle name="제목 4 2 6" xfId="25624" xr:uid="{00000000-0005-0000-0000-00000C650000}"/>
    <cellStyle name="제목 4 2 7" xfId="25625" xr:uid="{00000000-0005-0000-0000-00000D650000}"/>
    <cellStyle name="제목 4 2 8" xfId="25626" xr:uid="{00000000-0005-0000-0000-00000E650000}"/>
    <cellStyle name="제목 4 2 9" xfId="25627" xr:uid="{00000000-0005-0000-0000-00000F650000}"/>
    <cellStyle name="제목 4 20" xfId="3319" xr:uid="{00000000-0005-0000-0000-000010650000}"/>
    <cellStyle name="제목 4 20 10" xfId="25629" xr:uid="{00000000-0005-0000-0000-000011650000}"/>
    <cellStyle name="제목 4 20 11" xfId="25630" xr:uid="{00000000-0005-0000-0000-000012650000}"/>
    <cellStyle name="제목 4 20 12" xfId="25631" xr:uid="{00000000-0005-0000-0000-000013650000}"/>
    <cellStyle name="제목 4 20 13" xfId="25632" xr:uid="{00000000-0005-0000-0000-000014650000}"/>
    <cellStyle name="제목 4 20 14" xfId="25633" xr:uid="{00000000-0005-0000-0000-000015650000}"/>
    <cellStyle name="제목 4 20 15" xfId="25628" xr:uid="{00000000-0005-0000-0000-000016650000}"/>
    <cellStyle name="제목 4 20 2" xfId="3320" xr:uid="{00000000-0005-0000-0000-000017650000}"/>
    <cellStyle name="제목 4 20 2 2" xfId="25634" xr:uid="{00000000-0005-0000-0000-000018650000}"/>
    <cellStyle name="제목 4 20 3" xfId="25635" xr:uid="{00000000-0005-0000-0000-000019650000}"/>
    <cellStyle name="제목 4 20 4" xfId="25636" xr:uid="{00000000-0005-0000-0000-00001A650000}"/>
    <cellStyle name="제목 4 20 5" xfId="25637" xr:uid="{00000000-0005-0000-0000-00001B650000}"/>
    <cellStyle name="제목 4 20 6" xfId="25638" xr:uid="{00000000-0005-0000-0000-00001C650000}"/>
    <cellStyle name="제목 4 20 7" xfId="25639" xr:uid="{00000000-0005-0000-0000-00001D650000}"/>
    <cellStyle name="제목 4 20 8" xfId="25640" xr:uid="{00000000-0005-0000-0000-00001E650000}"/>
    <cellStyle name="제목 4 20 9" xfId="25641" xr:uid="{00000000-0005-0000-0000-00001F650000}"/>
    <cellStyle name="제목 4 21" xfId="3321" xr:uid="{00000000-0005-0000-0000-000020650000}"/>
    <cellStyle name="제목 4 21 10" xfId="25643" xr:uid="{00000000-0005-0000-0000-000021650000}"/>
    <cellStyle name="제목 4 21 11" xfId="25644" xr:uid="{00000000-0005-0000-0000-000022650000}"/>
    <cellStyle name="제목 4 21 12" xfId="25645" xr:uid="{00000000-0005-0000-0000-000023650000}"/>
    <cellStyle name="제목 4 21 13" xfId="25646" xr:uid="{00000000-0005-0000-0000-000024650000}"/>
    <cellStyle name="제목 4 21 14" xfId="25647" xr:uid="{00000000-0005-0000-0000-000025650000}"/>
    <cellStyle name="제목 4 21 15" xfId="25642" xr:uid="{00000000-0005-0000-0000-000026650000}"/>
    <cellStyle name="제목 4 21 2" xfId="3322" xr:uid="{00000000-0005-0000-0000-000027650000}"/>
    <cellStyle name="제목 4 21 2 2" xfId="25648" xr:uid="{00000000-0005-0000-0000-000028650000}"/>
    <cellStyle name="제목 4 21 3" xfId="25649" xr:uid="{00000000-0005-0000-0000-000029650000}"/>
    <cellStyle name="제목 4 21 4" xfId="25650" xr:uid="{00000000-0005-0000-0000-00002A650000}"/>
    <cellStyle name="제목 4 21 5" xfId="25651" xr:uid="{00000000-0005-0000-0000-00002B650000}"/>
    <cellStyle name="제목 4 21 6" xfId="25652" xr:uid="{00000000-0005-0000-0000-00002C650000}"/>
    <cellStyle name="제목 4 21 7" xfId="25653" xr:uid="{00000000-0005-0000-0000-00002D650000}"/>
    <cellStyle name="제목 4 21 8" xfId="25654" xr:uid="{00000000-0005-0000-0000-00002E650000}"/>
    <cellStyle name="제목 4 21 9" xfId="25655" xr:uid="{00000000-0005-0000-0000-00002F650000}"/>
    <cellStyle name="제목 4 22" xfId="3323" xr:uid="{00000000-0005-0000-0000-000030650000}"/>
    <cellStyle name="제목 4 22 10" xfId="25657" xr:uid="{00000000-0005-0000-0000-000031650000}"/>
    <cellStyle name="제목 4 22 11" xfId="25658" xr:uid="{00000000-0005-0000-0000-000032650000}"/>
    <cellStyle name="제목 4 22 12" xfId="25659" xr:uid="{00000000-0005-0000-0000-000033650000}"/>
    <cellStyle name="제목 4 22 13" xfId="25660" xr:uid="{00000000-0005-0000-0000-000034650000}"/>
    <cellStyle name="제목 4 22 14" xfId="25661" xr:uid="{00000000-0005-0000-0000-000035650000}"/>
    <cellStyle name="제목 4 22 15" xfId="25656" xr:uid="{00000000-0005-0000-0000-000036650000}"/>
    <cellStyle name="제목 4 22 2" xfId="3324" xr:uid="{00000000-0005-0000-0000-000037650000}"/>
    <cellStyle name="제목 4 22 2 2" xfId="25662" xr:uid="{00000000-0005-0000-0000-000038650000}"/>
    <cellStyle name="제목 4 22 3" xfId="25663" xr:uid="{00000000-0005-0000-0000-000039650000}"/>
    <cellStyle name="제목 4 22 4" xfId="25664" xr:uid="{00000000-0005-0000-0000-00003A650000}"/>
    <cellStyle name="제목 4 22 5" xfId="25665" xr:uid="{00000000-0005-0000-0000-00003B650000}"/>
    <cellStyle name="제목 4 22 6" xfId="25666" xr:uid="{00000000-0005-0000-0000-00003C650000}"/>
    <cellStyle name="제목 4 22 7" xfId="25667" xr:uid="{00000000-0005-0000-0000-00003D650000}"/>
    <cellStyle name="제목 4 22 8" xfId="25668" xr:uid="{00000000-0005-0000-0000-00003E650000}"/>
    <cellStyle name="제목 4 22 9" xfId="25669" xr:uid="{00000000-0005-0000-0000-00003F650000}"/>
    <cellStyle name="제목 4 23" xfId="3325" xr:uid="{00000000-0005-0000-0000-000040650000}"/>
    <cellStyle name="제목 4 23 10" xfId="25671" xr:uid="{00000000-0005-0000-0000-000041650000}"/>
    <cellStyle name="제목 4 23 11" xfId="25672" xr:uid="{00000000-0005-0000-0000-000042650000}"/>
    <cellStyle name="제목 4 23 12" xfId="25673" xr:uid="{00000000-0005-0000-0000-000043650000}"/>
    <cellStyle name="제목 4 23 13" xfId="25674" xr:uid="{00000000-0005-0000-0000-000044650000}"/>
    <cellStyle name="제목 4 23 14" xfId="25675" xr:uid="{00000000-0005-0000-0000-000045650000}"/>
    <cellStyle name="제목 4 23 15" xfId="25670" xr:uid="{00000000-0005-0000-0000-000046650000}"/>
    <cellStyle name="제목 4 23 2" xfId="3326" xr:uid="{00000000-0005-0000-0000-000047650000}"/>
    <cellStyle name="제목 4 23 2 2" xfId="25676" xr:uid="{00000000-0005-0000-0000-000048650000}"/>
    <cellStyle name="제목 4 23 3" xfId="25677" xr:uid="{00000000-0005-0000-0000-000049650000}"/>
    <cellStyle name="제목 4 23 4" xfId="25678" xr:uid="{00000000-0005-0000-0000-00004A650000}"/>
    <cellStyle name="제목 4 23 5" xfId="25679" xr:uid="{00000000-0005-0000-0000-00004B650000}"/>
    <cellStyle name="제목 4 23 6" xfId="25680" xr:uid="{00000000-0005-0000-0000-00004C650000}"/>
    <cellStyle name="제목 4 23 7" xfId="25681" xr:uid="{00000000-0005-0000-0000-00004D650000}"/>
    <cellStyle name="제목 4 23 8" xfId="25682" xr:uid="{00000000-0005-0000-0000-00004E650000}"/>
    <cellStyle name="제목 4 23 9" xfId="25683" xr:uid="{00000000-0005-0000-0000-00004F650000}"/>
    <cellStyle name="제목 4 24" xfId="3327" xr:uid="{00000000-0005-0000-0000-000050650000}"/>
    <cellStyle name="제목 4 24 10" xfId="25685" xr:uid="{00000000-0005-0000-0000-000051650000}"/>
    <cellStyle name="제목 4 24 11" xfId="25686" xr:uid="{00000000-0005-0000-0000-000052650000}"/>
    <cellStyle name="제목 4 24 12" xfId="25687" xr:uid="{00000000-0005-0000-0000-000053650000}"/>
    <cellStyle name="제목 4 24 13" xfId="25688" xr:uid="{00000000-0005-0000-0000-000054650000}"/>
    <cellStyle name="제목 4 24 14" xfId="25689" xr:uid="{00000000-0005-0000-0000-000055650000}"/>
    <cellStyle name="제목 4 24 15" xfId="25684" xr:uid="{00000000-0005-0000-0000-000056650000}"/>
    <cellStyle name="제목 4 24 2" xfId="3328" xr:uid="{00000000-0005-0000-0000-000057650000}"/>
    <cellStyle name="제목 4 24 2 2" xfId="25690" xr:uid="{00000000-0005-0000-0000-000058650000}"/>
    <cellStyle name="제목 4 24 3" xfId="25691" xr:uid="{00000000-0005-0000-0000-000059650000}"/>
    <cellStyle name="제목 4 24 4" xfId="25692" xr:uid="{00000000-0005-0000-0000-00005A650000}"/>
    <cellStyle name="제목 4 24 5" xfId="25693" xr:uid="{00000000-0005-0000-0000-00005B650000}"/>
    <cellStyle name="제목 4 24 6" xfId="25694" xr:uid="{00000000-0005-0000-0000-00005C650000}"/>
    <cellStyle name="제목 4 24 7" xfId="25695" xr:uid="{00000000-0005-0000-0000-00005D650000}"/>
    <cellStyle name="제목 4 24 8" xfId="25696" xr:uid="{00000000-0005-0000-0000-00005E650000}"/>
    <cellStyle name="제목 4 24 9" xfId="25697" xr:uid="{00000000-0005-0000-0000-00005F650000}"/>
    <cellStyle name="제목 4 25" xfId="3329" xr:uid="{00000000-0005-0000-0000-000060650000}"/>
    <cellStyle name="제목 4 25 10" xfId="25699" xr:uid="{00000000-0005-0000-0000-000061650000}"/>
    <cellStyle name="제목 4 25 11" xfId="25700" xr:uid="{00000000-0005-0000-0000-000062650000}"/>
    <cellStyle name="제목 4 25 12" xfId="25701" xr:uid="{00000000-0005-0000-0000-000063650000}"/>
    <cellStyle name="제목 4 25 13" xfId="25702" xr:uid="{00000000-0005-0000-0000-000064650000}"/>
    <cellStyle name="제목 4 25 14" xfId="25703" xr:uid="{00000000-0005-0000-0000-000065650000}"/>
    <cellStyle name="제목 4 25 15" xfId="25698" xr:uid="{00000000-0005-0000-0000-000066650000}"/>
    <cellStyle name="제목 4 25 2" xfId="3330" xr:uid="{00000000-0005-0000-0000-000067650000}"/>
    <cellStyle name="제목 4 25 2 2" xfId="25704" xr:uid="{00000000-0005-0000-0000-000068650000}"/>
    <cellStyle name="제목 4 25 3" xfId="25705" xr:uid="{00000000-0005-0000-0000-000069650000}"/>
    <cellStyle name="제목 4 25 4" xfId="25706" xr:uid="{00000000-0005-0000-0000-00006A650000}"/>
    <cellStyle name="제목 4 25 5" xfId="25707" xr:uid="{00000000-0005-0000-0000-00006B650000}"/>
    <cellStyle name="제목 4 25 6" xfId="25708" xr:uid="{00000000-0005-0000-0000-00006C650000}"/>
    <cellStyle name="제목 4 25 7" xfId="25709" xr:uid="{00000000-0005-0000-0000-00006D650000}"/>
    <cellStyle name="제목 4 25 8" xfId="25710" xr:uid="{00000000-0005-0000-0000-00006E650000}"/>
    <cellStyle name="제목 4 25 9" xfId="25711" xr:uid="{00000000-0005-0000-0000-00006F650000}"/>
    <cellStyle name="제목 4 26" xfId="3331" xr:uid="{00000000-0005-0000-0000-000070650000}"/>
    <cellStyle name="제목 4 26 10" xfId="25713" xr:uid="{00000000-0005-0000-0000-000071650000}"/>
    <cellStyle name="제목 4 26 11" xfId="25714" xr:uid="{00000000-0005-0000-0000-000072650000}"/>
    <cellStyle name="제목 4 26 12" xfId="25715" xr:uid="{00000000-0005-0000-0000-000073650000}"/>
    <cellStyle name="제목 4 26 13" xfId="25716" xr:uid="{00000000-0005-0000-0000-000074650000}"/>
    <cellStyle name="제목 4 26 14" xfId="25717" xr:uid="{00000000-0005-0000-0000-000075650000}"/>
    <cellStyle name="제목 4 26 15" xfId="25712" xr:uid="{00000000-0005-0000-0000-000076650000}"/>
    <cellStyle name="제목 4 26 2" xfId="3332" xr:uid="{00000000-0005-0000-0000-000077650000}"/>
    <cellStyle name="제목 4 26 2 2" xfId="25718" xr:uid="{00000000-0005-0000-0000-000078650000}"/>
    <cellStyle name="제목 4 26 3" xfId="25719" xr:uid="{00000000-0005-0000-0000-000079650000}"/>
    <cellStyle name="제목 4 26 4" xfId="25720" xr:uid="{00000000-0005-0000-0000-00007A650000}"/>
    <cellStyle name="제목 4 26 5" xfId="25721" xr:uid="{00000000-0005-0000-0000-00007B650000}"/>
    <cellStyle name="제목 4 26 6" xfId="25722" xr:uid="{00000000-0005-0000-0000-00007C650000}"/>
    <cellStyle name="제목 4 26 7" xfId="25723" xr:uid="{00000000-0005-0000-0000-00007D650000}"/>
    <cellStyle name="제목 4 26 8" xfId="25724" xr:uid="{00000000-0005-0000-0000-00007E650000}"/>
    <cellStyle name="제목 4 26 9" xfId="25725" xr:uid="{00000000-0005-0000-0000-00007F650000}"/>
    <cellStyle name="제목 4 27" xfId="3333" xr:uid="{00000000-0005-0000-0000-000080650000}"/>
    <cellStyle name="제목 4 27 10" xfId="25727" xr:uid="{00000000-0005-0000-0000-000081650000}"/>
    <cellStyle name="제목 4 27 11" xfId="25728" xr:uid="{00000000-0005-0000-0000-000082650000}"/>
    <cellStyle name="제목 4 27 12" xfId="25729" xr:uid="{00000000-0005-0000-0000-000083650000}"/>
    <cellStyle name="제목 4 27 13" xfId="25730" xr:uid="{00000000-0005-0000-0000-000084650000}"/>
    <cellStyle name="제목 4 27 14" xfId="25731" xr:uid="{00000000-0005-0000-0000-000085650000}"/>
    <cellStyle name="제목 4 27 15" xfId="25726" xr:uid="{00000000-0005-0000-0000-000086650000}"/>
    <cellStyle name="제목 4 27 2" xfId="3334" xr:uid="{00000000-0005-0000-0000-000087650000}"/>
    <cellStyle name="제목 4 27 2 2" xfId="25732" xr:uid="{00000000-0005-0000-0000-000088650000}"/>
    <cellStyle name="제목 4 27 3" xfId="25733" xr:uid="{00000000-0005-0000-0000-000089650000}"/>
    <cellStyle name="제목 4 27 4" xfId="25734" xr:uid="{00000000-0005-0000-0000-00008A650000}"/>
    <cellStyle name="제목 4 27 5" xfId="25735" xr:uid="{00000000-0005-0000-0000-00008B650000}"/>
    <cellStyle name="제목 4 27 6" xfId="25736" xr:uid="{00000000-0005-0000-0000-00008C650000}"/>
    <cellStyle name="제목 4 27 7" xfId="25737" xr:uid="{00000000-0005-0000-0000-00008D650000}"/>
    <cellStyle name="제목 4 27 8" xfId="25738" xr:uid="{00000000-0005-0000-0000-00008E650000}"/>
    <cellStyle name="제목 4 27 9" xfId="25739" xr:uid="{00000000-0005-0000-0000-00008F650000}"/>
    <cellStyle name="제목 4 28" xfId="3335" xr:uid="{00000000-0005-0000-0000-000090650000}"/>
    <cellStyle name="제목 4 28 10" xfId="25741" xr:uid="{00000000-0005-0000-0000-000091650000}"/>
    <cellStyle name="제목 4 28 11" xfId="25742" xr:uid="{00000000-0005-0000-0000-000092650000}"/>
    <cellStyle name="제목 4 28 12" xfId="25743" xr:uid="{00000000-0005-0000-0000-000093650000}"/>
    <cellStyle name="제목 4 28 13" xfId="25744" xr:uid="{00000000-0005-0000-0000-000094650000}"/>
    <cellStyle name="제목 4 28 14" xfId="25745" xr:uid="{00000000-0005-0000-0000-000095650000}"/>
    <cellStyle name="제목 4 28 15" xfId="25740" xr:uid="{00000000-0005-0000-0000-000096650000}"/>
    <cellStyle name="제목 4 28 2" xfId="3336" xr:uid="{00000000-0005-0000-0000-000097650000}"/>
    <cellStyle name="제목 4 28 2 2" xfId="25746" xr:uid="{00000000-0005-0000-0000-000098650000}"/>
    <cellStyle name="제목 4 28 3" xfId="25747" xr:uid="{00000000-0005-0000-0000-000099650000}"/>
    <cellStyle name="제목 4 28 4" xfId="25748" xr:uid="{00000000-0005-0000-0000-00009A650000}"/>
    <cellStyle name="제목 4 28 5" xfId="25749" xr:uid="{00000000-0005-0000-0000-00009B650000}"/>
    <cellStyle name="제목 4 28 6" xfId="25750" xr:uid="{00000000-0005-0000-0000-00009C650000}"/>
    <cellStyle name="제목 4 28 7" xfId="25751" xr:uid="{00000000-0005-0000-0000-00009D650000}"/>
    <cellStyle name="제목 4 28 8" xfId="25752" xr:uid="{00000000-0005-0000-0000-00009E650000}"/>
    <cellStyle name="제목 4 28 9" xfId="25753" xr:uid="{00000000-0005-0000-0000-00009F650000}"/>
    <cellStyle name="제목 4 29" xfId="3337" xr:uid="{00000000-0005-0000-0000-0000A0650000}"/>
    <cellStyle name="제목 4 29 10" xfId="25755" xr:uid="{00000000-0005-0000-0000-0000A1650000}"/>
    <cellStyle name="제목 4 29 11" xfId="25756" xr:uid="{00000000-0005-0000-0000-0000A2650000}"/>
    <cellStyle name="제목 4 29 12" xfId="25757" xr:uid="{00000000-0005-0000-0000-0000A3650000}"/>
    <cellStyle name="제목 4 29 13" xfId="25758" xr:uid="{00000000-0005-0000-0000-0000A4650000}"/>
    <cellStyle name="제목 4 29 14" xfId="25759" xr:uid="{00000000-0005-0000-0000-0000A5650000}"/>
    <cellStyle name="제목 4 29 15" xfId="25754" xr:uid="{00000000-0005-0000-0000-0000A6650000}"/>
    <cellStyle name="제목 4 29 2" xfId="3338" xr:uid="{00000000-0005-0000-0000-0000A7650000}"/>
    <cellStyle name="제목 4 29 2 2" xfId="25760" xr:uid="{00000000-0005-0000-0000-0000A8650000}"/>
    <cellStyle name="제목 4 29 3" xfId="25761" xr:uid="{00000000-0005-0000-0000-0000A9650000}"/>
    <cellStyle name="제목 4 29 4" xfId="25762" xr:uid="{00000000-0005-0000-0000-0000AA650000}"/>
    <cellStyle name="제목 4 29 5" xfId="25763" xr:uid="{00000000-0005-0000-0000-0000AB650000}"/>
    <cellStyle name="제목 4 29 6" xfId="25764" xr:uid="{00000000-0005-0000-0000-0000AC650000}"/>
    <cellStyle name="제목 4 29 7" xfId="25765" xr:uid="{00000000-0005-0000-0000-0000AD650000}"/>
    <cellStyle name="제목 4 29 8" xfId="25766" xr:uid="{00000000-0005-0000-0000-0000AE650000}"/>
    <cellStyle name="제목 4 29 9" xfId="25767" xr:uid="{00000000-0005-0000-0000-0000AF650000}"/>
    <cellStyle name="제목 4 3" xfId="3339" xr:uid="{00000000-0005-0000-0000-0000B0650000}"/>
    <cellStyle name="제목 4 3 10" xfId="25769" xr:uid="{00000000-0005-0000-0000-0000B1650000}"/>
    <cellStyle name="제목 4 3 11" xfId="25770" xr:uid="{00000000-0005-0000-0000-0000B2650000}"/>
    <cellStyle name="제목 4 3 12" xfId="25771" xr:uid="{00000000-0005-0000-0000-0000B3650000}"/>
    <cellStyle name="제목 4 3 13" xfId="25772" xr:uid="{00000000-0005-0000-0000-0000B4650000}"/>
    <cellStyle name="제목 4 3 14" xfId="25773" xr:uid="{00000000-0005-0000-0000-0000B5650000}"/>
    <cellStyle name="제목 4 3 15" xfId="25768" xr:uid="{00000000-0005-0000-0000-0000B6650000}"/>
    <cellStyle name="제목 4 3 16" xfId="28228" xr:uid="{00000000-0005-0000-0000-0000B7650000}"/>
    <cellStyle name="제목 4 3 2" xfId="3340" xr:uid="{00000000-0005-0000-0000-0000B8650000}"/>
    <cellStyle name="제목 4 3 2 2" xfId="25774" xr:uid="{00000000-0005-0000-0000-0000B9650000}"/>
    <cellStyle name="제목 4 3 3" xfId="25775" xr:uid="{00000000-0005-0000-0000-0000BA650000}"/>
    <cellStyle name="제목 4 3 4" xfId="25776" xr:uid="{00000000-0005-0000-0000-0000BB650000}"/>
    <cellStyle name="제목 4 3 5" xfId="25777" xr:uid="{00000000-0005-0000-0000-0000BC650000}"/>
    <cellStyle name="제목 4 3 6" xfId="25778" xr:uid="{00000000-0005-0000-0000-0000BD650000}"/>
    <cellStyle name="제목 4 3 7" xfId="25779" xr:uid="{00000000-0005-0000-0000-0000BE650000}"/>
    <cellStyle name="제목 4 3 8" xfId="25780" xr:uid="{00000000-0005-0000-0000-0000BF650000}"/>
    <cellStyle name="제목 4 3 9" xfId="25781" xr:uid="{00000000-0005-0000-0000-0000C0650000}"/>
    <cellStyle name="제목 4 30" xfId="3341" xr:uid="{00000000-0005-0000-0000-0000C1650000}"/>
    <cellStyle name="제목 4 30 10" xfId="25783" xr:uid="{00000000-0005-0000-0000-0000C2650000}"/>
    <cellStyle name="제목 4 30 11" xfId="25784" xr:uid="{00000000-0005-0000-0000-0000C3650000}"/>
    <cellStyle name="제목 4 30 12" xfId="25785" xr:uid="{00000000-0005-0000-0000-0000C4650000}"/>
    <cellStyle name="제목 4 30 13" xfId="25786" xr:uid="{00000000-0005-0000-0000-0000C5650000}"/>
    <cellStyle name="제목 4 30 14" xfId="25787" xr:uid="{00000000-0005-0000-0000-0000C6650000}"/>
    <cellStyle name="제목 4 30 15" xfId="25782" xr:uid="{00000000-0005-0000-0000-0000C7650000}"/>
    <cellStyle name="제목 4 30 2" xfId="3342" xr:uid="{00000000-0005-0000-0000-0000C8650000}"/>
    <cellStyle name="제목 4 30 2 2" xfId="25788" xr:uid="{00000000-0005-0000-0000-0000C9650000}"/>
    <cellStyle name="제목 4 30 3" xfId="25789" xr:uid="{00000000-0005-0000-0000-0000CA650000}"/>
    <cellStyle name="제목 4 30 4" xfId="25790" xr:uid="{00000000-0005-0000-0000-0000CB650000}"/>
    <cellStyle name="제목 4 30 5" xfId="25791" xr:uid="{00000000-0005-0000-0000-0000CC650000}"/>
    <cellStyle name="제목 4 30 6" xfId="25792" xr:uid="{00000000-0005-0000-0000-0000CD650000}"/>
    <cellStyle name="제목 4 30 7" xfId="25793" xr:uid="{00000000-0005-0000-0000-0000CE650000}"/>
    <cellStyle name="제목 4 30 8" xfId="25794" xr:uid="{00000000-0005-0000-0000-0000CF650000}"/>
    <cellStyle name="제목 4 30 9" xfId="25795" xr:uid="{00000000-0005-0000-0000-0000D0650000}"/>
    <cellStyle name="제목 4 31" xfId="3343" xr:uid="{00000000-0005-0000-0000-0000D1650000}"/>
    <cellStyle name="제목 4 31 10" xfId="25797" xr:uid="{00000000-0005-0000-0000-0000D2650000}"/>
    <cellStyle name="제목 4 31 11" xfId="25798" xr:uid="{00000000-0005-0000-0000-0000D3650000}"/>
    <cellStyle name="제목 4 31 12" xfId="25799" xr:uid="{00000000-0005-0000-0000-0000D4650000}"/>
    <cellStyle name="제목 4 31 13" xfId="25800" xr:uid="{00000000-0005-0000-0000-0000D5650000}"/>
    <cellStyle name="제목 4 31 14" xfId="25801" xr:uid="{00000000-0005-0000-0000-0000D6650000}"/>
    <cellStyle name="제목 4 31 15" xfId="25796" xr:uid="{00000000-0005-0000-0000-0000D7650000}"/>
    <cellStyle name="제목 4 31 2" xfId="3344" xr:uid="{00000000-0005-0000-0000-0000D8650000}"/>
    <cellStyle name="제목 4 31 2 2" xfId="25802" xr:uid="{00000000-0005-0000-0000-0000D9650000}"/>
    <cellStyle name="제목 4 31 3" xfId="25803" xr:uid="{00000000-0005-0000-0000-0000DA650000}"/>
    <cellStyle name="제목 4 31 4" xfId="25804" xr:uid="{00000000-0005-0000-0000-0000DB650000}"/>
    <cellStyle name="제목 4 31 5" xfId="25805" xr:uid="{00000000-0005-0000-0000-0000DC650000}"/>
    <cellStyle name="제목 4 31 6" xfId="25806" xr:uid="{00000000-0005-0000-0000-0000DD650000}"/>
    <cellStyle name="제목 4 31 7" xfId="25807" xr:uid="{00000000-0005-0000-0000-0000DE650000}"/>
    <cellStyle name="제목 4 31 8" xfId="25808" xr:uid="{00000000-0005-0000-0000-0000DF650000}"/>
    <cellStyle name="제목 4 31 9" xfId="25809" xr:uid="{00000000-0005-0000-0000-0000E0650000}"/>
    <cellStyle name="제목 4 32" xfId="3345" xr:uid="{00000000-0005-0000-0000-0000E1650000}"/>
    <cellStyle name="제목 4 32 10" xfId="25811" xr:uid="{00000000-0005-0000-0000-0000E2650000}"/>
    <cellStyle name="제목 4 32 11" xfId="25812" xr:uid="{00000000-0005-0000-0000-0000E3650000}"/>
    <cellStyle name="제목 4 32 12" xfId="25813" xr:uid="{00000000-0005-0000-0000-0000E4650000}"/>
    <cellStyle name="제목 4 32 13" xfId="25814" xr:uid="{00000000-0005-0000-0000-0000E5650000}"/>
    <cellStyle name="제목 4 32 14" xfId="25815" xr:uid="{00000000-0005-0000-0000-0000E6650000}"/>
    <cellStyle name="제목 4 32 15" xfId="25810" xr:uid="{00000000-0005-0000-0000-0000E7650000}"/>
    <cellStyle name="제목 4 32 2" xfId="3346" xr:uid="{00000000-0005-0000-0000-0000E8650000}"/>
    <cellStyle name="제목 4 32 2 2" xfId="25816" xr:uid="{00000000-0005-0000-0000-0000E9650000}"/>
    <cellStyle name="제목 4 32 3" xfId="25817" xr:uid="{00000000-0005-0000-0000-0000EA650000}"/>
    <cellStyle name="제목 4 32 4" xfId="25818" xr:uid="{00000000-0005-0000-0000-0000EB650000}"/>
    <cellStyle name="제목 4 32 5" xfId="25819" xr:uid="{00000000-0005-0000-0000-0000EC650000}"/>
    <cellStyle name="제목 4 32 6" xfId="25820" xr:uid="{00000000-0005-0000-0000-0000ED650000}"/>
    <cellStyle name="제목 4 32 7" xfId="25821" xr:uid="{00000000-0005-0000-0000-0000EE650000}"/>
    <cellStyle name="제목 4 32 8" xfId="25822" xr:uid="{00000000-0005-0000-0000-0000EF650000}"/>
    <cellStyle name="제목 4 32 9" xfId="25823" xr:uid="{00000000-0005-0000-0000-0000F0650000}"/>
    <cellStyle name="제목 4 33" xfId="3347" xr:uid="{00000000-0005-0000-0000-0000F1650000}"/>
    <cellStyle name="제목 4 33 10" xfId="25825" xr:uid="{00000000-0005-0000-0000-0000F2650000}"/>
    <cellStyle name="제목 4 33 11" xfId="25826" xr:uid="{00000000-0005-0000-0000-0000F3650000}"/>
    <cellStyle name="제목 4 33 12" xfId="25827" xr:uid="{00000000-0005-0000-0000-0000F4650000}"/>
    <cellStyle name="제목 4 33 13" xfId="25828" xr:uid="{00000000-0005-0000-0000-0000F5650000}"/>
    <cellStyle name="제목 4 33 14" xfId="25829" xr:uid="{00000000-0005-0000-0000-0000F6650000}"/>
    <cellStyle name="제목 4 33 15" xfId="25824" xr:uid="{00000000-0005-0000-0000-0000F7650000}"/>
    <cellStyle name="제목 4 33 2" xfId="3348" xr:uid="{00000000-0005-0000-0000-0000F8650000}"/>
    <cellStyle name="제목 4 33 2 2" xfId="25830" xr:uid="{00000000-0005-0000-0000-0000F9650000}"/>
    <cellStyle name="제목 4 33 3" xfId="25831" xr:uid="{00000000-0005-0000-0000-0000FA650000}"/>
    <cellStyle name="제목 4 33 4" xfId="25832" xr:uid="{00000000-0005-0000-0000-0000FB650000}"/>
    <cellStyle name="제목 4 33 5" xfId="25833" xr:uid="{00000000-0005-0000-0000-0000FC650000}"/>
    <cellStyle name="제목 4 33 6" xfId="25834" xr:uid="{00000000-0005-0000-0000-0000FD650000}"/>
    <cellStyle name="제목 4 33 7" xfId="25835" xr:uid="{00000000-0005-0000-0000-0000FE650000}"/>
    <cellStyle name="제목 4 33 8" xfId="25836" xr:uid="{00000000-0005-0000-0000-0000FF650000}"/>
    <cellStyle name="제목 4 33 9" xfId="25837" xr:uid="{00000000-0005-0000-0000-000000660000}"/>
    <cellStyle name="제목 4 34" xfId="3349" xr:uid="{00000000-0005-0000-0000-000001660000}"/>
    <cellStyle name="제목 4 34 10" xfId="25839" xr:uid="{00000000-0005-0000-0000-000002660000}"/>
    <cellStyle name="제목 4 34 11" xfId="25840" xr:uid="{00000000-0005-0000-0000-000003660000}"/>
    <cellStyle name="제목 4 34 12" xfId="25841" xr:uid="{00000000-0005-0000-0000-000004660000}"/>
    <cellStyle name="제목 4 34 13" xfId="25842" xr:uid="{00000000-0005-0000-0000-000005660000}"/>
    <cellStyle name="제목 4 34 14" xfId="25843" xr:uid="{00000000-0005-0000-0000-000006660000}"/>
    <cellStyle name="제목 4 34 15" xfId="25838" xr:uid="{00000000-0005-0000-0000-000007660000}"/>
    <cellStyle name="제목 4 34 2" xfId="3350" xr:uid="{00000000-0005-0000-0000-000008660000}"/>
    <cellStyle name="제목 4 34 2 2" xfId="25844" xr:uid="{00000000-0005-0000-0000-000009660000}"/>
    <cellStyle name="제목 4 34 3" xfId="25845" xr:uid="{00000000-0005-0000-0000-00000A660000}"/>
    <cellStyle name="제목 4 34 4" xfId="25846" xr:uid="{00000000-0005-0000-0000-00000B660000}"/>
    <cellStyle name="제목 4 34 5" xfId="25847" xr:uid="{00000000-0005-0000-0000-00000C660000}"/>
    <cellStyle name="제목 4 34 6" xfId="25848" xr:uid="{00000000-0005-0000-0000-00000D660000}"/>
    <cellStyle name="제목 4 34 7" xfId="25849" xr:uid="{00000000-0005-0000-0000-00000E660000}"/>
    <cellStyle name="제목 4 34 8" xfId="25850" xr:uid="{00000000-0005-0000-0000-00000F660000}"/>
    <cellStyle name="제목 4 34 9" xfId="25851" xr:uid="{00000000-0005-0000-0000-000010660000}"/>
    <cellStyle name="제목 4 35" xfId="3351" xr:uid="{00000000-0005-0000-0000-000011660000}"/>
    <cellStyle name="제목 4 35 10" xfId="25853" xr:uid="{00000000-0005-0000-0000-000012660000}"/>
    <cellStyle name="제목 4 35 11" xfId="25854" xr:uid="{00000000-0005-0000-0000-000013660000}"/>
    <cellStyle name="제목 4 35 12" xfId="25855" xr:uid="{00000000-0005-0000-0000-000014660000}"/>
    <cellStyle name="제목 4 35 13" xfId="25856" xr:uid="{00000000-0005-0000-0000-000015660000}"/>
    <cellStyle name="제목 4 35 14" xfId="25857" xr:uid="{00000000-0005-0000-0000-000016660000}"/>
    <cellStyle name="제목 4 35 15" xfId="25852" xr:uid="{00000000-0005-0000-0000-000017660000}"/>
    <cellStyle name="제목 4 35 2" xfId="3352" xr:uid="{00000000-0005-0000-0000-000018660000}"/>
    <cellStyle name="제목 4 35 2 2" xfId="25858" xr:uid="{00000000-0005-0000-0000-000019660000}"/>
    <cellStyle name="제목 4 35 3" xfId="25859" xr:uid="{00000000-0005-0000-0000-00001A660000}"/>
    <cellStyle name="제목 4 35 4" xfId="25860" xr:uid="{00000000-0005-0000-0000-00001B660000}"/>
    <cellStyle name="제목 4 35 5" xfId="25861" xr:uid="{00000000-0005-0000-0000-00001C660000}"/>
    <cellStyle name="제목 4 35 6" xfId="25862" xr:uid="{00000000-0005-0000-0000-00001D660000}"/>
    <cellStyle name="제목 4 35 7" xfId="25863" xr:uid="{00000000-0005-0000-0000-00001E660000}"/>
    <cellStyle name="제목 4 35 8" xfId="25864" xr:uid="{00000000-0005-0000-0000-00001F660000}"/>
    <cellStyle name="제목 4 35 9" xfId="25865" xr:uid="{00000000-0005-0000-0000-000020660000}"/>
    <cellStyle name="제목 4 36" xfId="3353" xr:uid="{00000000-0005-0000-0000-000021660000}"/>
    <cellStyle name="제목 4 36 10" xfId="25867" xr:uid="{00000000-0005-0000-0000-000022660000}"/>
    <cellStyle name="제목 4 36 11" xfId="25868" xr:uid="{00000000-0005-0000-0000-000023660000}"/>
    <cellStyle name="제목 4 36 12" xfId="25869" xr:uid="{00000000-0005-0000-0000-000024660000}"/>
    <cellStyle name="제목 4 36 13" xfId="25870" xr:uid="{00000000-0005-0000-0000-000025660000}"/>
    <cellStyle name="제목 4 36 14" xfId="25871" xr:uid="{00000000-0005-0000-0000-000026660000}"/>
    <cellStyle name="제목 4 36 15" xfId="25866" xr:uid="{00000000-0005-0000-0000-000027660000}"/>
    <cellStyle name="제목 4 36 2" xfId="3354" xr:uid="{00000000-0005-0000-0000-000028660000}"/>
    <cellStyle name="제목 4 36 2 2" xfId="25872" xr:uid="{00000000-0005-0000-0000-000029660000}"/>
    <cellStyle name="제목 4 36 3" xfId="25873" xr:uid="{00000000-0005-0000-0000-00002A660000}"/>
    <cellStyle name="제목 4 36 4" xfId="25874" xr:uid="{00000000-0005-0000-0000-00002B660000}"/>
    <cellStyle name="제목 4 36 5" xfId="25875" xr:uid="{00000000-0005-0000-0000-00002C660000}"/>
    <cellStyle name="제목 4 36 6" xfId="25876" xr:uid="{00000000-0005-0000-0000-00002D660000}"/>
    <cellStyle name="제목 4 36 7" xfId="25877" xr:uid="{00000000-0005-0000-0000-00002E660000}"/>
    <cellStyle name="제목 4 36 8" xfId="25878" xr:uid="{00000000-0005-0000-0000-00002F660000}"/>
    <cellStyle name="제목 4 36 9" xfId="25879" xr:uid="{00000000-0005-0000-0000-000030660000}"/>
    <cellStyle name="제목 4 37" xfId="3355" xr:uid="{00000000-0005-0000-0000-000031660000}"/>
    <cellStyle name="제목 4 37 10" xfId="25881" xr:uid="{00000000-0005-0000-0000-000032660000}"/>
    <cellStyle name="제목 4 37 11" xfId="25882" xr:uid="{00000000-0005-0000-0000-000033660000}"/>
    <cellStyle name="제목 4 37 12" xfId="25883" xr:uid="{00000000-0005-0000-0000-000034660000}"/>
    <cellStyle name="제목 4 37 13" xfId="25884" xr:uid="{00000000-0005-0000-0000-000035660000}"/>
    <cellStyle name="제목 4 37 14" xfId="25885" xr:uid="{00000000-0005-0000-0000-000036660000}"/>
    <cellStyle name="제목 4 37 15" xfId="25880" xr:uid="{00000000-0005-0000-0000-000037660000}"/>
    <cellStyle name="제목 4 37 2" xfId="3356" xr:uid="{00000000-0005-0000-0000-000038660000}"/>
    <cellStyle name="제목 4 37 2 2" xfId="25886" xr:uid="{00000000-0005-0000-0000-000039660000}"/>
    <cellStyle name="제목 4 37 3" xfId="25887" xr:uid="{00000000-0005-0000-0000-00003A660000}"/>
    <cellStyle name="제목 4 37 4" xfId="25888" xr:uid="{00000000-0005-0000-0000-00003B660000}"/>
    <cellStyle name="제목 4 37 5" xfId="25889" xr:uid="{00000000-0005-0000-0000-00003C660000}"/>
    <cellStyle name="제목 4 37 6" xfId="25890" xr:uid="{00000000-0005-0000-0000-00003D660000}"/>
    <cellStyle name="제목 4 37 7" xfId="25891" xr:uid="{00000000-0005-0000-0000-00003E660000}"/>
    <cellStyle name="제목 4 37 8" xfId="25892" xr:uid="{00000000-0005-0000-0000-00003F660000}"/>
    <cellStyle name="제목 4 37 9" xfId="25893" xr:uid="{00000000-0005-0000-0000-000040660000}"/>
    <cellStyle name="제목 4 38" xfId="3357" xr:uid="{00000000-0005-0000-0000-000041660000}"/>
    <cellStyle name="제목 4 38 10" xfId="25895" xr:uid="{00000000-0005-0000-0000-000042660000}"/>
    <cellStyle name="제목 4 38 11" xfId="25896" xr:uid="{00000000-0005-0000-0000-000043660000}"/>
    <cellStyle name="제목 4 38 12" xfId="25897" xr:uid="{00000000-0005-0000-0000-000044660000}"/>
    <cellStyle name="제목 4 38 13" xfId="25898" xr:uid="{00000000-0005-0000-0000-000045660000}"/>
    <cellStyle name="제목 4 38 14" xfId="25899" xr:uid="{00000000-0005-0000-0000-000046660000}"/>
    <cellStyle name="제목 4 38 15" xfId="25894" xr:uid="{00000000-0005-0000-0000-000047660000}"/>
    <cellStyle name="제목 4 38 2" xfId="3358" xr:uid="{00000000-0005-0000-0000-000048660000}"/>
    <cellStyle name="제목 4 38 2 2" xfId="25900" xr:uid="{00000000-0005-0000-0000-000049660000}"/>
    <cellStyle name="제목 4 38 3" xfId="25901" xr:uid="{00000000-0005-0000-0000-00004A660000}"/>
    <cellStyle name="제목 4 38 4" xfId="25902" xr:uid="{00000000-0005-0000-0000-00004B660000}"/>
    <cellStyle name="제목 4 38 5" xfId="25903" xr:uid="{00000000-0005-0000-0000-00004C660000}"/>
    <cellStyle name="제목 4 38 6" xfId="25904" xr:uid="{00000000-0005-0000-0000-00004D660000}"/>
    <cellStyle name="제목 4 38 7" xfId="25905" xr:uid="{00000000-0005-0000-0000-00004E660000}"/>
    <cellStyle name="제목 4 38 8" xfId="25906" xr:uid="{00000000-0005-0000-0000-00004F660000}"/>
    <cellStyle name="제목 4 38 9" xfId="25907" xr:uid="{00000000-0005-0000-0000-000050660000}"/>
    <cellStyle name="제목 4 39" xfId="3359" xr:uid="{00000000-0005-0000-0000-000051660000}"/>
    <cellStyle name="제목 4 39 10" xfId="25909" xr:uid="{00000000-0005-0000-0000-000052660000}"/>
    <cellStyle name="제목 4 39 11" xfId="25910" xr:uid="{00000000-0005-0000-0000-000053660000}"/>
    <cellStyle name="제목 4 39 12" xfId="25911" xr:uid="{00000000-0005-0000-0000-000054660000}"/>
    <cellStyle name="제목 4 39 13" xfId="25912" xr:uid="{00000000-0005-0000-0000-000055660000}"/>
    <cellStyle name="제목 4 39 14" xfId="25913" xr:uid="{00000000-0005-0000-0000-000056660000}"/>
    <cellStyle name="제목 4 39 15" xfId="25908" xr:uid="{00000000-0005-0000-0000-000057660000}"/>
    <cellStyle name="제목 4 39 2" xfId="3360" xr:uid="{00000000-0005-0000-0000-000058660000}"/>
    <cellStyle name="제목 4 39 2 2" xfId="25914" xr:uid="{00000000-0005-0000-0000-000059660000}"/>
    <cellStyle name="제목 4 39 3" xfId="25915" xr:uid="{00000000-0005-0000-0000-00005A660000}"/>
    <cellStyle name="제목 4 39 4" xfId="25916" xr:uid="{00000000-0005-0000-0000-00005B660000}"/>
    <cellStyle name="제목 4 39 5" xfId="25917" xr:uid="{00000000-0005-0000-0000-00005C660000}"/>
    <cellStyle name="제목 4 39 6" xfId="25918" xr:uid="{00000000-0005-0000-0000-00005D660000}"/>
    <cellStyle name="제목 4 39 7" xfId="25919" xr:uid="{00000000-0005-0000-0000-00005E660000}"/>
    <cellStyle name="제목 4 39 8" xfId="25920" xr:uid="{00000000-0005-0000-0000-00005F660000}"/>
    <cellStyle name="제목 4 39 9" xfId="25921" xr:uid="{00000000-0005-0000-0000-000060660000}"/>
    <cellStyle name="제목 4 4" xfId="3361" xr:uid="{00000000-0005-0000-0000-000061660000}"/>
    <cellStyle name="제목 4 4 10" xfId="25923" xr:uid="{00000000-0005-0000-0000-000062660000}"/>
    <cellStyle name="제목 4 4 11" xfId="25924" xr:uid="{00000000-0005-0000-0000-000063660000}"/>
    <cellStyle name="제목 4 4 12" xfId="25925" xr:uid="{00000000-0005-0000-0000-000064660000}"/>
    <cellStyle name="제목 4 4 13" xfId="25926" xr:uid="{00000000-0005-0000-0000-000065660000}"/>
    <cellStyle name="제목 4 4 14" xfId="25927" xr:uid="{00000000-0005-0000-0000-000066660000}"/>
    <cellStyle name="제목 4 4 15" xfId="25922" xr:uid="{00000000-0005-0000-0000-000067660000}"/>
    <cellStyle name="제목 4 4 16" xfId="27891" xr:uid="{00000000-0005-0000-0000-000068660000}"/>
    <cellStyle name="제목 4 4 2" xfId="3362" xr:uid="{00000000-0005-0000-0000-000069660000}"/>
    <cellStyle name="제목 4 4 2 2" xfId="25928" xr:uid="{00000000-0005-0000-0000-00006A660000}"/>
    <cellStyle name="제목 4 4 3" xfId="25929" xr:uid="{00000000-0005-0000-0000-00006B660000}"/>
    <cellStyle name="제목 4 4 4" xfId="25930" xr:uid="{00000000-0005-0000-0000-00006C660000}"/>
    <cellStyle name="제목 4 4 5" xfId="25931" xr:uid="{00000000-0005-0000-0000-00006D660000}"/>
    <cellStyle name="제목 4 4 6" xfId="25932" xr:uid="{00000000-0005-0000-0000-00006E660000}"/>
    <cellStyle name="제목 4 4 7" xfId="25933" xr:uid="{00000000-0005-0000-0000-00006F660000}"/>
    <cellStyle name="제목 4 4 8" xfId="25934" xr:uid="{00000000-0005-0000-0000-000070660000}"/>
    <cellStyle name="제목 4 4 9" xfId="25935" xr:uid="{00000000-0005-0000-0000-000071660000}"/>
    <cellStyle name="제목 4 40" xfId="3363" xr:uid="{00000000-0005-0000-0000-000072660000}"/>
    <cellStyle name="제목 4 40 10" xfId="25937" xr:uid="{00000000-0005-0000-0000-000073660000}"/>
    <cellStyle name="제목 4 40 11" xfId="25938" xr:uid="{00000000-0005-0000-0000-000074660000}"/>
    <cellStyle name="제목 4 40 12" xfId="25939" xr:uid="{00000000-0005-0000-0000-000075660000}"/>
    <cellStyle name="제목 4 40 13" xfId="25940" xr:uid="{00000000-0005-0000-0000-000076660000}"/>
    <cellStyle name="제목 4 40 14" xfId="25941" xr:uid="{00000000-0005-0000-0000-000077660000}"/>
    <cellStyle name="제목 4 40 15" xfId="25936" xr:uid="{00000000-0005-0000-0000-000078660000}"/>
    <cellStyle name="제목 4 40 2" xfId="3364" xr:uid="{00000000-0005-0000-0000-000079660000}"/>
    <cellStyle name="제목 4 40 2 2" xfId="25942" xr:uid="{00000000-0005-0000-0000-00007A660000}"/>
    <cellStyle name="제목 4 40 3" xfId="25943" xr:uid="{00000000-0005-0000-0000-00007B660000}"/>
    <cellStyle name="제목 4 40 4" xfId="25944" xr:uid="{00000000-0005-0000-0000-00007C660000}"/>
    <cellStyle name="제목 4 40 5" xfId="25945" xr:uid="{00000000-0005-0000-0000-00007D660000}"/>
    <cellStyle name="제목 4 40 6" xfId="25946" xr:uid="{00000000-0005-0000-0000-00007E660000}"/>
    <cellStyle name="제목 4 40 7" xfId="25947" xr:uid="{00000000-0005-0000-0000-00007F660000}"/>
    <cellStyle name="제목 4 40 8" xfId="25948" xr:uid="{00000000-0005-0000-0000-000080660000}"/>
    <cellStyle name="제목 4 40 9" xfId="25949" xr:uid="{00000000-0005-0000-0000-000081660000}"/>
    <cellStyle name="제목 4 41" xfId="3365" xr:uid="{00000000-0005-0000-0000-000082660000}"/>
    <cellStyle name="제목 4 41 10" xfId="25951" xr:uid="{00000000-0005-0000-0000-000083660000}"/>
    <cellStyle name="제목 4 41 11" xfId="25952" xr:uid="{00000000-0005-0000-0000-000084660000}"/>
    <cellStyle name="제목 4 41 12" xfId="25953" xr:uid="{00000000-0005-0000-0000-000085660000}"/>
    <cellStyle name="제목 4 41 13" xfId="25954" xr:uid="{00000000-0005-0000-0000-000086660000}"/>
    <cellStyle name="제목 4 41 14" xfId="25955" xr:uid="{00000000-0005-0000-0000-000087660000}"/>
    <cellStyle name="제목 4 41 15" xfId="25950" xr:uid="{00000000-0005-0000-0000-000088660000}"/>
    <cellStyle name="제목 4 41 2" xfId="3366" xr:uid="{00000000-0005-0000-0000-000089660000}"/>
    <cellStyle name="제목 4 41 2 2" xfId="25956" xr:uid="{00000000-0005-0000-0000-00008A660000}"/>
    <cellStyle name="제목 4 41 3" xfId="25957" xr:uid="{00000000-0005-0000-0000-00008B660000}"/>
    <cellStyle name="제목 4 41 4" xfId="25958" xr:uid="{00000000-0005-0000-0000-00008C660000}"/>
    <cellStyle name="제목 4 41 5" xfId="25959" xr:uid="{00000000-0005-0000-0000-00008D660000}"/>
    <cellStyle name="제목 4 41 6" xfId="25960" xr:uid="{00000000-0005-0000-0000-00008E660000}"/>
    <cellStyle name="제목 4 41 7" xfId="25961" xr:uid="{00000000-0005-0000-0000-00008F660000}"/>
    <cellStyle name="제목 4 41 8" xfId="25962" xr:uid="{00000000-0005-0000-0000-000090660000}"/>
    <cellStyle name="제목 4 41 9" xfId="25963" xr:uid="{00000000-0005-0000-0000-000091660000}"/>
    <cellStyle name="제목 4 42" xfId="3367" xr:uid="{00000000-0005-0000-0000-000092660000}"/>
    <cellStyle name="제목 4 42 10" xfId="25965" xr:uid="{00000000-0005-0000-0000-000093660000}"/>
    <cellStyle name="제목 4 42 11" xfId="25966" xr:uid="{00000000-0005-0000-0000-000094660000}"/>
    <cellStyle name="제목 4 42 12" xfId="25967" xr:uid="{00000000-0005-0000-0000-000095660000}"/>
    <cellStyle name="제목 4 42 13" xfId="25968" xr:uid="{00000000-0005-0000-0000-000096660000}"/>
    <cellStyle name="제목 4 42 14" xfId="25969" xr:uid="{00000000-0005-0000-0000-000097660000}"/>
    <cellStyle name="제목 4 42 15" xfId="25964" xr:uid="{00000000-0005-0000-0000-000098660000}"/>
    <cellStyle name="제목 4 42 2" xfId="3368" xr:uid="{00000000-0005-0000-0000-000099660000}"/>
    <cellStyle name="제목 4 42 2 2" xfId="25970" xr:uid="{00000000-0005-0000-0000-00009A660000}"/>
    <cellStyle name="제목 4 42 3" xfId="25971" xr:uid="{00000000-0005-0000-0000-00009B660000}"/>
    <cellStyle name="제목 4 42 4" xfId="25972" xr:uid="{00000000-0005-0000-0000-00009C660000}"/>
    <cellStyle name="제목 4 42 5" xfId="25973" xr:uid="{00000000-0005-0000-0000-00009D660000}"/>
    <cellStyle name="제목 4 42 6" xfId="25974" xr:uid="{00000000-0005-0000-0000-00009E660000}"/>
    <cellStyle name="제목 4 42 7" xfId="25975" xr:uid="{00000000-0005-0000-0000-00009F660000}"/>
    <cellStyle name="제목 4 42 8" xfId="25976" xr:uid="{00000000-0005-0000-0000-0000A0660000}"/>
    <cellStyle name="제목 4 42 9" xfId="25977" xr:uid="{00000000-0005-0000-0000-0000A1660000}"/>
    <cellStyle name="제목 4 43" xfId="3369" xr:uid="{00000000-0005-0000-0000-0000A2660000}"/>
    <cellStyle name="제목 4 43 10" xfId="25979" xr:uid="{00000000-0005-0000-0000-0000A3660000}"/>
    <cellStyle name="제목 4 43 11" xfId="25980" xr:uid="{00000000-0005-0000-0000-0000A4660000}"/>
    <cellStyle name="제목 4 43 12" xfId="25981" xr:uid="{00000000-0005-0000-0000-0000A5660000}"/>
    <cellStyle name="제목 4 43 13" xfId="25982" xr:uid="{00000000-0005-0000-0000-0000A6660000}"/>
    <cellStyle name="제목 4 43 14" xfId="25983" xr:uid="{00000000-0005-0000-0000-0000A7660000}"/>
    <cellStyle name="제목 4 43 15" xfId="25978" xr:uid="{00000000-0005-0000-0000-0000A8660000}"/>
    <cellStyle name="제목 4 43 2" xfId="3370" xr:uid="{00000000-0005-0000-0000-0000A9660000}"/>
    <cellStyle name="제목 4 43 2 2" xfId="25984" xr:uid="{00000000-0005-0000-0000-0000AA660000}"/>
    <cellStyle name="제목 4 43 3" xfId="25985" xr:uid="{00000000-0005-0000-0000-0000AB660000}"/>
    <cellStyle name="제목 4 43 4" xfId="25986" xr:uid="{00000000-0005-0000-0000-0000AC660000}"/>
    <cellStyle name="제목 4 43 5" xfId="25987" xr:uid="{00000000-0005-0000-0000-0000AD660000}"/>
    <cellStyle name="제목 4 43 6" xfId="25988" xr:uid="{00000000-0005-0000-0000-0000AE660000}"/>
    <cellStyle name="제목 4 43 7" xfId="25989" xr:uid="{00000000-0005-0000-0000-0000AF660000}"/>
    <cellStyle name="제목 4 43 8" xfId="25990" xr:uid="{00000000-0005-0000-0000-0000B0660000}"/>
    <cellStyle name="제목 4 43 9" xfId="25991" xr:uid="{00000000-0005-0000-0000-0000B1660000}"/>
    <cellStyle name="제목 4 44" xfId="3371" xr:uid="{00000000-0005-0000-0000-0000B2660000}"/>
    <cellStyle name="제목 4 44 2" xfId="25992" xr:uid="{00000000-0005-0000-0000-0000B3660000}"/>
    <cellStyle name="제목 4 45" xfId="3372" xr:uid="{00000000-0005-0000-0000-0000B4660000}"/>
    <cellStyle name="제목 4 45 2" xfId="25993" xr:uid="{00000000-0005-0000-0000-0000B5660000}"/>
    <cellStyle name="제목 4 46" xfId="3296" xr:uid="{00000000-0005-0000-0000-0000B6660000}"/>
    <cellStyle name="제목 4 47" xfId="25473" xr:uid="{00000000-0005-0000-0000-0000B7660000}"/>
    <cellStyle name="제목 4 48" xfId="27622" xr:uid="{00000000-0005-0000-0000-0000B8660000}"/>
    <cellStyle name="제목 4 5" xfId="3373" xr:uid="{00000000-0005-0000-0000-0000B9660000}"/>
    <cellStyle name="제목 4 5 10" xfId="25995" xr:uid="{00000000-0005-0000-0000-0000BA660000}"/>
    <cellStyle name="제목 4 5 11" xfId="25996" xr:uid="{00000000-0005-0000-0000-0000BB660000}"/>
    <cellStyle name="제목 4 5 12" xfId="25997" xr:uid="{00000000-0005-0000-0000-0000BC660000}"/>
    <cellStyle name="제목 4 5 13" xfId="25998" xr:uid="{00000000-0005-0000-0000-0000BD660000}"/>
    <cellStyle name="제목 4 5 14" xfId="25999" xr:uid="{00000000-0005-0000-0000-0000BE660000}"/>
    <cellStyle name="제목 4 5 15" xfId="25994" xr:uid="{00000000-0005-0000-0000-0000BF660000}"/>
    <cellStyle name="제목 4 5 2" xfId="3374" xr:uid="{00000000-0005-0000-0000-0000C0660000}"/>
    <cellStyle name="제목 4 5 2 2" xfId="26000" xr:uid="{00000000-0005-0000-0000-0000C1660000}"/>
    <cellStyle name="제목 4 5 3" xfId="26001" xr:uid="{00000000-0005-0000-0000-0000C2660000}"/>
    <cellStyle name="제목 4 5 4" xfId="26002" xr:uid="{00000000-0005-0000-0000-0000C3660000}"/>
    <cellStyle name="제목 4 5 5" xfId="26003" xr:uid="{00000000-0005-0000-0000-0000C4660000}"/>
    <cellStyle name="제목 4 5 6" xfId="26004" xr:uid="{00000000-0005-0000-0000-0000C5660000}"/>
    <cellStyle name="제목 4 5 7" xfId="26005" xr:uid="{00000000-0005-0000-0000-0000C6660000}"/>
    <cellStyle name="제목 4 5 8" xfId="26006" xr:uid="{00000000-0005-0000-0000-0000C7660000}"/>
    <cellStyle name="제목 4 5 9" xfId="26007" xr:uid="{00000000-0005-0000-0000-0000C8660000}"/>
    <cellStyle name="제목 4 6" xfId="3375" xr:uid="{00000000-0005-0000-0000-0000C9660000}"/>
    <cellStyle name="제목 4 6 10" xfId="26009" xr:uid="{00000000-0005-0000-0000-0000CA660000}"/>
    <cellStyle name="제목 4 6 11" xfId="26010" xr:uid="{00000000-0005-0000-0000-0000CB660000}"/>
    <cellStyle name="제목 4 6 12" xfId="26011" xr:uid="{00000000-0005-0000-0000-0000CC660000}"/>
    <cellStyle name="제목 4 6 13" xfId="26012" xr:uid="{00000000-0005-0000-0000-0000CD660000}"/>
    <cellStyle name="제목 4 6 14" xfId="26013" xr:uid="{00000000-0005-0000-0000-0000CE660000}"/>
    <cellStyle name="제목 4 6 15" xfId="26008" xr:uid="{00000000-0005-0000-0000-0000CF660000}"/>
    <cellStyle name="제목 4 6 2" xfId="3376" xr:uid="{00000000-0005-0000-0000-0000D0660000}"/>
    <cellStyle name="제목 4 6 2 2" xfId="26014" xr:uid="{00000000-0005-0000-0000-0000D1660000}"/>
    <cellStyle name="제목 4 6 3" xfId="26015" xr:uid="{00000000-0005-0000-0000-0000D2660000}"/>
    <cellStyle name="제목 4 6 4" xfId="26016" xr:uid="{00000000-0005-0000-0000-0000D3660000}"/>
    <cellStyle name="제목 4 6 5" xfId="26017" xr:uid="{00000000-0005-0000-0000-0000D4660000}"/>
    <cellStyle name="제목 4 6 6" xfId="26018" xr:uid="{00000000-0005-0000-0000-0000D5660000}"/>
    <cellStyle name="제목 4 6 7" xfId="26019" xr:uid="{00000000-0005-0000-0000-0000D6660000}"/>
    <cellStyle name="제목 4 6 8" xfId="26020" xr:uid="{00000000-0005-0000-0000-0000D7660000}"/>
    <cellStyle name="제목 4 6 9" xfId="26021" xr:uid="{00000000-0005-0000-0000-0000D8660000}"/>
    <cellStyle name="제목 4 7" xfId="3377" xr:uid="{00000000-0005-0000-0000-0000D9660000}"/>
    <cellStyle name="제목 4 7 10" xfId="26023" xr:uid="{00000000-0005-0000-0000-0000DA660000}"/>
    <cellStyle name="제목 4 7 11" xfId="26024" xr:uid="{00000000-0005-0000-0000-0000DB660000}"/>
    <cellStyle name="제목 4 7 12" xfId="26025" xr:uid="{00000000-0005-0000-0000-0000DC660000}"/>
    <cellStyle name="제목 4 7 13" xfId="26026" xr:uid="{00000000-0005-0000-0000-0000DD660000}"/>
    <cellStyle name="제목 4 7 14" xfId="26027" xr:uid="{00000000-0005-0000-0000-0000DE660000}"/>
    <cellStyle name="제목 4 7 15" xfId="26022" xr:uid="{00000000-0005-0000-0000-0000DF660000}"/>
    <cellStyle name="제목 4 7 2" xfId="3378" xr:uid="{00000000-0005-0000-0000-0000E0660000}"/>
    <cellStyle name="제목 4 7 2 2" xfId="26028" xr:uid="{00000000-0005-0000-0000-0000E1660000}"/>
    <cellStyle name="제목 4 7 3" xfId="26029" xr:uid="{00000000-0005-0000-0000-0000E2660000}"/>
    <cellStyle name="제목 4 7 4" xfId="26030" xr:uid="{00000000-0005-0000-0000-0000E3660000}"/>
    <cellStyle name="제목 4 7 5" xfId="26031" xr:uid="{00000000-0005-0000-0000-0000E4660000}"/>
    <cellStyle name="제목 4 7 6" xfId="26032" xr:uid="{00000000-0005-0000-0000-0000E5660000}"/>
    <cellStyle name="제목 4 7 7" xfId="26033" xr:uid="{00000000-0005-0000-0000-0000E6660000}"/>
    <cellStyle name="제목 4 7 8" xfId="26034" xr:uid="{00000000-0005-0000-0000-0000E7660000}"/>
    <cellStyle name="제목 4 7 9" xfId="26035" xr:uid="{00000000-0005-0000-0000-0000E8660000}"/>
    <cellStyle name="제목 4 8" xfId="3379" xr:uid="{00000000-0005-0000-0000-0000E9660000}"/>
    <cellStyle name="제목 4 8 10" xfId="26037" xr:uid="{00000000-0005-0000-0000-0000EA660000}"/>
    <cellStyle name="제목 4 8 11" xfId="26038" xr:uid="{00000000-0005-0000-0000-0000EB660000}"/>
    <cellStyle name="제목 4 8 12" xfId="26039" xr:uid="{00000000-0005-0000-0000-0000EC660000}"/>
    <cellStyle name="제목 4 8 13" xfId="26040" xr:uid="{00000000-0005-0000-0000-0000ED660000}"/>
    <cellStyle name="제목 4 8 14" xfId="26041" xr:uid="{00000000-0005-0000-0000-0000EE660000}"/>
    <cellStyle name="제목 4 8 15" xfId="26036" xr:uid="{00000000-0005-0000-0000-0000EF660000}"/>
    <cellStyle name="제목 4 8 2" xfId="3380" xr:uid="{00000000-0005-0000-0000-0000F0660000}"/>
    <cellStyle name="제목 4 8 2 2" xfId="26042" xr:uid="{00000000-0005-0000-0000-0000F1660000}"/>
    <cellStyle name="제목 4 8 3" xfId="26043" xr:uid="{00000000-0005-0000-0000-0000F2660000}"/>
    <cellStyle name="제목 4 8 4" xfId="26044" xr:uid="{00000000-0005-0000-0000-0000F3660000}"/>
    <cellStyle name="제목 4 8 5" xfId="26045" xr:uid="{00000000-0005-0000-0000-0000F4660000}"/>
    <cellStyle name="제목 4 8 6" xfId="26046" xr:uid="{00000000-0005-0000-0000-0000F5660000}"/>
    <cellStyle name="제목 4 8 7" xfId="26047" xr:uid="{00000000-0005-0000-0000-0000F6660000}"/>
    <cellStyle name="제목 4 8 8" xfId="26048" xr:uid="{00000000-0005-0000-0000-0000F7660000}"/>
    <cellStyle name="제목 4 8 9" xfId="26049" xr:uid="{00000000-0005-0000-0000-0000F8660000}"/>
    <cellStyle name="제목 4 9" xfId="3381" xr:uid="{00000000-0005-0000-0000-0000F9660000}"/>
    <cellStyle name="제목 4 9 10" xfId="26051" xr:uid="{00000000-0005-0000-0000-0000FA660000}"/>
    <cellStyle name="제목 4 9 11" xfId="26052" xr:uid="{00000000-0005-0000-0000-0000FB660000}"/>
    <cellStyle name="제목 4 9 12" xfId="26053" xr:uid="{00000000-0005-0000-0000-0000FC660000}"/>
    <cellStyle name="제목 4 9 13" xfId="26054" xr:uid="{00000000-0005-0000-0000-0000FD660000}"/>
    <cellStyle name="제목 4 9 14" xfId="26055" xr:uid="{00000000-0005-0000-0000-0000FE660000}"/>
    <cellStyle name="제목 4 9 15" xfId="26050" xr:uid="{00000000-0005-0000-0000-0000FF660000}"/>
    <cellStyle name="제목 4 9 2" xfId="3382" xr:uid="{00000000-0005-0000-0000-000000670000}"/>
    <cellStyle name="제목 4 9 2 2" xfId="26056" xr:uid="{00000000-0005-0000-0000-000001670000}"/>
    <cellStyle name="제목 4 9 3" xfId="26057" xr:uid="{00000000-0005-0000-0000-000002670000}"/>
    <cellStyle name="제목 4 9 4" xfId="26058" xr:uid="{00000000-0005-0000-0000-000003670000}"/>
    <cellStyle name="제목 4 9 5" xfId="26059" xr:uid="{00000000-0005-0000-0000-000004670000}"/>
    <cellStyle name="제목 4 9 6" xfId="26060" xr:uid="{00000000-0005-0000-0000-000005670000}"/>
    <cellStyle name="제목 4 9 7" xfId="26061" xr:uid="{00000000-0005-0000-0000-000006670000}"/>
    <cellStyle name="제목 4 9 8" xfId="26062" xr:uid="{00000000-0005-0000-0000-000007670000}"/>
    <cellStyle name="제목 4 9 9" xfId="26063" xr:uid="{00000000-0005-0000-0000-000008670000}"/>
    <cellStyle name="제목 40" xfId="3383" xr:uid="{00000000-0005-0000-0000-000009670000}"/>
    <cellStyle name="제목 40 10" xfId="26065" xr:uid="{00000000-0005-0000-0000-00000A670000}"/>
    <cellStyle name="제목 40 11" xfId="26066" xr:uid="{00000000-0005-0000-0000-00000B670000}"/>
    <cellStyle name="제목 40 12" xfId="26067" xr:uid="{00000000-0005-0000-0000-00000C670000}"/>
    <cellStyle name="제목 40 13" xfId="26068" xr:uid="{00000000-0005-0000-0000-00000D670000}"/>
    <cellStyle name="제목 40 14" xfId="26069" xr:uid="{00000000-0005-0000-0000-00000E670000}"/>
    <cellStyle name="제목 40 15" xfId="26064" xr:uid="{00000000-0005-0000-0000-00000F670000}"/>
    <cellStyle name="제목 40 2" xfId="3384" xr:uid="{00000000-0005-0000-0000-000010670000}"/>
    <cellStyle name="제목 40 2 2" xfId="26070" xr:uid="{00000000-0005-0000-0000-000011670000}"/>
    <cellStyle name="제목 40 3" xfId="26071" xr:uid="{00000000-0005-0000-0000-000012670000}"/>
    <cellStyle name="제목 40 4" xfId="26072" xr:uid="{00000000-0005-0000-0000-000013670000}"/>
    <cellStyle name="제목 40 5" xfId="26073" xr:uid="{00000000-0005-0000-0000-000014670000}"/>
    <cellStyle name="제목 40 6" xfId="26074" xr:uid="{00000000-0005-0000-0000-000015670000}"/>
    <cellStyle name="제목 40 7" xfId="26075" xr:uid="{00000000-0005-0000-0000-000016670000}"/>
    <cellStyle name="제목 40 8" xfId="26076" xr:uid="{00000000-0005-0000-0000-000017670000}"/>
    <cellStyle name="제목 40 9" xfId="26077" xr:uid="{00000000-0005-0000-0000-000018670000}"/>
    <cellStyle name="제목 41" xfId="3385" xr:uid="{00000000-0005-0000-0000-000019670000}"/>
    <cellStyle name="제목 41 10" xfId="26079" xr:uid="{00000000-0005-0000-0000-00001A670000}"/>
    <cellStyle name="제목 41 11" xfId="26080" xr:uid="{00000000-0005-0000-0000-00001B670000}"/>
    <cellStyle name="제목 41 12" xfId="26081" xr:uid="{00000000-0005-0000-0000-00001C670000}"/>
    <cellStyle name="제목 41 13" xfId="26082" xr:uid="{00000000-0005-0000-0000-00001D670000}"/>
    <cellStyle name="제목 41 14" xfId="26083" xr:uid="{00000000-0005-0000-0000-00001E670000}"/>
    <cellStyle name="제목 41 15" xfId="26078" xr:uid="{00000000-0005-0000-0000-00001F670000}"/>
    <cellStyle name="제목 41 2" xfId="3386" xr:uid="{00000000-0005-0000-0000-000020670000}"/>
    <cellStyle name="제목 41 2 2" xfId="26084" xr:uid="{00000000-0005-0000-0000-000021670000}"/>
    <cellStyle name="제목 41 3" xfId="26085" xr:uid="{00000000-0005-0000-0000-000022670000}"/>
    <cellStyle name="제목 41 4" xfId="26086" xr:uid="{00000000-0005-0000-0000-000023670000}"/>
    <cellStyle name="제목 41 5" xfId="26087" xr:uid="{00000000-0005-0000-0000-000024670000}"/>
    <cellStyle name="제목 41 6" xfId="26088" xr:uid="{00000000-0005-0000-0000-000025670000}"/>
    <cellStyle name="제목 41 7" xfId="26089" xr:uid="{00000000-0005-0000-0000-000026670000}"/>
    <cellStyle name="제목 41 8" xfId="26090" xr:uid="{00000000-0005-0000-0000-000027670000}"/>
    <cellStyle name="제목 41 9" xfId="26091" xr:uid="{00000000-0005-0000-0000-000028670000}"/>
    <cellStyle name="제목 42" xfId="3387" xr:uid="{00000000-0005-0000-0000-000029670000}"/>
    <cellStyle name="제목 42 10" xfId="26093" xr:uid="{00000000-0005-0000-0000-00002A670000}"/>
    <cellStyle name="제목 42 11" xfId="26094" xr:uid="{00000000-0005-0000-0000-00002B670000}"/>
    <cellStyle name="제목 42 12" xfId="26095" xr:uid="{00000000-0005-0000-0000-00002C670000}"/>
    <cellStyle name="제목 42 13" xfId="26096" xr:uid="{00000000-0005-0000-0000-00002D670000}"/>
    <cellStyle name="제목 42 14" xfId="26097" xr:uid="{00000000-0005-0000-0000-00002E670000}"/>
    <cellStyle name="제목 42 15" xfId="26092" xr:uid="{00000000-0005-0000-0000-00002F670000}"/>
    <cellStyle name="제목 42 2" xfId="3388" xr:uid="{00000000-0005-0000-0000-000030670000}"/>
    <cellStyle name="제목 42 2 2" xfId="26098" xr:uid="{00000000-0005-0000-0000-000031670000}"/>
    <cellStyle name="제목 42 3" xfId="26099" xr:uid="{00000000-0005-0000-0000-000032670000}"/>
    <cellStyle name="제목 42 4" xfId="26100" xr:uid="{00000000-0005-0000-0000-000033670000}"/>
    <cellStyle name="제목 42 5" xfId="26101" xr:uid="{00000000-0005-0000-0000-000034670000}"/>
    <cellStyle name="제목 42 6" xfId="26102" xr:uid="{00000000-0005-0000-0000-000035670000}"/>
    <cellStyle name="제목 42 7" xfId="26103" xr:uid="{00000000-0005-0000-0000-000036670000}"/>
    <cellStyle name="제목 42 8" xfId="26104" xr:uid="{00000000-0005-0000-0000-000037670000}"/>
    <cellStyle name="제목 42 9" xfId="26105" xr:uid="{00000000-0005-0000-0000-000038670000}"/>
    <cellStyle name="제목 43" xfId="3389" xr:uid="{00000000-0005-0000-0000-000039670000}"/>
    <cellStyle name="제목 43 10" xfId="26107" xr:uid="{00000000-0005-0000-0000-00003A670000}"/>
    <cellStyle name="제목 43 11" xfId="26108" xr:uid="{00000000-0005-0000-0000-00003B670000}"/>
    <cellStyle name="제목 43 12" xfId="26109" xr:uid="{00000000-0005-0000-0000-00003C670000}"/>
    <cellStyle name="제목 43 13" xfId="26110" xr:uid="{00000000-0005-0000-0000-00003D670000}"/>
    <cellStyle name="제목 43 14" xfId="26111" xr:uid="{00000000-0005-0000-0000-00003E670000}"/>
    <cellStyle name="제목 43 15" xfId="26106" xr:uid="{00000000-0005-0000-0000-00003F670000}"/>
    <cellStyle name="제목 43 2" xfId="3390" xr:uid="{00000000-0005-0000-0000-000040670000}"/>
    <cellStyle name="제목 43 2 2" xfId="26112" xr:uid="{00000000-0005-0000-0000-000041670000}"/>
    <cellStyle name="제목 43 3" xfId="26113" xr:uid="{00000000-0005-0000-0000-000042670000}"/>
    <cellStyle name="제목 43 4" xfId="26114" xr:uid="{00000000-0005-0000-0000-000043670000}"/>
    <cellStyle name="제목 43 5" xfId="26115" xr:uid="{00000000-0005-0000-0000-000044670000}"/>
    <cellStyle name="제목 43 6" xfId="26116" xr:uid="{00000000-0005-0000-0000-000045670000}"/>
    <cellStyle name="제목 43 7" xfId="26117" xr:uid="{00000000-0005-0000-0000-000046670000}"/>
    <cellStyle name="제목 43 8" xfId="26118" xr:uid="{00000000-0005-0000-0000-000047670000}"/>
    <cellStyle name="제목 43 9" xfId="26119" xr:uid="{00000000-0005-0000-0000-000048670000}"/>
    <cellStyle name="제목 44" xfId="3391" xr:uid="{00000000-0005-0000-0000-000049670000}"/>
    <cellStyle name="제목 44 10" xfId="26121" xr:uid="{00000000-0005-0000-0000-00004A670000}"/>
    <cellStyle name="제목 44 11" xfId="26122" xr:uid="{00000000-0005-0000-0000-00004B670000}"/>
    <cellStyle name="제목 44 12" xfId="26123" xr:uid="{00000000-0005-0000-0000-00004C670000}"/>
    <cellStyle name="제목 44 13" xfId="26124" xr:uid="{00000000-0005-0000-0000-00004D670000}"/>
    <cellStyle name="제목 44 14" xfId="26125" xr:uid="{00000000-0005-0000-0000-00004E670000}"/>
    <cellStyle name="제목 44 15" xfId="26120" xr:uid="{00000000-0005-0000-0000-00004F670000}"/>
    <cellStyle name="제목 44 2" xfId="3392" xr:uid="{00000000-0005-0000-0000-000050670000}"/>
    <cellStyle name="제목 44 2 2" xfId="26126" xr:uid="{00000000-0005-0000-0000-000051670000}"/>
    <cellStyle name="제목 44 3" xfId="26127" xr:uid="{00000000-0005-0000-0000-000052670000}"/>
    <cellStyle name="제목 44 4" xfId="26128" xr:uid="{00000000-0005-0000-0000-000053670000}"/>
    <cellStyle name="제목 44 5" xfId="26129" xr:uid="{00000000-0005-0000-0000-000054670000}"/>
    <cellStyle name="제목 44 6" xfId="26130" xr:uid="{00000000-0005-0000-0000-000055670000}"/>
    <cellStyle name="제목 44 7" xfId="26131" xr:uid="{00000000-0005-0000-0000-000056670000}"/>
    <cellStyle name="제목 44 8" xfId="26132" xr:uid="{00000000-0005-0000-0000-000057670000}"/>
    <cellStyle name="제목 44 9" xfId="26133" xr:uid="{00000000-0005-0000-0000-000058670000}"/>
    <cellStyle name="제목 45" xfId="3393" xr:uid="{00000000-0005-0000-0000-000059670000}"/>
    <cellStyle name="제목 45 10" xfId="26135" xr:uid="{00000000-0005-0000-0000-00005A670000}"/>
    <cellStyle name="제목 45 11" xfId="26136" xr:uid="{00000000-0005-0000-0000-00005B670000}"/>
    <cellStyle name="제목 45 12" xfId="26137" xr:uid="{00000000-0005-0000-0000-00005C670000}"/>
    <cellStyle name="제목 45 13" xfId="26138" xr:uid="{00000000-0005-0000-0000-00005D670000}"/>
    <cellStyle name="제목 45 14" xfId="26139" xr:uid="{00000000-0005-0000-0000-00005E670000}"/>
    <cellStyle name="제목 45 15" xfId="26134" xr:uid="{00000000-0005-0000-0000-00005F670000}"/>
    <cellStyle name="제목 45 2" xfId="3394" xr:uid="{00000000-0005-0000-0000-000060670000}"/>
    <cellStyle name="제목 45 2 2" xfId="26140" xr:uid="{00000000-0005-0000-0000-000061670000}"/>
    <cellStyle name="제목 45 3" xfId="26141" xr:uid="{00000000-0005-0000-0000-000062670000}"/>
    <cellStyle name="제목 45 4" xfId="26142" xr:uid="{00000000-0005-0000-0000-000063670000}"/>
    <cellStyle name="제목 45 5" xfId="26143" xr:uid="{00000000-0005-0000-0000-000064670000}"/>
    <cellStyle name="제목 45 6" xfId="26144" xr:uid="{00000000-0005-0000-0000-000065670000}"/>
    <cellStyle name="제목 45 7" xfId="26145" xr:uid="{00000000-0005-0000-0000-000066670000}"/>
    <cellStyle name="제목 45 8" xfId="26146" xr:uid="{00000000-0005-0000-0000-000067670000}"/>
    <cellStyle name="제목 45 9" xfId="26147" xr:uid="{00000000-0005-0000-0000-000068670000}"/>
    <cellStyle name="제목 46" xfId="3395" xr:uid="{00000000-0005-0000-0000-000069670000}"/>
    <cellStyle name="제목 46 10" xfId="26149" xr:uid="{00000000-0005-0000-0000-00006A670000}"/>
    <cellStyle name="제목 46 11" xfId="26150" xr:uid="{00000000-0005-0000-0000-00006B670000}"/>
    <cellStyle name="제목 46 12" xfId="26151" xr:uid="{00000000-0005-0000-0000-00006C670000}"/>
    <cellStyle name="제목 46 13" xfId="26152" xr:uid="{00000000-0005-0000-0000-00006D670000}"/>
    <cellStyle name="제목 46 14" xfId="26153" xr:uid="{00000000-0005-0000-0000-00006E670000}"/>
    <cellStyle name="제목 46 15" xfId="26148" xr:uid="{00000000-0005-0000-0000-00006F670000}"/>
    <cellStyle name="제목 46 2" xfId="3396" xr:uid="{00000000-0005-0000-0000-000070670000}"/>
    <cellStyle name="제목 46 2 2" xfId="26154" xr:uid="{00000000-0005-0000-0000-000071670000}"/>
    <cellStyle name="제목 46 3" xfId="26155" xr:uid="{00000000-0005-0000-0000-000072670000}"/>
    <cellStyle name="제목 46 4" xfId="26156" xr:uid="{00000000-0005-0000-0000-000073670000}"/>
    <cellStyle name="제목 46 5" xfId="26157" xr:uid="{00000000-0005-0000-0000-000074670000}"/>
    <cellStyle name="제목 46 6" xfId="26158" xr:uid="{00000000-0005-0000-0000-000075670000}"/>
    <cellStyle name="제목 46 7" xfId="26159" xr:uid="{00000000-0005-0000-0000-000076670000}"/>
    <cellStyle name="제목 46 8" xfId="26160" xr:uid="{00000000-0005-0000-0000-000077670000}"/>
    <cellStyle name="제목 46 9" xfId="26161" xr:uid="{00000000-0005-0000-0000-000078670000}"/>
    <cellStyle name="제목 47" xfId="3397" xr:uid="{00000000-0005-0000-0000-000079670000}"/>
    <cellStyle name="제목 47 2" xfId="26162" xr:uid="{00000000-0005-0000-0000-00007A670000}"/>
    <cellStyle name="제목 48" xfId="3398" xr:uid="{00000000-0005-0000-0000-00007B670000}"/>
    <cellStyle name="제목 48 2" xfId="26163" xr:uid="{00000000-0005-0000-0000-00007C670000}"/>
    <cellStyle name="제목 49" xfId="2974" xr:uid="{00000000-0005-0000-0000-00007D670000}"/>
    <cellStyle name="제목 5" xfId="3399" xr:uid="{00000000-0005-0000-0000-00007E670000}"/>
    <cellStyle name="제목 5 10" xfId="26165" xr:uid="{00000000-0005-0000-0000-00007F670000}"/>
    <cellStyle name="제목 5 11" xfId="26166" xr:uid="{00000000-0005-0000-0000-000080670000}"/>
    <cellStyle name="제목 5 12" xfId="26167" xr:uid="{00000000-0005-0000-0000-000081670000}"/>
    <cellStyle name="제목 5 13" xfId="26168" xr:uid="{00000000-0005-0000-0000-000082670000}"/>
    <cellStyle name="제목 5 14" xfId="26169" xr:uid="{00000000-0005-0000-0000-000083670000}"/>
    <cellStyle name="제목 5 15" xfId="26164" xr:uid="{00000000-0005-0000-0000-000084670000}"/>
    <cellStyle name="제목 5 2" xfId="3400" xr:uid="{00000000-0005-0000-0000-000085670000}"/>
    <cellStyle name="제목 5 2 2" xfId="26170" xr:uid="{00000000-0005-0000-0000-000086670000}"/>
    <cellStyle name="제목 5 3" xfId="26171" xr:uid="{00000000-0005-0000-0000-000087670000}"/>
    <cellStyle name="제목 5 4" xfId="26172" xr:uid="{00000000-0005-0000-0000-000088670000}"/>
    <cellStyle name="제목 5 5" xfId="26173" xr:uid="{00000000-0005-0000-0000-000089670000}"/>
    <cellStyle name="제목 5 6" xfId="26174" xr:uid="{00000000-0005-0000-0000-00008A670000}"/>
    <cellStyle name="제목 5 7" xfId="26175" xr:uid="{00000000-0005-0000-0000-00008B670000}"/>
    <cellStyle name="제목 5 8" xfId="26176" xr:uid="{00000000-0005-0000-0000-00008C670000}"/>
    <cellStyle name="제목 5 9" xfId="26177" xr:uid="{00000000-0005-0000-0000-00008D670000}"/>
    <cellStyle name="제목 50" xfId="23279" xr:uid="{00000000-0005-0000-0000-00008E670000}"/>
    <cellStyle name="제목 51" xfId="27626" xr:uid="{00000000-0005-0000-0000-00008F670000}"/>
    <cellStyle name="제목 6" xfId="3401" xr:uid="{00000000-0005-0000-0000-000090670000}"/>
    <cellStyle name="제목 6 10" xfId="26179" xr:uid="{00000000-0005-0000-0000-000091670000}"/>
    <cellStyle name="제목 6 11" xfId="26180" xr:uid="{00000000-0005-0000-0000-000092670000}"/>
    <cellStyle name="제목 6 12" xfId="26181" xr:uid="{00000000-0005-0000-0000-000093670000}"/>
    <cellStyle name="제목 6 13" xfId="26182" xr:uid="{00000000-0005-0000-0000-000094670000}"/>
    <cellStyle name="제목 6 14" xfId="26183" xr:uid="{00000000-0005-0000-0000-000095670000}"/>
    <cellStyle name="제목 6 15" xfId="26178" xr:uid="{00000000-0005-0000-0000-000096670000}"/>
    <cellStyle name="제목 6 2" xfId="3402" xr:uid="{00000000-0005-0000-0000-000097670000}"/>
    <cellStyle name="제목 6 2 2" xfId="26184" xr:uid="{00000000-0005-0000-0000-000098670000}"/>
    <cellStyle name="제목 6 3" xfId="26185" xr:uid="{00000000-0005-0000-0000-000099670000}"/>
    <cellStyle name="제목 6 4" xfId="26186" xr:uid="{00000000-0005-0000-0000-00009A670000}"/>
    <cellStyle name="제목 6 5" xfId="26187" xr:uid="{00000000-0005-0000-0000-00009B670000}"/>
    <cellStyle name="제목 6 6" xfId="26188" xr:uid="{00000000-0005-0000-0000-00009C670000}"/>
    <cellStyle name="제목 6 7" xfId="26189" xr:uid="{00000000-0005-0000-0000-00009D670000}"/>
    <cellStyle name="제목 6 8" xfId="26190" xr:uid="{00000000-0005-0000-0000-00009E670000}"/>
    <cellStyle name="제목 6 9" xfId="26191" xr:uid="{00000000-0005-0000-0000-00009F670000}"/>
    <cellStyle name="제목 7" xfId="3403" xr:uid="{00000000-0005-0000-0000-0000A0670000}"/>
    <cellStyle name="제목 7 10" xfId="26193" xr:uid="{00000000-0005-0000-0000-0000A1670000}"/>
    <cellStyle name="제목 7 11" xfId="26194" xr:uid="{00000000-0005-0000-0000-0000A2670000}"/>
    <cellStyle name="제목 7 12" xfId="26195" xr:uid="{00000000-0005-0000-0000-0000A3670000}"/>
    <cellStyle name="제목 7 13" xfId="26196" xr:uid="{00000000-0005-0000-0000-0000A4670000}"/>
    <cellStyle name="제목 7 14" xfId="26197" xr:uid="{00000000-0005-0000-0000-0000A5670000}"/>
    <cellStyle name="제목 7 15" xfId="26192" xr:uid="{00000000-0005-0000-0000-0000A6670000}"/>
    <cellStyle name="제목 7 16" xfId="27887" xr:uid="{00000000-0005-0000-0000-0000A7670000}"/>
    <cellStyle name="제목 7 2" xfId="3404" xr:uid="{00000000-0005-0000-0000-0000A8670000}"/>
    <cellStyle name="제목 7 2 2" xfId="26198" xr:uid="{00000000-0005-0000-0000-0000A9670000}"/>
    <cellStyle name="제목 7 3" xfId="26199" xr:uid="{00000000-0005-0000-0000-0000AA670000}"/>
    <cellStyle name="제목 7 4" xfId="26200" xr:uid="{00000000-0005-0000-0000-0000AB670000}"/>
    <cellStyle name="제목 7 5" xfId="26201" xr:uid="{00000000-0005-0000-0000-0000AC670000}"/>
    <cellStyle name="제목 7 6" xfId="26202" xr:uid="{00000000-0005-0000-0000-0000AD670000}"/>
    <cellStyle name="제목 7 7" xfId="26203" xr:uid="{00000000-0005-0000-0000-0000AE670000}"/>
    <cellStyle name="제목 7 8" xfId="26204" xr:uid="{00000000-0005-0000-0000-0000AF670000}"/>
    <cellStyle name="제목 7 9" xfId="26205" xr:uid="{00000000-0005-0000-0000-0000B0670000}"/>
    <cellStyle name="제목 8" xfId="3405" xr:uid="{00000000-0005-0000-0000-0000B1670000}"/>
    <cellStyle name="제목 8 10" xfId="26207" xr:uid="{00000000-0005-0000-0000-0000B2670000}"/>
    <cellStyle name="제목 8 11" xfId="26208" xr:uid="{00000000-0005-0000-0000-0000B3670000}"/>
    <cellStyle name="제목 8 12" xfId="26209" xr:uid="{00000000-0005-0000-0000-0000B4670000}"/>
    <cellStyle name="제목 8 13" xfId="26210" xr:uid="{00000000-0005-0000-0000-0000B5670000}"/>
    <cellStyle name="제목 8 14" xfId="26211" xr:uid="{00000000-0005-0000-0000-0000B6670000}"/>
    <cellStyle name="제목 8 15" xfId="26206" xr:uid="{00000000-0005-0000-0000-0000B7670000}"/>
    <cellStyle name="제목 8 2" xfId="3406" xr:uid="{00000000-0005-0000-0000-0000B8670000}"/>
    <cellStyle name="제목 8 2 2" xfId="26212" xr:uid="{00000000-0005-0000-0000-0000B9670000}"/>
    <cellStyle name="제목 8 3" xfId="26213" xr:uid="{00000000-0005-0000-0000-0000BA670000}"/>
    <cellStyle name="제목 8 4" xfId="26214" xr:uid="{00000000-0005-0000-0000-0000BB670000}"/>
    <cellStyle name="제목 8 5" xfId="26215" xr:uid="{00000000-0005-0000-0000-0000BC670000}"/>
    <cellStyle name="제목 8 6" xfId="26216" xr:uid="{00000000-0005-0000-0000-0000BD670000}"/>
    <cellStyle name="제목 8 7" xfId="26217" xr:uid="{00000000-0005-0000-0000-0000BE670000}"/>
    <cellStyle name="제목 8 8" xfId="26218" xr:uid="{00000000-0005-0000-0000-0000BF670000}"/>
    <cellStyle name="제목 8 9" xfId="26219" xr:uid="{00000000-0005-0000-0000-0000C0670000}"/>
    <cellStyle name="제목 9" xfId="3407" xr:uid="{00000000-0005-0000-0000-0000C1670000}"/>
    <cellStyle name="제목 9 10" xfId="26221" xr:uid="{00000000-0005-0000-0000-0000C2670000}"/>
    <cellStyle name="제목 9 11" xfId="26222" xr:uid="{00000000-0005-0000-0000-0000C3670000}"/>
    <cellStyle name="제목 9 12" xfId="26223" xr:uid="{00000000-0005-0000-0000-0000C4670000}"/>
    <cellStyle name="제목 9 13" xfId="26224" xr:uid="{00000000-0005-0000-0000-0000C5670000}"/>
    <cellStyle name="제목 9 14" xfId="26225" xr:uid="{00000000-0005-0000-0000-0000C6670000}"/>
    <cellStyle name="제목 9 15" xfId="26220" xr:uid="{00000000-0005-0000-0000-0000C7670000}"/>
    <cellStyle name="제목 9 2" xfId="3408" xr:uid="{00000000-0005-0000-0000-0000C8670000}"/>
    <cellStyle name="제목 9 2 2" xfId="26226" xr:uid="{00000000-0005-0000-0000-0000C9670000}"/>
    <cellStyle name="제목 9 3" xfId="26227" xr:uid="{00000000-0005-0000-0000-0000CA670000}"/>
    <cellStyle name="제목 9 4" xfId="26228" xr:uid="{00000000-0005-0000-0000-0000CB670000}"/>
    <cellStyle name="제목 9 5" xfId="26229" xr:uid="{00000000-0005-0000-0000-0000CC670000}"/>
    <cellStyle name="제목 9 6" xfId="26230" xr:uid="{00000000-0005-0000-0000-0000CD670000}"/>
    <cellStyle name="제목 9 7" xfId="26231" xr:uid="{00000000-0005-0000-0000-0000CE670000}"/>
    <cellStyle name="제목 9 8" xfId="26232" xr:uid="{00000000-0005-0000-0000-0000CF670000}"/>
    <cellStyle name="제목 9 9" xfId="26233" xr:uid="{00000000-0005-0000-0000-0000D0670000}"/>
    <cellStyle name="좋음 10" xfId="3410" xr:uid="{00000000-0005-0000-0000-0000D1670000}"/>
    <cellStyle name="좋음 10 10" xfId="26236" xr:uid="{00000000-0005-0000-0000-0000D2670000}"/>
    <cellStyle name="좋음 10 11" xfId="26237" xr:uid="{00000000-0005-0000-0000-0000D3670000}"/>
    <cellStyle name="좋음 10 12" xfId="26238" xr:uid="{00000000-0005-0000-0000-0000D4670000}"/>
    <cellStyle name="좋음 10 13" xfId="26239" xr:uid="{00000000-0005-0000-0000-0000D5670000}"/>
    <cellStyle name="좋음 10 14" xfId="26240" xr:uid="{00000000-0005-0000-0000-0000D6670000}"/>
    <cellStyle name="좋음 10 15" xfId="26235" xr:uid="{00000000-0005-0000-0000-0000D7670000}"/>
    <cellStyle name="좋음 10 2" xfId="3411" xr:uid="{00000000-0005-0000-0000-0000D8670000}"/>
    <cellStyle name="좋음 10 2 2" xfId="26241" xr:uid="{00000000-0005-0000-0000-0000D9670000}"/>
    <cellStyle name="좋음 10 3" xfId="26242" xr:uid="{00000000-0005-0000-0000-0000DA670000}"/>
    <cellStyle name="좋음 10 4" xfId="26243" xr:uid="{00000000-0005-0000-0000-0000DB670000}"/>
    <cellStyle name="좋음 10 5" xfId="26244" xr:uid="{00000000-0005-0000-0000-0000DC670000}"/>
    <cellStyle name="좋음 10 6" xfId="26245" xr:uid="{00000000-0005-0000-0000-0000DD670000}"/>
    <cellStyle name="좋음 10 7" xfId="26246" xr:uid="{00000000-0005-0000-0000-0000DE670000}"/>
    <cellStyle name="좋음 10 8" xfId="26247" xr:uid="{00000000-0005-0000-0000-0000DF670000}"/>
    <cellStyle name="좋음 10 9" xfId="26248" xr:uid="{00000000-0005-0000-0000-0000E0670000}"/>
    <cellStyle name="좋음 11" xfId="3412" xr:uid="{00000000-0005-0000-0000-0000E1670000}"/>
    <cellStyle name="좋음 11 10" xfId="26250" xr:uid="{00000000-0005-0000-0000-0000E2670000}"/>
    <cellStyle name="좋음 11 11" xfId="26251" xr:uid="{00000000-0005-0000-0000-0000E3670000}"/>
    <cellStyle name="좋음 11 12" xfId="26252" xr:uid="{00000000-0005-0000-0000-0000E4670000}"/>
    <cellStyle name="좋음 11 13" xfId="26253" xr:uid="{00000000-0005-0000-0000-0000E5670000}"/>
    <cellStyle name="좋음 11 14" xfId="26254" xr:uid="{00000000-0005-0000-0000-0000E6670000}"/>
    <cellStyle name="좋음 11 15" xfId="26249" xr:uid="{00000000-0005-0000-0000-0000E7670000}"/>
    <cellStyle name="좋음 11 2" xfId="3413" xr:uid="{00000000-0005-0000-0000-0000E8670000}"/>
    <cellStyle name="좋음 11 2 2" xfId="26255" xr:uid="{00000000-0005-0000-0000-0000E9670000}"/>
    <cellStyle name="좋음 11 3" xfId="26256" xr:uid="{00000000-0005-0000-0000-0000EA670000}"/>
    <cellStyle name="좋음 11 4" xfId="26257" xr:uid="{00000000-0005-0000-0000-0000EB670000}"/>
    <cellStyle name="좋음 11 5" xfId="26258" xr:uid="{00000000-0005-0000-0000-0000EC670000}"/>
    <cellStyle name="좋음 11 6" xfId="26259" xr:uid="{00000000-0005-0000-0000-0000ED670000}"/>
    <cellStyle name="좋음 11 7" xfId="26260" xr:uid="{00000000-0005-0000-0000-0000EE670000}"/>
    <cellStyle name="좋음 11 8" xfId="26261" xr:uid="{00000000-0005-0000-0000-0000EF670000}"/>
    <cellStyle name="좋음 11 9" xfId="26262" xr:uid="{00000000-0005-0000-0000-0000F0670000}"/>
    <cellStyle name="좋음 12" xfId="3414" xr:uid="{00000000-0005-0000-0000-0000F1670000}"/>
    <cellStyle name="좋음 12 10" xfId="26264" xr:uid="{00000000-0005-0000-0000-0000F2670000}"/>
    <cellStyle name="좋음 12 11" xfId="26265" xr:uid="{00000000-0005-0000-0000-0000F3670000}"/>
    <cellStyle name="좋음 12 12" xfId="26266" xr:uid="{00000000-0005-0000-0000-0000F4670000}"/>
    <cellStyle name="좋음 12 13" xfId="26267" xr:uid="{00000000-0005-0000-0000-0000F5670000}"/>
    <cellStyle name="좋음 12 14" xfId="26268" xr:uid="{00000000-0005-0000-0000-0000F6670000}"/>
    <cellStyle name="좋음 12 15" xfId="26263" xr:uid="{00000000-0005-0000-0000-0000F7670000}"/>
    <cellStyle name="좋음 12 2" xfId="3415" xr:uid="{00000000-0005-0000-0000-0000F8670000}"/>
    <cellStyle name="좋음 12 2 2" xfId="26269" xr:uid="{00000000-0005-0000-0000-0000F9670000}"/>
    <cellStyle name="좋음 12 3" xfId="26270" xr:uid="{00000000-0005-0000-0000-0000FA670000}"/>
    <cellStyle name="좋음 12 4" xfId="26271" xr:uid="{00000000-0005-0000-0000-0000FB670000}"/>
    <cellStyle name="좋음 12 5" xfId="26272" xr:uid="{00000000-0005-0000-0000-0000FC670000}"/>
    <cellStyle name="좋음 12 6" xfId="26273" xr:uid="{00000000-0005-0000-0000-0000FD670000}"/>
    <cellStyle name="좋음 12 7" xfId="26274" xr:uid="{00000000-0005-0000-0000-0000FE670000}"/>
    <cellStyle name="좋음 12 8" xfId="26275" xr:uid="{00000000-0005-0000-0000-0000FF670000}"/>
    <cellStyle name="좋음 12 9" xfId="26276" xr:uid="{00000000-0005-0000-0000-000000680000}"/>
    <cellStyle name="좋음 13" xfId="3416" xr:uid="{00000000-0005-0000-0000-000001680000}"/>
    <cellStyle name="좋음 13 10" xfId="26278" xr:uid="{00000000-0005-0000-0000-000002680000}"/>
    <cellStyle name="좋음 13 11" xfId="26279" xr:uid="{00000000-0005-0000-0000-000003680000}"/>
    <cellStyle name="좋음 13 12" xfId="26280" xr:uid="{00000000-0005-0000-0000-000004680000}"/>
    <cellStyle name="좋음 13 13" xfId="26281" xr:uid="{00000000-0005-0000-0000-000005680000}"/>
    <cellStyle name="좋음 13 14" xfId="26282" xr:uid="{00000000-0005-0000-0000-000006680000}"/>
    <cellStyle name="좋음 13 15" xfId="26277" xr:uid="{00000000-0005-0000-0000-000007680000}"/>
    <cellStyle name="좋음 13 2" xfId="3417" xr:uid="{00000000-0005-0000-0000-000008680000}"/>
    <cellStyle name="좋음 13 2 2" xfId="26283" xr:uid="{00000000-0005-0000-0000-000009680000}"/>
    <cellStyle name="좋음 13 3" xfId="26284" xr:uid="{00000000-0005-0000-0000-00000A680000}"/>
    <cellStyle name="좋음 13 4" xfId="26285" xr:uid="{00000000-0005-0000-0000-00000B680000}"/>
    <cellStyle name="좋음 13 5" xfId="26286" xr:uid="{00000000-0005-0000-0000-00000C680000}"/>
    <cellStyle name="좋음 13 6" xfId="26287" xr:uid="{00000000-0005-0000-0000-00000D680000}"/>
    <cellStyle name="좋음 13 7" xfId="26288" xr:uid="{00000000-0005-0000-0000-00000E680000}"/>
    <cellStyle name="좋음 13 8" xfId="26289" xr:uid="{00000000-0005-0000-0000-00000F680000}"/>
    <cellStyle name="좋음 13 9" xfId="26290" xr:uid="{00000000-0005-0000-0000-000010680000}"/>
    <cellStyle name="좋음 14" xfId="3418" xr:uid="{00000000-0005-0000-0000-000011680000}"/>
    <cellStyle name="좋음 14 10" xfId="26292" xr:uid="{00000000-0005-0000-0000-000012680000}"/>
    <cellStyle name="좋음 14 11" xfId="26293" xr:uid="{00000000-0005-0000-0000-000013680000}"/>
    <cellStyle name="좋음 14 12" xfId="26294" xr:uid="{00000000-0005-0000-0000-000014680000}"/>
    <cellStyle name="좋음 14 13" xfId="26295" xr:uid="{00000000-0005-0000-0000-000015680000}"/>
    <cellStyle name="좋음 14 14" xfId="26296" xr:uid="{00000000-0005-0000-0000-000016680000}"/>
    <cellStyle name="좋음 14 15" xfId="26291" xr:uid="{00000000-0005-0000-0000-000017680000}"/>
    <cellStyle name="좋음 14 2" xfId="3419" xr:uid="{00000000-0005-0000-0000-000018680000}"/>
    <cellStyle name="좋음 14 2 2" xfId="26297" xr:uid="{00000000-0005-0000-0000-000019680000}"/>
    <cellStyle name="좋음 14 3" xfId="26298" xr:uid="{00000000-0005-0000-0000-00001A680000}"/>
    <cellStyle name="좋음 14 4" xfId="26299" xr:uid="{00000000-0005-0000-0000-00001B680000}"/>
    <cellStyle name="좋음 14 5" xfId="26300" xr:uid="{00000000-0005-0000-0000-00001C680000}"/>
    <cellStyle name="좋음 14 6" xfId="26301" xr:uid="{00000000-0005-0000-0000-00001D680000}"/>
    <cellStyle name="좋음 14 7" xfId="26302" xr:uid="{00000000-0005-0000-0000-00001E680000}"/>
    <cellStyle name="좋음 14 8" xfId="26303" xr:uid="{00000000-0005-0000-0000-00001F680000}"/>
    <cellStyle name="좋음 14 9" xfId="26304" xr:uid="{00000000-0005-0000-0000-000020680000}"/>
    <cellStyle name="좋음 15" xfId="3420" xr:uid="{00000000-0005-0000-0000-000021680000}"/>
    <cellStyle name="좋음 15 10" xfId="26306" xr:uid="{00000000-0005-0000-0000-000022680000}"/>
    <cellStyle name="좋음 15 11" xfId="26307" xr:uid="{00000000-0005-0000-0000-000023680000}"/>
    <cellStyle name="좋음 15 12" xfId="26308" xr:uid="{00000000-0005-0000-0000-000024680000}"/>
    <cellStyle name="좋음 15 13" xfId="26309" xr:uid="{00000000-0005-0000-0000-000025680000}"/>
    <cellStyle name="좋음 15 14" xfId="26310" xr:uid="{00000000-0005-0000-0000-000026680000}"/>
    <cellStyle name="좋음 15 15" xfId="26305" xr:uid="{00000000-0005-0000-0000-000027680000}"/>
    <cellStyle name="좋음 15 2" xfId="3421" xr:uid="{00000000-0005-0000-0000-000028680000}"/>
    <cellStyle name="좋음 15 2 2" xfId="26311" xr:uid="{00000000-0005-0000-0000-000029680000}"/>
    <cellStyle name="좋음 15 3" xfId="26312" xr:uid="{00000000-0005-0000-0000-00002A680000}"/>
    <cellStyle name="좋음 15 4" xfId="26313" xr:uid="{00000000-0005-0000-0000-00002B680000}"/>
    <cellStyle name="좋음 15 5" xfId="26314" xr:uid="{00000000-0005-0000-0000-00002C680000}"/>
    <cellStyle name="좋음 15 6" xfId="26315" xr:uid="{00000000-0005-0000-0000-00002D680000}"/>
    <cellStyle name="좋음 15 7" xfId="26316" xr:uid="{00000000-0005-0000-0000-00002E680000}"/>
    <cellStyle name="좋음 15 8" xfId="26317" xr:uid="{00000000-0005-0000-0000-00002F680000}"/>
    <cellStyle name="좋음 15 9" xfId="26318" xr:uid="{00000000-0005-0000-0000-000030680000}"/>
    <cellStyle name="좋음 16" xfId="3422" xr:uid="{00000000-0005-0000-0000-000031680000}"/>
    <cellStyle name="좋음 16 10" xfId="26320" xr:uid="{00000000-0005-0000-0000-000032680000}"/>
    <cellStyle name="좋음 16 11" xfId="26321" xr:uid="{00000000-0005-0000-0000-000033680000}"/>
    <cellStyle name="좋음 16 12" xfId="26322" xr:uid="{00000000-0005-0000-0000-000034680000}"/>
    <cellStyle name="좋음 16 13" xfId="26323" xr:uid="{00000000-0005-0000-0000-000035680000}"/>
    <cellStyle name="좋음 16 14" xfId="26324" xr:uid="{00000000-0005-0000-0000-000036680000}"/>
    <cellStyle name="좋음 16 15" xfId="26319" xr:uid="{00000000-0005-0000-0000-000037680000}"/>
    <cellStyle name="좋음 16 2" xfId="3423" xr:uid="{00000000-0005-0000-0000-000038680000}"/>
    <cellStyle name="좋음 16 2 2" xfId="26325" xr:uid="{00000000-0005-0000-0000-000039680000}"/>
    <cellStyle name="좋음 16 3" xfId="26326" xr:uid="{00000000-0005-0000-0000-00003A680000}"/>
    <cellStyle name="좋음 16 4" xfId="26327" xr:uid="{00000000-0005-0000-0000-00003B680000}"/>
    <cellStyle name="좋음 16 5" xfId="26328" xr:uid="{00000000-0005-0000-0000-00003C680000}"/>
    <cellStyle name="좋음 16 6" xfId="26329" xr:uid="{00000000-0005-0000-0000-00003D680000}"/>
    <cellStyle name="좋음 16 7" xfId="26330" xr:uid="{00000000-0005-0000-0000-00003E680000}"/>
    <cellStyle name="좋음 16 8" xfId="26331" xr:uid="{00000000-0005-0000-0000-00003F680000}"/>
    <cellStyle name="좋음 16 9" xfId="26332" xr:uid="{00000000-0005-0000-0000-000040680000}"/>
    <cellStyle name="좋음 17" xfId="3424" xr:uid="{00000000-0005-0000-0000-000041680000}"/>
    <cellStyle name="좋음 17 10" xfId="26334" xr:uid="{00000000-0005-0000-0000-000042680000}"/>
    <cellStyle name="좋음 17 11" xfId="26335" xr:uid="{00000000-0005-0000-0000-000043680000}"/>
    <cellStyle name="좋음 17 12" xfId="26336" xr:uid="{00000000-0005-0000-0000-000044680000}"/>
    <cellStyle name="좋음 17 13" xfId="26337" xr:uid="{00000000-0005-0000-0000-000045680000}"/>
    <cellStyle name="좋음 17 14" xfId="26338" xr:uid="{00000000-0005-0000-0000-000046680000}"/>
    <cellStyle name="좋음 17 15" xfId="26333" xr:uid="{00000000-0005-0000-0000-000047680000}"/>
    <cellStyle name="좋음 17 2" xfId="3425" xr:uid="{00000000-0005-0000-0000-000048680000}"/>
    <cellStyle name="좋음 17 2 2" xfId="26339" xr:uid="{00000000-0005-0000-0000-000049680000}"/>
    <cellStyle name="좋음 17 3" xfId="26340" xr:uid="{00000000-0005-0000-0000-00004A680000}"/>
    <cellStyle name="좋음 17 4" xfId="26341" xr:uid="{00000000-0005-0000-0000-00004B680000}"/>
    <cellStyle name="좋음 17 5" xfId="26342" xr:uid="{00000000-0005-0000-0000-00004C680000}"/>
    <cellStyle name="좋음 17 6" xfId="26343" xr:uid="{00000000-0005-0000-0000-00004D680000}"/>
    <cellStyle name="좋음 17 7" xfId="26344" xr:uid="{00000000-0005-0000-0000-00004E680000}"/>
    <cellStyle name="좋음 17 8" xfId="26345" xr:uid="{00000000-0005-0000-0000-00004F680000}"/>
    <cellStyle name="좋음 17 9" xfId="26346" xr:uid="{00000000-0005-0000-0000-000050680000}"/>
    <cellStyle name="좋음 18" xfId="3426" xr:uid="{00000000-0005-0000-0000-000051680000}"/>
    <cellStyle name="좋음 18 10" xfId="26348" xr:uid="{00000000-0005-0000-0000-000052680000}"/>
    <cellStyle name="좋음 18 11" xfId="26349" xr:uid="{00000000-0005-0000-0000-000053680000}"/>
    <cellStyle name="좋음 18 12" xfId="26350" xr:uid="{00000000-0005-0000-0000-000054680000}"/>
    <cellStyle name="좋음 18 13" xfId="26351" xr:uid="{00000000-0005-0000-0000-000055680000}"/>
    <cellStyle name="좋음 18 14" xfId="26352" xr:uid="{00000000-0005-0000-0000-000056680000}"/>
    <cellStyle name="좋음 18 15" xfId="26347" xr:uid="{00000000-0005-0000-0000-000057680000}"/>
    <cellStyle name="좋음 18 2" xfId="3427" xr:uid="{00000000-0005-0000-0000-000058680000}"/>
    <cellStyle name="좋음 18 2 2" xfId="26353" xr:uid="{00000000-0005-0000-0000-000059680000}"/>
    <cellStyle name="좋음 18 3" xfId="26354" xr:uid="{00000000-0005-0000-0000-00005A680000}"/>
    <cellStyle name="좋음 18 4" xfId="26355" xr:uid="{00000000-0005-0000-0000-00005B680000}"/>
    <cellStyle name="좋음 18 5" xfId="26356" xr:uid="{00000000-0005-0000-0000-00005C680000}"/>
    <cellStyle name="좋음 18 6" xfId="26357" xr:uid="{00000000-0005-0000-0000-00005D680000}"/>
    <cellStyle name="좋음 18 7" xfId="26358" xr:uid="{00000000-0005-0000-0000-00005E680000}"/>
    <cellStyle name="좋음 18 8" xfId="26359" xr:uid="{00000000-0005-0000-0000-00005F680000}"/>
    <cellStyle name="좋음 18 9" xfId="26360" xr:uid="{00000000-0005-0000-0000-000060680000}"/>
    <cellStyle name="좋음 19" xfId="3428" xr:uid="{00000000-0005-0000-0000-000061680000}"/>
    <cellStyle name="좋음 19 10" xfId="26362" xr:uid="{00000000-0005-0000-0000-000062680000}"/>
    <cellStyle name="좋음 19 11" xfId="26363" xr:uid="{00000000-0005-0000-0000-000063680000}"/>
    <cellStyle name="좋음 19 12" xfId="26364" xr:uid="{00000000-0005-0000-0000-000064680000}"/>
    <cellStyle name="좋음 19 13" xfId="26365" xr:uid="{00000000-0005-0000-0000-000065680000}"/>
    <cellStyle name="좋음 19 14" xfId="26366" xr:uid="{00000000-0005-0000-0000-000066680000}"/>
    <cellStyle name="좋음 19 15" xfId="26361" xr:uid="{00000000-0005-0000-0000-000067680000}"/>
    <cellStyle name="좋음 19 2" xfId="3429" xr:uid="{00000000-0005-0000-0000-000068680000}"/>
    <cellStyle name="좋음 19 2 2" xfId="26367" xr:uid="{00000000-0005-0000-0000-000069680000}"/>
    <cellStyle name="좋음 19 3" xfId="26368" xr:uid="{00000000-0005-0000-0000-00006A680000}"/>
    <cellStyle name="좋음 19 4" xfId="26369" xr:uid="{00000000-0005-0000-0000-00006B680000}"/>
    <cellStyle name="좋음 19 5" xfId="26370" xr:uid="{00000000-0005-0000-0000-00006C680000}"/>
    <cellStyle name="좋음 19 6" xfId="26371" xr:uid="{00000000-0005-0000-0000-00006D680000}"/>
    <cellStyle name="좋음 19 7" xfId="26372" xr:uid="{00000000-0005-0000-0000-00006E680000}"/>
    <cellStyle name="좋음 19 8" xfId="26373" xr:uid="{00000000-0005-0000-0000-00006F680000}"/>
    <cellStyle name="좋음 19 9" xfId="26374" xr:uid="{00000000-0005-0000-0000-000070680000}"/>
    <cellStyle name="좋음 2" xfId="3430" xr:uid="{00000000-0005-0000-0000-000071680000}"/>
    <cellStyle name="좋음 2 10" xfId="26376" xr:uid="{00000000-0005-0000-0000-000072680000}"/>
    <cellStyle name="좋음 2 11" xfId="26377" xr:uid="{00000000-0005-0000-0000-000073680000}"/>
    <cellStyle name="좋음 2 12" xfId="26378" xr:uid="{00000000-0005-0000-0000-000074680000}"/>
    <cellStyle name="좋음 2 13" xfId="26379" xr:uid="{00000000-0005-0000-0000-000075680000}"/>
    <cellStyle name="좋음 2 14" xfId="26380" xr:uid="{00000000-0005-0000-0000-000076680000}"/>
    <cellStyle name="좋음 2 15" xfId="26375" xr:uid="{00000000-0005-0000-0000-000077680000}"/>
    <cellStyle name="좋음 2 16" xfId="27983" xr:uid="{00000000-0005-0000-0000-000078680000}"/>
    <cellStyle name="좋음 2 2" xfId="3431" xr:uid="{00000000-0005-0000-0000-000079680000}"/>
    <cellStyle name="좋음 2 2 2" xfId="26381" xr:uid="{00000000-0005-0000-0000-00007A680000}"/>
    <cellStyle name="좋음 2 3" xfId="26382" xr:uid="{00000000-0005-0000-0000-00007B680000}"/>
    <cellStyle name="좋음 2 4" xfId="26383" xr:uid="{00000000-0005-0000-0000-00007C680000}"/>
    <cellStyle name="좋음 2 5" xfId="26384" xr:uid="{00000000-0005-0000-0000-00007D680000}"/>
    <cellStyle name="좋음 2 6" xfId="26385" xr:uid="{00000000-0005-0000-0000-00007E680000}"/>
    <cellStyle name="좋음 2 7" xfId="26386" xr:uid="{00000000-0005-0000-0000-00007F680000}"/>
    <cellStyle name="좋음 2 8" xfId="26387" xr:uid="{00000000-0005-0000-0000-000080680000}"/>
    <cellStyle name="좋음 2 9" xfId="26388" xr:uid="{00000000-0005-0000-0000-000081680000}"/>
    <cellStyle name="좋음 20" xfId="3432" xr:uid="{00000000-0005-0000-0000-000082680000}"/>
    <cellStyle name="좋음 20 10" xfId="26390" xr:uid="{00000000-0005-0000-0000-000083680000}"/>
    <cellStyle name="좋음 20 11" xfId="26391" xr:uid="{00000000-0005-0000-0000-000084680000}"/>
    <cellStyle name="좋음 20 12" xfId="26392" xr:uid="{00000000-0005-0000-0000-000085680000}"/>
    <cellStyle name="좋음 20 13" xfId="26393" xr:uid="{00000000-0005-0000-0000-000086680000}"/>
    <cellStyle name="좋음 20 14" xfId="26394" xr:uid="{00000000-0005-0000-0000-000087680000}"/>
    <cellStyle name="좋음 20 15" xfId="26389" xr:uid="{00000000-0005-0000-0000-000088680000}"/>
    <cellStyle name="좋음 20 2" xfId="3433" xr:uid="{00000000-0005-0000-0000-000089680000}"/>
    <cellStyle name="좋음 20 2 2" xfId="26395" xr:uid="{00000000-0005-0000-0000-00008A680000}"/>
    <cellStyle name="좋음 20 3" xfId="26396" xr:uid="{00000000-0005-0000-0000-00008B680000}"/>
    <cellStyle name="좋음 20 4" xfId="26397" xr:uid="{00000000-0005-0000-0000-00008C680000}"/>
    <cellStyle name="좋음 20 5" xfId="26398" xr:uid="{00000000-0005-0000-0000-00008D680000}"/>
    <cellStyle name="좋음 20 6" xfId="26399" xr:uid="{00000000-0005-0000-0000-00008E680000}"/>
    <cellStyle name="좋음 20 7" xfId="26400" xr:uid="{00000000-0005-0000-0000-00008F680000}"/>
    <cellStyle name="좋음 20 8" xfId="26401" xr:uid="{00000000-0005-0000-0000-000090680000}"/>
    <cellStyle name="좋음 20 9" xfId="26402" xr:uid="{00000000-0005-0000-0000-000091680000}"/>
    <cellStyle name="좋음 21" xfId="3434" xr:uid="{00000000-0005-0000-0000-000092680000}"/>
    <cellStyle name="좋음 21 10" xfId="26404" xr:uid="{00000000-0005-0000-0000-000093680000}"/>
    <cellStyle name="좋음 21 11" xfId="26405" xr:uid="{00000000-0005-0000-0000-000094680000}"/>
    <cellStyle name="좋음 21 12" xfId="26406" xr:uid="{00000000-0005-0000-0000-000095680000}"/>
    <cellStyle name="좋음 21 13" xfId="26407" xr:uid="{00000000-0005-0000-0000-000096680000}"/>
    <cellStyle name="좋음 21 14" xfId="26408" xr:uid="{00000000-0005-0000-0000-000097680000}"/>
    <cellStyle name="좋음 21 15" xfId="26403" xr:uid="{00000000-0005-0000-0000-000098680000}"/>
    <cellStyle name="좋음 21 2" xfId="3435" xr:uid="{00000000-0005-0000-0000-000099680000}"/>
    <cellStyle name="좋음 21 2 2" xfId="26409" xr:uid="{00000000-0005-0000-0000-00009A680000}"/>
    <cellStyle name="좋음 21 3" xfId="26410" xr:uid="{00000000-0005-0000-0000-00009B680000}"/>
    <cellStyle name="좋음 21 4" xfId="26411" xr:uid="{00000000-0005-0000-0000-00009C680000}"/>
    <cellStyle name="좋음 21 5" xfId="26412" xr:uid="{00000000-0005-0000-0000-00009D680000}"/>
    <cellStyle name="좋음 21 6" xfId="26413" xr:uid="{00000000-0005-0000-0000-00009E680000}"/>
    <cellStyle name="좋음 21 7" xfId="26414" xr:uid="{00000000-0005-0000-0000-00009F680000}"/>
    <cellStyle name="좋음 21 8" xfId="26415" xr:uid="{00000000-0005-0000-0000-0000A0680000}"/>
    <cellStyle name="좋음 21 9" xfId="26416" xr:uid="{00000000-0005-0000-0000-0000A1680000}"/>
    <cellStyle name="좋음 22" xfId="3436" xr:uid="{00000000-0005-0000-0000-0000A2680000}"/>
    <cellStyle name="좋음 22 10" xfId="26418" xr:uid="{00000000-0005-0000-0000-0000A3680000}"/>
    <cellStyle name="좋음 22 11" xfId="26419" xr:uid="{00000000-0005-0000-0000-0000A4680000}"/>
    <cellStyle name="좋음 22 12" xfId="26420" xr:uid="{00000000-0005-0000-0000-0000A5680000}"/>
    <cellStyle name="좋음 22 13" xfId="26421" xr:uid="{00000000-0005-0000-0000-0000A6680000}"/>
    <cellStyle name="좋음 22 14" xfId="26422" xr:uid="{00000000-0005-0000-0000-0000A7680000}"/>
    <cellStyle name="좋음 22 15" xfId="26417" xr:uid="{00000000-0005-0000-0000-0000A8680000}"/>
    <cellStyle name="좋음 22 2" xfId="3437" xr:uid="{00000000-0005-0000-0000-0000A9680000}"/>
    <cellStyle name="좋음 22 2 2" xfId="26423" xr:uid="{00000000-0005-0000-0000-0000AA680000}"/>
    <cellStyle name="좋음 22 3" xfId="26424" xr:uid="{00000000-0005-0000-0000-0000AB680000}"/>
    <cellStyle name="좋음 22 4" xfId="26425" xr:uid="{00000000-0005-0000-0000-0000AC680000}"/>
    <cellStyle name="좋음 22 5" xfId="26426" xr:uid="{00000000-0005-0000-0000-0000AD680000}"/>
    <cellStyle name="좋음 22 6" xfId="26427" xr:uid="{00000000-0005-0000-0000-0000AE680000}"/>
    <cellStyle name="좋음 22 7" xfId="26428" xr:uid="{00000000-0005-0000-0000-0000AF680000}"/>
    <cellStyle name="좋음 22 8" xfId="26429" xr:uid="{00000000-0005-0000-0000-0000B0680000}"/>
    <cellStyle name="좋음 22 9" xfId="26430" xr:uid="{00000000-0005-0000-0000-0000B1680000}"/>
    <cellStyle name="좋음 23" xfId="3438" xr:uid="{00000000-0005-0000-0000-0000B2680000}"/>
    <cellStyle name="좋음 23 10" xfId="26432" xr:uid="{00000000-0005-0000-0000-0000B3680000}"/>
    <cellStyle name="좋음 23 11" xfId="26433" xr:uid="{00000000-0005-0000-0000-0000B4680000}"/>
    <cellStyle name="좋음 23 12" xfId="26434" xr:uid="{00000000-0005-0000-0000-0000B5680000}"/>
    <cellStyle name="좋음 23 13" xfId="26435" xr:uid="{00000000-0005-0000-0000-0000B6680000}"/>
    <cellStyle name="좋음 23 14" xfId="26436" xr:uid="{00000000-0005-0000-0000-0000B7680000}"/>
    <cellStyle name="좋음 23 15" xfId="26431" xr:uid="{00000000-0005-0000-0000-0000B8680000}"/>
    <cellStyle name="좋음 23 2" xfId="3439" xr:uid="{00000000-0005-0000-0000-0000B9680000}"/>
    <cellStyle name="좋음 23 2 2" xfId="26437" xr:uid="{00000000-0005-0000-0000-0000BA680000}"/>
    <cellStyle name="좋음 23 3" xfId="26438" xr:uid="{00000000-0005-0000-0000-0000BB680000}"/>
    <cellStyle name="좋음 23 4" xfId="26439" xr:uid="{00000000-0005-0000-0000-0000BC680000}"/>
    <cellStyle name="좋음 23 5" xfId="26440" xr:uid="{00000000-0005-0000-0000-0000BD680000}"/>
    <cellStyle name="좋음 23 6" xfId="26441" xr:uid="{00000000-0005-0000-0000-0000BE680000}"/>
    <cellStyle name="좋음 23 7" xfId="26442" xr:uid="{00000000-0005-0000-0000-0000BF680000}"/>
    <cellStyle name="좋음 23 8" xfId="26443" xr:uid="{00000000-0005-0000-0000-0000C0680000}"/>
    <cellStyle name="좋음 23 9" xfId="26444" xr:uid="{00000000-0005-0000-0000-0000C1680000}"/>
    <cellStyle name="좋음 24" xfId="3440" xr:uid="{00000000-0005-0000-0000-0000C2680000}"/>
    <cellStyle name="좋음 24 10" xfId="26446" xr:uid="{00000000-0005-0000-0000-0000C3680000}"/>
    <cellStyle name="좋음 24 11" xfId="26447" xr:uid="{00000000-0005-0000-0000-0000C4680000}"/>
    <cellStyle name="좋음 24 12" xfId="26448" xr:uid="{00000000-0005-0000-0000-0000C5680000}"/>
    <cellStyle name="좋음 24 13" xfId="26449" xr:uid="{00000000-0005-0000-0000-0000C6680000}"/>
    <cellStyle name="좋음 24 14" xfId="26450" xr:uid="{00000000-0005-0000-0000-0000C7680000}"/>
    <cellStyle name="좋음 24 15" xfId="26445" xr:uid="{00000000-0005-0000-0000-0000C8680000}"/>
    <cellStyle name="좋음 24 2" xfId="3441" xr:uid="{00000000-0005-0000-0000-0000C9680000}"/>
    <cellStyle name="좋음 24 2 2" xfId="26451" xr:uid="{00000000-0005-0000-0000-0000CA680000}"/>
    <cellStyle name="좋음 24 3" xfId="26452" xr:uid="{00000000-0005-0000-0000-0000CB680000}"/>
    <cellStyle name="좋음 24 4" xfId="26453" xr:uid="{00000000-0005-0000-0000-0000CC680000}"/>
    <cellStyle name="좋음 24 5" xfId="26454" xr:uid="{00000000-0005-0000-0000-0000CD680000}"/>
    <cellStyle name="좋음 24 6" xfId="26455" xr:uid="{00000000-0005-0000-0000-0000CE680000}"/>
    <cellStyle name="좋음 24 7" xfId="26456" xr:uid="{00000000-0005-0000-0000-0000CF680000}"/>
    <cellStyle name="좋음 24 8" xfId="26457" xr:uid="{00000000-0005-0000-0000-0000D0680000}"/>
    <cellStyle name="좋음 24 9" xfId="26458" xr:uid="{00000000-0005-0000-0000-0000D1680000}"/>
    <cellStyle name="좋음 25" xfId="3442" xr:uid="{00000000-0005-0000-0000-0000D2680000}"/>
    <cellStyle name="좋음 25 10" xfId="26460" xr:uid="{00000000-0005-0000-0000-0000D3680000}"/>
    <cellStyle name="좋음 25 11" xfId="26461" xr:uid="{00000000-0005-0000-0000-0000D4680000}"/>
    <cellStyle name="좋음 25 12" xfId="26462" xr:uid="{00000000-0005-0000-0000-0000D5680000}"/>
    <cellStyle name="좋음 25 13" xfId="26463" xr:uid="{00000000-0005-0000-0000-0000D6680000}"/>
    <cellStyle name="좋음 25 14" xfId="26464" xr:uid="{00000000-0005-0000-0000-0000D7680000}"/>
    <cellStyle name="좋음 25 15" xfId="26459" xr:uid="{00000000-0005-0000-0000-0000D8680000}"/>
    <cellStyle name="좋음 25 2" xfId="3443" xr:uid="{00000000-0005-0000-0000-0000D9680000}"/>
    <cellStyle name="좋음 25 2 2" xfId="26465" xr:uid="{00000000-0005-0000-0000-0000DA680000}"/>
    <cellStyle name="좋음 25 3" xfId="26466" xr:uid="{00000000-0005-0000-0000-0000DB680000}"/>
    <cellStyle name="좋음 25 4" xfId="26467" xr:uid="{00000000-0005-0000-0000-0000DC680000}"/>
    <cellStyle name="좋음 25 5" xfId="26468" xr:uid="{00000000-0005-0000-0000-0000DD680000}"/>
    <cellStyle name="좋음 25 6" xfId="26469" xr:uid="{00000000-0005-0000-0000-0000DE680000}"/>
    <cellStyle name="좋음 25 7" xfId="26470" xr:uid="{00000000-0005-0000-0000-0000DF680000}"/>
    <cellStyle name="좋음 25 8" xfId="26471" xr:uid="{00000000-0005-0000-0000-0000E0680000}"/>
    <cellStyle name="좋음 25 9" xfId="26472" xr:uid="{00000000-0005-0000-0000-0000E1680000}"/>
    <cellStyle name="좋음 26" xfId="3444" xr:uid="{00000000-0005-0000-0000-0000E2680000}"/>
    <cellStyle name="좋음 26 10" xfId="26474" xr:uid="{00000000-0005-0000-0000-0000E3680000}"/>
    <cellStyle name="좋음 26 11" xfId="26475" xr:uid="{00000000-0005-0000-0000-0000E4680000}"/>
    <cellStyle name="좋음 26 12" xfId="26476" xr:uid="{00000000-0005-0000-0000-0000E5680000}"/>
    <cellStyle name="좋음 26 13" xfId="26477" xr:uid="{00000000-0005-0000-0000-0000E6680000}"/>
    <cellStyle name="좋음 26 14" xfId="26478" xr:uid="{00000000-0005-0000-0000-0000E7680000}"/>
    <cellStyle name="좋음 26 15" xfId="26473" xr:uid="{00000000-0005-0000-0000-0000E8680000}"/>
    <cellStyle name="좋음 26 2" xfId="3445" xr:uid="{00000000-0005-0000-0000-0000E9680000}"/>
    <cellStyle name="좋음 26 2 2" xfId="26479" xr:uid="{00000000-0005-0000-0000-0000EA680000}"/>
    <cellStyle name="좋음 26 3" xfId="26480" xr:uid="{00000000-0005-0000-0000-0000EB680000}"/>
    <cellStyle name="좋음 26 4" xfId="26481" xr:uid="{00000000-0005-0000-0000-0000EC680000}"/>
    <cellStyle name="좋음 26 5" xfId="26482" xr:uid="{00000000-0005-0000-0000-0000ED680000}"/>
    <cellStyle name="좋음 26 6" xfId="26483" xr:uid="{00000000-0005-0000-0000-0000EE680000}"/>
    <cellStyle name="좋음 26 7" xfId="26484" xr:uid="{00000000-0005-0000-0000-0000EF680000}"/>
    <cellStyle name="좋음 26 8" xfId="26485" xr:uid="{00000000-0005-0000-0000-0000F0680000}"/>
    <cellStyle name="좋음 26 9" xfId="26486" xr:uid="{00000000-0005-0000-0000-0000F1680000}"/>
    <cellStyle name="좋음 27" xfId="3446" xr:uid="{00000000-0005-0000-0000-0000F2680000}"/>
    <cellStyle name="좋음 27 10" xfId="26488" xr:uid="{00000000-0005-0000-0000-0000F3680000}"/>
    <cellStyle name="좋음 27 11" xfId="26489" xr:uid="{00000000-0005-0000-0000-0000F4680000}"/>
    <cellStyle name="좋음 27 12" xfId="26490" xr:uid="{00000000-0005-0000-0000-0000F5680000}"/>
    <cellStyle name="좋음 27 13" xfId="26491" xr:uid="{00000000-0005-0000-0000-0000F6680000}"/>
    <cellStyle name="좋음 27 14" xfId="26492" xr:uid="{00000000-0005-0000-0000-0000F7680000}"/>
    <cellStyle name="좋음 27 15" xfId="26487" xr:uid="{00000000-0005-0000-0000-0000F8680000}"/>
    <cellStyle name="좋음 27 2" xfId="3447" xr:uid="{00000000-0005-0000-0000-0000F9680000}"/>
    <cellStyle name="좋음 27 2 2" xfId="26493" xr:uid="{00000000-0005-0000-0000-0000FA680000}"/>
    <cellStyle name="좋음 27 3" xfId="26494" xr:uid="{00000000-0005-0000-0000-0000FB680000}"/>
    <cellStyle name="좋음 27 4" xfId="26495" xr:uid="{00000000-0005-0000-0000-0000FC680000}"/>
    <cellStyle name="좋음 27 5" xfId="26496" xr:uid="{00000000-0005-0000-0000-0000FD680000}"/>
    <cellStyle name="좋음 27 6" xfId="26497" xr:uid="{00000000-0005-0000-0000-0000FE680000}"/>
    <cellStyle name="좋음 27 7" xfId="26498" xr:uid="{00000000-0005-0000-0000-0000FF680000}"/>
    <cellStyle name="좋음 27 8" xfId="26499" xr:uid="{00000000-0005-0000-0000-000000690000}"/>
    <cellStyle name="좋음 27 9" xfId="26500" xr:uid="{00000000-0005-0000-0000-000001690000}"/>
    <cellStyle name="좋음 28" xfId="3448" xr:uid="{00000000-0005-0000-0000-000002690000}"/>
    <cellStyle name="좋음 28 10" xfId="26502" xr:uid="{00000000-0005-0000-0000-000003690000}"/>
    <cellStyle name="좋음 28 11" xfId="26503" xr:uid="{00000000-0005-0000-0000-000004690000}"/>
    <cellStyle name="좋음 28 12" xfId="26504" xr:uid="{00000000-0005-0000-0000-000005690000}"/>
    <cellStyle name="좋음 28 13" xfId="26505" xr:uid="{00000000-0005-0000-0000-000006690000}"/>
    <cellStyle name="좋음 28 14" xfId="26506" xr:uid="{00000000-0005-0000-0000-000007690000}"/>
    <cellStyle name="좋음 28 15" xfId="26501" xr:uid="{00000000-0005-0000-0000-000008690000}"/>
    <cellStyle name="좋음 28 2" xfId="3449" xr:uid="{00000000-0005-0000-0000-000009690000}"/>
    <cellStyle name="좋음 28 2 2" xfId="26507" xr:uid="{00000000-0005-0000-0000-00000A690000}"/>
    <cellStyle name="좋음 28 3" xfId="26508" xr:uid="{00000000-0005-0000-0000-00000B690000}"/>
    <cellStyle name="좋음 28 4" xfId="26509" xr:uid="{00000000-0005-0000-0000-00000C690000}"/>
    <cellStyle name="좋음 28 5" xfId="26510" xr:uid="{00000000-0005-0000-0000-00000D690000}"/>
    <cellStyle name="좋음 28 6" xfId="26511" xr:uid="{00000000-0005-0000-0000-00000E690000}"/>
    <cellStyle name="좋음 28 7" xfId="26512" xr:uid="{00000000-0005-0000-0000-00000F690000}"/>
    <cellStyle name="좋음 28 8" xfId="26513" xr:uid="{00000000-0005-0000-0000-000010690000}"/>
    <cellStyle name="좋음 28 9" xfId="26514" xr:uid="{00000000-0005-0000-0000-000011690000}"/>
    <cellStyle name="좋음 29" xfId="3450" xr:uid="{00000000-0005-0000-0000-000012690000}"/>
    <cellStyle name="좋음 29 10" xfId="26516" xr:uid="{00000000-0005-0000-0000-000013690000}"/>
    <cellStyle name="좋음 29 11" xfId="26517" xr:uid="{00000000-0005-0000-0000-000014690000}"/>
    <cellStyle name="좋음 29 12" xfId="26518" xr:uid="{00000000-0005-0000-0000-000015690000}"/>
    <cellStyle name="좋음 29 13" xfId="26519" xr:uid="{00000000-0005-0000-0000-000016690000}"/>
    <cellStyle name="좋음 29 14" xfId="26520" xr:uid="{00000000-0005-0000-0000-000017690000}"/>
    <cellStyle name="좋음 29 15" xfId="26515" xr:uid="{00000000-0005-0000-0000-000018690000}"/>
    <cellStyle name="좋음 29 2" xfId="3451" xr:uid="{00000000-0005-0000-0000-000019690000}"/>
    <cellStyle name="좋음 29 2 2" xfId="26521" xr:uid="{00000000-0005-0000-0000-00001A690000}"/>
    <cellStyle name="좋음 29 3" xfId="26522" xr:uid="{00000000-0005-0000-0000-00001B690000}"/>
    <cellStyle name="좋음 29 4" xfId="26523" xr:uid="{00000000-0005-0000-0000-00001C690000}"/>
    <cellStyle name="좋음 29 5" xfId="26524" xr:uid="{00000000-0005-0000-0000-00001D690000}"/>
    <cellStyle name="좋음 29 6" xfId="26525" xr:uid="{00000000-0005-0000-0000-00001E690000}"/>
    <cellStyle name="좋음 29 7" xfId="26526" xr:uid="{00000000-0005-0000-0000-00001F690000}"/>
    <cellStyle name="좋음 29 8" xfId="26527" xr:uid="{00000000-0005-0000-0000-000020690000}"/>
    <cellStyle name="좋음 29 9" xfId="26528" xr:uid="{00000000-0005-0000-0000-000021690000}"/>
    <cellStyle name="좋음 3" xfId="3452" xr:uid="{00000000-0005-0000-0000-000022690000}"/>
    <cellStyle name="좋음 3 10" xfId="26530" xr:uid="{00000000-0005-0000-0000-000023690000}"/>
    <cellStyle name="좋음 3 11" xfId="26531" xr:uid="{00000000-0005-0000-0000-000024690000}"/>
    <cellStyle name="좋음 3 12" xfId="26532" xr:uid="{00000000-0005-0000-0000-000025690000}"/>
    <cellStyle name="좋음 3 13" xfId="26533" xr:uid="{00000000-0005-0000-0000-000026690000}"/>
    <cellStyle name="좋음 3 14" xfId="26534" xr:uid="{00000000-0005-0000-0000-000027690000}"/>
    <cellStyle name="좋음 3 15" xfId="26529" xr:uid="{00000000-0005-0000-0000-000028690000}"/>
    <cellStyle name="좋음 3 16" xfId="28229" xr:uid="{00000000-0005-0000-0000-000029690000}"/>
    <cellStyle name="좋음 3 2" xfId="3453" xr:uid="{00000000-0005-0000-0000-00002A690000}"/>
    <cellStyle name="좋음 3 2 2" xfId="26535" xr:uid="{00000000-0005-0000-0000-00002B690000}"/>
    <cellStyle name="좋음 3 3" xfId="26536" xr:uid="{00000000-0005-0000-0000-00002C690000}"/>
    <cellStyle name="좋음 3 4" xfId="26537" xr:uid="{00000000-0005-0000-0000-00002D690000}"/>
    <cellStyle name="좋음 3 5" xfId="26538" xr:uid="{00000000-0005-0000-0000-00002E690000}"/>
    <cellStyle name="좋음 3 6" xfId="26539" xr:uid="{00000000-0005-0000-0000-00002F690000}"/>
    <cellStyle name="좋음 3 7" xfId="26540" xr:uid="{00000000-0005-0000-0000-000030690000}"/>
    <cellStyle name="좋음 3 8" xfId="26541" xr:uid="{00000000-0005-0000-0000-000031690000}"/>
    <cellStyle name="좋음 3 9" xfId="26542" xr:uid="{00000000-0005-0000-0000-000032690000}"/>
    <cellStyle name="좋음 30" xfId="3454" xr:uid="{00000000-0005-0000-0000-000033690000}"/>
    <cellStyle name="좋음 30 10" xfId="26544" xr:uid="{00000000-0005-0000-0000-000034690000}"/>
    <cellStyle name="좋음 30 11" xfId="26545" xr:uid="{00000000-0005-0000-0000-000035690000}"/>
    <cellStyle name="좋음 30 12" xfId="26546" xr:uid="{00000000-0005-0000-0000-000036690000}"/>
    <cellStyle name="좋음 30 13" xfId="26547" xr:uid="{00000000-0005-0000-0000-000037690000}"/>
    <cellStyle name="좋음 30 14" xfId="26548" xr:uid="{00000000-0005-0000-0000-000038690000}"/>
    <cellStyle name="좋음 30 15" xfId="26543" xr:uid="{00000000-0005-0000-0000-000039690000}"/>
    <cellStyle name="좋음 30 2" xfId="3455" xr:uid="{00000000-0005-0000-0000-00003A690000}"/>
    <cellStyle name="좋음 30 2 2" xfId="26549" xr:uid="{00000000-0005-0000-0000-00003B690000}"/>
    <cellStyle name="좋음 30 3" xfId="26550" xr:uid="{00000000-0005-0000-0000-00003C690000}"/>
    <cellStyle name="좋음 30 4" xfId="26551" xr:uid="{00000000-0005-0000-0000-00003D690000}"/>
    <cellStyle name="좋음 30 5" xfId="26552" xr:uid="{00000000-0005-0000-0000-00003E690000}"/>
    <cellStyle name="좋음 30 6" xfId="26553" xr:uid="{00000000-0005-0000-0000-00003F690000}"/>
    <cellStyle name="좋음 30 7" xfId="26554" xr:uid="{00000000-0005-0000-0000-000040690000}"/>
    <cellStyle name="좋음 30 8" xfId="26555" xr:uid="{00000000-0005-0000-0000-000041690000}"/>
    <cellStyle name="좋음 30 9" xfId="26556" xr:uid="{00000000-0005-0000-0000-000042690000}"/>
    <cellStyle name="좋음 31" xfId="3456" xr:uid="{00000000-0005-0000-0000-000043690000}"/>
    <cellStyle name="좋음 31 10" xfId="26558" xr:uid="{00000000-0005-0000-0000-000044690000}"/>
    <cellStyle name="좋음 31 11" xfId="26559" xr:uid="{00000000-0005-0000-0000-000045690000}"/>
    <cellStyle name="좋음 31 12" xfId="26560" xr:uid="{00000000-0005-0000-0000-000046690000}"/>
    <cellStyle name="좋음 31 13" xfId="26561" xr:uid="{00000000-0005-0000-0000-000047690000}"/>
    <cellStyle name="좋음 31 14" xfId="26562" xr:uid="{00000000-0005-0000-0000-000048690000}"/>
    <cellStyle name="좋음 31 15" xfId="26557" xr:uid="{00000000-0005-0000-0000-000049690000}"/>
    <cellStyle name="좋음 31 2" xfId="3457" xr:uid="{00000000-0005-0000-0000-00004A690000}"/>
    <cellStyle name="좋음 31 2 2" xfId="26563" xr:uid="{00000000-0005-0000-0000-00004B690000}"/>
    <cellStyle name="좋음 31 3" xfId="26564" xr:uid="{00000000-0005-0000-0000-00004C690000}"/>
    <cellStyle name="좋음 31 4" xfId="26565" xr:uid="{00000000-0005-0000-0000-00004D690000}"/>
    <cellStyle name="좋음 31 5" xfId="26566" xr:uid="{00000000-0005-0000-0000-00004E690000}"/>
    <cellStyle name="좋음 31 6" xfId="26567" xr:uid="{00000000-0005-0000-0000-00004F690000}"/>
    <cellStyle name="좋음 31 7" xfId="26568" xr:uid="{00000000-0005-0000-0000-000050690000}"/>
    <cellStyle name="좋음 31 8" xfId="26569" xr:uid="{00000000-0005-0000-0000-000051690000}"/>
    <cellStyle name="좋음 31 9" xfId="26570" xr:uid="{00000000-0005-0000-0000-000052690000}"/>
    <cellStyle name="좋음 32" xfId="3458" xr:uid="{00000000-0005-0000-0000-000053690000}"/>
    <cellStyle name="좋음 32 10" xfId="26572" xr:uid="{00000000-0005-0000-0000-000054690000}"/>
    <cellStyle name="좋음 32 11" xfId="26573" xr:uid="{00000000-0005-0000-0000-000055690000}"/>
    <cellStyle name="좋음 32 12" xfId="26574" xr:uid="{00000000-0005-0000-0000-000056690000}"/>
    <cellStyle name="좋음 32 13" xfId="26575" xr:uid="{00000000-0005-0000-0000-000057690000}"/>
    <cellStyle name="좋음 32 14" xfId="26576" xr:uid="{00000000-0005-0000-0000-000058690000}"/>
    <cellStyle name="좋음 32 15" xfId="26571" xr:uid="{00000000-0005-0000-0000-000059690000}"/>
    <cellStyle name="좋음 32 2" xfId="3459" xr:uid="{00000000-0005-0000-0000-00005A690000}"/>
    <cellStyle name="좋음 32 2 2" xfId="26577" xr:uid="{00000000-0005-0000-0000-00005B690000}"/>
    <cellStyle name="좋음 32 3" xfId="26578" xr:uid="{00000000-0005-0000-0000-00005C690000}"/>
    <cellStyle name="좋음 32 4" xfId="26579" xr:uid="{00000000-0005-0000-0000-00005D690000}"/>
    <cellStyle name="좋음 32 5" xfId="26580" xr:uid="{00000000-0005-0000-0000-00005E690000}"/>
    <cellStyle name="좋음 32 6" xfId="26581" xr:uid="{00000000-0005-0000-0000-00005F690000}"/>
    <cellStyle name="좋음 32 7" xfId="26582" xr:uid="{00000000-0005-0000-0000-000060690000}"/>
    <cellStyle name="좋음 32 8" xfId="26583" xr:uid="{00000000-0005-0000-0000-000061690000}"/>
    <cellStyle name="좋음 32 9" xfId="26584" xr:uid="{00000000-0005-0000-0000-000062690000}"/>
    <cellStyle name="좋음 33" xfId="3460" xr:uid="{00000000-0005-0000-0000-000063690000}"/>
    <cellStyle name="좋음 33 10" xfId="26586" xr:uid="{00000000-0005-0000-0000-000064690000}"/>
    <cellStyle name="좋음 33 11" xfId="26587" xr:uid="{00000000-0005-0000-0000-000065690000}"/>
    <cellStyle name="좋음 33 12" xfId="26588" xr:uid="{00000000-0005-0000-0000-000066690000}"/>
    <cellStyle name="좋음 33 13" xfId="26589" xr:uid="{00000000-0005-0000-0000-000067690000}"/>
    <cellStyle name="좋음 33 14" xfId="26590" xr:uid="{00000000-0005-0000-0000-000068690000}"/>
    <cellStyle name="좋음 33 15" xfId="26585" xr:uid="{00000000-0005-0000-0000-000069690000}"/>
    <cellStyle name="좋음 33 2" xfId="3461" xr:uid="{00000000-0005-0000-0000-00006A690000}"/>
    <cellStyle name="좋음 33 2 2" xfId="26591" xr:uid="{00000000-0005-0000-0000-00006B690000}"/>
    <cellStyle name="좋음 33 3" xfId="26592" xr:uid="{00000000-0005-0000-0000-00006C690000}"/>
    <cellStyle name="좋음 33 4" xfId="26593" xr:uid="{00000000-0005-0000-0000-00006D690000}"/>
    <cellStyle name="좋음 33 5" xfId="26594" xr:uid="{00000000-0005-0000-0000-00006E690000}"/>
    <cellStyle name="좋음 33 6" xfId="26595" xr:uid="{00000000-0005-0000-0000-00006F690000}"/>
    <cellStyle name="좋음 33 7" xfId="26596" xr:uid="{00000000-0005-0000-0000-000070690000}"/>
    <cellStyle name="좋음 33 8" xfId="26597" xr:uid="{00000000-0005-0000-0000-000071690000}"/>
    <cellStyle name="좋음 33 9" xfId="26598" xr:uid="{00000000-0005-0000-0000-000072690000}"/>
    <cellStyle name="좋음 34" xfId="3462" xr:uid="{00000000-0005-0000-0000-000073690000}"/>
    <cellStyle name="좋음 34 10" xfId="26600" xr:uid="{00000000-0005-0000-0000-000074690000}"/>
    <cellStyle name="좋음 34 11" xfId="26601" xr:uid="{00000000-0005-0000-0000-000075690000}"/>
    <cellStyle name="좋음 34 12" xfId="26602" xr:uid="{00000000-0005-0000-0000-000076690000}"/>
    <cellStyle name="좋음 34 13" xfId="26603" xr:uid="{00000000-0005-0000-0000-000077690000}"/>
    <cellStyle name="좋음 34 14" xfId="26604" xr:uid="{00000000-0005-0000-0000-000078690000}"/>
    <cellStyle name="좋음 34 15" xfId="26599" xr:uid="{00000000-0005-0000-0000-000079690000}"/>
    <cellStyle name="좋음 34 2" xfId="3463" xr:uid="{00000000-0005-0000-0000-00007A690000}"/>
    <cellStyle name="좋음 34 2 2" xfId="26605" xr:uid="{00000000-0005-0000-0000-00007B690000}"/>
    <cellStyle name="좋음 34 3" xfId="26606" xr:uid="{00000000-0005-0000-0000-00007C690000}"/>
    <cellStyle name="좋음 34 4" xfId="26607" xr:uid="{00000000-0005-0000-0000-00007D690000}"/>
    <cellStyle name="좋음 34 5" xfId="26608" xr:uid="{00000000-0005-0000-0000-00007E690000}"/>
    <cellStyle name="좋음 34 6" xfId="26609" xr:uid="{00000000-0005-0000-0000-00007F690000}"/>
    <cellStyle name="좋음 34 7" xfId="26610" xr:uid="{00000000-0005-0000-0000-000080690000}"/>
    <cellStyle name="좋음 34 8" xfId="26611" xr:uid="{00000000-0005-0000-0000-000081690000}"/>
    <cellStyle name="좋음 34 9" xfId="26612" xr:uid="{00000000-0005-0000-0000-000082690000}"/>
    <cellStyle name="좋음 35" xfId="3464" xr:uid="{00000000-0005-0000-0000-000083690000}"/>
    <cellStyle name="좋음 35 10" xfId="26614" xr:uid="{00000000-0005-0000-0000-000084690000}"/>
    <cellStyle name="좋음 35 11" xfId="26615" xr:uid="{00000000-0005-0000-0000-000085690000}"/>
    <cellStyle name="좋음 35 12" xfId="26616" xr:uid="{00000000-0005-0000-0000-000086690000}"/>
    <cellStyle name="좋음 35 13" xfId="26617" xr:uid="{00000000-0005-0000-0000-000087690000}"/>
    <cellStyle name="좋음 35 14" xfId="26618" xr:uid="{00000000-0005-0000-0000-000088690000}"/>
    <cellStyle name="좋음 35 15" xfId="26613" xr:uid="{00000000-0005-0000-0000-000089690000}"/>
    <cellStyle name="좋음 35 2" xfId="3465" xr:uid="{00000000-0005-0000-0000-00008A690000}"/>
    <cellStyle name="좋음 35 2 2" xfId="26619" xr:uid="{00000000-0005-0000-0000-00008B690000}"/>
    <cellStyle name="좋음 35 3" xfId="26620" xr:uid="{00000000-0005-0000-0000-00008C690000}"/>
    <cellStyle name="좋음 35 4" xfId="26621" xr:uid="{00000000-0005-0000-0000-00008D690000}"/>
    <cellStyle name="좋음 35 5" xfId="26622" xr:uid="{00000000-0005-0000-0000-00008E690000}"/>
    <cellStyle name="좋음 35 6" xfId="26623" xr:uid="{00000000-0005-0000-0000-00008F690000}"/>
    <cellStyle name="좋음 35 7" xfId="26624" xr:uid="{00000000-0005-0000-0000-000090690000}"/>
    <cellStyle name="좋음 35 8" xfId="26625" xr:uid="{00000000-0005-0000-0000-000091690000}"/>
    <cellStyle name="좋음 35 9" xfId="26626" xr:uid="{00000000-0005-0000-0000-000092690000}"/>
    <cellStyle name="좋음 36" xfId="3466" xr:uid="{00000000-0005-0000-0000-000093690000}"/>
    <cellStyle name="좋음 36 10" xfId="26628" xr:uid="{00000000-0005-0000-0000-000094690000}"/>
    <cellStyle name="좋음 36 11" xfId="26629" xr:uid="{00000000-0005-0000-0000-000095690000}"/>
    <cellStyle name="좋음 36 12" xfId="26630" xr:uid="{00000000-0005-0000-0000-000096690000}"/>
    <cellStyle name="좋음 36 13" xfId="26631" xr:uid="{00000000-0005-0000-0000-000097690000}"/>
    <cellStyle name="좋음 36 14" xfId="26632" xr:uid="{00000000-0005-0000-0000-000098690000}"/>
    <cellStyle name="좋음 36 15" xfId="26627" xr:uid="{00000000-0005-0000-0000-000099690000}"/>
    <cellStyle name="좋음 36 2" xfId="3467" xr:uid="{00000000-0005-0000-0000-00009A690000}"/>
    <cellStyle name="좋음 36 2 2" xfId="26633" xr:uid="{00000000-0005-0000-0000-00009B690000}"/>
    <cellStyle name="좋음 36 3" xfId="26634" xr:uid="{00000000-0005-0000-0000-00009C690000}"/>
    <cellStyle name="좋음 36 4" xfId="26635" xr:uid="{00000000-0005-0000-0000-00009D690000}"/>
    <cellStyle name="좋음 36 5" xfId="26636" xr:uid="{00000000-0005-0000-0000-00009E690000}"/>
    <cellStyle name="좋음 36 6" xfId="26637" xr:uid="{00000000-0005-0000-0000-00009F690000}"/>
    <cellStyle name="좋음 36 7" xfId="26638" xr:uid="{00000000-0005-0000-0000-0000A0690000}"/>
    <cellStyle name="좋음 36 8" xfId="26639" xr:uid="{00000000-0005-0000-0000-0000A1690000}"/>
    <cellStyle name="좋음 36 9" xfId="26640" xr:uid="{00000000-0005-0000-0000-0000A2690000}"/>
    <cellStyle name="좋음 37" xfId="3468" xr:uid="{00000000-0005-0000-0000-0000A3690000}"/>
    <cellStyle name="좋음 37 10" xfId="26642" xr:uid="{00000000-0005-0000-0000-0000A4690000}"/>
    <cellStyle name="좋음 37 11" xfId="26643" xr:uid="{00000000-0005-0000-0000-0000A5690000}"/>
    <cellStyle name="좋음 37 12" xfId="26644" xr:uid="{00000000-0005-0000-0000-0000A6690000}"/>
    <cellStyle name="좋음 37 13" xfId="26645" xr:uid="{00000000-0005-0000-0000-0000A7690000}"/>
    <cellStyle name="좋음 37 14" xfId="26646" xr:uid="{00000000-0005-0000-0000-0000A8690000}"/>
    <cellStyle name="좋음 37 15" xfId="26641" xr:uid="{00000000-0005-0000-0000-0000A9690000}"/>
    <cellStyle name="좋음 37 2" xfId="3469" xr:uid="{00000000-0005-0000-0000-0000AA690000}"/>
    <cellStyle name="좋음 37 2 2" xfId="26647" xr:uid="{00000000-0005-0000-0000-0000AB690000}"/>
    <cellStyle name="좋음 37 3" xfId="26648" xr:uid="{00000000-0005-0000-0000-0000AC690000}"/>
    <cellStyle name="좋음 37 4" xfId="26649" xr:uid="{00000000-0005-0000-0000-0000AD690000}"/>
    <cellStyle name="좋음 37 5" xfId="26650" xr:uid="{00000000-0005-0000-0000-0000AE690000}"/>
    <cellStyle name="좋음 37 6" xfId="26651" xr:uid="{00000000-0005-0000-0000-0000AF690000}"/>
    <cellStyle name="좋음 37 7" xfId="26652" xr:uid="{00000000-0005-0000-0000-0000B0690000}"/>
    <cellStyle name="좋음 37 8" xfId="26653" xr:uid="{00000000-0005-0000-0000-0000B1690000}"/>
    <cellStyle name="좋음 37 9" xfId="26654" xr:uid="{00000000-0005-0000-0000-0000B2690000}"/>
    <cellStyle name="좋음 38" xfId="3470" xr:uid="{00000000-0005-0000-0000-0000B3690000}"/>
    <cellStyle name="좋음 38 10" xfId="26656" xr:uid="{00000000-0005-0000-0000-0000B4690000}"/>
    <cellStyle name="좋음 38 11" xfId="26657" xr:uid="{00000000-0005-0000-0000-0000B5690000}"/>
    <cellStyle name="좋음 38 12" xfId="26658" xr:uid="{00000000-0005-0000-0000-0000B6690000}"/>
    <cellStyle name="좋음 38 13" xfId="26659" xr:uid="{00000000-0005-0000-0000-0000B7690000}"/>
    <cellStyle name="좋음 38 14" xfId="26660" xr:uid="{00000000-0005-0000-0000-0000B8690000}"/>
    <cellStyle name="좋음 38 15" xfId="26655" xr:uid="{00000000-0005-0000-0000-0000B9690000}"/>
    <cellStyle name="좋음 38 2" xfId="3471" xr:uid="{00000000-0005-0000-0000-0000BA690000}"/>
    <cellStyle name="좋음 38 2 2" xfId="26661" xr:uid="{00000000-0005-0000-0000-0000BB690000}"/>
    <cellStyle name="좋음 38 3" xfId="26662" xr:uid="{00000000-0005-0000-0000-0000BC690000}"/>
    <cellStyle name="좋음 38 4" xfId="26663" xr:uid="{00000000-0005-0000-0000-0000BD690000}"/>
    <cellStyle name="좋음 38 5" xfId="26664" xr:uid="{00000000-0005-0000-0000-0000BE690000}"/>
    <cellStyle name="좋음 38 6" xfId="26665" xr:uid="{00000000-0005-0000-0000-0000BF690000}"/>
    <cellStyle name="좋음 38 7" xfId="26666" xr:uid="{00000000-0005-0000-0000-0000C0690000}"/>
    <cellStyle name="좋음 38 8" xfId="26667" xr:uid="{00000000-0005-0000-0000-0000C1690000}"/>
    <cellStyle name="좋음 38 9" xfId="26668" xr:uid="{00000000-0005-0000-0000-0000C2690000}"/>
    <cellStyle name="좋음 39" xfId="3472" xr:uid="{00000000-0005-0000-0000-0000C3690000}"/>
    <cellStyle name="좋음 39 10" xfId="26670" xr:uid="{00000000-0005-0000-0000-0000C4690000}"/>
    <cellStyle name="좋음 39 11" xfId="26671" xr:uid="{00000000-0005-0000-0000-0000C5690000}"/>
    <cellStyle name="좋음 39 12" xfId="26672" xr:uid="{00000000-0005-0000-0000-0000C6690000}"/>
    <cellStyle name="좋음 39 13" xfId="26673" xr:uid="{00000000-0005-0000-0000-0000C7690000}"/>
    <cellStyle name="좋음 39 14" xfId="26674" xr:uid="{00000000-0005-0000-0000-0000C8690000}"/>
    <cellStyle name="좋음 39 15" xfId="26669" xr:uid="{00000000-0005-0000-0000-0000C9690000}"/>
    <cellStyle name="좋음 39 2" xfId="3473" xr:uid="{00000000-0005-0000-0000-0000CA690000}"/>
    <cellStyle name="좋음 39 2 2" xfId="26675" xr:uid="{00000000-0005-0000-0000-0000CB690000}"/>
    <cellStyle name="좋음 39 3" xfId="26676" xr:uid="{00000000-0005-0000-0000-0000CC690000}"/>
    <cellStyle name="좋음 39 4" xfId="26677" xr:uid="{00000000-0005-0000-0000-0000CD690000}"/>
    <cellStyle name="좋음 39 5" xfId="26678" xr:uid="{00000000-0005-0000-0000-0000CE690000}"/>
    <cellStyle name="좋음 39 6" xfId="26679" xr:uid="{00000000-0005-0000-0000-0000CF690000}"/>
    <cellStyle name="좋음 39 7" xfId="26680" xr:uid="{00000000-0005-0000-0000-0000D0690000}"/>
    <cellStyle name="좋음 39 8" xfId="26681" xr:uid="{00000000-0005-0000-0000-0000D1690000}"/>
    <cellStyle name="좋음 39 9" xfId="26682" xr:uid="{00000000-0005-0000-0000-0000D2690000}"/>
    <cellStyle name="좋음 4" xfId="3474" xr:uid="{00000000-0005-0000-0000-0000D3690000}"/>
    <cellStyle name="좋음 4 10" xfId="26684" xr:uid="{00000000-0005-0000-0000-0000D4690000}"/>
    <cellStyle name="좋음 4 11" xfId="26685" xr:uid="{00000000-0005-0000-0000-0000D5690000}"/>
    <cellStyle name="좋음 4 12" xfId="26686" xr:uid="{00000000-0005-0000-0000-0000D6690000}"/>
    <cellStyle name="좋음 4 13" xfId="26687" xr:uid="{00000000-0005-0000-0000-0000D7690000}"/>
    <cellStyle name="좋음 4 14" xfId="26688" xr:uid="{00000000-0005-0000-0000-0000D8690000}"/>
    <cellStyle name="좋음 4 15" xfId="26683" xr:uid="{00000000-0005-0000-0000-0000D9690000}"/>
    <cellStyle name="좋음 4 16" xfId="27892" xr:uid="{00000000-0005-0000-0000-0000DA690000}"/>
    <cellStyle name="좋음 4 2" xfId="3475" xr:uid="{00000000-0005-0000-0000-0000DB690000}"/>
    <cellStyle name="좋음 4 2 2" xfId="26689" xr:uid="{00000000-0005-0000-0000-0000DC690000}"/>
    <cellStyle name="좋음 4 3" xfId="26690" xr:uid="{00000000-0005-0000-0000-0000DD690000}"/>
    <cellStyle name="좋음 4 4" xfId="26691" xr:uid="{00000000-0005-0000-0000-0000DE690000}"/>
    <cellStyle name="좋음 4 5" xfId="26692" xr:uid="{00000000-0005-0000-0000-0000DF690000}"/>
    <cellStyle name="좋음 4 6" xfId="26693" xr:uid="{00000000-0005-0000-0000-0000E0690000}"/>
    <cellStyle name="좋음 4 7" xfId="26694" xr:uid="{00000000-0005-0000-0000-0000E1690000}"/>
    <cellStyle name="좋음 4 8" xfId="26695" xr:uid="{00000000-0005-0000-0000-0000E2690000}"/>
    <cellStyle name="좋음 4 9" xfId="26696" xr:uid="{00000000-0005-0000-0000-0000E3690000}"/>
    <cellStyle name="좋음 40" xfId="3476" xr:uid="{00000000-0005-0000-0000-0000E4690000}"/>
    <cellStyle name="좋음 40 10" xfId="26698" xr:uid="{00000000-0005-0000-0000-0000E5690000}"/>
    <cellStyle name="좋음 40 11" xfId="26699" xr:uid="{00000000-0005-0000-0000-0000E6690000}"/>
    <cellStyle name="좋음 40 12" xfId="26700" xr:uid="{00000000-0005-0000-0000-0000E7690000}"/>
    <cellStyle name="좋음 40 13" xfId="26701" xr:uid="{00000000-0005-0000-0000-0000E8690000}"/>
    <cellStyle name="좋음 40 14" xfId="26702" xr:uid="{00000000-0005-0000-0000-0000E9690000}"/>
    <cellStyle name="좋음 40 15" xfId="26697" xr:uid="{00000000-0005-0000-0000-0000EA690000}"/>
    <cellStyle name="좋음 40 2" xfId="3477" xr:uid="{00000000-0005-0000-0000-0000EB690000}"/>
    <cellStyle name="좋음 40 2 2" xfId="26703" xr:uid="{00000000-0005-0000-0000-0000EC690000}"/>
    <cellStyle name="좋음 40 3" xfId="26704" xr:uid="{00000000-0005-0000-0000-0000ED690000}"/>
    <cellStyle name="좋음 40 4" xfId="26705" xr:uid="{00000000-0005-0000-0000-0000EE690000}"/>
    <cellStyle name="좋음 40 5" xfId="26706" xr:uid="{00000000-0005-0000-0000-0000EF690000}"/>
    <cellStyle name="좋음 40 6" xfId="26707" xr:uid="{00000000-0005-0000-0000-0000F0690000}"/>
    <cellStyle name="좋음 40 7" xfId="26708" xr:uid="{00000000-0005-0000-0000-0000F1690000}"/>
    <cellStyle name="좋음 40 8" xfId="26709" xr:uid="{00000000-0005-0000-0000-0000F2690000}"/>
    <cellStyle name="좋음 40 9" xfId="26710" xr:uid="{00000000-0005-0000-0000-0000F3690000}"/>
    <cellStyle name="좋음 41" xfId="3478" xr:uid="{00000000-0005-0000-0000-0000F4690000}"/>
    <cellStyle name="좋음 41 10" xfId="26712" xr:uid="{00000000-0005-0000-0000-0000F5690000}"/>
    <cellStyle name="좋음 41 11" xfId="26713" xr:uid="{00000000-0005-0000-0000-0000F6690000}"/>
    <cellStyle name="좋음 41 12" xfId="26714" xr:uid="{00000000-0005-0000-0000-0000F7690000}"/>
    <cellStyle name="좋음 41 13" xfId="26715" xr:uid="{00000000-0005-0000-0000-0000F8690000}"/>
    <cellStyle name="좋음 41 14" xfId="26716" xr:uid="{00000000-0005-0000-0000-0000F9690000}"/>
    <cellStyle name="좋음 41 15" xfId="26711" xr:uid="{00000000-0005-0000-0000-0000FA690000}"/>
    <cellStyle name="좋음 41 2" xfId="3479" xr:uid="{00000000-0005-0000-0000-0000FB690000}"/>
    <cellStyle name="좋음 41 2 2" xfId="26717" xr:uid="{00000000-0005-0000-0000-0000FC690000}"/>
    <cellStyle name="좋음 41 3" xfId="26718" xr:uid="{00000000-0005-0000-0000-0000FD690000}"/>
    <cellStyle name="좋음 41 4" xfId="26719" xr:uid="{00000000-0005-0000-0000-0000FE690000}"/>
    <cellStyle name="좋음 41 5" xfId="26720" xr:uid="{00000000-0005-0000-0000-0000FF690000}"/>
    <cellStyle name="좋음 41 6" xfId="26721" xr:uid="{00000000-0005-0000-0000-0000006A0000}"/>
    <cellStyle name="좋음 41 7" xfId="26722" xr:uid="{00000000-0005-0000-0000-0000016A0000}"/>
    <cellStyle name="좋음 41 8" xfId="26723" xr:uid="{00000000-0005-0000-0000-0000026A0000}"/>
    <cellStyle name="좋음 41 9" xfId="26724" xr:uid="{00000000-0005-0000-0000-0000036A0000}"/>
    <cellStyle name="좋음 42" xfId="3480" xr:uid="{00000000-0005-0000-0000-0000046A0000}"/>
    <cellStyle name="좋음 42 10" xfId="26726" xr:uid="{00000000-0005-0000-0000-0000056A0000}"/>
    <cellStyle name="좋음 42 11" xfId="26727" xr:uid="{00000000-0005-0000-0000-0000066A0000}"/>
    <cellStyle name="좋음 42 12" xfId="26728" xr:uid="{00000000-0005-0000-0000-0000076A0000}"/>
    <cellStyle name="좋음 42 13" xfId="26729" xr:uid="{00000000-0005-0000-0000-0000086A0000}"/>
    <cellStyle name="좋음 42 14" xfId="26730" xr:uid="{00000000-0005-0000-0000-0000096A0000}"/>
    <cellStyle name="좋음 42 15" xfId="26725" xr:uid="{00000000-0005-0000-0000-00000A6A0000}"/>
    <cellStyle name="좋음 42 2" xfId="3481" xr:uid="{00000000-0005-0000-0000-00000B6A0000}"/>
    <cellStyle name="좋음 42 2 2" xfId="26731" xr:uid="{00000000-0005-0000-0000-00000C6A0000}"/>
    <cellStyle name="좋음 42 3" xfId="26732" xr:uid="{00000000-0005-0000-0000-00000D6A0000}"/>
    <cellStyle name="좋음 42 4" xfId="26733" xr:uid="{00000000-0005-0000-0000-00000E6A0000}"/>
    <cellStyle name="좋음 42 5" xfId="26734" xr:uid="{00000000-0005-0000-0000-00000F6A0000}"/>
    <cellStyle name="좋음 42 6" xfId="26735" xr:uid="{00000000-0005-0000-0000-0000106A0000}"/>
    <cellStyle name="좋음 42 7" xfId="26736" xr:uid="{00000000-0005-0000-0000-0000116A0000}"/>
    <cellStyle name="좋음 42 8" xfId="26737" xr:uid="{00000000-0005-0000-0000-0000126A0000}"/>
    <cellStyle name="좋음 42 9" xfId="26738" xr:uid="{00000000-0005-0000-0000-0000136A0000}"/>
    <cellStyle name="좋음 43" xfId="3482" xr:uid="{00000000-0005-0000-0000-0000146A0000}"/>
    <cellStyle name="좋음 43 10" xfId="26740" xr:uid="{00000000-0005-0000-0000-0000156A0000}"/>
    <cellStyle name="좋음 43 11" xfId="26741" xr:uid="{00000000-0005-0000-0000-0000166A0000}"/>
    <cellStyle name="좋음 43 12" xfId="26742" xr:uid="{00000000-0005-0000-0000-0000176A0000}"/>
    <cellStyle name="좋음 43 13" xfId="26743" xr:uid="{00000000-0005-0000-0000-0000186A0000}"/>
    <cellStyle name="좋음 43 14" xfId="26744" xr:uid="{00000000-0005-0000-0000-0000196A0000}"/>
    <cellStyle name="좋음 43 15" xfId="26739" xr:uid="{00000000-0005-0000-0000-00001A6A0000}"/>
    <cellStyle name="좋음 43 2" xfId="3483" xr:uid="{00000000-0005-0000-0000-00001B6A0000}"/>
    <cellStyle name="좋음 43 2 2" xfId="26745" xr:uid="{00000000-0005-0000-0000-00001C6A0000}"/>
    <cellStyle name="좋음 43 3" xfId="26746" xr:uid="{00000000-0005-0000-0000-00001D6A0000}"/>
    <cellStyle name="좋음 43 4" xfId="26747" xr:uid="{00000000-0005-0000-0000-00001E6A0000}"/>
    <cellStyle name="좋음 43 5" xfId="26748" xr:uid="{00000000-0005-0000-0000-00001F6A0000}"/>
    <cellStyle name="좋음 43 6" xfId="26749" xr:uid="{00000000-0005-0000-0000-0000206A0000}"/>
    <cellStyle name="좋음 43 7" xfId="26750" xr:uid="{00000000-0005-0000-0000-0000216A0000}"/>
    <cellStyle name="좋음 43 8" xfId="26751" xr:uid="{00000000-0005-0000-0000-0000226A0000}"/>
    <cellStyle name="좋음 43 9" xfId="26752" xr:uid="{00000000-0005-0000-0000-0000236A0000}"/>
    <cellStyle name="좋음 44" xfId="3484" xr:uid="{00000000-0005-0000-0000-0000246A0000}"/>
    <cellStyle name="좋음 44 2" xfId="26753" xr:uid="{00000000-0005-0000-0000-0000256A0000}"/>
    <cellStyle name="좋음 45" xfId="3485" xr:uid="{00000000-0005-0000-0000-0000266A0000}"/>
    <cellStyle name="좋음 45 2" xfId="26754" xr:uid="{00000000-0005-0000-0000-0000276A0000}"/>
    <cellStyle name="좋음 46" xfId="3409" xr:uid="{00000000-0005-0000-0000-0000286A0000}"/>
    <cellStyle name="좋음 47" xfId="26234" xr:uid="{00000000-0005-0000-0000-0000296A0000}"/>
    <cellStyle name="좋음 5" xfId="3486" xr:uid="{00000000-0005-0000-0000-00002A6A0000}"/>
    <cellStyle name="좋음 5 10" xfId="26756" xr:uid="{00000000-0005-0000-0000-00002B6A0000}"/>
    <cellStyle name="좋음 5 11" xfId="26757" xr:uid="{00000000-0005-0000-0000-00002C6A0000}"/>
    <cellStyle name="좋음 5 12" xfId="26758" xr:uid="{00000000-0005-0000-0000-00002D6A0000}"/>
    <cellStyle name="좋음 5 13" xfId="26759" xr:uid="{00000000-0005-0000-0000-00002E6A0000}"/>
    <cellStyle name="좋음 5 14" xfId="26760" xr:uid="{00000000-0005-0000-0000-00002F6A0000}"/>
    <cellStyle name="좋음 5 15" xfId="26755" xr:uid="{00000000-0005-0000-0000-0000306A0000}"/>
    <cellStyle name="좋음 5 2" xfId="3487" xr:uid="{00000000-0005-0000-0000-0000316A0000}"/>
    <cellStyle name="좋음 5 2 2" xfId="26761" xr:uid="{00000000-0005-0000-0000-0000326A0000}"/>
    <cellStyle name="좋음 5 3" xfId="26762" xr:uid="{00000000-0005-0000-0000-0000336A0000}"/>
    <cellStyle name="좋음 5 4" xfId="26763" xr:uid="{00000000-0005-0000-0000-0000346A0000}"/>
    <cellStyle name="좋음 5 5" xfId="26764" xr:uid="{00000000-0005-0000-0000-0000356A0000}"/>
    <cellStyle name="좋음 5 6" xfId="26765" xr:uid="{00000000-0005-0000-0000-0000366A0000}"/>
    <cellStyle name="좋음 5 7" xfId="26766" xr:uid="{00000000-0005-0000-0000-0000376A0000}"/>
    <cellStyle name="좋음 5 8" xfId="26767" xr:uid="{00000000-0005-0000-0000-0000386A0000}"/>
    <cellStyle name="좋음 5 9" xfId="26768" xr:uid="{00000000-0005-0000-0000-0000396A0000}"/>
    <cellStyle name="좋음 6" xfId="3488" xr:uid="{00000000-0005-0000-0000-00003A6A0000}"/>
    <cellStyle name="좋음 6 10" xfId="26770" xr:uid="{00000000-0005-0000-0000-00003B6A0000}"/>
    <cellStyle name="좋음 6 11" xfId="26771" xr:uid="{00000000-0005-0000-0000-00003C6A0000}"/>
    <cellStyle name="좋음 6 12" xfId="26772" xr:uid="{00000000-0005-0000-0000-00003D6A0000}"/>
    <cellStyle name="좋음 6 13" xfId="26773" xr:uid="{00000000-0005-0000-0000-00003E6A0000}"/>
    <cellStyle name="좋음 6 14" xfId="26774" xr:uid="{00000000-0005-0000-0000-00003F6A0000}"/>
    <cellStyle name="좋음 6 15" xfId="26769" xr:uid="{00000000-0005-0000-0000-0000406A0000}"/>
    <cellStyle name="좋음 6 2" xfId="3489" xr:uid="{00000000-0005-0000-0000-0000416A0000}"/>
    <cellStyle name="좋음 6 2 2" xfId="26775" xr:uid="{00000000-0005-0000-0000-0000426A0000}"/>
    <cellStyle name="좋음 6 3" xfId="26776" xr:uid="{00000000-0005-0000-0000-0000436A0000}"/>
    <cellStyle name="좋음 6 4" xfId="26777" xr:uid="{00000000-0005-0000-0000-0000446A0000}"/>
    <cellStyle name="좋음 6 5" xfId="26778" xr:uid="{00000000-0005-0000-0000-0000456A0000}"/>
    <cellStyle name="좋음 6 6" xfId="26779" xr:uid="{00000000-0005-0000-0000-0000466A0000}"/>
    <cellStyle name="좋음 6 7" xfId="26780" xr:uid="{00000000-0005-0000-0000-0000476A0000}"/>
    <cellStyle name="좋음 6 8" xfId="26781" xr:uid="{00000000-0005-0000-0000-0000486A0000}"/>
    <cellStyle name="좋음 6 9" xfId="26782" xr:uid="{00000000-0005-0000-0000-0000496A0000}"/>
    <cellStyle name="좋음 7" xfId="3490" xr:uid="{00000000-0005-0000-0000-00004A6A0000}"/>
    <cellStyle name="좋음 7 10" xfId="26784" xr:uid="{00000000-0005-0000-0000-00004B6A0000}"/>
    <cellStyle name="좋음 7 11" xfId="26785" xr:uid="{00000000-0005-0000-0000-00004C6A0000}"/>
    <cellStyle name="좋음 7 12" xfId="26786" xr:uid="{00000000-0005-0000-0000-00004D6A0000}"/>
    <cellStyle name="좋음 7 13" xfId="26787" xr:uid="{00000000-0005-0000-0000-00004E6A0000}"/>
    <cellStyle name="좋음 7 14" xfId="26788" xr:uid="{00000000-0005-0000-0000-00004F6A0000}"/>
    <cellStyle name="좋음 7 15" xfId="26783" xr:uid="{00000000-0005-0000-0000-0000506A0000}"/>
    <cellStyle name="좋음 7 2" xfId="3491" xr:uid="{00000000-0005-0000-0000-0000516A0000}"/>
    <cellStyle name="좋음 7 2 2" xfId="26789" xr:uid="{00000000-0005-0000-0000-0000526A0000}"/>
    <cellStyle name="좋음 7 3" xfId="26790" xr:uid="{00000000-0005-0000-0000-0000536A0000}"/>
    <cellStyle name="좋음 7 4" xfId="26791" xr:uid="{00000000-0005-0000-0000-0000546A0000}"/>
    <cellStyle name="좋음 7 5" xfId="26792" xr:uid="{00000000-0005-0000-0000-0000556A0000}"/>
    <cellStyle name="좋음 7 6" xfId="26793" xr:uid="{00000000-0005-0000-0000-0000566A0000}"/>
    <cellStyle name="좋음 7 7" xfId="26794" xr:uid="{00000000-0005-0000-0000-0000576A0000}"/>
    <cellStyle name="좋음 7 8" xfId="26795" xr:uid="{00000000-0005-0000-0000-0000586A0000}"/>
    <cellStyle name="좋음 7 9" xfId="26796" xr:uid="{00000000-0005-0000-0000-0000596A0000}"/>
    <cellStyle name="좋음 8" xfId="3492" xr:uid="{00000000-0005-0000-0000-00005A6A0000}"/>
    <cellStyle name="좋음 8 10" xfId="26798" xr:uid="{00000000-0005-0000-0000-00005B6A0000}"/>
    <cellStyle name="좋음 8 11" xfId="26799" xr:uid="{00000000-0005-0000-0000-00005C6A0000}"/>
    <cellStyle name="좋음 8 12" xfId="26800" xr:uid="{00000000-0005-0000-0000-00005D6A0000}"/>
    <cellStyle name="좋음 8 13" xfId="26801" xr:uid="{00000000-0005-0000-0000-00005E6A0000}"/>
    <cellStyle name="좋음 8 14" xfId="26802" xr:uid="{00000000-0005-0000-0000-00005F6A0000}"/>
    <cellStyle name="좋음 8 15" xfId="26797" xr:uid="{00000000-0005-0000-0000-0000606A0000}"/>
    <cellStyle name="좋음 8 2" xfId="3493" xr:uid="{00000000-0005-0000-0000-0000616A0000}"/>
    <cellStyle name="좋음 8 2 2" xfId="26803" xr:uid="{00000000-0005-0000-0000-0000626A0000}"/>
    <cellStyle name="좋음 8 3" xfId="26804" xr:uid="{00000000-0005-0000-0000-0000636A0000}"/>
    <cellStyle name="좋음 8 4" xfId="26805" xr:uid="{00000000-0005-0000-0000-0000646A0000}"/>
    <cellStyle name="좋음 8 5" xfId="26806" xr:uid="{00000000-0005-0000-0000-0000656A0000}"/>
    <cellStyle name="좋음 8 6" xfId="26807" xr:uid="{00000000-0005-0000-0000-0000666A0000}"/>
    <cellStyle name="좋음 8 7" xfId="26808" xr:uid="{00000000-0005-0000-0000-0000676A0000}"/>
    <cellStyle name="좋음 8 8" xfId="26809" xr:uid="{00000000-0005-0000-0000-0000686A0000}"/>
    <cellStyle name="좋음 8 9" xfId="26810" xr:uid="{00000000-0005-0000-0000-0000696A0000}"/>
    <cellStyle name="좋음 9" xfId="3494" xr:uid="{00000000-0005-0000-0000-00006A6A0000}"/>
    <cellStyle name="좋음 9 10" xfId="26812" xr:uid="{00000000-0005-0000-0000-00006B6A0000}"/>
    <cellStyle name="좋음 9 11" xfId="26813" xr:uid="{00000000-0005-0000-0000-00006C6A0000}"/>
    <cellStyle name="좋음 9 12" xfId="26814" xr:uid="{00000000-0005-0000-0000-00006D6A0000}"/>
    <cellStyle name="좋음 9 13" xfId="26815" xr:uid="{00000000-0005-0000-0000-00006E6A0000}"/>
    <cellStyle name="좋음 9 14" xfId="26816" xr:uid="{00000000-0005-0000-0000-00006F6A0000}"/>
    <cellStyle name="좋음 9 15" xfId="26811" xr:uid="{00000000-0005-0000-0000-0000706A0000}"/>
    <cellStyle name="좋음 9 2" xfId="3495" xr:uid="{00000000-0005-0000-0000-0000716A0000}"/>
    <cellStyle name="좋음 9 2 2" xfId="26817" xr:uid="{00000000-0005-0000-0000-0000726A0000}"/>
    <cellStyle name="좋음 9 3" xfId="26818" xr:uid="{00000000-0005-0000-0000-0000736A0000}"/>
    <cellStyle name="좋음 9 4" xfId="26819" xr:uid="{00000000-0005-0000-0000-0000746A0000}"/>
    <cellStyle name="좋음 9 5" xfId="26820" xr:uid="{00000000-0005-0000-0000-0000756A0000}"/>
    <cellStyle name="좋음 9 6" xfId="26821" xr:uid="{00000000-0005-0000-0000-0000766A0000}"/>
    <cellStyle name="좋음 9 7" xfId="26822" xr:uid="{00000000-0005-0000-0000-0000776A0000}"/>
    <cellStyle name="좋음 9 8" xfId="26823" xr:uid="{00000000-0005-0000-0000-0000786A0000}"/>
    <cellStyle name="좋음 9 9" xfId="26824" xr:uid="{00000000-0005-0000-0000-0000796A0000}"/>
    <cellStyle name="출력 10" xfId="3497" xr:uid="{00000000-0005-0000-0000-00007A6A0000}"/>
    <cellStyle name="출력 10 10" xfId="26827" xr:uid="{00000000-0005-0000-0000-00007B6A0000}"/>
    <cellStyle name="출력 10 11" xfId="26828" xr:uid="{00000000-0005-0000-0000-00007C6A0000}"/>
    <cellStyle name="출력 10 12" xfId="26829" xr:uid="{00000000-0005-0000-0000-00007D6A0000}"/>
    <cellStyle name="출력 10 13" xfId="26830" xr:uid="{00000000-0005-0000-0000-00007E6A0000}"/>
    <cellStyle name="출력 10 14" xfId="26831" xr:uid="{00000000-0005-0000-0000-00007F6A0000}"/>
    <cellStyle name="출력 10 15" xfId="26826" xr:uid="{00000000-0005-0000-0000-0000806A0000}"/>
    <cellStyle name="출력 10 2" xfId="3498" xr:uid="{00000000-0005-0000-0000-0000816A0000}"/>
    <cellStyle name="출력 10 2 2" xfId="26832" xr:uid="{00000000-0005-0000-0000-0000826A0000}"/>
    <cellStyle name="출력 10 3" xfId="26833" xr:uid="{00000000-0005-0000-0000-0000836A0000}"/>
    <cellStyle name="출력 10 4" xfId="26834" xr:uid="{00000000-0005-0000-0000-0000846A0000}"/>
    <cellStyle name="출력 10 5" xfId="26835" xr:uid="{00000000-0005-0000-0000-0000856A0000}"/>
    <cellStyle name="출력 10 6" xfId="26836" xr:uid="{00000000-0005-0000-0000-0000866A0000}"/>
    <cellStyle name="출력 10 7" xfId="26837" xr:uid="{00000000-0005-0000-0000-0000876A0000}"/>
    <cellStyle name="출력 10 8" xfId="26838" xr:uid="{00000000-0005-0000-0000-0000886A0000}"/>
    <cellStyle name="출력 10 9" xfId="26839" xr:uid="{00000000-0005-0000-0000-0000896A0000}"/>
    <cellStyle name="출력 11" xfId="3499" xr:uid="{00000000-0005-0000-0000-00008A6A0000}"/>
    <cellStyle name="출력 11 10" xfId="26841" xr:uid="{00000000-0005-0000-0000-00008B6A0000}"/>
    <cellStyle name="출력 11 11" xfId="26842" xr:uid="{00000000-0005-0000-0000-00008C6A0000}"/>
    <cellStyle name="출력 11 12" xfId="26843" xr:uid="{00000000-0005-0000-0000-00008D6A0000}"/>
    <cellStyle name="출력 11 13" xfId="26844" xr:uid="{00000000-0005-0000-0000-00008E6A0000}"/>
    <cellStyle name="출력 11 14" xfId="26845" xr:uid="{00000000-0005-0000-0000-00008F6A0000}"/>
    <cellStyle name="출력 11 15" xfId="26840" xr:uid="{00000000-0005-0000-0000-0000906A0000}"/>
    <cellStyle name="출력 11 2" xfId="3500" xr:uid="{00000000-0005-0000-0000-0000916A0000}"/>
    <cellStyle name="출력 11 2 2" xfId="26846" xr:uid="{00000000-0005-0000-0000-0000926A0000}"/>
    <cellStyle name="출력 11 3" xfId="26847" xr:uid="{00000000-0005-0000-0000-0000936A0000}"/>
    <cellStyle name="출력 11 4" xfId="26848" xr:uid="{00000000-0005-0000-0000-0000946A0000}"/>
    <cellStyle name="출력 11 5" xfId="26849" xr:uid="{00000000-0005-0000-0000-0000956A0000}"/>
    <cellStyle name="출력 11 6" xfId="26850" xr:uid="{00000000-0005-0000-0000-0000966A0000}"/>
    <cellStyle name="출력 11 7" xfId="26851" xr:uid="{00000000-0005-0000-0000-0000976A0000}"/>
    <cellStyle name="출력 11 8" xfId="26852" xr:uid="{00000000-0005-0000-0000-0000986A0000}"/>
    <cellStyle name="출력 11 9" xfId="26853" xr:uid="{00000000-0005-0000-0000-0000996A0000}"/>
    <cellStyle name="출력 12" xfId="3501" xr:uid="{00000000-0005-0000-0000-00009A6A0000}"/>
    <cellStyle name="출력 12 10" xfId="26855" xr:uid="{00000000-0005-0000-0000-00009B6A0000}"/>
    <cellStyle name="출력 12 11" xfId="26856" xr:uid="{00000000-0005-0000-0000-00009C6A0000}"/>
    <cellStyle name="출력 12 12" xfId="26857" xr:uid="{00000000-0005-0000-0000-00009D6A0000}"/>
    <cellStyle name="출력 12 13" xfId="26858" xr:uid="{00000000-0005-0000-0000-00009E6A0000}"/>
    <cellStyle name="출력 12 14" xfId="26859" xr:uid="{00000000-0005-0000-0000-00009F6A0000}"/>
    <cellStyle name="출력 12 15" xfId="26854" xr:uid="{00000000-0005-0000-0000-0000A06A0000}"/>
    <cellStyle name="출력 12 2" xfId="3502" xr:uid="{00000000-0005-0000-0000-0000A16A0000}"/>
    <cellStyle name="출력 12 2 2" xfId="26860" xr:uid="{00000000-0005-0000-0000-0000A26A0000}"/>
    <cellStyle name="출력 12 3" xfId="26861" xr:uid="{00000000-0005-0000-0000-0000A36A0000}"/>
    <cellStyle name="출력 12 4" xfId="26862" xr:uid="{00000000-0005-0000-0000-0000A46A0000}"/>
    <cellStyle name="출력 12 5" xfId="26863" xr:uid="{00000000-0005-0000-0000-0000A56A0000}"/>
    <cellStyle name="출력 12 6" xfId="26864" xr:uid="{00000000-0005-0000-0000-0000A66A0000}"/>
    <cellStyle name="출력 12 7" xfId="26865" xr:uid="{00000000-0005-0000-0000-0000A76A0000}"/>
    <cellStyle name="출력 12 8" xfId="26866" xr:uid="{00000000-0005-0000-0000-0000A86A0000}"/>
    <cellStyle name="출력 12 9" xfId="26867" xr:uid="{00000000-0005-0000-0000-0000A96A0000}"/>
    <cellStyle name="출력 13" xfId="3503" xr:uid="{00000000-0005-0000-0000-0000AA6A0000}"/>
    <cellStyle name="출력 13 10" xfId="26869" xr:uid="{00000000-0005-0000-0000-0000AB6A0000}"/>
    <cellStyle name="출력 13 11" xfId="26870" xr:uid="{00000000-0005-0000-0000-0000AC6A0000}"/>
    <cellStyle name="출력 13 12" xfId="26871" xr:uid="{00000000-0005-0000-0000-0000AD6A0000}"/>
    <cellStyle name="출력 13 13" xfId="26872" xr:uid="{00000000-0005-0000-0000-0000AE6A0000}"/>
    <cellStyle name="출력 13 14" xfId="26873" xr:uid="{00000000-0005-0000-0000-0000AF6A0000}"/>
    <cellStyle name="출력 13 15" xfId="26868" xr:uid="{00000000-0005-0000-0000-0000B06A0000}"/>
    <cellStyle name="출력 13 2" xfId="3504" xr:uid="{00000000-0005-0000-0000-0000B16A0000}"/>
    <cellStyle name="출력 13 2 2" xfId="26874" xr:uid="{00000000-0005-0000-0000-0000B26A0000}"/>
    <cellStyle name="출력 13 3" xfId="26875" xr:uid="{00000000-0005-0000-0000-0000B36A0000}"/>
    <cellStyle name="출력 13 4" xfId="26876" xr:uid="{00000000-0005-0000-0000-0000B46A0000}"/>
    <cellStyle name="출력 13 5" xfId="26877" xr:uid="{00000000-0005-0000-0000-0000B56A0000}"/>
    <cellStyle name="출력 13 6" xfId="26878" xr:uid="{00000000-0005-0000-0000-0000B66A0000}"/>
    <cellStyle name="출력 13 7" xfId="26879" xr:uid="{00000000-0005-0000-0000-0000B76A0000}"/>
    <cellStyle name="출력 13 8" xfId="26880" xr:uid="{00000000-0005-0000-0000-0000B86A0000}"/>
    <cellStyle name="출력 13 9" xfId="26881" xr:uid="{00000000-0005-0000-0000-0000B96A0000}"/>
    <cellStyle name="출력 14" xfId="3505" xr:uid="{00000000-0005-0000-0000-0000BA6A0000}"/>
    <cellStyle name="출력 14 10" xfId="26883" xr:uid="{00000000-0005-0000-0000-0000BB6A0000}"/>
    <cellStyle name="출력 14 11" xfId="26884" xr:uid="{00000000-0005-0000-0000-0000BC6A0000}"/>
    <cellStyle name="출력 14 12" xfId="26885" xr:uid="{00000000-0005-0000-0000-0000BD6A0000}"/>
    <cellStyle name="출력 14 13" xfId="26886" xr:uid="{00000000-0005-0000-0000-0000BE6A0000}"/>
    <cellStyle name="출력 14 14" xfId="26887" xr:uid="{00000000-0005-0000-0000-0000BF6A0000}"/>
    <cellStyle name="출력 14 15" xfId="26882" xr:uid="{00000000-0005-0000-0000-0000C06A0000}"/>
    <cellStyle name="출력 14 2" xfId="3506" xr:uid="{00000000-0005-0000-0000-0000C16A0000}"/>
    <cellStyle name="출력 14 2 2" xfId="26888" xr:uid="{00000000-0005-0000-0000-0000C26A0000}"/>
    <cellStyle name="출력 14 3" xfId="26889" xr:uid="{00000000-0005-0000-0000-0000C36A0000}"/>
    <cellStyle name="출력 14 4" xfId="26890" xr:uid="{00000000-0005-0000-0000-0000C46A0000}"/>
    <cellStyle name="출력 14 5" xfId="26891" xr:uid="{00000000-0005-0000-0000-0000C56A0000}"/>
    <cellStyle name="출력 14 6" xfId="26892" xr:uid="{00000000-0005-0000-0000-0000C66A0000}"/>
    <cellStyle name="출력 14 7" xfId="26893" xr:uid="{00000000-0005-0000-0000-0000C76A0000}"/>
    <cellStyle name="출력 14 8" xfId="26894" xr:uid="{00000000-0005-0000-0000-0000C86A0000}"/>
    <cellStyle name="출력 14 9" xfId="26895" xr:uid="{00000000-0005-0000-0000-0000C96A0000}"/>
    <cellStyle name="출력 15" xfId="3507" xr:uid="{00000000-0005-0000-0000-0000CA6A0000}"/>
    <cellStyle name="출력 15 10" xfId="26897" xr:uid="{00000000-0005-0000-0000-0000CB6A0000}"/>
    <cellStyle name="출력 15 11" xfId="26898" xr:uid="{00000000-0005-0000-0000-0000CC6A0000}"/>
    <cellStyle name="출력 15 12" xfId="26899" xr:uid="{00000000-0005-0000-0000-0000CD6A0000}"/>
    <cellStyle name="출력 15 13" xfId="26900" xr:uid="{00000000-0005-0000-0000-0000CE6A0000}"/>
    <cellStyle name="출력 15 14" xfId="26901" xr:uid="{00000000-0005-0000-0000-0000CF6A0000}"/>
    <cellStyle name="출력 15 15" xfId="26896" xr:uid="{00000000-0005-0000-0000-0000D06A0000}"/>
    <cellStyle name="출력 15 2" xfId="3508" xr:uid="{00000000-0005-0000-0000-0000D16A0000}"/>
    <cellStyle name="출력 15 2 2" xfId="26902" xr:uid="{00000000-0005-0000-0000-0000D26A0000}"/>
    <cellStyle name="출력 15 3" xfId="26903" xr:uid="{00000000-0005-0000-0000-0000D36A0000}"/>
    <cellStyle name="출력 15 4" xfId="26904" xr:uid="{00000000-0005-0000-0000-0000D46A0000}"/>
    <cellStyle name="출력 15 5" xfId="26905" xr:uid="{00000000-0005-0000-0000-0000D56A0000}"/>
    <cellStyle name="출력 15 6" xfId="26906" xr:uid="{00000000-0005-0000-0000-0000D66A0000}"/>
    <cellStyle name="출력 15 7" xfId="26907" xr:uid="{00000000-0005-0000-0000-0000D76A0000}"/>
    <cellStyle name="출력 15 8" xfId="26908" xr:uid="{00000000-0005-0000-0000-0000D86A0000}"/>
    <cellStyle name="출력 15 9" xfId="26909" xr:uid="{00000000-0005-0000-0000-0000D96A0000}"/>
    <cellStyle name="출력 16" xfId="3509" xr:uid="{00000000-0005-0000-0000-0000DA6A0000}"/>
    <cellStyle name="출력 16 10" xfId="26911" xr:uid="{00000000-0005-0000-0000-0000DB6A0000}"/>
    <cellStyle name="출력 16 11" xfId="26912" xr:uid="{00000000-0005-0000-0000-0000DC6A0000}"/>
    <cellStyle name="출력 16 12" xfId="26913" xr:uid="{00000000-0005-0000-0000-0000DD6A0000}"/>
    <cellStyle name="출력 16 13" xfId="26914" xr:uid="{00000000-0005-0000-0000-0000DE6A0000}"/>
    <cellStyle name="출력 16 14" xfId="26915" xr:uid="{00000000-0005-0000-0000-0000DF6A0000}"/>
    <cellStyle name="출력 16 15" xfId="26910" xr:uid="{00000000-0005-0000-0000-0000E06A0000}"/>
    <cellStyle name="출력 16 2" xfId="3510" xr:uid="{00000000-0005-0000-0000-0000E16A0000}"/>
    <cellStyle name="출력 16 2 2" xfId="26916" xr:uid="{00000000-0005-0000-0000-0000E26A0000}"/>
    <cellStyle name="출력 16 3" xfId="26917" xr:uid="{00000000-0005-0000-0000-0000E36A0000}"/>
    <cellStyle name="출력 16 4" xfId="26918" xr:uid="{00000000-0005-0000-0000-0000E46A0000}"/>
    <cellStyle name="출력 16 5" xfId="26919" xr:uid="{00000000-0005-0000-0000-0000E56A0000}"/>
    <cellStyle name="출력 16 6" xfId="26920" xr:uid="{00000000-0005-0000-0000-0000E66A0000}"/>
    <cellStyle name="출력 16 7" xfId="26921" xr:uid="{00000000-0005-0000-0000-0000E76A0000}"/>
    <cellStyle name="출력 16 8" xfId="26922" xr:uid="{00000000-0005-0000-0000-0000E86A0000}"/>
    <cellStyle name="출력 16 9" xfId="26923" xr:uid="{00000000-0005-0000-0000-0000E96A0000}"/>
    <cellStyle name="출력 17" xfId="3511" xr:uid="{00000000-0005-0000-0000-0000EA6A0000}"/>
    <cellStyle name="출력 17 10" xfId="26925" xr:uid="{00000000-0005-0000-0000-0000EB6A0000}"/>
    <cellStyle name="출력 17 11" xfId="26926" xr:uid="{00000000-0005-0000-0000-0000EC6A0000}"/>
    <cellStyle name="출력 17 12" xfId="26927" xr:uid="{00000000-0005-0000-0000-0000ED6A0000}"/>
    <cellStyle name="출력 17 13" xfId="26928" xr:uid="{00000000-0005-0000-0000-0000EE6A0000}"/>
    <cellStyle name="출력 17 14" xfId="26929" xr:uid="{00000000-0005-0000-0000-0000EF6A0000}"/>
    <cellStyle name="출력 17 15" xfId="26924" xr:uid="{00000000-0005-0000-0000-0000F06A0000}"/>
    <cellStyle name="출력 17 2" xfId="3512" xr:uid="{00000000-0005-0000-0000-0000F16A0000}"/>
    <cellStyle name="출력 17 2 2" xfId="26930" xr:uid="{00000000-0005-0000-0000-0000F26A0000}"/>
    <cellStyle name="출력 17 3" xfId="26931" xr:uid="{00000000-0005-0000-0000-0000F36A0000}"/>
    <cellStyle name="출력 17 4" xfId="26932" xr:uid="{00000000-0005-0000-0000-0000F46A0000}"/>
    <cellStyle name="출력 17 5" xfId="26933" xr:uid="{00000000-0005-0000-0000-0000F56A0000}"/>
    <cellStyle name="출력 17 6" xfId="26934" xr:uid="{00000000-0005-0000-0000-0000F66A0000}"/>
    <cellStyle name="출력 17 7" xfId="26935" xr:uid="{00000000-0005-0000-0000-0000F76A0000}"/>
    <cellStyle name="출력 17 8" xfId="26936" xr:uid="{00000000-0005-0000-0000-0000F86A0000}"/>
    <cellStyle name="출력 17 9" xfId="26937" xr:uid="{00000000-0005-0000-0000-0000F96A0000}"/>
    <cellStyle name="출력 18" xfId="3513" xr:uid="{00000000-0005-0000-0000-0000FA6A0000}"/>
    <cellStyle name="출력 18 10" xfId="26939" xr:uid="{00000000-0005-0000-0000-0000FB6A0000}"/>
    <cellStyle name="출력 18 11" xfId="26940" xr:uid="{00000000-0005-0000-0000-0000FC6A0000}"/>
    <cellStyle name="출력 18 12" xfId="26941" xr:uid="{00000000-0005-0000-0000-0000FD6A0000}"/>
    <cellStyle name="출력 18 13" xfId="26942" xr:uid="{00000000-0005-0000-0000-0000FE6A0000}"/>
    <cellStyle name="출력 18 14" xfId="26943" xr:uid="{00000000-0005-0000-0000-0000FF6A0000}"/>
    <cellStyle name="출력 18 15" xfId="26938" xr:uid="{00000000-0005-0000-0000-0000006B0000}"/>
    <cellStyle name="출력 18 2" xfId="3514" xr:uid="{00000000-0005-0000-0000-0000016B0000}"/>
    <cellStyle name="출력 18 2 2" xfId="26944" xr:uid="{00000000-0005-0000-0000-0000026B0000}"/>
    <cellStyle name="출력 18 3" xfId="26945" xr:uid="{00000000-0005-0000-0000-0000036B0000}"/>
    <cellStyle name="출력 18 4" xfId="26946" xr:uid="{00000000-0005-0000-0000-0000046B0000}"/>
    <cellStyle name="출력 18 5" xfId="26947" xr:uid="{00000000-0005-0000-0000-0000056B0000}"/>
    <cellStyle name="출력 18 6" xfId="26948" xr:uid="{00000000-0005-0000-0000-0000066B0000}"/>
    <cellStyle name="출력 18 7" xfId="26949" xr:uid="{00000000-0005-0000-0000-0000076B0000}"/>
    <cellStyle name="출력 18 8" xfId="26950" xr:uid="{00000000-0005-0000-0000-0000086B0000}"/>
    <cellStyle name="출력 18 9" xfId="26951" xr:uid="{00000000-0005-0000-0000-0000096B0000}"/>
    <cellStyle name="출력 19" xfId="3515" xr:uid="{00000000-0005-0000-0000-00000A6B0000}"/>
    <cellStyle name="출력 19 10" xfId="26953" xr:uid="{00000000-0005-0000-0000-00000B6B0000}"/>
    <cellStyle name="출력 19 11" xfId="26954" xr:uid="{00000000-0005-0000-0000-00000C6B0000}"/>
    <cellStyle name="출력 19 12" xfId="26955" xr:uid="{00000000-0005-0000-0000-00000D6B0000}"/>
    <cellStyle name="출력 19 13" xfId="26956" xr:uid="{00000000-0005-0000-0000-00000E6B0000}"/>
    <cellStyle name="출력 19 14" xfId="26957" xr:uid="{00000000-0005-0000-0000-00000F6B0000}"/>
    <cellStyle name="출력 19 15" xfId="26952" xr:uid="{00000000-0005-0000-0000-0000106B0000}"/>
    <cellStyle name="출력 19 2" xfId="3516" xr:uid="{00000000-0005-0000-0000-0000116B0000}"/>
    <cellStyle name="출력 19 2 2" xfId="26958" xr:uid="{00000000-0005-0000-0000-0000126B0000}"/>
    <cellStyle name="출력 19 3" xfId="26959" xr:uid="{00000000-0005-0000-0000-0000136B0000}"/>
    <cellStyle name="출력 19 4" xfId="26960" xr:uid="{00000000-0005-0000-0000-0000146B0000}"/>
    <cellStyle name="출력 19 5" xfId="26961" xr:uid="{00000000-0005-0000-0000-0000156B0000}"/>
    <cellStyle name="출력 19 6" xfId="26962" xr:uid="{00000000-0005-0000-0000-0000166B0000}"/>
    <cellStyle name="출력 19 7" xfId="26963" xr:uid="{00000000-0005-0000-0000-0000176B0000}"/>
    <cellStyle name="출력 19 8" xfId="26964" xr:uid="{00000000-0005-0000-0000-0000186B0000}"/>
    <cellStyle name="출력 19 9" xfId="26965" xr:uid="{00000000-0005-0000-0000-0000196B0000}"/>
    <cellStyle name="출력 2" xfId="3517" xr:uid="{00000000-0005-0000-0000-00001A6B0000}"/>
    <cellStyle name="출력 2 10" xfId="26967" xr:uid="{00000000-0005-0000-0000-00001B6B0000}"/>
    <cellStyle name="출력 2 11" xfId="26968" xr:uid="{00000000-0005-0000-0000-00001C6B0000}"/>
    <cellStyle name="출력 2 12" xfId="26969" xr:uid="{00000000-0005-0000-0000-00001D6B0000}"/>
    <cellStyle name="출력 2 13" xfId="26970" xr:uid="{00000000-0005-0000-0000-00001E6B0000}"/>
    <cellStyle name="출력 2 14" xfId="26971" xr:uid="{00000000-0005-0000-0000-00001F6B0000}"/>
    <cellStyle name="출력 2 15" xfId="26966" xr:uid="{00000000-0005-0000-0000-0000206B0000}"/>
    <cellStyle name="출력 2 16" xfId="27984" xr:uid="{00000000-0005-0000-0000-0000216B0000}"/>
    <cellStyle name="출력 2 2" xfId="3518" xr:uid="{00000000-0005-0000-0000-0000226B0000}"/>
    <cellStyle name="출력 2 2 2" xfId="26972" xr:uid="{00000000-0005-0000-0000-0000236B0000}"/>
    <cellStyle name="출력 2 3" xfId="26973" xr:uid="{00000000-0005-0000-0000-0000246B0000}"/>
    <cellStyle name="출력 2 4" xfId="26974" xr:uid="{00000000-0005-0000-0000-0000256B0000}"/>
    <cellStyle name="출력 2 5" xfId="26975" xr:uid="{00000000-0005-0000-0000-0000266B0000}"/>
    <cellStyle name="출력 2 6" xfId="26976" xr:uid="{00000000-0005-0000-0000-0000276B0000}"/>
    <cellStyle name="출력 2 7" xfId="26977" xr:uid="{00000000-0005-0000-0000-0000286B0000}"/>
    <cellStyle name="출력 2 8" xfId="26978" xr:uid="{00000000-0005-0000-0000-0000296B0000}"/>
    <cellStyle name="출력 2 9" xfId="26979" xr:uid="{00000000-0005-0000-0000-00002A6B0000}"/>
    <cellStyle name="출력 20" xfId="3519" xr:uid="{00000000-0005-0000-0000-00002B6B0000}"/>
    <cellStyle name="출력 20 10" xfId="26981" xr:uid="{00000000-0005-0000-0000-00002C6B0000}"/>
    <cellStyle name="출력 20 11" xfId="26982" xr:uid="{00000000-0005-0000-0000-00002D6B0000}"/>
    <cellStyle name="출력 20 12" xfId="26983" xr:uid="{00000000-0005-0000-0000-00002E6B0000}"/>
    <cellStyle name="출력 20 13" xfId="26984" xr:uid="{00000000-0005-0000-0000-00002F6B0000}"/>
    <cellStyle name="출력 20 14" xfId="26985" xr:uid="{00000000-0005-0000-0000-0000306B0000}"/>
    <cellStyle name="출력 20 15" xfId="26980" xr:uid="{00000000-0005-0000-0000-0000316B0000}"/>
    <cellStyle name="출력 20 2" xfId="3520" xr:uid="{00000000-0005-0000-0000-0000326B0000}"/>
    <cellStyle name="출력 20 2 2" xfId="26986" xr:uid="{00000000-0005-0000-0000-0000336B0000}"/>
    <cellStyle name="출력 20 3" xfId="26987" xr:uid="{00000000-0005-0000-0000-0000346B0000}"/>
    <cellStyle name="출력 20 4" xfId="26988" xr:uid="{00000000-0005-0000-0000-0000356B0000}"/>
    <cellStyle name="출력 20 5" xfId="26989" xr:uid="{00000000-0005-0000-0000-0000366B0000}"/>
    <cellStyle name="출력 20 6" xfId="26990" xr:uid="{00000000-0005-0000-0000-0000376B0000}"/>
    <cellStyle name="출력 20 7" xfId="26991" xr:uid="{00000000-0005-0000-0000-0000386B0000}"/>
    <cellStyle name="출력 20 8" xfId="26992" xr:uid="{00000000-0005-0000-0000-0000396B0000}"/>
    <cellStyle name="출력 20 9" xfId="26993" xr:uid="{00000000-0005-0000-0000-00003A6B0000}"/>
    <cellStyle name="출력 21" xfId="3521" xr:uid="{00000000-0005-0000-0000-00003B6B0000}"/>
    <cellStyle name="출력 21 10" xfId="26995" xr:uid="{00000000-0005-0000-0000-00003C6B0000}"/>
    <cellStyle name="출력 21 11" xfId="26996" xr:uid="{00000000-0005-0000-0000-00003D6B0000}"/>
    <cellStyle name="출력 21 12" xfId="26997" xr:uid="{00000000-0005-0000-0000-00003E6B0000}"/>
    <cellStyle name="출력 21 13" xfId="26998" xr:uid="{00000000-0005-0000-0000-00003F6B0000}"/>
    <cellStyle name="출력 21 14" xfId="26999" xr:uid="{00000000-0005-0000-0000-0000406B0000}"/>
    <cellStyle name="출력 21 15" xfId="26994" xr:uid="{00000000-0005-0000-0000-0000416B0000}"/>
    <cellStyle name="출력 21 2" xfId="3522" xr:uid="{00000000-0005-0000-0000-0000426B0000}"/>
    <cellStyle name="출력 21 2 2" xfId="27000" xr:uid="{00000000-0005-0000-0000-0000436B0000}"/>
    <cellStyle name="출력 21 3" xfId="27001" xr:uid="{00000000-0005-0000-0000-0000446B0000}"/>
    <cellStyle name="출력 21 4" xfId="27002" xr:uid="{00000000-0005-0000-0000-0000456B0000}"/>
    <cellStyle name="출력 21 5" xfId="27003" xr:uid="{00000000-0005-0000-0000-0000466B0000}"/>
    <cellStyle name="출력 21 6" xfId="27004" xr:uid="{00000000-0005-0000-0000-0000476B0000}"/>
    <cellStyle name="출력 21 7" xfId="27005" xr:uid="{00000000-0005-0000-0000-0000486B0000}"/>
    <cellStyle name="출력 21 8" xfId="27006" xr:uid="{00000000-0005-0000-0000-0000496B0000}"/>
    <cellStyle name="출력 21 9" xfId="27007" xr:uid="{00000000-0005-0000-0000-00004A6B0000}"/>
    <cellStyle name="출력 22" xfId="3523" xr:uid="{00000000-0005-0000-0000-00004B6B0000}"/>
    <cellStyle name="출력 22 10" xfId="27009" xr:uid="{00000000-0005-0000-0000-00004C6B0000}"/>
    <cellStyle name="출력 22 11" xfId="27010" xr:uid="{00000000-0005-0000-0000-00004D6B0000}"/>
    <cellStyle name="출력 22 12" xfId="27011" xr:uid="{00000000-0005-0000-0000-00004E6B0000}"/>
    <cellStyle name="출력 22 13" xfId="27012" xr:uid="{00000000-0005-0000-0000-00004F6B0000}"/>
    <cellStyle name="출력 22 14" xfId="27013" xr:uid="{00000000-0005-0000-0000-0000506B0000}"/>
    <cellStyle name="출력 22 15" xfId="27008" xr:uid="{00000000-0005-0000-0000-0000516B0000}"/>
    <cellStyle name="출력 22 2" xfId="3524" xr:uid="{00000000-0005-0000-0000-0000526B0000}"/>
    <cellStyle name="출력 22 2 2" xfId="27014" xr:uid="{00000000-0005-0000-0000-0000536B0000}"/>
    <cellStyle name="출력 22 3" xfId="27015" xr:uid="{00000000-0005-0000-0000-0000546B0000}"/>
    <cellStyle name="출력 22 4" xfId="27016" xr:uid="{00000000-0005-0000-0000-0000556B0000}"/>
    <cellStyle name="출력 22 5" xfId="27017" xr:uid="{00000000-0005-0000-0000-0000566B0000}"/>
    <cellStyle name="출력 22 6" xfId="27018" xr:uid="{00000000-0005-0000-0000-0000576B0000}"/>
    <cellStyle name="출력 22 7" xfId="27019" xr:uid="{00000000-0005-0000-0000-0000586B0000}"/>
    <cellStyle name="출력 22 8" xfId="27020" xr:uid="{00000000-0005-0000-0000-0000596B0000}"/>
    <cellStyle name="출력 22 9" xfId="27021" xr:uid="{00000000-0005-0000-0000-00005A6B0000}"/>
    <cellStyle name="출력 23" xfId="3525" xr:uid="{00000000-0005-0000-0000-00005B6B0000}"/>
    <cellStyle name="출력 23 10" xfId="27023" xr:uid="{00000000-0005-0000-0000-00005C6B0000}"/>
    <cellStyle name="출력 23 11" xfId="27024" xr:uid="{00000000-0005-0000-0000-00005D6B0000}"/>
    <cellStyle name="출력 23 12" xfId="27025" xr:uid="{00000000-0005-0000-0000-00005E6B0000}"/>
    <cellStyle name="출력 23 13" xfId="27026" xr:uid="{00000000-0005-0000-0000-00005F6B0000}"/>
    <cellStyle name="출력 23 14" xfId="27027" xr:uid="{00000000-0005-0000-0000-0000606B0000}"/>
    <cellStyle name="출력 23 15" xfId="27022" xr:uid="{00000000-0005-0000-0000-0000616B0000}"/>
    <cellStyle name="출력 23 2" xfId="3526" xr:uid="{00000000-0005-0000-0000-0000626B0000}"/>
    <cellStyle name="출력 23 2 2" xfId="27028" xr:uid="{00000000-0005-0000-0000-0000636B0000}"/>
    <cellStyle name="출력 23 3" xfId="27029" xr:uid="{00000000-0005-0000-0000-0000646B0000}"/>
    <cellStyle name="출력 23 4" xfId="27030" xr:uid="{00000000-0005-0000-0000-0000656B0000}"/>
    <cellStyle name="출력 23 5" xfId="27031" xr:uid="{00000000-0005-0000-0000-0000666B0000}"/>
    <cellStyle name="출력 23 6" xfId="27032" xr:uid="{00000000-0005-0000-0000-0000676B0000}"/>
    <cellStyle name="출력 23 7" xfId="27033" xr:uid="{00000000-0005-0000-0000-0000686B0000}"/>
    <cellStyle name="출력 23 8" xfId="27034" xr:uid="{00000000-0005-0000-0000-0000696B0000}"/>
    <cellStyle name="출력 23 9" xfId="27035" xr:uid="{00000000-0005-0000-0000-00006A6B0000}"/>
    <cellStyle name="출력 24" xfId="3527" xr:uid="{00000000-0005-0000-0000-00006B6B0000}"/>
    <cellStyle name="출력 24 10" xfId="27037" xr:uid="{00000000-0005-0000-0000-00006C6B0000}"/>
    <cellStyle name="출력 24 11" xfId="27038" xr:uid="{00000000-0005-0000-0000-00006D6B0000}"/>
    <cellStyle name="출력 24 12" xfId="27039" xr:uid="{00000000-0005-0000-0000-00006E6B0000}"/>
    <cellStyle name="출력 24 13" xfId="27040" xr:uid="{00000000-0005-0000-0000-00006F6B0000}"/>
    <cellStyle name="출력 24 14" xfId="27041" xr:uid="{00000000-0005-0000-0000-0000706B0000}"/>
    <cellStyle name="출력 24 15" xfId="27036" xr:uid="{00000000-0005-0000-0000-0000716B0000}"/>
    <cellStyle name="출력 24 2" xfId="3528" xr:uid="{00000000-0005-0000-0000-0000726B0000}"/>
    <cellStyle name="출력 24 2 2" xfId="27042" xr:uid="{00000000-0005-0000-0000-0000736B0000}"/>
    <cellStyle name="출력 24 3" xfId="27043" xr:uid="{00000000-0005-0000-0000-0000746B0000}"/>
    <cellStyle name="출력 24 4" xfId="27044" xr:uid="{00000000-0005-0000-0000-0000756B0000}"/>
    <cellStyle name="출력 24 5" xfId="27045" xr:uid="{00000000-0005-0000-0000-0000766B0000}"/>
    <cellStyle name="출력 24 6" xfId="27046" xr:uid="{00000000-0005-0000-0000-0000776B0000}"/>
    <cellStyle name="출력 24 7" xfId="27047" xr:uid="{00000000-0005-0000-0000-0000786B0000}"/>
    <cellStyle name="출력 24 8" xfId="27048" xr:uid="{00000000-0005-0000-0000-0000796B0000}"/>
    <cellStyle name="출력 24 9" xfId="27049" xr:uid="{00000000-0005-0000-0000-00007A6B0000}"/>
    <cellStyle name="출력 25" xfId="3529" xr:uid="{00000000-0005-0000-0000-00007B6B0000}"/>
    <cellStyle name="출력 25 10" xfId="27051" xr:uid="{00000000-0005-0000-0000-00007C6B0000}"/>
    <cellStyle name="출력 25 11" xfId="27052" xr:uid="{00000000-0005-0000-0000-00007D6B0000}"/>
    <cellStyle name="출력 25 12" xfId="27053" xr:uid="{00000000-0005-0000-0000-00007E6B0000}"/>
    <cellStyle name="출력 25 13" xfId="27054" xr:uid="{00000000-0005-0000-0000-00007F6B0000}"/>
    <cellStyle name="출력 25 14" xfId="27055" xr:uid="{00000000-0005-0000-0000-0000806B0000}"/>
    <cellStyle name="출력 25 15" xfId="27050" xr:uid="{00000000-0005-0000-0000-0000816B0000}"/>
    <cellStyle name="출력 25 2" xfId="3530" xr:uid="{00000000-0005-0000-0000-0000826B0000}"/>
    <cellStyle name="출력 25 2 2" xfId="27056" xr:uid="{00000000-0005-0000-0000-0000836B0000}"/>
    <cellStyle name="출력 25 3" xfId="27057" xr:uid="{00000000-0005-0000-0000-0000846B0000}"/>
    <cellStyle name="출력 25 4" xfId="27058" xr:uid="{00000000-0005-0000-0000-0000856B0000}"/>
    <cellStyle name="출력 25 5" xfId="27059" xr:uid="{00000000-0005-0000-0000-0000866B0000}"/>
    <cellStyle name="출력 25 6" xfId="27060" xr:uid="{00000000-0005-0000-0000-0000876B0000}"/>
    <cellStyle name="출력 25 7" xfId="27061" xr:uid="{00000000-0005-0000-0000-0000886B0000}"/>
    <cellStyle name="출력 25 8" xfId="27062" xr:uid="{00000000-0005-0000-0000-0000896B0000}"/>
    <cellStyle name="출력 25 9" xfId="27063" xr:uid="{00000000-0005-0000-0000-00008A6B0000}"/>
    <cellStyle name="출력 26" xfId="3531" xr:uid="{00000000-0005-0000-0000-00008B6B0000}"/>
    <cellStyle name="출력 26 10" xfId="27065" xr:uid="{00000000-0005-0000-0000-00008C6B0000}"/>
    <cellStyle name="출력 26 11" xfId="27066" xr:uid="{00000000-0005-0000-0000-00008D6B0000}"/>
    <cellStyle name="출력 26 12" xfId="27067" xr:uid="{00000000-0005-0000-0000-00008E6B0000}"/>
    <cellStyle name="출력 26 13" xfId="27068" xr:uid="{00000000-0005-0000-0000-00008F6B0000}"/>
    <cellStyle name="출력 26 14" xfId="27069" xr:uid="{00000000-0005-0000-0000-0000906B0000}"/>
    <cellStyle name="출력 26 15" xfId="27064" xr:uid="{00000000-0005-0000-0000-0000916B0000}"/>
    <cellStyle name="출력 26 2" xfId="3532" xr:uid="{00000000-0005-0000-0000-0000926B0000}"/>
    <cellStyle name="출력 26 2 2" xfId="27070" xr:uid="{00000000-0005-0000-0000-0000936B0000}"/>
    <cellStyle name="출력 26 3" xfId="27071" xr:uid="{00000000-0005-0000-0000-0000946B0000}"/>
    <cellStyle name="출력 26 4" xfId="27072" xr:uid="{00000000-0005-0000-0000-0000956B0000}"/>
    <cellStyle name="출력 26 5" xfId="27073" xr:uid="{00000000-0005-0000-0000-0000966B0000}"/>
    <cellStyle name="출력 26 6" xfId="27074" xr:uid="{00000000-0005-0000-0000-0000976B0000}"/>
    <cellStyle name="출력 26 7" xfId="27075" xr:uid="{00000000-0005-0000-0000-0000986B0000}"/>
    <cellStyle name="출력 26 8" xfId="27076" xr:uid="{00000000-0005-0000-0000-0000996B0000}"/>
    <cellStyle name="출력 26 9" xfId="27077" xr:uid="{00000000-0005-0000-0000-00009A6B0000}"/>
    <cellStyle name="출력 27" xfId="3533" xr:uid="{00000000-0005-0000-0000-00009B6B0000}"/>
    <cellStyle name="출력 27 10" xfId="27079" xr:uid="{00000000-0005-0000-0000-00009C6B0000}"/>
    <cellStyle name="출력 27 11" xfId="27080" xr:uid="{00000000-0005-0000-0000-00009D6B0000}"/>
    <cellStyle name="출력 27 12" xfId="27081" xr:uid="{00000000-0005-0000-0000-00009E6B0000}"/>
    <cellStyle name="출력 27 13" xfId="27082" xr:uid="{00000000-0005-0000-0000-00009F6B0000}"/>
    <cellStyle name="출력 27 14" xfId="27083" xr:uid="{00000000-0005-0000-0000-0000A06B0000}"/>
    <cellStyle name="출력 27 15" xfId="27078" xr:uid="{00000000-0005-0000-0000-0000A16B0000}"/>
    <cellStyle name="출력 27 2" xfId="3534" xr:uid="{00000000-0005-0000-0000-0000A26B0000}"/>
    <cellStyle name="출력 27 2 2" xfId="27084" xr:uid="{00000000-0005-0000-0000-0000A36B0000}"/>
    <cellStyle name="출력 27 3" xfId="27085" xr:uid="{00000000-0005-0000-0000-0000A46B0000}"/>
    <cellStyle name="출력 27 4" xfId="27086" xr:uid="{00000000-0005-0000-0000-0000A56B0000}"/>
    <cellStyle name="출력 27 5" xfId="27087" xr:uid="{00000000-0005-0000-0000-0000A66B0000}"/>
    <cellStyle name="출력 27 6" xfId="27088" xr:uid="{00000000-0005-0000-0000-0000A76B0000}"/>
    <cellStyle name="출력 27 7" xfId="27089" xr:uid="{00000000-0005-0000-0000-0000A86B0000}"/>
    <cellStyle name="출력 27 8" xfId="27090" xr:uid="{00000000-0005-0000-0000-0000A96B0000}"/>
    <cellStyle name="출력 27 9" xfId="27091" xr:uid="{00000000-0005-0000-0000-0000AA6B0000}"/>
    <cellStyle name="출력 28" xfId="3535" xr:uid="{00000000-0005-0000-0000-0000AB6B0000}"/>
    <cellStyle name="출력 28 10" xfId="27093" xr:uid="{00000000-0005-0000-0000-0000AC6B0000}"/>
    <cellStyle name="출력 28 11" xfId="27094" xr:uid="{00000000-0005-0000-0000-0000AD6B0000}"/>
    <cellStyle name="출력 28 12" xfId="27095" xr:uid="{00000000-0005-0000-0000-0000AE6B0000}"/>
    <cellStyle name="출력 28 13" xfId="27096" xr:uid="{00000000-0005-0000-0000-0000AF6B0000}"/>
    <cellStyle name="출력 28 14" xfId="27097" xr:uid="{00000000-0005-0000-0000-0000B06B0000}"/>
    <cellStyle name="출력 28 15" xfId="27092" xr:uid="{00000000-0005-0000-0000-0000B16B0000}"/>
    <cellStyle name="출력 28 2" xfId="3536" xr:uid="{00000000-0005-0000-0000-0000B26B0000}"/>
    <cellStyle name="출력 28 2 2" xfId="27098" xr:uid="{00000000-0005-0000-0000-0000B36B0000}"/>
    <cellStyle name="출력 28 3" xfId="27099" xr:uid="{00000000-0005-0000-0000-0000B46B0000}"/>
    <cellStyle name="출력 28 4" xfId="27100" xr:uid="{00000000-0005-0000-0000-0000B56B0000}"/>
    <cellStyle name="출력 28 5" xfId="27101" xr:uid="{00000000-0005-0000-0000-0000B66B0000}"/>
    <cellStyle name="출력 28 6" xfId="27102" xr:uid="{00000000-0005-0000-0000-0000B76B0000}"/>
    <cellStyle name="출력 28 7" xfId="27103" xr:uid="{00000000-0005-0000-0000-0000B86B0000}"/>
    <cellStyle name="출력 28 8" xfId="27104" xr:uid="{00000000-0005-0000-0000-0000B96B0000}"/>
    <cellStyle name="출력 28 9" xfId="27105" xr:uid="{00000000-0005-0000-0000-0000BA6B0000}"/>
    <cellStyle name="출력 29" xfId="3537" xr:uid="{00000000-0005-0000-0000-0000BB6B0000}"/>
    <cellStyle name="출력 29 10" xfId="27107" xr:uid="{00000000-0005-0000-0000-0000BC6B0000}"/>
    <cellStyle name="출력 29 11" xfId="27108" xr:uid="{00000000-0005-0000-0000-0000BD6B0000}"/>
    <cellStyle name="출력 29 12" xfId="27109" xr:uid="{00000000-0005-0000-0000-0000BE6B0000}"/>
    <cellStyle name="출력 29 13" xfId="27110" xr:uid="{00000000-0005-0000-0000-0000BF6B0000}"/>
    <cellStyle name="출력 29 14" xfId="27111" xr:uid="{00000000-0005-0000-0000-0000C06B0000}"/>
    <cellStyle name="출력 29 15" xfId="27106" xr:uid="{00000000-0005-0000-0000-0000C16B0000}"/>
    <cellStyle name="출력 29 2" xfId="3538" xr:uid="{00000000-0005-0000-0000-0000C26B0000}"/>
    <cellStyle name="출력 29 2 2" xfId="27112" xr:uid="{00000000-0005-0000-0000-0000C36B0000}"/>
    <cellStyle name="출력 29 3" xfId="27113" xr:uid="{00000000-0005-0000-0000-0000C46B0000}"/>
    <cellStyle name="출력 29 4" xfId="27114" xr:uid="{00000000-0005-0000-0000-0000C56B0000}"/>
    <cellStyle name="출력 29 5" xfId="27115" xr:uid="{00000000-0005-0000-0000-0000C66B0000}"/>
    <cellStyle name="출력 29 6" xfId="27116" xr:uid="{00000000-0005-0000-0000-0000C76B0000}"/>
    <cellStyle name="출력 29 7" xfId="27117" xr:uid="{00000000-0005-0000-0000-0000C86B0000}"/>
    <cellStyle name="출력 29 8" xfId="27118" xr:uid="{00000000-0005-0000-0000-0000C96B0000}"/>
    <cellStyle name="출력 29 9" xfId="27119" xr:uid="{00000000-0005-0000-0000-0000CA6B0000}"/>
    <cellStyle name="출력 3" xfId="3539" xr:uid="{00000000-0005-0000-0000-0000CB6B0000}"/>
    <cellStyle name="출력 3 10" xfId="27121" xr:uid="{00000000-0005-0000-0000-0000CC6B0000}"/>
    <cellStyle name="출력 3 11" xfId="27122" xr:uid="{00000000-0005-0000-0000-0000CD6B0000}"/>
    <cellStyle name="출력 3 12" xfId="27123" xr:uid="{00000000-0005-0000-0000-0000CE6B0000}"/>
    <cellStyle name="출력 3 13" xfId="27124" xr:uid="{00000000-0005-0000-0000-0000CF6B0000}"/>
    <cellStyle name="출력 3 14" xfId="27125" xr:uid="{00000000-0005-0000-0000-0000D06B0000}"/>
    <cellStyle name="출력 3 15" xfId="27120" xr:uid="{00000000-0005-0000-0000-0000D16B0000}"/>
    <cellStyle name="출력 3 16" xfId="28230" xr:uid="{00000000-0005-0000-0000-0000D26B0000}"/>
    <cellStyle name="출력 3 2" xfId="3540" xr:uid="{00000000-0005-0000-0000-0000D36B0000}"/>
    <cellStyle name="출력 3 2 2" xfId="27126" xr:uid="{00000000-0005-0000-0000-0000D46B0000}"/>
    <cellStyle name="출력 3 3" xfId="27127" xr:uid="{00000000-0005-0000-0000-0000D56B0000}"/>
    <cellStyle name="출력 3 4" xfId="27128" xr:uid="{00000000-0005-0000-0000-0000D66B0000}"/>
    <cellStyle name="출력 3 5" xfId="27129" xr:uid="{00000000-0005-0000-0000-0000D76B0000}"/>
    <cellStyle name="출력 3 6" xfId="27130" xr:uid="{00000000-0005-0000-0000-0000D86B0000}"/>
    <cellStyle name="출력 3 7" xfId="27131" xr:uid="{00000000-0005-0000-0000-0000D96B0000}"/>
    <cellStyle name="출력 3 8" xfId="27132" xr:uid="{00000000-0005-0000-0000-0000DA6B0000}"/>
    <cellStyle name="출력 3 9" xfId="27133" xr:uid="{00000000-0005-0000-0000-0000DB6B0000}"/>
    <cellStyle name="출력 30" xfId="3541" xr:uid="{00000000-0005-0000-0000-0000DC6B0000}"/>
    <cellStyle name="출력 30 10" xfId="27135" xr:uid="{00000000-0005-0000-0000-0000DD6B0000}"/>
    <cellStyle name="출력 30 11" xfId="27136" xr:uid="{00000000-0005-0000-0000-0000DE6B0000}"/>
    <cellStyle name="출력 30 12" xfId="27137" xr:uid="{00000000-0005-0000-0000-0000DF6B0000}"/>
    <cellStyle name="출력 30 13" xfId="27138" xr:uid="{00000000-0005-0000-0000-0000E06B0000}"/>
    <cellStyle name="출력 30 14" xfId="27139" xr:uid="{00000000-0005-0000-0000-0000E16B0000}"/>
    <cellStyle name="출력 30 15" xfId="27134" xr:uid="{00000000-0005-0000-0000-0000E26B0000}"/>
    <cellStyle name="출력 30 2" xfId="3542" xr:uid="{00000000-0005-0000-0000-0000E36B0000}"/>
    <cellStyle name="출력 30 2 2" xfId="27140" xr:uid="{00000000-0005-0000-0000-0000E46B0000}"/>
    <cellStyle name="출력 30 3" xfId="27141" xr:uid="{00000000-0005-0000-0000-0000E56B0000}"/>
    <cellStyle name="출력 30 4" xfId="27142" xr:uid="{00000000-0005-0000-0000-0000E66B0000}"/>
    <cellStyle name="출력 30 5" xfId="27143" xr:uid="{00000000-0005-0000-0000-0000E76B0000}"/>
    <cellStyle name="출력 30 6" xfId="27144" xr:uid="{00000000-0005-0000-0000-0000E86B0000}"/>
    <cellStyle name="출력 30 7" xfId="27145" xr:uid="{00000000-0005-0000-0000-0000E96B0000}"/>
    <cellStyle name="출력 30 8" xfId="27146" xr:uid="{00000000-0005-0000-0000-0000EA6B0000}"/>
    <cellStyle name="출력 30 9" xfId="27147" xr:uid="{00000000-0005-0000-0000-0000EB6B0000}"/>
    <cellStyle name="출력 31" xfId="3543" xr:uid="{00000000-0005-0000-0000-0000EC6B0000}"/>
    <cellStyle name="출력 31 10" xfId="27149" xr:uid="{00000000-0005-0000-0000-0000ED6B0000}"/>
    <cellStyle name="출력 31 11" xfId="27150" xr:uid="{00000000-0005-0000-0000-0000EE6B0000}"/>
    <cellStyle name="출력 31 12" xfId="27151" xr:uid="{00000000-0005-0000-0000-0000EF6B0000}"/>
    <cellStyle name="출력 31 13" xfId="27152" xr:uid="{00000000-0005-0000-0000-0000F06B0000}"/>
    <cellStyle name="출력 31 14" xfId="27153" xr:uid="{00000000-0005-0000-0000-0000F16B0000}"/>
    <cellStyle name="출력 31 15" xfId="27148" xr:uid="{00000000-0005-0000-0000-0000F26B0000}"/>
    <cellStyle name="출력 31 2" xfId="3544" xr:uid="{00000000-0005-0000-0000-0000F36B0000}"/>
    <cellStyle name="출력 31 2 2" xfId="27154" xr:uid="{00000000-0005-0000-0000-0000F46B0000}"/>
    <cellStyle name="출력 31 3" xfId="27155" xr:uid="{00000000-0005-0000-0000-0000F56B0000}"/>
    <cellStyle name="출력 31 4" xfId="27156" xr:uid="{00000000-0005-0000-0000-0000F66B0000}"/>
    <cellStyle name="출력 31 5" xfId="27157" xr:uid="{00000000-0005-0000-0000-0000F76B0000}"/>
    <cellStyle name="출력 31 6" xfId="27158" xr:uid="{00000000-0005-0000-0000-0000F86B0000}"/>
    <cellStyle name="출력 31 7" xfId="27159" xr:uid="{00000000-0005-0000-0000-0000F96B0000}"/>
    <cellStyle name="출력 31 8" xfId="27160" xr:uid="{00000000-0005-0000-0000-0000FA6B0000}"/>
    <cellStyle name="출력 31 9" xfId="27161" xr:uid="{00000000-0005-0000-0000-0000FB6B0000}"/>
    <cellStyle name="출력 32" xfId="3545" xr:uid="{00000000-0005-0000-0000-0000FC6B0000}"/>
    <cellStyle name="출력 32 10" xfId="27163" xr:uid="{00000000-0005-0000-0000-0000FD6B0000}"/>
    <cellStyle name="출력 32 11" xfId="27164" xr:uid="{00000000-0005-0000-0000-0000FE6B0000}"/>
    <cellStyle name="출력 32 12" xfId="27165" xr:uid="{00000000-0005-0000-0000-0000FF6B0000}"/>
    <cellStyle name="출력 32 13" xfId="27166" xr:uid="{00000000-0005-0000-0000-0000006C0000}"/>
    <cellStyle name="출력 32 14" xfId="27167" xr:uid="{00000000-0005-0000-0000-0000016C0000}"/>
    <cellStyle name="출력 32 15" xfId="27162" xr:uid="{00000000-0005-0000-0000-0000026C0000}"/>
    <cellStyle name="출력 32 2" xfId="3546" xr:uid="{00000000-0005-0000-0000-0000036C0000}"/>
    <cellStyle name="출력 32 2 2" xfId="27168" xr:uid="{00000000-0005-0000-0000-0000046C0000}"/>
    <cellStyle name="출력 32 3" xfId="27169" xr:uid="{00000000-0005-0000-0000-0000056C0000}"/>
    <cellStyle name="출력 32 4" xfId="27170" xr:uid="{00000000-0005-0000-0000-0000066C0000}"/>
    <cellStyle name="출력 32 5" xfId="27171" xr:uid="{00000000-0005-0000-0000-0000076C0000}"/>
    <cellStyle name="출력 32 6" xfId="27172" xr:uid="{00000000-0005-0000-0000-0000086C0000}"/>
    <cellStyle name="출력 32 7" xfId="27173" xr:uid="{00000000-0005-0000-0000-0000096C0000}"/>
    <cellStyle name="출력 32 8" xfId="27174" xr:uid="{00000000-0005-0000-0000-00000A6C0000}"/>
    <cellStyle name="출력 32 9" xfId="27175" xr:uid="{00000000-0005-0000-0000-00000B6C0000}"/>
    <cellStyle name="출력 33" xfId="3547" xr:uid="{00000000-0005-0000-0000-00000C6C0000}"/>
    <cellStyle name="출력 33 10" xfId="27177" xr:uid="{00000000-0005-0000-0000-00000D6C0000}"/>
    <cellStyle name="출력 33 11" xfId="27178" xr:uid="{00000000-0005-0000-0000-00000E6C0000}"/>
    <cellStyle name="출력 33 12" xfId="27179" xr:uid="{00000000-0005-0000-0000-00000F6C0000}"/>
    <cellStyle name="출력 33 13" xfId="27180" xr:uid="{00000000-0005-0000-0000-0000106C0000}"/>
    <cellStyle name="출력 33 14" xfId="27181" xr:uid="{00000000-0005-0000-0000-0000116C0000}"/>
    <cellStyle name="출력 33 15" xfId="27176" xr:uid="{00000000-0005-0000-0000-0000126C0000}"/>
    <cellStyle name="출력 33 2" xfId="3548" xr:uid="{00000000-0005-0000-0000-0000136C0000}"/>
    <cellStyle name="출력 33 2 2" xfId="27182" xr:uid="{00000000-0005-0000-0000-0000146C0000}"/>
    <cellStyle name="출력 33 3" xfId="27183" xr:uid="{00000000-0005-0000-0000-0000156C0000}"/>
    <cellStyle name="출력 33 4" xfId="27184" xr:uid="{00000000-0005-0000-0000-0000166C0000}"/>
    <cellStyle name="출력 33 5" xfId="27185" xr:uid="{00000000-0005-0000-0000-0000176C0000}"/>
    <cellStyle name="출력 33 6" xfId="27186" xr:uid="{00000000-0005-0000-0000-0000186C0000}"/>
    <cellStyle name="출력 33 7" xfId="27187" xr:uid="{00000000-0005-0000-0000-0000196C0000}"/>
    <cellStyle name="출력 33 8" xfId="27188" xr:uid="{00000000-0005-0000-0000-00001A6C0000}"/>
    <cellStyle name="출력 33 9" xfId="27189" xr:uid="{00000000-0005-0000-0000-00001B6C0000}"/>
    <cellStyle name="출력 34" xfId="3549" xr:uid="{00000000-0005-0000-0000-00001C6C0000}"/>
    <cellStyle name="출력 34 10" xfId="27191" xr:uid="{00000000-0005-0000-0000-00001D6C0000}"/>
    <cellStyle name="출력 34 11" xfId="27192" xr:uid="{00000000-0005-0000-0000-00001E6C0000}"/>
    <cellStyle name="출력 34 12" xfId="27193" xr:uid="{00000000-0005-0000-0000-00001F6C0000}"/>
    <cellStyle name="출력 34 13" xfId="27194" xr:uid="{00000000-0005-0000-0000-0000206C0000}"/>
    <cellStyle name="출력 34 14" xfId="27195" xr:uid="{00000000-0005-0000-0000-0000216C0000}"/>
    <cellStyle name="출력 34 15" xfId="27190" xr:uid="{00000000-0005-0000-0000-0000226C0000}"/>
    <cellStyle name="출력 34 2" xfId="3550" xr:uid="{00000000-0005-0000-0000-0000236C0000}"/>
    <cellStyle name="출력 34 2 2" xfId="27196" xr:uid="{00000000-0005-0000-0000-0000246C0000}"/>
    <cellStyle name="출력 34 3" xfId="27197" xr:uid="{00000000-0005-0000-0000-0000256C0000}"/>
    <cellStyle name="출력 34 4" xfId="27198" xr:uid="{00000000-0005-0000-0000-0000266C0000}"/>
    <cellStyle name="출력 34 5" xfId="27199" xr:uid="{00000000-0005-0000-0000-0000276C0000}"/>
    <cellStyle name="출력 34 6" xfId="27200" xr:uid="{00000000-0005-0000-0000-0000286C0000}"/>
    <cellStyle name="출력 34 7" xfId="27201" xr:uid="{00000000-0005-0000-0000-0000296C0000}"/>
    <cellStyle name="출력 34 8" xfId="27202" xr:uid="{00000000-0005-0000-0000-00002A6C0000}"/>
    <cellStyle name="출력 34 9" xfId="27203" xr:uid="{00000000-0005-0000-0000-00002B6C0000}"/>
    <cellStyle name="출력 35" xfId="3551" xr:uid="{00000000-0005-0000-0000-00002C6C0000}"/>
    <cellStyle name="출력 35 10" xfId="27205" xr:uid="{00000000-0005-0000-0000-00002D6C0000}"/>
    <cellStyle name="출력 35 11" xfId="27206" xr:uid="{00000000-0005-0000-0000-00002E6C0000}"/>
    <cellStyle name="출력 35 12" xfId="27207" xr:uid="{00000000-0005-0000-0000-00002F6C0000}"/>
    <cellStyle name="출력 35 13" xfId="27208" xr:uid="{00000000-0005-0000-0000-0000306C0000}"/>
    <cellStyle name="출력 35 14" xfId="27209" xr:uid="{00000000-0005-0000-0000-0000316C0000}"/>
    <cellStyle name="출력 35 15" xfId="27204" xr:uid="{00000000-0005-0000-0000-0000326C0000}"/>
    <cellStyle name="출력 35 2" xfId="3552" xr:uid="{00000000-0005-0000-0000-0000336C0000}"/>
    <cellStyle name="출력 35 2 2" xfId="27210" xr:uid="{00000000-0005-0000-0000-0000346C0000}"/>
    <cellStyle name="출력 35 3" xfId="27211" xr:uid="{00000000-0005-0000-0000-0000356C0000}"/>
    <cellStyle name="출력 35 4" xfId="27212" xr:uid="{00000000-0005-0000-0000-0000366C0000}"/>
    <cellStyle name="출력 35 5" xfId="27213" xr:uid="{00000000-0005-0000-0000-0000376C0000}"/>
    <cellStyle name="출력 35 6" xfId="27214" xr:uid="{00000000-0005-0000-0000-0000386C0000}"/>
    <cellStyle name="출력 35 7" xfId="27215" xr:uid="{00000000-0005-0000-0000-0000396C0000}"/>
    <cellStyle name="출력 35 8" xfId="27216" xr:uid="{00000000-0005-0000-0000-00003A6C0000}"/>
    <cellStyle name="출력 35 9" xfId="27217" xr:uid="{00000000-0005-0000-0000-00003B6C0000}"/>
    <cellStyle name="출력 36" xfId="3553" xr:uid="{00000000-0005-0000-0000-00003C6C0000}"/>
    <cellStyle name="출력 36 10" xfId="27219" xr:uid="{00000000-0005-0000-0000-00003D6C0000}"/>
    <cellStyle name="출력 36 11" xfId="27220" xr:uid="{00000000-0005-0000-0000-00003E6C0000}"/>
    <cellStyle name="출력 36 12" xfId="27221" xr:uid="{00000000-0005-0000-0000-00003F6C0000}"/>
    <cellStyle name="출력 36 13" xfId="27222" xr:uid="{00000000-0005-0000-0000-0000406C0000}"/>
    <cellStyle name="출력 36 14" xfId="27223" xr:uid="{00000000-0005-0000-0000-0000416C0000}"/>
    <cellStyle name="출력 36 15" xfId="27218" xr:uid="{00000000-0005-0000-0000-0000426C0000}"/>
    <cellStyle name="출력 36 2" xfId="3554" xr:uid="{00000000-0005-0000-0000-0000436C0000}"/>
    <cellStyle name="출력 36 2 2" xfId="27224" xr:uid="{00000000-0005-0000-0000-0000446C0000}"/>
    <cellStyle name="출력 36 3" xfId="27225" xr:uid="{00000000-0005-0000-0000-0000456C0000}"/>
    <cellStyle name="출력 36 4" xfId="27226" xr:uid="{00000000-0005-0000-0000-0000466C0000}"/>
    <cellStyle name="출력 36 5" xfId="27227" xr:uid="{00000000-0005-0000-0000-0000476C0000}"/>
    <cellStyle name="출력 36 6" xfId="27228" xr:uid="{00000000-0005-0000-0000-0000486C0000}"/>
    <cellStyle name="출력 36 7" xfId="27229" xr:uid="{00000000-0005-0000-0000-0000496C0000}"/>
    <cellStyle name="출력 36 8" xfId="27230" xr:uid="{00000000-0005-0000-0000-00004A6C0000}"/>
    <cellStyle name="출력 36 9" xfId="27231" xr:uid="{00000000-0005-0000-0000-00004B6C0000}"/>
    <cellStyle name="출력 37" xfId="3555" xr:uid="{00000000-0005-0000-0000-00004C6C0000}"/>
    <cellStyle name="출력 37 10" xfId="27233" xr:uid="{00000000-0005-0000-0000-00004D6C0000}"/>
    <cellStyle name="출력 37 11" xfId="27234" xr:uid="{00000000-0005-0000-0000-00004E6C0000}"/>
    <cellStyle name="출력 37 12" xfId="27235" xr:uid="{00000000-0005-0000-0000-00004F6C0000}"/>
    <cellStyle name="출력 37 13" xfId="27236" xr:uid="{00000000-0005-0000-0000-0000506C0000}"/>
    <cellStyle name="출력 37 14" xfId="27237" xr:uid="{00000000-0005-0000-0000-0000516C0000}"/>
    <cellStyle name="출력 37 15" xfId="27232" xr:uid="{00000000-0005-0000-0000-0000526C0000}"/>
    <cellStyle name="출력 37 2" xfId="3556" xr:uid="{00000000-0005-0000-0000-0000536C0000}"/>
    <cellStyle name="출력 37 2 2" xfId="27238" xr:uid="{00000000-0005-0000-0000-0000546C0000}"/>
    <cellStyle name="출력 37 3" xfId="27239" xr:uid="{00000000-0005-0000-0000-0000556C0000}"/>
    <cellStyle name="출력 37 4" xfId="27240" xr:uid="{00000000-0005-0000-0000-0000566C0000}"/>
    <cellStyle name="출력 37 5" xfId="27241" xr:uid="{00000000-0005-0000-0000-0000576C0000}"/>
    <cellStyle name="출력 37 6" xfId="27242" xr:uid="{00000000-0005-0000-0000-0000586C0000}"/>
    <cellStyle name="출력 37 7" xfId="27243" xr:uid="{00000000-0005-0000-0000-0000596C0000}"/>
    <cellStyle name="출력 37 8" xfId="27244" xr:uid="{00000000-0005-0000-0000-00005A6C0000}"/>
    <cellStyle name="출력 37 9" xfId="27245" xr:uid="{00000000-0005-0000-0000-00005B6C0000}"/>
    <cellStyle name="출력 38" xfId="3557" xr:uid="{00000000-0005-0000-0000-00005C6C0000}"/>
    <cellStyle name="출력 38 10" xfId="27247" xr:uid="{00000000-0005-0000-0000-00005D6C0000}"/>
    <cellStyle name="출력 38 11" xfId="27248" xr:uid="{00000000-0005-0000-0000-00005E6C0000}"/>
    <cellStyle name="출력 38 12" xfId="27249" xr:uid="{00000000-0005-0000-0000-00005F6C0000}"/>
    <cellStyle name="출력 38 13" xfId="27250" xr:uid="{00000000-0005-0000-0000-0000606C0000}"/>
    <cellStyle name="출력 38 14" xfId="27251" xr:uid="{00000000-0005-0000-0000-0000616C0000}"/>
    <cellStyle name="출력 38 15" xfId="27246" xr:uid="{00000000-0005-0000-0000-0000626C0000}"/>
    <cellStyle name="출력 38 2" xfId="3558" xr:uid="{00000000-0005-0000-0000-0000636C0000}"/>
    <cellStyle name="출력 38 2 2" xfId="27252" xr:uid="{00000000-0005-0000-0000-0000646C0000}"/>
    <cellStyle name="출력 38 3" xfId="27253" xr:uid="{00000000-0005-0000-0000-0000656C0000}"/>
    <cellStyle name="출력 38 4" xfId="27254" xr:uid="{00000000-0005-0000-0000-0000666C0000}"/>
    <cellStyle name="출력 38 5" xfId="27255" xr:uid="{00000000-0005-0000-0000-0000676C0000}"/>
    <cellStyle name="출력 38 6" xfId="27256" xr:uid="{00000000-0005-0000-0000-0000686C0000}"/>
    <cellStyle name="출력 38 7" xfId="27257" xr:uid="{00000000-0005-0000-0000-0000696C0000}"/>
    <cellStyle name="출력 38 8" xfId="27258" xr:uid="{00000000-0005-0000-0000-00006A6C0000}"/>
    <cellStyle name="출력 38 9" xfId="27259" xr:uid="{00000000-0005-0000-0000-00006B6C0000}"/>
    <cellStyle name="출력 39" xfId="3559" xr:uid="{00000000-0005-0000-0000-00006C6C0000}"/>
    <cellStyle name="출력 39 10" xfId="27261" xr:uid="{00000000-0005-0000-0000-00006D6C0000}"/>
    <cellStyle name="출력 39 11" xfId="27262" xr:uid="{00000000-0005-0000-0000-00006E6C0000}"/>
    <cellStyle name="출력 39 12" xfId="27263" xr:uid="{00000000-0005-0000-0000-00006F6C0000}"/>
    <cellStyle name="출력 39 13" xfId="27264" xr:uid="{00000000-0005-0000-0000-0000706C0000}"/>
    <cellStyle name="출력 39 14" xfId="27265" xr:uid="{00000000-0005-0000-0000-0000716C0000}"/>
    <cellStyle name="출력 39 15" xfId="27260" xr:uid="{00000000-0005-0000-0000-0000726C0000}"/>
    <cellStyle name="출력 39 2" xfId="3560" xr:uid="{00000000-0005-0000-0000-0000736C0000}"/>
    <cellStyle name="출력 39 2 2" xfId="27266" xr:uid="{00000000-0005-0000-0000-0000746C0000}"/>
    <cellStyle name="출력 39 3" xfId="27267" xr:uid="{00000000-0005-0000-0000-0000756C0000}"/>
    <cellStyle name="출력 39 4" xfId="27268" xr:uid="{00000000-0005-0000-0000-0000766C0000}"/>
    <cellStyle name="출력 39 5" xfId="27269" xr:uid="{00000000-0005-0000-0000-0000776C0000}"/>
    <cellStyle name="출력 39 6" xfId="27270" xr:uid="{00000000-0005-0000-0000-0000786C0000}"/>
    <cellStyle name="출력 39 7" xfId="27271" xr:uid="{00000000-0005-0000-0000-0000796C0000}"/>
    <cellStyle name="출력 39 8" xfId="27272" xr:uid="{00000000-0005-0000-0000-00007A6C0000}"/>
    <cellStyle name="출력 39 9" xfId="27273" xr:uid="{00000000-0005-0000-0000-00007B6C0000}"/>
    <cellStyle name="출력 4" xfId="3561" xr:uid="{00000000-0005-0000-0000-00007C6C0000}"/>
    <cellStyle name="출력 4 10" xfId="27275" xr:uid="{00000000-0005-0000-0000-00007D6C0000}"/>
    <cellStyle name="출력 4 11" xfId="27276" xr:uid="{00000000-0005-0000-0000-00007E6C0000}"/>
    <cellStyle name="출력 4 12" xfId="27277" xr:uid="{00000000-0005-0000-0000-00007F6C0000}"/>
    <cellStyle name="출력 4 13" xfId="27278" xr:uid="{00000000-0005-0000-0000-0000806C0000}"/>
    <cellStyle name="출력 4 14" xfId="27279" xr:uid="{00000000-0005-0000-0000-0000816C0000}"/>
    <cellStyle name="출력 4 15" xfId="27274" xr:uid="{00000000-0005-0000-0000-0000826C0000}"/>
    <cellStyle name="출력 4 16" xfId="27893" xr:uid="{00000000-0005-0000-0000-0000836C0000}"/>
    <cellStyle name="출력 4 16 2" xfId="28286" xr:uid="{00000000-0005-0000-0000-0000846C0000}"/>
    <cellStyle name="출력 4 2" xfId="3562" xr:uid="{00000000-0005-0000-0000-0000856C0000}"/>
    <cellStyle name="출력 4 2 2" xfId="27280" xr:uid="{00000000-0005-0000-0000-0000866C0000}"/>
    <cellStyle name="출력 4 2 3" xfId="28246" xr:uid="{00000000-0005-0000-0000-0000876C0000}"/>
    <cellStyle name="출력 4 2 3 2" xfId="28304" xr:uid="{00000000-0005-0000-0000-0000886C0000}"/>
    <cellStyle name="출력 4 3" xfId="27281" xr:uid="{00000000-0005-0000-0000-0000896C0000}"/>
    <cellStyle name="출력 4 4" xfId="27282" xr:uid="{00000000-0005-0000-0000-00008A6C0000}"/>
    <cellStyle name="출력 4 5" xfId="27283" xr:uid="{00000000-0005-0000-0000-00008B6C0000}"/>
    <cellStyle name="출력 4 6" xfId="27284" xr:uid="{00000000-0005-0000-0000-00008C6C0000}"/>
    <cellStyle name="출력 4 7" xfId="27285" xr:uid="{00000000-0005-0000-0000-00008D6C0000}"/>
    <cellStyle name="출력 4 8" xfId="27286" xr:uid="{00000000-0005-0000-0000-00008E6C0000}"/>
    <cellStyle name="출력 4 9" xfId="27287" xr:uid="{00000000-0005-0000-0000-00008F6C0000}"/>
    <cellStyle name="출력 40" xfId="3563" xr:uid="{00000000-0005-0000-0000-0000906C0000}"/>
    <cellStyle name="출력 40 10" xfId="27289" xr:uid="{00000000-0005-0000-0000-0000916C0000}"/>
    <cellStyle name="출력 40 11" xfId="27290" xr:uid="{00000000-0005-0000-0000-0000926C0000}"/>
    <cellStyle name="출력 40 12" xfId="27291" xr:uid="{00000000-0005-0000-0000-0000936C0000}"/>
    <cellStyle name="출력 40 13" xfId="27292" xr:uid="{00000000-0005-0000-0000-0000946C0000}"/>
    <cellStyle name="출력 40 14" xfId="27293" xr:uid="{00000000-0005-0000-0000-0000956C0000}"/>
    <cellStyle name="출력 40 15" xfId="27288" xr:uid="{00000000-0005-0000-0000-0000966C0000}"/>
    <cellStyle name="출력 40 2" xfId="3564" xr:uid="{00000000-0005-0000-0000-0000976C0000}"/>
    <cellStyle name="출력 40 2 2" xfId="27294" xr:uid="{00000000-0005-0000-0000-0000986C0000}"/>
    <cellStyle name="출력 40 3" xfId="27295" xr:uid="{00000000-0005-0000-0000-0000996C0000}"/>
    <cellStyle name="출력 40 4" xfId="27296" xr:uid="{00000000-0005-0000-0000-00009A6C0000}"/>
    <cellStyle name="출력 40 5" xfId="27297" xr:uid="{00000000-0005-0000-0000-00009B6C0000}"/>
    <cellStyle name="출력 40 6" xfId="27298" xr:uid="{00000000-0005-0000-0000-00009C6C0000}"/>
    <cellStyle name="출력 40 7" xfId="27299" xr:uid="{00000000-0005-0000-0000-00009D6C0000}"/>
    <cellStyle name="출력 40 8" xfId="27300" xr:uid="{00000000-0005-0000-0000-00009E6C0000}"/>
    <cellStyle name="출력 40 9" xfId="27301" xr:uid="{00000000-0005-0000-0000-00009F6C0000}"/>
    <cellStyle name="출력 41" xfId="3565" xr:uid="{00000000-0005-0000-0000-0000A06C0000}"/>
    <cellStyle name="출력 41 10" xfId="27303" xr:uid="{00000000-0005-0000-0000-0000A16C0000}"/>
    <cellStyle name="출력 41 11" xfId="27304" xr:uid="{00000000-0005-0000-0000-0000A26C0000}"/>
    <cellStyle name="출력 41 12" xfId="27305" xr:uid="{00000000-0005-0000-0000-0000A36C0000}"/>
    <cellStyle name="출력 41 13" xfId="27306" xr:uid="{00000000-0005-0000-0000-0000A46C0000}"/>
    <cellStyle name="출력 41 14" xfId="27307" xr:uid="{00000000-0005-0000-0000-0000A56C0000}"/>
    <cellStyle name="출력 41 15" xfId="27302" xr:uid="{00000000-0005-0000-0000-0000A66C0000}"/>
    <cellStyle name="출력 41 2" xfId="3566" xr:uid="{00000000-0005-0000-0000-0000A76C0000}"/>
    <cellStyle name="출력 41 2 2" xfId="27308" xr:uid="{00000000-0005-0000-0000-0000A86C0000}"/>
    <cellStyle name="출력 41 3" xfId="27309" xr:uid="{00000000-0005-0000-0000-0000A96C0000}"/>
    <cellStyle name="출력 41 4" xfId="27310" xr:uid="{00000000-0005-0000-0000-0000AA6C0000}"/>
    <cellStyle name="출력 41 5" xfId="27311" xr:uid="{00000000-0005-0000-0000-0000AB6C0000}"/>
    <cellStyle name="출력 41 6" xfId="27312" xr:uid="{00000000-0005-0000-0000-0000AC6C0000}"/>
    <cellStyle name="출력 41 7" xfId="27313" xr:uid="{00000000-0005-0000-0000-0000AD6C0000}"/>
    <cellStyle name="출력 41 8" xfId="27314" xr:uid="{00000000-0005-0000-0000-0000AE6C0000}"/>
    <cellStyle name="출력 41 9" xfId="27315" xr:uid="{00000000-0005-0000-0000-0000AF6C0000}"/>
    <cellStyle name="출력 42" xfId="3567" xr:uid="{00000000-0005-0000-0000-0000B06C0000}"/>
    <cellStyle name="출력 42 10" xfId="27317" xr:uid="{00000000-0005-0000-0000-0000B16C0000}"/>
    <cellStyle name="출력 42 11" xfId="27318" xr:uid="{00000000-0005-0000-0000-0000B26C0000}"/>
    <cellStyle name="출력 42 12" xfId="27319" xr:uid="{00000000-0005-0000-0000-0000B36C0000}"/>
    <cellStyle name="출력 42 13" xfId="27320" xr:uid="{00000000-0005-0000-0000-0000B46C0000}"/>
    <cellStyle name="출력 42 14" xfId="27321" xr:uid="{00000000-0005-0000-0000-0000B56C0000}"/>
    <cellStyle name="출력 42 15" xfId="27316" xr:uid="{00000000-0005-0000-0000-0000B66C0000}"/>
    <cellStyle name="출력 42 2" xfId="3568" xr:uid="{00000000-0005-0000-0000-0000B76C0000}"/>
    <cellStyle name="출력 42 2 2" xfId="27322" xr:uid="{00000000-0005-0000-0000-0000B86C0000}"/>
    <cellStyle name="출력 42 3" xfId="27323" xr:uid="{00000000-0005-0000-0000-0000B96C0000}"/>
    <cellStyle name="출력 42 4" xfId="27324" xr:uid="{00000000-0005-0000-0000-0000BA6C0000}"/>
    <cellStyle name="출력 42 5" xfId="27325" xr:uid="{00000000-0005-0000-0000-0000BB6C0000}"/>
    <cellStyle name="출력 42 6" xfId="27326" xr:uid="{00000000-0005-0000-0000-0000BC6C0000}"/>
    <cellStyle name="출력 42 7" xfId="27327" xr:uid="{00000000-0005-0000-0000-0000BD6C0000}"/>
    <cellStyle name="출력 42 8" xfId="27328" xr:uid="{00000000-0005-0000-0000-0000BE6C0000}"/>
    <cellStyle name="출력 42 9" xfId="27329" xr:uid="{00000000-0005-0000-0000-0000BF6C0000}"/>
    <cellStyle name="출력 43" xfId="3569" xr:uid="{00000000-0005-0000-0000-0000C06C0000}"/>
    <cellStyle name="출력 43 10" xfId="27331" xr:uid="{00000000-0005-0000-0000-0000C16C0000}"/>
    <cellStyle name="출력 43 11" xfId="27332" xr:uid="{00000000-0005-0000-0000-0000C26C0000}"/>
    <cellStyle name="출력 43 12" xfId="27333" xr:uid="{00000000-0005-0000-0000-0000C36C0000}"/>
    <cellStyle name="출력 43 13" xfId="27334" xr:uid="{00000000-0005-0000-0000-0000C46C0000}"/>
    <cellStyle name="출력 43 14" xfId="27335" xr:uid="{00000000-0005-0000-0000-0000C56C0000}"/>
    <cellStyle name="출력 43 15" xfId="27330" xr:uid="{00000000-0005-0000-0000-0000C66C0000}"/>
    <cellStyle name="출력 43 2" xfId="3570" xr:uid="{00000000-0005-0000-0000-0000C76C0000}"/>
    <cellStyle name="출력 43 2 2" xfId="27336" xr:uid="{00000000-0005-0000-0000-0000C86C0000}"/>
    <cellStyle name="출력 43 3" xfId="27337" xr:uid="{00000000-0005-0000-0000-0000C96C0000}"/>
    <cellStyle name="출력 43 4" xfId="27338" xr:uid="{00000000-0005-0000-0000-0000CA6C0000}"/>
    <cellStyle name="출력 43 5" xfId="27339" xr:uid="{00000000-0005-0000-0000-0000CB6C0000}"/>
    <cellStyle name="출력 43 6" xfId="27340" xr:uid="{00000000-0005-0000-0000-0000CC6C0000}"/>
    <cellStyle name="출력 43 7" xfId="27341" xr:uid="{00000000-0005-0000-0000-0000CD6C0000}"/>
    <cellStyle name="출력 43 8" xfId="27342" xr:uid="{00000000-0005-0000-0000-0000CE6C0000}"/>
    <cellStyle name="출력 43 9" xfId="27343" xr:uid="{00000000-0005-0000-0000-0000CF6C0000}"/>
    <cellStyle name="출력 44" xfId="3571" xr:uid="{00000000-0005-0000-0000-0000D06C0000}"/>
    <cellStyle name="출력 44 2" xfId="27344" xr:uid="{00000000-0005-0000-0000-0000D16C0000}"/>
    <cellStyle name="출력 45" xfId="3572" xr:uid="{00000000-0005-0000-0000-0000D26C0000}"/>
    <cellStyle name="출력 45 2" xfId="27345" xr:uid="{00000000-0005-0000-0000-0000D36C0000}"/>
    <cellStyle name="출력 46" xfId="3496" xr:uid="{00000000-0005-0000-0000-0000D46C0000}"/>
    <cellStyle name="출력 47" xfId="26825" xr:uid="{00000000-0005-0000-0000-0000D56C0000}"/>
    <cellStyle name="출력 48" xfId="27621" xr:uid="{00000000-0005-0000-0000-0000D66C0000}"/>
    <cellStyle name="출력 5" xfId="3573" xr:uid="{00000000-0005-0000-0000-0000D76C0000}"/>
    <cellStyle name="출력 5 10" xfId="27347" xr:uid="{00000000-0005-0000-0000-0000D86C0000}"/>
    <cellStyle name="출력 5 11" xfId="27348" xr:uid="{00000000-0005-0000-0000-0000D96C0000}"/>
    <cellStyle name="출력 5 12" xfId="27349" xr:uid="{00000000-0005-0000-0000-0000DA6C0000}"/>
    <cellStyle name="출력 5 13" xfId="27350" xr:uid="{00000000-0005-0000-0000-0000DB6C0000}"/>
    <cellStyle name="출력 5 14" xfId="27351" xr:uid="{00000000-0005-0000-0000-0000DC6C0000}"/>
    <cellStyle name="출력 5 15" xfId="27346" xr:uid="{00000000-0005-0000-0000-0000DD6C0000}"/>
    <cellStyle name="출력 5 2" xfId="3574" xr:uid="{00000000-0005-0000-0000-0000DE6C0000}"/>
    <cellStyle name="출력 5 2 2" xfId="27352" xr:uid="{00000000-0005-0000-0000-0000DF6C0000}"/>
    <cellStyle name="출력 5 3" xfId="27353" xr:uid="{00000000-0005-0000-0000-0000E06C0000}"/>
    <cellStyle name="출력 5 4" xfId="27354" xr:uid="{00000000-0005-0000-0000-0000E16C0000}"/>
    <cellStyle name="출력 5 5" xfId="27355" xr:uid="{00000000-0005-0000-0000-0000E26C0000}"/>
    <cellStyle name="출력 5 6" xfId="27356" xr:uid="{00000000-0005-0000-0000-0000E36C0000}"/>
    <cellStyle name="출력 5 7" xfId="27357" xr:uid="{00000000-0005-0000-0000-0000E46C0000}"/>
    <cellStyle name="출력 5 8" xfId="27358" xr:uid="{00000000-0005-0000-0000-0000E56C0000}"/>
    <cellStyle name="출력 5 9" xfId="27359" xr:uid="{00000000-0005-0000-0000-0000E66C0000}"/>
    <cellStyle name="출력 6" xfId="3575" xr:uid="{00000000-0005-0000-0000-0000E76C0000}"/>
    <cellStyle name="출력 6 10" xfId="27361" xr:uid="{00000000-0005-0000-0000-0000E86C0000}"/>
    <cellStyle name="출력 6 11" xfId="27362" xr:uid="{00000000-0005-0000-0000-0000E96C0000}"/>
    <cellStyle name="출력 6 12" xfId="27363" xr:uid="{00000000-0005-0000-0000-0000EA6C0000}"/>
    <cellStyle name="출력 6 13" xfId="27364" xr:uid="{00000000-0005-0000-0000-0000EB6C0000}"/>
    <cellStyle name="출력 6 14" xfId="27365" xr:uid="{00000000-0005-0000-0000-0000EC6C0000}"/>
    <cellStyle name="출력 6 15" xfId="27360" xr:uid="{00000000-0005-0000-0000-0000ED6C0000}"/>
    <cellStyle name="출력 6 2" xfId="3576" xr:uid="{00000000-0005-0000-0000-0000EE6C0000}"/>
    <cellStyle name="출력 6 2 2" xfId="27366" xr:uid="{00000000-0005-0000-0000-0000EF6C0000}"/>
    <cellStyle name="출력 6 3" xfId="27367" xr:uid="{00000000-0005-0000-0000-0000F06C0000}"/>
    <cellStyle name="출력 6 4" xfId="27368" xr:uid="{00000000-0005-0000-0000-0000F16C0000}"/>
    <cellStyle name="출력 6 5" xfId="27369" xr:uid="{00000000-0005-0000-0000-0000F26C0000}"/>
    <cellStyle name="출력 6 6" xfId="27370" xr:uid="{00000000-0005-0000-0000-0000F36C0000}"/>
    <cellStyle name="출력 6 7" xfId="27371" xr:uid="{00000000-0005-0000-0000-0000F46C0000}"/>
    <cellStyle name="출력 6 8" xfId="27372" xr:uid="{00000000-0005-0000-0000-0000F56C0000}"/>
    <cellStyle name="출력 6 9" xfId="27373" xr:uid="{00000000-0005-0000-0000-0000F66C0000}"/>
    <cellStyle name="출력 7" xfId="3577" xr:uid="{00000000-0005-0000-0000-0000F76C0000}"/>
    <cellStyle name="출력 7 10" xfId="27375" xr:uid="{00000000-0005-0000-0000-0000F86C0000}"/>
    <cellStyle name="출력 7 11" xfId="27376" xr:uid="{00000000-0005-0000-0000-0000F96C0000}"/>
    <cellStyle name="출력 7 12" xfId="27377" xr:uid="{00000000-0005-0000-0000-0000FA6C0000}"/>
    <cellStyle name="출력 7 13" xfId="27378" xr:uid="{00000000-0005-0000-0000-0000FB6C0000}"/>
    <cellStyle name="출력 7 14" xfId="27379" xr:uid="{00000000-0005-0000-0000-0000FC6C0000}"/>
    <cellStyle name="출력 7 15" xfId="27374" xr:uid="{00000000-0005-0000-0000-0000FD6C0000}"/>
    <cellStyle name="출력 7 2" xfId="3578" xr:uid="{00000000-0005-0000-0000-0000FE6C0000}"/>
    <cellStyle name="출력 7 2 2" xfId="27380" xr:uid="{00000000-0005-0000-0000-0000FF6C0000}"/>
    <cellStyle name="출력 7 3" xfId="27381" xr:uid="{00000000-0005-0000-0000-0000006D0000}"/>
    <cellStyle name="출력 7 4" xfId="27382" xr:uid="{00000000-0005-0000-0000-0000016D0000}"/>
    <cellStyle name="출력 7 5" xfId="27383" xr:uid="{00000000-0005-0000-0000-0000026D0000}"/>
    <cellStyle name="출력 7 6" xfId="27384" xr:uid="{00000000-0005-0000-0000-0000036D0000}"/>
    <cellStyle name="출력 7 7" xfId="27385" xr:uid="{00000000-0005-0000-0000-0000046D0000}"/>
    <cellStyle name="출력 7 8" xfId="27386" xr:uid="{00000000-0005-0000-0000-0000056D0000}"/>
    <cellStyle name="출력 7 9" xfId="27387" xr:uid="{00000000-0005-0000-0000-0000066D0000}"/>
    <cellStyle name="출력 8" xfId="3579" xr:uid="{00000000-0005-0000-0000-0000076D0000}"/>
    <cellStyle name="출력 8 10" xfId="27389" xr:uid="{00000000-0005-0000-0000-0000086D0000}"/>
    <cellStyle name="출력 8 11" xfId="27390" xr:uid="{00000000-0005-0000-0000-0000096D0000}"/>
    <cellStyle name="출력 8 12" xfId="27391" xr:uid="{00000000-0005-0000-0000-00000A6D0000}"/>
    <cellStyle name="출력 8 13" xfId="27392" xr:uid="{00000000-0005-0000-0000-00000B6D0000}"/>
    <cellStyle name="출력 8 14" xfId="27393" xr:uid="{00000000-0005-0000-0000-00000C6D0000}"/>
    <cellStyle name="출력 8 15" xfId="27388" xr:uid="{00000000-0005-0000-0000-00000D6D0000}"/>
    <cellStyle name="출력 8 2" xfId="3580" xr:uid="{00000000-0005-0000-0000-00000E6D0000}"/>
    <cellStyle name="출력 8 2 2" xfId="27394" xr:uid="{00000000-0005-0000-0000-00000F6D0000}"/>
    <cellStyle name="출력 8 3" xfId="27395" xr:uid="{00000000-0005-0000-0000-0000106D0000}"/>
    <cellStyle name="출력 8 4" xfId="27396" xr:uid="{00000000-0005-0000-0000-0000116D0000}"/>
    <cellStyle name="출력 8 5" xfId="27397" xr:uid="{00000000-0005-0000-0000-0000126D0000}"/>
    <cellStyle name="출력 8 6" xfId="27398" xr:uid="{00000000-0005-0000-0000-0000136D0000}"/>
    <cellStyle name="출력 8 7" xfId="27399" xr:uid="{00000000-0005-0000-0000-0000146D0000}"/>
    <cellStyle name="출력 8 8" xfId="27400" xr:uid="{00000000-0005-0000-0000-0000156D0000}"/>
    <cellStyle name="출력 8 9" xfId="27401" xr:uid="{00000000-0005-0000-0000-0000166D0000}"/>
    <cellStyle name="출력 9" xfId="3581" xr:uid="{00000000-0005-0000-0000-0000176D0000}"/>
    <cellStyle name="출력 9 10" xfId="27403" xr:uid="{00000000-0005-0000-0000-0000186D0000}"/>
    <cellStyle name="출력 9 11" xfId="27404" xr:uid="{00000000-0005-0000-0000-0000196D0000}"/>
    <cellStyle name="출력 9 12" xfId="27405" xr:uid="{00000000-0005-0000-0000-00001A6D0000}"/>
    <cellStyle name="출력 9 13" xfId="27406" xr:uid="{00000000-0005-0000-0000-00001B6D0000}"/>
    <cellStyle name="출력 9 14" xfId="27407" xr:uid="{00000000-0005-0000-0000-00001C6D0000}"/>
    <cellStyle name="출력 9 15" xfId="27402" xr:uid="{00000000-0005-0000-0000-00001D6D0000}"/>
    <cellStyle name="출력 9 2" xfId="3582" xr:uid="{00000000-0005-0000-0000-00001E6D0000}"/>
    <cellStyle name="출력 9 2 2" xfId="27408" xr:uid="{00000000-0005-0000-0000-00001F6D0000}"/>
    <cellStyle name="출력 9 3" xfId="27409" xr:uid="{00000000-0005-0000-0000-0000206D0000}"/>
    <cellStyle name="출력 9 4" xfId="27410" xr:uid="{00000000-0005-0000-0000-0000216D0000}"/>
    <cellStyle name="출력 9 5" xfId="27411" xr:uid="{00000000-0005-0000-0000-0000226D0000}"/>
    <cellStyle name="출력 9 6" xfId="27412" xr:uid="{00000000-0005-0000-0000-0000236D0000}"/>
    <cellStyle name="출력 9 7" xfId="27413" xr:uid="{00000000-0005-0000-0000-0000246D0000}"/>
    <cellStyle name="출력 9 8" xfId="27414" xr:uid="{00000000-0005-0000-0000-0000256D0000}"/>
    <cellStyle name="출력 9 9" xfId="27415" xr:uid="{00000000-0005-0000-0000-0000266D0000}"/>
    <cellStyle name="콤마 [0]" xfId="27894" xr:uid="{00000000-0005-0000-0000-0000276D0000}"/>
    <cellStyle name="콤마 [0] 2" xfId="28287" xr:uid="{00000000-0005-0000-0000-0000286D0000}"/>
    <cellStyle name="콤마_### DA LIST ### (2) " xfId="27985" xr:uid="{00000000-0005-0000-0000-0000296D0000}"/>
    <cellStyle name="통화 [0] 2" xfId="27986" xr:uid="{00000000-0005-0000-0000-00002A6D0000}"/>
    <cellStyle name="통화 2" xfId="27987" xr:uid="{00000000-0005-0000-0000-00002B6D0000}"/>
    <cellStyle name="통화 2 2" xfId="28296" xr:uid="{00000000-0005-0000-0000-00002C6D0000}"/>
    <cellStyle name="표준" xfId="0" builtinId="0"/>
    <cellStyle name="표준 10" xfId="27464" xr:uid="{00000000-0005-0000-0000-00002E6D0000}"/>
    <cellStyle name="표준 10 2" xfId="27919" xr:uid="{00000000-0005-0000-0000-00002F6D0000}"/>
    <cellStyle name="표준 100" xfId="27563" xr:uid="{00000000-0005-0000-0000-0000306D0000}"/>
    <cellStyle name="표준 100 2" xfId="27988" xr:uid="{00000000-0005-0000-0000-0000316D0000}"/>
    <cellStyle name="표준 101" xfId="27562" xr:uid="{00000000-0005-0000-0000-0000326D0000}"/>
    <cellStyle name="표준 101 2" xfId="27989" xr:uid="{00000000-0005-0000-0000-0000336D0000}"/>
    <cellStyle name="표준 102" xfId="27561" xr:uid="{00000000-0005-0000-0000-0000346D0000}"/>
    <cellStyle name="표준 102 2" xfId="27990" xr:uid="{00000000-0005-0000-0000-0000356D0000}"/>
    <cellStyle name="표준 103" xfId="27560" xr:uid="{00000000-0005-0000-0000-0000366D0000}"/>
    <cellStyle name="표준 103 2" xfId="27991" xr:uid="{00000000-0005-0000-0000-0000376D0000}"/>
    <cellStyle name="표준 104" xfId="27559" xr:uid="{00000000-0005-0000-0000-0000386D0000}"/>
    <cellStyle name="표준 104 2" xfId="27992" xr:uid="{00000000-0005-0000-0000-0000396D0000}"/>
    <cellStyle name="표준 105" xfId="27557" xr:uid="{00000000-0005-0000-0000-00003A6D0000}"/>
    <cellStyle name="표준 105 2" xfId="27993" xr:uid="{00000000-0005-0000-0000-00003B6D0000}"/>
    <cellStyle name="표준 106" xfId="27556" xr:uid="{00000000-0005-0000-0000-00003C6D0000}"/>
    <cellStyle name="표준 106 2" xfId="27994" xr:uid="{00000000-0005-0000-0000-00003D6D0000}"/>
    <cellStyle name="표준 107" xfId="27555" xr:uid="{00000000-0005-0000-0000-00003E6D0000}"/>
    <cellStyle name="표준 107 2" xfId="27995" xr:uid="{00000000-0005-0000-0000-00003F6D0000}"/>
    <cellStyle name="표준 108" xfId="27554" xr:uid="{00000000-0005-0000-0000-0000406D0000}"/>
    <cellStyle name="표준 108 2" xfId="27996" xr:uid="{00000000-0005-0000-0000-0000416D0000}"/>
    <cellStyle name="표준 109" xfId="27553" xr:uid="{00000000-0005-0000-0000-0000426D0000}"/>
    <cellStyle name="표준 109 2" xfId="27997" xr:uid="{00000000-0005-0000-0000-0000436D0000}"/>
    <cellStyle name="표준 11" xfId="27463" xr:uid="{00000000-0005-0000-0000-0000446D0000}"/>
    <cellStyle name="표준 11 2" xfId="27920" xr:uid="{00000000-0005-0000-0000-0000456D0000}"/>
    <cellStyle name="표준 110" xfId="27552" xr:uid="{00000000-0005-0000-0000-0000466D0000}"/>
    <cellStyle name="표준 110 2" xfId="27998" xr:uid="{00000000-0005-0000-0000-0000476D0000}"/>
    <cellStyle name="표준 111" xfId="27551" xr:uid="{00000000-0005-0000-0000-0000486D0000}"/>
    <cellStyle name="표준 111 2" xfId="27999" xr:uid="{00000000-0005-0000-0000-0000496D0000}"/>
    <cellStyle name="표준 112" xfId="27550" xr:uid="{00000000-0005-0000-0000-00004A6D0000}"/>
    <cellStyle name="표준 112 2" xfId="28000" xr:uid="{00000000-0005-0000-0000-00004B6D0000}"/>
    <cellStyle name="표준 113" xfId="27549" xr:uid="{00000000-0005-0000-0000-00004C6D0000}"/>
    <cellStyle name="표준 113 2" xfId="28001" xr:uid="{00000000-0005-0000-0000-00004D6D0000}"/>
    <cellStyle name="표준 114" xfId="27548" xr:uid="{00000000-0005-0000-0000-00004E6D0000}"/>
    <cellStyle name="표준 114 2" xfId="28002" xr:uid="{00000000-0005-0000-0000-00004F6D0000}"/>
    <cellStyle name="표준 115" xfId="27547" xr:uid="{00000000-0005-0000-0000-0000506D0000}"/>
    <cellStyle name="표준 115 2" xfId="28003" xr:uid="{00000000-0005-0000-0000-0000516D0000}"/>
    <cellStyle name="표준 116" xfId="27546" xr:uid="{00000000-0005-0000-0000-0000526D0000}"/>
    <cellStyle name="표준 116 2" xfId="28004" xr:uid="{00000000-0005-0000-0000-0000536D0000}"/>
    <cellStyle name="표준 117" xfId="27545" xr:uid="{00000000-0005-0000-0000-0000546D0000}"/>
    <cellStyle name="표준 117 2" xfId="28005" xr:uid="{00000000-0005-0000-0000-0000556D0000}"/>
    <cellStyle name="표준 118" xfId="27544" xr:uid="{00000000-0005-0000-0000-0000566D0000}"/>
    <cellStyle name="표준 118 2" xfId="28006" xr:uid="{00000000-0005-0000-0000-0000576D0000}"/>
    <cellStyle name="표준 119" xfId="27543" xr:uid="{00000000-0005-0000-0000-0000586D0000}"/>
    <cellStyle name="표준 119 2" xfId="28007" xr:uid="{00000000-0005-0000-0000-0000596D0000}"/>
    <cellStyle name="표준 12" xfId="27526" xr:uid="{00000000-0005-0000-0000-00005A6D0000}"/>
    <cellStyle name="표준 12 2" xfId="27922" xr:uid="{00000000-0005-0000-0000-00005B6D0000}"/>
    <cellStyle name="표준 120" xfId="27542" xr:uid="{00000000-0005-0000-0000-00005C6D0000}"/>
    <cellStyle name="표준 120 2" xfId="28008" xr:uid="{00000000-0005-0000-0000-00005D6D0000}"/>
    <cellStyle name="표준 121" xfId="27541" xr:uid="{00000000-0005-0000-0000-00005E6D0000}"/>
    <cellStyle name="표준 121 2" xfId="28009" xr:uid="{00000000-0005-0000-0000-00005F6D0000}"/>
    <cellStyle name="표준 122" xfId="27540" xr:uid="{00000000-0005-0000-0000-0000606D0000}"/>
    <cellStyle name="표준 122 2" xfId="28010" xr:uid="{00000000-0005-0000-0000-0000616D0000}"/>
    <cellStyle name="표준 123" xfId="27539" xr:uid="{00000000-0005-0000-0000-0000626D0000}"/>
    <cellStyle name="표준 123 2" xfId="28011" xr:uid="{00000000-0005-0000-0000-0000636D0000}"/>
    <cellStyle name="표준 124" xfId="28012" xr:uid="{00000000-0005-0000-0000-0000646D0000}"/>
    <cellStyle name="표준 125" xfId="27538" xr:uid="{00000000-0005-0000-0000-0000656D0000}"/>
    <cellStyle name="표준 125 2" xfId="28013" xr:uid="{00000000-0005-0000-0000-0000666D0000}"/>
    <cellStyle name="표준 126" xfId="27850" xr:uid="{00000000-0005-0000-0000-0000676D0000}"/>
    <cellStyle name="표준 127" xfId="27537" xr:uid="{00000000-0005-0000-0000-0000686D0000}"/>
    <cellStyle name="표준 127 2" xfId="28014" xr:uid="{00000000-0005-0000-0000-0000696D0000}"/>
    <cellStyle name="표준 128" xfId="27536" xr:uid="{00000000-0005-0000-0000-00006A6D0000}"/>
    <cellStyle name="표준 128 2" xfId="28015" xr:uid="{00000000-0005-0000-0000-00006B6D0000}"/>
    <cellStyle name="표준 129" xfId="27535" xr:uid="{00000000-0005-0000-0000-00006C6D0000}"/>
    <cellStyle name="표준 129 2" xfId="28016" xr:uid="{00000000-0005-0000-0000-00006D6D0000}"/>
    <cellStyle name="표준 13" xfId="27500" xr:uid="{00000000-0005-0000-0000-00006E6D0000}"/>
    <cellStyle name="표준 13 2" xfId="27921" xr:uid="{00000000-0005-0000-0000-00006F6D0000}"/>
    <cellStyle name="표준 130" xfId="27534" xr:uid="{00000000-0005-0000-0000-0000706D0000}"/>
    <cellStyle name="표준 130 2" xfId="28245" xr:uid="{00000000-0005-0000-0000-0000716D0000}"/>
    <cellStyle name="표준 131" xfId="27533" xr:uid="{00000000-0005-0000-0000-0000726D0000}"/>
    <cellStyle name="표준 131 2" xfId="28017" xr:uid="{00000000-0005-0000-0000-0000736D0000}"/>
    <cellStyle name="표준 132" xfId="27532" xr:uid="{00000000-0005-0000-0000-0000746D0000}"/>
    <cellStyle name="표준 132 2" xfId="28018" xr:uid="{00000000-0005-0000-0000-0000756D0000}"/>
    <cellStyle name="표준 133" xfId="27531" xr:uid="{00000000-0005-0000-0000-0000766D0000}"/>
    <cellStyle name="표준 133 2" xfId="28019" xr:uid="{00000000-0005-0000-0000-0000776D0000}"/>
    <cellStyle name="표준 134" xfId="27558" xr:uid="{00000000-0005-0000-0000-0000786D0000}"/>
    <cellStyle name="표준 134 2" xfId="28020" xr:uid="{00000000-0005-0000-0000-0000796D0000}"/>
    <cellStyle name="표준 135" xfId="3583" xr:uid="{00000000-0005-0000-0000-00007A6D0000}"/>
    <cellStyle name="표준 135 2" xfId="27416" xr:uid="{00000000-0005-0000-0000-00007B6D0000}"/>
    <cellStyle name="표준 135 3" xfId="28021" xr:uid="{00000000-0005-0000-0000-00007C6D0000}"/>
    <cellStyle name="표준 136" xfId="28022" xr:uid="{00000000-0005-0000-0000-00007D6D0000}"/>
    <cellStyle name="표준 137" xfId="28023" xr:uid="{00000000-0005-0000-0000-00007E6D0000}"/>
    <cellStyle name="표준 138" xfId="28024" xr:uid="{00000000-0005-0000-0000-00007F6D0000}"/>
    <cellStyle name="표준 139" xfId="28025" xr:uid="{00000000-0005-0000-0000-0000806D0000}"/>
    <cellStyle name="표준 14" xfId="27499" xr:uid="{00000000-0005-0000-0000-0000816D0000}"/>
    <cellStyle name="표준 14 2" xfId="27923" xr:uid="{00000000-0005-0000-0000-0000826D0000}"/>
    <cellStyle name="표준 140" xfId="28026" xr:uid="{00000000-0005-0000-0000-0000836D0000}"/>
    <cellStyle name="표준 141" xfId="28027" xr:uid="{00000000-0005-0000-0000-0000846D0000}"/>
    <cellStyle name="표준 142" xfId="28028" xr:uid="{00000000-0005-0000-0000-0000856D0000}"/>
    <cellStyle name="표준 143" xfId="28029" xr:uid="{00000000-0005-0000-0000-0000866D0000}"/>
    <cellStyle name="표준 144" xfId="28030" xr:uid="{00000000-0005-0000-0000-0000876D0000}"/>
    <cellStyle name="표준 145" xfId="28031" xr:uid="{00000000-0005-0000-0000-0000886D0000}"/>
    <cellStyle name="표준 146" xfId="28032" xr:uid="{00000000-0005-0000-0000-0000896D0000}"/>
    <cellStyle name="표준 147" xfId="28033" xr:uid="{00000000-0005-0000-0000-00008A6D0000}"/>
    <cellStyle name="표준 148" xfId="28034" xr:uid="{00000000-0005-0000-0000-00008B6D0000}"/>
    <cellStyle name="표준 149" xfId="28035" xr:uid="{00000000-0005-0000-0000-00008C6D0000}"/>
    <cellStyle name="표준 15" xfId="27498" xr:uid="{00000000-0005-0000-0000-00008D6D0000}"/>
    <cellStyle name="표준 15 2" xfId="28036" xr:uid="{00000000-0005-0000-0000-00008E6D0000}"/>
    <cellStyle name="표준 150" xfId="28037" xr:uid="{00000000-0005-0000-0000-00008F6D0000}"/>
    <cellStyle name="표준 151" xfId="28038" xr:uid="{00000000-0005-0000-0000-0000906D0000}"/>
    <cellStyle name="표준 152" xfId="28039" xr:uid="{00000000-0005-0000-0000-0000916D0000}"/>
    <cellStyle name="표준 153" xfId="28040" xr:uid="{00000000-0005-0000-0000-0000926D0000}"/>
    <cellStyle name="표준 154" xfId="28041" xr:uid="{00000000-0005-0000-0000-0000936D0000}"/>
    <cellStyle name="표준 155" xfId="28042" xr:uid="{00000000-0005-0000-0000-0000946D0000}"/>
    <cellStyle name="표준 156" xfId="28043" xr:uid="{00000000-0005-0000-0000-0000956D0000}"/>
    <cellStyle name="표준 157" xfId="28044" xr:uid="{00000000-0005-0000-0000-0000966D0000}"/>
    <cellStyle name="표준 158" xfId="28045" xr:uid="{00000000-0005-0000-0000-0000976D0000}"/>
    <cellStyle name="표준 159" xfId="28046" xr:uid="{00000000-0005-0000-0000-0000986D0000}"/>
    <cellStyle name="표준 16" xfId="27450" xr:uid="{00000000-0005-0000-0000-0000996D0000}"/>
    <cellStyle name="표준 16 2" xfId="28047" xr:uid="{00000000-0005-0000-0000-00009A6D0000}"/>
    <cellStyle name="표준 160" xfId="28048" xr:uid="{00000000-0005-0000-0000-00009B6D0000}"/>
    <cellStyle name="표준 161" xfId="28049" xr:uid="{00000000-0005-0000-0000-00009C6D0000}"/>
    <cellStyle name="표준 162" xfId="28050" xr:uid="{00000000-0005-0000-0000-00009D6D0000}"/>
    <cellStyle name="표준 163" xfId="28051" xr:uid="{00000000-0005-0000-0000-00009E6D0000}"/>
    <cellStyle name="표준 164" xfId="28052" xr:uid="{00000000-0005-0000-0000-00009F6D0000}"/>
    <cellStyle name="표준 165" xfId="28053" xr:uid="{00000000-0005-0000-0000-0000A06D0000}"/>
    <cellStyle name="표준 166" xfId="28054" xr:uid="{00000000-0005-0000-0000-0000A16D0000}"/>
    <cellStyle name="표준 167" xfId="28055" xr:uid="{00000000-0005-0000-0000-0000A26D0000}"/>
    <cellStyle name="표준 168" xfId="28056" xr:uid="{00000000-0005-0000-0000-0000A36D0000}"/>
    <cellStyle name="표준 169" xfId="28057" xr:uid="{00000000-0005-0000-0000-0000A46D0000}"/>
    <cellStyle name="표준 17" xfId="27449" xr:uid="{00000000-0005-0000-0000-0000A56D0000}"/>
    <cellStyle name="표준 17 2" xfId="28058" xr:uid="{00000000-0005-0000-0000-0000A66D0000}"/>
    <cellStyle name="표준 170" xfId="28059" xr:uid="{00000000-0005-0000-0000-0000A76D0000}"/>
    <cellStyle name="표준 171" xfId="28060" xr:uid="{00000000-0005-0000-0000-0000A86D0000}"/>
    <cellStyle name="표준 172" xfId="28061" xr:uid="{00000000-0005-0000-0000-0000A96D0000}"/>
    <cellStyle name="표준 173" xfId="28062" xr:uid="{00000000-0005-0000-0000-0000AA6D0000}"/>
    <cellStyle name="표준 174" xfId="28063" xr:uid="{00000000-0005-0000-0000-0000AB6D0000}"/>
    <cellStyle name="표준 175" xfId="28064" xr:uid="{00000000-0005-0000-0000-0000AC6D0000}"/>
    <cellStyle name="표준 176" xfId="28065" xr:uid="{00000000-0005-0000-0000-0000AD6D0000}"/>
    <cellStyle name="표준 177" xfId="28066" xr:uid="{00000000-0005-0000-0000-0000AE6D0000}"/>
    <cellStyle name="표준 178" xfId="28067" xr:uid="{00000000-0005-0000-0000-0000AF6D0000}"/>
    <cellStyle name="표준 179" xfId="28068" xr:uid="{00000000-0005-0000-0000-0000B06D0000}"/>
    <cellStyle name="표준 18" xfId="27448" xr:uid="{00000000-0005-0000-0000-0000B16D0000}"/>
    <cellStyle name="표준 18 2" xfId="28069" xr:uid="{00000000-0005-0000-0000-0000B26D0000}"/>
    <cellStyle name="표준 180" xfId="28070" xr:uid="{00000000-0005-0000-0000-0000B36D0000}"/>
    <cellStyle name="표준 181" xfId="28071" xr:uid="{00000000-0005-0000-0000-0000B46D0000}"/>
    <cellStyle name="표준 182" xfId="28072" xr:uid="{00000000-0005-0000-0000-0000B56D0000}"/>
    <cellStyle name="표준 183" xfId="28073" xr:uid="{00000000-0005-0000-0000-0000B66D0000}"/>
    <cellStyle name="표준 184" xfId="28074" xr:uid="{00000000-0005-0000-0000-0000B76D0000}"/>
    <cellStyle name="표준 185" xfId="28075" xr:uid="{00000000-0005-0000-0000-0000B86D0000}"/>
    <cellStyle name="표준 186" xfId="28076" xr:uid="{00000000-0005-0000-0000-0000B96D0000}"/>
    <cellStyle name="표준 187" xfId="28077" xr:uid="{00000000-0005-0000-0000-0000BA6D0000}"/>
    <cellStyle name="표준 188" xfId="28078" xr:uid="{00000000-0005-0000-0000-0000BB6D0000}"/>
    <cellStyle name="표준 189" xfId="28079" xr:uid="{00000000-0005-0000-0000-0000BC6D0000}"/>
    <cellStyle name="표준 19" xfId="27447" xr:uid="{00000000-0005-0000-0000-0000BD6D0000}"/>
    <cellStyle name="표준 19 2" xfId="28080" xr:uid="{00000000-0005-0000-0000-0000BE6D0000}"/>
    <cellStyle name="표준 190" xfId="27849" xr:uid="{00000000-0005-0000-0000-0000BF6D0000}"/>
    <cellStyle name="표준 2" xfId="3" xr:uid="{54CDBEB9-D23D-4507-918E-5ABA47A17C7A}"/>
    <cellStyle name="표준 2 2" xfId="27501" xr:uid="{00000000-0005-0000-0000-0000C16D0000}"/>
    <cellStyle name="표준 2 2 2" xfId="27926" xr:uid="{00000000-0005-0000-0000-0000C26D0000}"/>
    <cellStyle name="표준 2 3" xfId="9" xr:uid="{00000000-0005-0000-0000-0000C36D0000}"/>
    <cellStyle name="표준 2 3 2" xfId="28240" xr:uid="{00000000-0005-0000-0000-0000C46D0000}"/>
    <cellStyle name="표준 2 3 3" xfId="28247" xr:uid="{00000000-0005-0000-0000-0000C56D0000}"/>
    <cellStyle name="표준 2 4" xfId="27841" xr:uid="{00000000-0005-0000-0000-0000C66D0000}"/>
    <cellStyle name="표준 2 5" xfId="27847" xr:uid="{00000000-0005-0000-0000-0000C76D0000}"/>
    <cellStyle name="표준 2 6" xfId="27914" xr:uid="{00000000-0005-0000-0000-0000C86D0000}"/>
    <cellStyle name="표준 2 7" xfId="7" xr:uid="{00000000-0005-0000-0000-0000C06D0000}"/>
    <cellStyle name="표준 20" xfId="27446" xr:uid="{00000000-0005-0000-0000-0000C96D0000}"/>
    <cellStyle name="표준 20 2" xfId="28081" xr:uid="{00000000-0005-0000-0000-0000CA6D0000}"/>
    <cellStyle name="표준 21" xfId="27445" xr:uid="{00000000-0005-0000-0000-0000CB6D0000}"/>
    <cellStyle name="표준 21 2" xfId="28082" xr:uid="{00000000-0005-0000-0000-0000CC6D0000}"/>
    <cellStyle name="표준 22" xfId="27444" xr:uid="{00000000-0005-0000-0000-0000CD6D0000}"/>
    <cellStyle name="표준 22 2" xfId="28083" xr:uid="{00000000-0005-0000-0000-0000CE6D0000}"/>
    <cellStyle name="표준 23" xfId="27443" xr:uid="{00000000-0005-0000-0000-0000CF6D0000}"/>
    <cellStyle name="표준 23 2" xfId="28084" xr:uid="{00000000-0005-0000-0000-0000D06D0000}"/>
    <cellStyle name="표준 24" xfId="27442" xr:uid="{00000000-0005-0000-0000-0000D16D0000}"/>
    <cellStyle name="표준 24 2" xfId="28085" xr:uid="{00000000-0005-0000-0000-0000D26D0000}"/>
    <cellStyle name="표준 25" xfId="27441" xr:uid="{00000000-0005-0000-0000-0000D36D0000}"/>
    <cellStyle name="표준 25 2" xfId="28086" xr:uid="{00000000-0005-0000-0000-0000D46D0000}"/>
    <cellStyle name="표준 26" xfId="27440" xr:uid="{00000000-0005-0000-0000-0000D56D0000}"/>
    <cellStyle name="표준 26 2" xfId="28087" xr:uid="{00000000-0005-0000-0000-0000D66D0000}"/>
    <cellStyle name="표준 27" xfId="27439" xr:uid="{00000000-0005-0000-0000-0000D76D0000}"/>
    <cellStyle name="표준 27 2" xfId="28088" xr:uid="{00000000-0005-0000-0000-0000D86D0000}"/>
    <cellStyle name="표준 28" xfId="27438" xr:uid="{00000000-0005-0000-0000-0000D96D0000}"/>
    <cellStyle name="표준 28 2" xfId="28089" xr:uid="{00000000-0005-0000-0000-0000DA6D0000}"/>
    <cellStyle name="표준 29" xfId="27437" xr:uid="{00000000-0005-0000-0000-0000DB6D0000}"/>
    <cellStyle name="표준 29 2" xfId="28090" xr:uid="{00000000-0005-0000-0000-0000DC6D0000}"/>
    <cellStyle name="표준 3" xfId="10" xr:uid="{00000000-0005-0000-0000-0000DD6D0000}"/>
    <cellStyle name="표준 3 2" xfId="27436" xr:uid="{00000000-0005-0000-0000-0000DE6D0000}"/>
    <cellStyle name="표준 3 3" xfId="27909" xr:uid="{00000000-0005-0000-0000-0000DF6D0000}"/>
    <cellStyle name="표준 30" xfId="27435" xr:uid="{00000000-0005-0000-0000-0000E06D0000}"/>
    <cellStyle name="표준 30 2" xfId="28091" xr:uid="{00000000-0005-0000-0000-0000E16D0000}"/>
    <cellStyle name="표준 31" xfId="27434" xr:uid="{00000000-0005-0000-0000-0000E26D0000}"/>
    <cellStyle name="표준 31 2" xfId="28092" xr:uid="{00000000-0005-0000-0000-0000E36D0000}"/>
    <cellStyle name="표준 32" xfId="27574" xr:uid="{00000000-0005-0000-0000-0000E46D0000}"/>
    <cellStyle name="표준 32 2" xfId="28093" xr:uid="{00000000-0005-0000-0000-0000E56D0000}"/>
    <cellStyle name="표준 33" xfId="27573" xr:uid="{00000000-0005-0000-0000-0000E66D0000}"/>
    <cellStyle name="표준 33 2" xfId="28094" xr:uid="{00000000-0005-0000-0000-0000E76D0000}"/>
    <cellStyle name="표준 34" xfId="27572" xr:uid="{00000000-0005-0000-0000-0000E86D0000}"/>
    <cellStyle name="표준 34 2" xfId="28095" xr:uid="{00000000-0005-0000-0000-0000E96D0000}"/>
    <cellStyle name="표준 35" xfId="27571" xr:uid="{00000000-0005-0000-0000-0000EA6D0000}"/>
    <cellStyle name="표준 35 2" xfId="28096" xr:uid="{00000000-0005-0000-0000-0000EB6D0000}"/>
    <cellStyle name="표준 36" xfId="27570" xr:uid="{00000000-0005-0000-0000-0000EC6D0000}"/>
    <cellStyle name="표준 36 2" xfId="28097" xr:uid="{00000000-0005-0000-0000-0000ED6D0000}"/>
    <cellStyle name="표준 37" xfId="27433" xr:uid="{00000000-0005-0000-0000-0000EE6D0000}"/>
    <cellStyle name="표준 37 2" xfId="28098" xr:uid="{00000000-0005-0000-0000-0000EF6D0000}"/>
    <cellStyle name="표준 38" xfId="27569" xr:uid="{00000000-0005-0000-0000-0000F06D0000}"/>
    <cellStyle name="표준 38 2" xfId="28099" xr:uid="{00000000-0005-0000-0000-0000F16D0000}"/>
    <cellStyle name="표준 39" xfId="3584" xr:uid="{00000000-0005-0000-0000-0000F26D0000}"/>
    <cellStyle name="표준 39 10" xfId="27417" xr:uid="{00000000-0005-0000-0000-0000F36D0000}"/>
    <cellStyle name="표준 39 11" xfId="27418" xr:uid="{00000000-0005-0000-0000-0000F46D0000}"/>
    <cellStyle name="표준 39 12" xfId="27419" xr:uid="{00000000-0005-0000-0000-0000F56D0000}"/>
    <cellStyle name="표준 39 13" xfId="27420" xr:uid="{00000000-0005-0000-0000-0000F66D0000}"/>
    <cellStyle name="표준 39 14" xfId="27421" xr:uid="{00000000-0005-0000-0000-0000F76D0000}"/>
    <cellStyle name="표준 39 15" xfId="28100" xr:uid="{00000000-0005-0000-0000-0000F86D0000}"/>
    <cellStyle name="표준 39 2" xfId="3585" xr:uid="{00000000-0005-0000-0000-0000F96D0000}"/>
    <cellStyle name="표준 39 2 2" xfId="27422" xr:uid="{00000000-0005-0000-0000-0000FA6D0000}"/>
    <cellStyle name="표준 39 3" xfId="27423" xr:uid="{00000000-0005-0000-0000-0000FB6D0000}"/>
    <cellStyle name="표준 39 4" xfId="27424" xr:uid="{00000000-0005-0000-0000-0000FC6D0000}"/>
    <cellStyle name="표준 39 5" xfId="27425" xr:uid="{00000000-0005-0000-0000-0000FD6D0000}"/>
    <cellStyle name="표준 39 6" xfId="27426" xr:uid="{00000000-0005-0000-0000-0000FE6D0000}"/>
    <cellStyle name="표준 39 7" xfId="27427" xr:uid="{00000000-0005-0000-0000-0000FF6D0000}"/>
    <cellStyle name="표준 39 8" xfId="27428" xr:uid="{00000000-0005-0000-0000-0000006E0000}"/>
    <cellStyle name="표준 39 9" xfId="27429" xr:uid="{00000000-0005-0000-0000-0000016E0000}"/>
    <cellStyle name="표준 4" xfId="11" xr:uid="{00000000-0005-0000-0000-0000026E0000}"/>
    <cellStyle name="표준 4 2" xfId="27916" xr:uid="{00000000-0005-0000-0000-0000036E0000}"/>
    <cellStyle name="표준 40" xfId="27568" xr:uid="{00000000-0005-0000-0000-0000046E0000}"/>
    <cellStyle name="표준 40 2" xfId="28101" xr:uid="{00000000-0005-0000-0000-0000056E0000}"/>
    <cellStyle name="표준 41" xfId="27567" xr:uid="{00000000-0005-0000-0000-0000066E0000}"/>
    <cellStyle name="표준 41 2" xfId="28102" xr:uid="{00000000-0005-0000-0000-0000076E0000}"/>
    <cellStyle name="표준 42" xfId="27566" xr:uid="{00000000-0005-0000-0000-0000086E0000}"/>
    <cellStyle name="표준 42 2" xfId="28103" xr:uid="{00000000-0005-0000-0000-0000096E0000}"/>
    <cellStyle name="표준 43" xfId="27565" xr:uid="{00000000-0005-0000-0000-00000A6E0000}"/>
    <cellStyle name="표준 43 2" xfId="28104" xr:uid="{00000000-0005-0000-0000-00000B6E0000}"/>
    <cellStyle name="표준 44" xfId="27564" xr:uid="{00000000-0005-0000-0000-00000C6E0000}"/>
    <cellStyle name="표준 44 2" xfId="28105" xr:uid="{00000000-0005-0000-0000-00000D6E0000}"/>
    <cellStyle name="표준 45" xfId="3586" xr:uid="{00000000-0005-0000-0000-00000E6E0000}"/>
    <cellStyle name="표준 45 2" xfId="27430" xr:uid="{00000000-0005-0000-0000-00000F6E0000}"/>
    <cellStyle name="표준 45 3" xfId="28106" xr:uid="{00000000-0005-0000-0000-0000106E0000}"/>
    <cellStyle name="표준 46" xfId="3587" xr:uid="{00000000-0005-0000-0000-0000116E0000}"/>
    <cellStyle name="표준 46 2" xfId="27431" xr:uid="{00000000-0005-0000-0000-0000126E0000}"/>
    <cellStyle name="표준 46 3" xfId="28107" xr:uid="{00000000-0005-0000-0000-0000136E0000}"/>
    <cellStyle name="표준 47" xfId="3588" xr:uid="{00000000-0005-0000-0000-0000146E0000}"/>
    <cellStyle name="표준 47 2" xfId="27432" xr:uid="{00000000-0005-0000-0000-0000156E0000}"/>
    <cellStyle name="표준 47 3" xfId="28108" xr:uid="{00000000-0005-0000-0000-0000166E0000}"/>
    <cellStyle name="표준 48" xfId="27835" xr:uid="{00000000-0005-0000-0000-0000176E0000}"/>
    <cellStyle name="표준 48 2" xfId="28109" xr:uid="{00000000-0005-0000-0000-0000186E0000}"/>
    <cellStyle name="표준 49" xfId="27497" xr:uid="{00000000-0005-0000-0000-0000196E0000}"/>
    <cellStyle name="표준 49 2" xfId="28110" xr:uid="{00000000-0005-0000-0000-00001A6E0000}"/>
    <cellStyle name="표준 5" xfId="27502" xr:uid="{00000000-0005-0000-0000-00001B6E0000}"/>
    <cellStyle name="표준 5 2" xfId="27915" xr:uid="{00000000-0005-0000-0000-00001C6E0000}"/>
    <cellStyle name="표준 5 3" xfId="28250" xr:uid="{00000000-0005-0000-0000-00001D6E0000}"/>
    <cellStyle name="표준 50" xfId="27496" xr:uid="{00000000-0005-0000-0000-00001E6E0000}"/>
    <cellStyle name="표준 50 2" xfId="28111" xr:uid="{00000000-0005-0000-0000-00001F6E0000}"/>
    <cellStyle name="표준 51" xfId="27479" xr:uid="{00000000-0005-0000-0000-0000206E0000}"/>
    <cellStyle name="표준 51 2" xfId="28112" xr:uid="{00000000-0005-0000-0000-0000216E0000}"/>
    <cellStyle name="표준 52" xfId="27478" xr:uid="{00000000-0005-0000-0000-0000226E0000}"/>
    <cellStyle name="표준 52 2" xfId="28113" xr:uid="{00000000-0005-0000-0000-0000236E0000}"/>
    <cellStyle name="표준 53" xfId="27462" xr:uid="{00000000-0005-0000-0000-0000246E0000}"/>
    <cellStyle name="표준 53 2" xfId="28114" xr:uid="{00000000-0005-0000-0000-0000256E0000}"/>
    <cellStyle name="표준 54" xfId="27461" xr:uid="{00000000-0005-0000-0000-0000266E0000}"/>
    <cellStyle name="표준 54 2" xfId="28115" xr:uid="{00000000-0005-0000-0000-0000276E0000}"/>
    <cellStyle name="표준 55" xfId="27460" xr:uid="{00000000-0005-0000-0000-0000286E0000}"/>
    <cellStyle name="표준 55 2" xfId="28116" xr:uid="{00000000-0005-0000-0000-0000296E0000}"/>
    <cellStyle name="표준 56" xfId="27459" xr:uid="{00000000-0005-0000-0000-00002A6E0000}"/>
    <cellStyle name="표준 56 2" xfId="28117" xr:uid="{00000000-0005-0000-0000-00002B6E0000}"/>
    <cellStyle name="표준 57" xfId="27458" xr:uid="{00000000-0005-0000-0000-00002C6E0000}"/>
    <cellStyle name="표준 57 2" xfId="28118" xr:uid="{00000000-0005-0000-0000-00002D6E0000}"/>
    <cellStyle name="표준 58" xfId="27457" xr:uid="{00000000-0005-0000-0000-00002E6E0000}"/>
    <cellStyle name="표준 58 2" xfId="28119" xr:uid="{00000000-0005-0000-0000-00002F6E0000}"/>
    <cellStyle name="표준 59" xfId="27528" xr:uid="{00000000-0005-0000-0000-0000306E0000}"/>
    <cellStyle name="표준 59 2" xfId="28120" xr:uid="{00000000-0005-0000-0000-0000316E0000}"/>
    <cellStyle name="표준 6" xfId="27619" xr:uid="{00000000-0005-0000-0000-0000326E0000}"/>
    <cellStyle name="표준 60" xfId="27838" xr:uid="{00000000-0005-0000-0000-0000336E0000}"/>
    <cellStyle name="표준 60 2" xfId="28121" xr:uid="{00000000-0005-0000-0000-0000346E0000}"/>
    <cellStyle name="표준 61" xfId="27456" xr:uid="{00000000-0005-0000-0000-0000356E0000}"/>
    <cellStyle name="표준 61 2" xfId="28122" xr:uid="{00000000-0005-0000-0000-0000366E0000}"/>
    <cellStyle name="표준 62" xfId="27455" xr:uid="{00000000-0005-0000-0000-0000376E0000}"/>
    <cellStyle name="표준 62 2" xfId="28123" xr:uid="{00000000-0005-0000-0000-0000386E0000}"/>
    <cellStyle name="표준 63" xfId="27454" xr:uid="{00000000-0005-0000-0000-0000396E0000}"/>
    <cellStyle name="표준 63 2" xfId="28124" xr:uid="{00000000-0005-0000-0000-00003A6E0000}"/>
    <cellStyle name="표준 64" xfId="27453" xr:uid="{00000000-0005-0000-0000-00003B6E0000}"/>
    <cellStyle name="표준 64 2" xfId="28125" xr:uid="{00000000-0005-0000-0000-00003C6E0000}"/>
    <cellStyle name="표준 65" xfId="27452" xr:uid="{00000000-0005-0000-0000-00003D6E0000}"/>
    <cellStyle name="표준 65 2" xfId="28126" xr:uid="{00000000-0005-0000-0000-00003E6E0000}"/>
    <cellStyle name="표준 66" xfId="27842" xr:uid="{00000000-0005-0000-0000-00003F6E0000}"/>
    <cellStyle name="표준 66 2" xfId="28127" xr:uid="{00000000-0005-0000-0000-0000406E0000}"/>
    <cellStyle name="표준 66 3" xfId="28277" xr:uid="{00000000-0005-0000-0000-0000416E0000}"/>
    <cellStyle name="표준 67" xfId="27530" xr:uid="{00000000-0005-0000-0000-0000426E0000}"/>
    <cellStyle name="표준 67 2" xfId="28128" xr:uid="{00000000-0005-0000-0000-0000436E0000}"/>
    <cellStyle name="표준 68" xfId="27529" xr:uid="{00000000-0005-0000-0000-0000446E0000}"/>
    <cellStyle name="표준 68 2" xfId="28129" xr:uid="{00000000-0005-0000-0000-0000456E0000}"/>
    <cellStyle name="표준 69" xfId="27527" xr:uid="{00000000-0005-0000-0000-0000466E0000}"/>
    <cellStyle name="표준 69 2" xfId="28130" xr:uid="{00000000-0005-0000-0000-0000476E0000}"/>
    <cellStyle name="표준 7" xfId="27451" xr:uid="{00000000-0005-0000-0000-0000486E0000}"/>
    <cellStyle name="표준 7 2" xfId="27917" xr:uid="{00000000-0005-0000-0000-0000496E0000}"/>
    <cellStyle name="표준 70" xfId="27477" xr:uid="{00000000-0005-0000-0000-00004A6E0000}"/>
    <cellStyle name="표준 70 2" xfId="28231" xr:uid="{00000000-0005-0000-0000-00004B6E0000}"/>
    <cellStyle name="표준 71" xfId="27476" xr:uid="{00000000-0005-0000-0000-00004C6E0000}"/>
    <cellStyle name="표준 71 2" xfId="28131" xr:uid="{00000000-0005-0000-0000-00004D6E0000}"/>
    <cellStyle name="표준 72" xfId="27475" xr:uid="{00000000-0005-0000-0000-00004E6E0000}"/>
    <cellStyle name="표준 72 2" xfId="28132" xr:uid="{00000000-0005-0000-0000-00004F6E0000}"/>
    <cellStyle name="표준 73" xfId="27474" xr:uid="{00000000-0005-0000-0000-0000506E0000}"/>
    <cellStyle name="표준 73 2" xfId="28133" xr:uid="{00000000-0005-0000-0000-0000516E0000}"/>
    <cellStyle name="표준 74" xfId="27473" xr:uid="{00000000-0005-0000-0000-0000526E0000}"/>
    <cellStyle name="표준 74 2" xfId="28134" xr:uid="{00000000-0005-0000-0000-0000536E0000}"/>
    <cellStyle name="표준 75" xfId="27472" xr:uid="{00000000-0005-0000-0000-0000546E0000}"/>
    <cellStyle name="표준 75 2" xfId="28135" xr:uid="{00000000-0005-0000-0000-0000556E0000}"/>
    <cellStyle name="표준 76" xfId="27471" xr:uid="{00000000-0005-0000-0000-0000566E0000}"/>
    <cellStyle name="표준 76 2" xfId="28136" xr:uid="{00000000-0005-0000-0000-0000576E0000}"/>
    <cellStyle name="표준 77" xfId="27470" xr:uid="{00000000-0005-0000-0000-0000586E0000}"/>
    <cellStyle name="표준 77 2" xfId="28137" xr:uid="{00000000-0005-0000-0000-0000596E0000}"/>
    <cellStyle name="표준 78" xfId="27469" xr:uid="{00000000-0005-0000-0000-00005A6E0000}"/>
    <cellStyle name="표준 78 2" xfId="28138" xr:uid="{00000000-0005-0000-0000-00005B6E0000}"/>
    <cellStyle name="표준 79" xfId="27468" xr:uid="{00000000-0005-0000-0000-00005C6E0000}"/>
    <cellStyle name="표준 79 2" xfId="28139" xr:uid="{00000000-0005-0000-0000-00005D6E0000}"/>
    <cellStyle name="표준 8" xfId="27834" xr:uid="{00000000-0005-0000-0000-00005E6E0000}"/>
    <cellStyle name="표준 8 2" xfId="27918" xr:uid="{00000000-0005-0000-0000-00005F6E0000}"/>
    <cellStyle name="표준 80" xfId="27467" xr:uid="{00000000-0005-0000-0000-0000606E0000}"/>
    <cellStyle name="표준 80 2" xfId="28140" xr:uid="{00000000-0005-0000-0000-0000616E0000}"/>
    <cellStyle name="표준 81" xfId="27466" xr:uid="{00000000-0005-0000-0000-0000626E0000}"/>
    <cellStyle name="표준 81 2" xfId="28141" xr:uid="{00000000-0005-0000-0000-0000636E0000}"/>
    <cellStyle name="표준 82" xfId="27843" xr:uid="{00000000-0005-0000-0000-0000646E0000}"/>
    <cellStyle name="표준 82 2" xfId="28142" xr:uid="{00000000-0005-0000-0000-0000656E0000}"/>
    <cellStyle name="표준 83" xfId="27465" xr:uid="{00000000-0005-0000-0000-0000666E0000}"/>
    <cellStyle name="표준 83 2" xfId="28143" xr:uid="{00000000-0005-0000-0000-0000676E0000}"/>
    <cellStyle name="표준 84" xfId="27495" xr:uid="{00000000-0005-0000-0000-0000686E0000}"/>
    <cellStyle name="표준 84 2" xfId="28144" xr:uid="{00000000-0005-0000-0000-0000696E0000}"/>
    <cellStyle name="표준 85" xfId="27494" xr:uid="{00000000-0005-0000-0000-00006A6E0000}"/>
    <cellStyle name="표준 85 2" xfId="28145" xr:uid="{00000000-0005-0000-0000-00006B6E0000}"/>
    <cellStyle name="표준 86" xfId="27493" xr:uid="{00000000-0005-0000-0000-00006C6E0000}"/>
    <cellStyle name="표준 86 2" xfId="28146" xr:uid="{00000000-0005-0000-0000-00006D6E0000}"/>
    <cellStyle name="표준 87" xfId="27492" xr:uid="{00000000-0005-0000-0000-00006E6E0000}"/>
    <cellStyle name="표준 87 2" xfId="28147" xr:uid="{00000000-0005-0000-0000-00006F6E0000}"/>
    <cellStyle name="표준 88" xfId="27491" xr:uid="{00000000-0005-0000-0000-0000706E0000}"/>
    <cellStyle name="표준 88 2" xfId="28148" xr:uid="{00000000-0005-0000-0000-0000716E0000}"/>
    <cellStyle name="표준 89" xfId="27490" xr:uid="{00000000-0005-0000-0000-0000726E0000}"/>
    <cellStyle name="표준 89 2" xfId="28149" xr:uid="{00000000-0005-0000-0000-0000736E0000}"/>
    <cellStyle name="표준 9" xfId="6" xr:uid="{00000000-0005-0000-0000-0000746E0000}"/>
    <cellStyle name="표준 9 2" xfId="27840" xr:uid="{00000000-0005-0000-0000-0000756E0000}"/>
    <cellStyle name="표준 9 3" xfId="27913" xr:uid="{00000000-0005-0000-0000-0000766E0000}"/>
    <cellStyle name="표준 90" xfId="27489" xr:uid="{00000000-0005-0000-0000-0000776E0000}"/>
    <cellStyle name="표준 90 2" xfId="28150" xr:uid="{00000000-0005-0000-0000-0000786E0000}"/>
    <cellStyle name="표준 91" xfId="27488" xr:uid="{00000000-0005-0000-0000-0000796E0000}"/>
    <cellStyle name="표준 91 2" xfId="28151" xr:uid="{00000000-0005-0000-0000-00007A6E0000}"/>
    <cellStyle name="표준 92" xfId="27487" xr:uid="{00000000-0005-0000-0000-00007B6E0000}"/>
    <cellStyle name="표준 92 2" xfId="28152" xr:uid="{00000000-0005-0000-0000-00007C6E0000}"/>
    <cellStyle name="표준 93" xfId="27486" xr:uid="{00000000-0005-0000-0000-00007D6E0000}"/>
    <cellStyle name="표준 93 2" xfId="28153" xr:uid="{00000000-0005-0000-0000-00007E6E0000}"/>
    <cellStyle name="표준 94" xfId="27485" xr:uid="{00000000-0005-0000-0000-00007F6E0000}"/>
    <cellStyle name="표준 94 2" xfId="28154" xr:uid="{00000000-0005-0000-0000-0000806E0000}"/>
    <cellStyle name="표준 95" xfId="27484" xr:uid="{00000000-0005-0000-0000-0000816E0000}"/>
    <cellStyle name="표준 95 2" xfId="28155" xr:uid="{00000000-0005-0000-0000-0000826E0000}"/>
    <cellStyle name="표준 96" xfId="27483" xr:uid="{00000000-0005-0000-0000-0000836E0000}"/>
    <cellStyle name="표준 96 2" xfId="28156" xr:uid="{00000000-0005-0000-0000-0000846E0000}"/>
    <cellStyle name="표준 97" xfId="27482" xr:uid="{00000000-0005-0000-0000-0000856E0000}"/>
    <cellStyle name="표준 97 2" xfId="28157" xr:uid="{00000000-0005-0000-0000-0000866E0000}"/>
    <cellStyle name="표준 98" xfId="27481" xr:uid="{00000000-0005-0000-0000-0000876E0000}"/>
    <cellStyle name="표준 98 2" xfId="28158" xr:uid="{00000000-0005-0000-0000-0000886E0000}"/>
    <cellStyle name="표준 99" xfId="27480" xr:uid="{00000000-0005-0000-0000-0000896E0000}"/>
    <cellStyle name="표준 99 2" xfId="28159" xr:uid="{00000000-0005-0000-0000-00008A6E0000}"/>
    <cellStyle name="표준_1990" xfId="28251" xr:uid="{00000000-0005-0000-0000-00008B6E0000}"/>
    <cellStyle name="하이퍼링크 2" xfId="27837" xr:uid="{00000000-0005-0000-0000-00008E6E0000}"/>
    <cellStyle name="하이퍼링크 2 2" xfId="28233" xr:uid="{00000000-0005-0000-0000-00008F6E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68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9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0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1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2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3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4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5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CurPol_GHG_by_sector!$S$472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CurPol_GHG_by_sector!$T$472:$AA$472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F-4577-B460-AE66BBECD38C}"/>
            </c:ext>
          </c:extLst>
        </c:ser>
        <c:ser>
          <c:idx val="5"/>
          <c:order val="1"/>
          <c:tx>
            <c:strRef>
              <c:f>CurPol_GHG_by_sector!$S$473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CurPol_GHG_by_sector!$T$473:$AA$473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F-4577-B460-AE66BBECD38C}"/>
            </c:ext>
          </c:extLst>
        </c:ser>
        <c:ser>
          <c:idx val="3"/>
          <c:order val="2"/>
          <c:tx>
            <c:strRef>
              <c:f>CurPol_GHG_by_sector!$Q$470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CurPol_GHG_by_sector!$T$470:$AA$470</c:f>
              <c:numCache>
                <c:formatCode>General</c:formatCode>
                <c:ptCount val="8"/>
                <c:pt idx="0">
                  <c:v>259.66756087801082</c:v>
                </c:pt>
                <c:pt idx="1">
                  <c:v>263.98436043122621</c:v>
                </c:pt>
                <c:pt idx="2">
                  <c:v>288.54871984451006</c:v>
                </c:pt>
                <c:pt idx="3">
                  <c:v>273.79275207857705</c:v>
                </c:pt>
                <c:pt idx="4">
                  <c:v>256.55977728475887</c:v>
                </c:pt>
                <c:pt idx="5">
                  <c:v>235.45882490462017</c:v>
                </c:pt>
                <c:pt idx="6">
                  <c:v>172.95147565310961</c:v>
                </c:pt>
                <c:pt idx="7">
                  <c:v>149.84071307289827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F-4577-B460-AE66BBECD38C}"/>
            </c:ext>
          </c:extLst>
        </c:ser>
        <c:ser>
          <c:idx val="2"/>
          <c:order val="3"/>
          <c:tx>
            <c:strRef>
              <c:f>CurPol_GHG_by_sector!$Q$469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CurPol_GHG_by_sector!$T$469:$AA$469</c:f>
              <c:numCache>
                <c:formatCode>General</c:formatCode>
                <c:ptCount val="8"/>
                <c:pt idx="0">
                  <c:v>98.9353429394274</c:v>
                </c:pt>
                <c:pt idx="1">
                  <c:v>101.67283141048212</c:v>
                </c:pt>
                <c:pt idx="2">
                  <c:v>99.430290483985274</c:v>
                </c:pt>
                <c:pt idx="3">
                  <c:v>89.290820537242027</c:v>
                </c:pt>
                <c:pt idx="4">
                  <c:v>79.883436722498772</c:v>
                </c:pt>
                <c:pt idx="5">
                  <c:v>70.853341851635122</c:v>
                </c:pt>
                <c:pt idx="6">
                  <c:v>64.125325208770164</c:v>
                </c:pt>
                <c:pt idx="7">
                  <c:v>58.873902008946878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F-4577-B460-AE66BBECD38C}"/>
            </c:ext>
          </c:extLst>
        </c:ser>
        <c:ser>
          <c:idx val="1"/>
          <c:order val="4"/>
          <c:tx>
            <c:strRef>
              <c:f>CurPol_GHG_by_sector!$Q$468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CurPol_GHG_by_sector!$T$468:$AA$468</c:f>
              <c:numCache>
                <c:formatCode>General</c:formatCode>
                <c:ptCount val="8"/>
                <c:pt idx="0">
                  <c:v>267.61340792029443</c:v>
                </c:pt>
                <c:pt idx="1">
                  <c:v>268.59087491002157</c:v>
                </c:pt>
                <c:pt idx="2">
                  <c:v>292.75444829392774</c:v>
                </c:pt>
                <c:pt idx="3">
                  <c:v>297.39652604052634</c:v>
                </c:pt>
                <c:pt idx="4">
                  <c:v>294.64430722029613</c:v>
                </c:pt>
                <c:pt idx="5">
                  <c:v>288.28173981649468</c:v>
                </c:pt>
                <c:pt idx="6">
                  <c:v>275.21364603459438</c:v>
                </c:pt>
                <c:pt idx="7">
                  <c:v>263.3898161917362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F-4577-B460-AE66BBECD38C}"/>
            </c:ext>
          </c:extLst>
        </c:ser>
        <c:ser>
          <c:idx val="0"/>
          <c:order val="5"/>
          <c:tx>
            <c:strRef>
              <c:f>CurPol_GHG_by_sector!$Q$467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CurPol_GHG_by_sector!$T$466:$AA$466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CurPol_GHG_by_sector!$T$467:$AA$467</c:f>
              <c:numCache>
                <c:formatCode>General</c:formatCode>
                <c:ptCount val="8"/>
                <c:pt idx="0">
                  <c:v>72.988476041563871</c:v>
                </c:pt>
                <c:pt idx="1">
                  <c:v>69.806624259211333</c:v>
                </c:pt>
                <c:pt idx="2">
                  <c:v>73.899820788097827</c:v>
                </c:pt>
                <c:pt idx="3">
                  <c:v>74.251635653287877</c:v>
                </c:pt>
                <c:pt idx="4">
                  <c:v>69.933155535371128</c:v>
                </c:pt>
                <c:pt idx="5">
                  <c:v>64.876373173127931</c:v>
                </c:pt>
                <c:pt idx="6">
                  <c:v>55.947213065394017</c:v>
                </c:pt>
                <c:pt idx="7">
                  <c:v>46.529691451152246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F-4577-B460-AE66BBECD38C}"/>
            </c:ext>
          </c:extLst>
        </c:ser>
        <c:ser>
          <c:idx val="6"/>
          <c:order val="6"/>
          <c:tx>
            <c:strRef>
              <c:f>CurPol_GHG_by_sector!$Q$471</c:f>
              <c:strCache>
                <c:ptCount val="1"/>
                <c:pt idx="0">
                  <c:v>농업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  <a:ln>
              <a:noFill/>
            </a:ln>
            <a:effectLst/>
          </c:spPr>
          <c:invertIfNegative val="0"/>
          <c:val>
            <c:numRef>
              <c:f>CurPol_GHG_by_sector!$T$471:$AA$471</c:f>
              <c:numCache>
                <c:formatCode>General</c:formatCode>
                <c:ptCount val="8"/>
                <c:pt idx="0">
                  <c:v>16.311936075645395</c:v>
                </c:pt>
                <c:pt idx="1">
                  <c:v>16.956830342754063</c:v>
                </c:pt>
                <c:pt idx="2">
                  <c:v>17.260979415282453</c:v>
                </c:pt>
                <c:pt idx="3">
                  <c:v>17.459957932411296</c:v>
                </c:pt>
                <c:pt idx="4">
                  <c:v>17.574469820803248</c:v>
                </c:pt>
                <c:pt idx="5">
                  <c:v>17.526155410896525</c:v>
                </c:pt>
                <c:pt idx="6">
                  <c:v>17.472184530961236</c:v>
                </c:pt>
                <c:pt idx="7">
                  <c:v>17.271825076298029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7DC-439A-A221-8585885EB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MtCO</a:t>
                </a:r>
                <a:r>
                  <a:rPr lang="en-US" altLang="ko-KR" baseline="-25000"/>
                  <a:t>2</a:t>
                </a:r>
                <a:r>
                  <a:rPr lang="en-US" altLang="ko-KR"/>
                  <a:t>eq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9"/>
          <c:order val="0"/>
          <c:tx>
            <c:strRef>
              <c:f>CurPol_GHG_by_sector!$S$505</c:f>
              <c:strCache>
                <c:ptCount val="1"/>
                <c:pt idx="0">
                  <c:v>Other industry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CurPol_GHG_by_sector!$T$505:$AA$505</c:f>
              <c:numCache>
                <c:formatCode>General</c:formatCode>
                <c:ptCount val="8"/>
                <c:pt idx="0">
                  <c:v>55.057755594966793</c:v>
                </c:pt>
                <c:pt idx="1">
                  <c:v>58.37893403681182</c:v>
                </c:pt>
                <c:pt idx="2">
                  <c:v>61.862393473465829</c:v>
                </c:pt>
                <c:pt idx="3">
                  <c:v>63.042941690339561</c:v>
                </c:pt>
                <c:pt idx="4">
                  <c:v>59.442599943819062</c:v>
                </c:pt>
                <c:pt idx="5">
                  <c:v>54.579506805628569</c:v>
                </c:pt>
                <c:pt idx="6">
                  <c:v>49.384414609111111</c:v>
                </c:pt>
                <c:pt idx="7">
                  <c:v>44.038945181669114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DB-4995-A31C-2DAB1B6F9181}"/>
            </c:ext>
          </c:extLst>
        </c:ser>
        <c:ser>
          <c:idx val="8"/>
          <c:order val="1"/>
          <c:tx>
            <c:strRef>
              <c:f>CurPol_GHG_by_sector!$S$504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CurPol_GHG_by_sector!$T$504:$AA$504</c:f>
              <c:numCache>
                <c:formatCode>General</c:formatCode>
                <c:ptCount val="8"/>
                <c:pt idx="0">
                  <c:v>2.4778565425193628</c:v>
                </c:pt>
                <c:pt idx="1">
                  <c:v>2.6609797413035312</c:v>
                </c:pt>
                <c:pt idx="2">
                  <c:v>2.7815157401089223</c:v>
                </c:pt>
                <c:pt idx="3">
                  <c:v>2.7958451964681501</c:v>
                </c:pt>
                <c:pt idx="4">
                  <c:v>2.7611754643267434</c:v>
                </c:pt>
                <c:pt idx="5">
                  <c:v>2.7101108334733075</c:v>
                </c:pt>
                <c:pt idx="6">
                  <c:v>2.6302841784433859</c:v>
                </c:pt>
                <c:pt idx="7">
                  <c:v>2.5359131815402391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DB-4995-A31C-2DAB1B6F9181}"/>
            </c:ext>
          </c:extLst>
        </c:ser>
        <c:ser>
          <c:idx val="7"/>
          <c:order val="2"/>
          <c:tx>
            <c:strRef>
              <c:f>CurPol_GHG_by_sector!$S$503</c:f>
              <c:strCache>
                <c:ptCount val="1"/>
                <c:pt idx="0">
                  <c:v>Mining energy use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CurPol_GHG_by_sector!$T$503:$AA$503</c:f>
              <c:numCache>
                <c:formatCode>General</c:formatCode>
                <c:ptCount val="8"/>
                <c:pt idx="0">
                  <c:v>0.19181033255703753</c:v>
                </c:pt>
                <c:pt idx="1">
                  <c:v>0.17417249340269514</c:v>
                </c:pt>
                <c:pt idx="2">
                  <c:v>0.21018950755854682</c:v>
                </c:pt>
                <c:pt idx="3">
                  <c:v>0.22590667943278511</c:v>
                </c:pt>
                <c:pt idx="4">
                  <c:v>0.22842246657645857</c:v>
                </c:pt>
                <c:pt idx="5">
                  <c:v>0.22502837471631754</c:v>
                </c:pt>
                <c:pt idx="6">
                  <c:v>0.21634727911613064</c:v>
                </c:pt>
                <c:pt idx="7">
                  <c:v>0.20612276009066738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1C-4811-A2E4-D445258DDB46}"/>
            </c:ext>
          </c:extLst>
        </c:ser>
        <c:ser>
          <c:idx val="6"/>
          <c:order val="3"/>
          <c:tx>
            <c:strRef>
              <c:f>CurPol_GHG_by_sector!$S$502</c:f>
              <c:strCache>
                <c:ptCount val="1"/>
                <c:pt idx="0">
                  <c:v>Agricultural energy use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CurPol_GHG_by_sector!$T$502:$AA$502</c:f>
              <c:numCache>
                <c:formatCode>General</c:formatCode>
                <c:ptCount val="8"/>
                <c:pt idx="0">
                  <c:v>1.4314709246868484</c:v>
                </c:pt>
                <c:pt idx="1">
                  <c:v>1.4231897362487813</c:v>
                </c:pt>
                <c:pt idx="2">
                  <c:v>1.6694748145329823</c:v>
                </c:pt>
                <c:pt idx="3">
                  <c:v>1.7827140202708631</c:v>
                </c:pt>
                <c:pt idx="4">
                  <c:v>1.7746422491807039</c:v>
                </c:pt>
                <c:pt idx="5">
                  <c:v>1.730747162417807</c:v>
                </c:pt>
                <c:pt idx="6">
                  <c:v>1.6497511148736821</c:v>
                </c:pt>
                <c:pt idx="7">
                  <c:v>1.5620210668174193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1C-4811-A2E4-D445258DDB46}"/>
            </c:ext>
          </c:extLst>
        </c:ser>
        <c:ser>
          <c:idx val="5"/>
          <c:order val="4"/>
          <c:tx>
            <c:strRef>
              <c:f>CurPol_GHG_by_sector!$S$501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CurPol_GHG_by_sector!$T$501:$AA$501</c:f>
              <c:numCache>
                <c:formatCode>General</c:formatCode>
                <c:ptCount val="8"/>
                <c:pt idx="0">
                  <c:v>0.35744067867627499</c:v>
                </c:pt>
                <c:pt idx="1">
                  <c:v>0.36864386420127715</c:v>
                </c:pt>
                <c:pt idx="2">
                  <c:v>0.36932951312687995</c:v>
                </c:pt>
                <c:pt idx="3">
                  <c:v>0.35940069241508854</c:v>
                </c:pt>
                <c:pt idx="4">
                  <c:v>0.32894901818324218</c:v>
                </c:pt>
                <c:pt idx="5">
                  <c:v>0.29254454512642369</c:v>
                </c:pt>
                <c:pt idx="6">
                  <c:v>0.27257859136876356</c:v>
                </c:pt>
                <c:pt idx="7">
                  <c:v>0.25847783756678266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1C-4811-A2E4-D445258DDB46}"/>
            </c:ext>
          </c:extLst>
        </c:ser>
        <c:ser>
          <c:idx val="4"/>
          <c:order val="5"/>
          <c:tx>
            <c:strRef>
              <c:f>CurPol_GHG_by_sector!$S$500</c:f>
              <c:strCache>
                <c:ptCount val="1"/>
                <c:pt idx="0">
                  <c:v>Display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CurPol_GHG_by_sector!$T$500:$AA$500</c:f>
              <c:numCache>
                <c:formatCode>General</c:formatCode>
                <c:ptCount val="8"/>
                <c:pt idx="0">
                  <c:v>0.58259806963866623</c:v>
                </c:pt>
                <c:pt idx="1">
                  <c:v>0.7861769335753197</c:v>
                </c:pt>
                <c:pt idx="2">
                  <c:v>0.9662810590062858</c:v>
                </c:pt>
                <c:pt idx="3">
                  <c:v>1.0340071219247888</c:v>
                </c:pt>
                <c:pt idx="4">
                  <c:v>1.0867544106910565</c:v>
                </c:pt>
                <c:pt idx="5">
                  <c:v>1.1444747990243014</c:v>
                </c:pt>
                <c:pt idx="6">
                  <c:v>1.2131545766204124</c:v>
                </c:pt>
                <c:pt idx="7">
                  <c:v>1.2843984319620936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1C-4811-A2E4-D445258DDB46}"/>
            </c:ext>
          </c:extLst>
        </c:ser>
        <c:ser>
          <c:idx val="3"/>
          <c:order val="6"/>
          <c:tx>
            <c:strRef>
              <c:f>CurPol_GHG_by_sector!$S$499</c:f>
              <c:strCache>
                <c:ptCount val="1"/>
                <c:pt idx="0">
                  <c:v>Semiconductor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CurPol_GHG_by_sector!$T$499:$AA$499</c:f>
              <c:numCache>
                <c:formatCode>General</c:formatCode>
                <c:ptCount val="8"/>
                <c:pt idx="0">
                  <c:v>0.6374527405845799</c:v>
                </c:pt>
                <c:pt idx="1">
                  <c:v>0.86019828903056117</c:v>
                </c:pt>
                <c:pt idx="2">
                  <c:v>1.0572611930692946</c:v>
                </c:pt>
                <c:pt idx="3">
                  <c:v>1.1313647753114127</c:v>
                </c:pt>
                <c:pt idx="4">
                  <c:v>1.1890752313846866</c:v>
                </c:pt>
                <c:pt idx="5">
                  <c:v>1.25223297952917</c:v>
                </c:pt>
                <c:pt idx="6">
                  <c:v>1.3273796241705316</c:v>
                </c:pt>
                <c:pt idx="7">
                  <c:v>1.4053305588062597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C-4811-A2E4-D445258DDB46}"/>
            </c:ext>
          </c:extLst>
        </c:ser>
        <c:ser>
          <c:idx val="2"/>
          <c:order val="7"/>
          <c:tx>
            <c:strRef>
              <c:f>CurPol_GHG_by_sector!$S$498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CurPol_GHG_by_sector!$T$498:$AA$498</c:f>
              <c:numCache>
                <c:formatCode>General</c:formatCode>
                <c:ptCount val="8"/>
                <c:pt idx="0">
                  <c:v>38.102302808154327</c:v>
                </c:pt>
                <c:pt idx="1">
                  <c:v>39.701608579058053</c:v>
                </c:pt>
                <c:pt idx="2">
                  <c:v>46.863211293720944</c:v>
                </c:pt>
                <c:pt idx="3">
                  <c:v>49.162644853337994</c:v>
                </c:pt>
                <c:pt idx="4">
                  <c:v>50.617302700181838</c:v>
                </c:pt>
                <c:pt idx="5">
                  <c:v>52.119397879614105</c:v>
                </c:pt>
                <c:pt idx="6">
                  <c:v>53.789014042579488</c:v>
                </c:pt>
                <c:pt idx="7">
                  <c:v>55.188358538834692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C-4811-A2E4-D445258DDB46}"/>
            </c:ext>
          </c:extLst>
        </c:ser>
        <c:ser>
          <c:idx val="1"/>
          <c:order val="8"/>
          <c:tx>
            <c:strRef>
              <c:f>CurPol_GHG_by_sector!$S$497</c:f>
              <c:strCache>
                <c:ptCount val="1"/>
                <c:pt idx="0">
                  <c:v>Chemical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CurPol_GHG_by_sector!$T$497:$AA$497</c:f>
              <c:numCache>
                <c:formatCode>General</c:formatCode>
                <c:ptCount val="8"/>
                <c:pt idx="0">
                  <c:v>20.240312736798238</c:v>
                </c:pt>
                <c:pt idx="1">
                  <c:v>20.194652476336451</c:v>
                </c:pt>
                <c:pt idx="2">
                  <c:v>23.320958349688436</c:v>
                </c:pt>
                <c:pt idx="3">
                  <c:v>25.142950631122236</c:v>
                </c:pt>
                <c:pt idx="4">
                  <c:v>27.087190428051148</c:v>
                </c:pt>
                <c:pt idx="5">
                  <c:v>25.23162939160007</c:v>
                </c:pt>
                <c:pt idx="6">
                  <c:v>20.039763452954574</c:v>
                </c:pt>
                <c:pt idx="7">
                  <c:v>19.335360521080794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C-4811-A2E4-D445258DDB46}"/>
            </c:ext>
          </c:extLst>
        </c:ser>
        <c:ser>
          <c:idx val="0"/>
          <c:order val="9"/>
          <c:tx>
            <c:strRef>
              <c:f>CurPol_GHG_by_sector!$S$496</c:f>
              <c:strCache>
                <c:ptCount val="1"/>
                <c:pt idx="0">
                  <c:v>Iron and steel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CurPol_GHG_by_sector!$T$495:$AA$495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CurPol_GHG_by_sector!$T$496:$AA$496</c:f>
              <c:numCache>
                <c:formatCode>General</c:formatCode>
                <c:ptCount val="8"/>
                <c:pt idx="0">
                  <c:v>89.175478270492022</c:v>
                </c:pt>
                <c:pt idx="1">
                  <c:v>84.69571615501502</c:v>
                </c:pt>
                <c:pt idx="2">
                  <c:v>91.496039222730289</c:v>
                </c:pt>
                <c:pt idx="3">
                  <c:v>89.049905832067481</c:v>
                </c:pt>
                <c:pt idx="4">
                  <c:v>84.136740778081304</c:v>
                </c:pt>
                <c:pt idx="5">
                  <c:v>79.51583465593329</c:v>
                </c:pt>
                <c:pt idx="6">
                  <c:v>71.622348914689013</c:v>
                </c:pt>
                <c:pt idx="7">
                  <c:v>60.151360096389368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C-4811-A2E4-D445258DD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0027312"/>
        <c:axId val="1462810496"/>
      </c:barChart>
      <c:catAx>
        <c:axId val="14700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2810496"/>
        <c:crosses val="autoZero"/>
        <c:auto val="1"/>
        <c:lblAlgn val="ctr"/>
        <c:lblOffset val="100"/>
        <c:noMultiLvlLbl val="0"/>
      </c:catAx>
      <c:valAx>
        <c:axId val="146281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70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 sz="1400" b="1" i="0" baseline="0">
                <a:effectLst/>
              </a:rPr>
              <a:t>NZ-0p_GHG emission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'NZ-0p_GHG_by_sector'!$S$488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'NZ-0p_GHG_by_sector'!$T$488:$AA$488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36-4EF9-B9C6-FF686EBDF761}"/>
            </c:ext>
          </c:extLst>
        </c:ser>
        <c:ser>
          <c:idx val="3"/>
          <c:order val="1"/>
          <c:tx>
            <c:strRef>
              <c:f>'NZ-0p_GHG_by_sector'!$S$485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'NZ-0p_GHG_by_sector'!$T$485:$AA$485</c:f>
              <c:numCache>
                <c:formatCode>General</c:formatCode>
                <c:ptCount val="8"/>
                <c:pt idx="0">
                  <c:v>259.66756094423556</c:v>
                </c:pt>
                <c:pt idx="1">
                  <c:v>244.11641602383111</c:v>
                </c:pt>
                <c:pt idx="2">
                  <c:v>211.19030195199059</c:v>
                </c:pt>
                <c:pt idx="3">
                  <c:v>131.20411997043797</c:v>
                </c:pt>
                <c:pt idx="4">
                  <c:v>72.483821227955303</c:v>
                </c:pt>
                <c:pt idx="5">
                  <c:v>33.984792712395574</c:v>
                </c:pt>
                <c:pt idx="6">
                  <c:v>2.5162530429331156</c:v>
                </c:pt>
                <c:pt idx="7">
                  <c:v>-9.0949152913554414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36-4EF9-B9C6-FF686EBDF761}"/>
            </c:ext>
          </c:extLst>
        </c:ser>
        <c:ser>
          <c:idx val="4"/>
          <c:order val="2"/>
          <c:tx>
            <c:strRef>
              <c:f>'NZ-0p_GHG_by_sector'!$S$487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'NZ-0p_GHG_by_sector'!$T$487:$AA$487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-3.9834939691614019E-4</c:v>
                </c:pt>
                <c:pt idx="6">
                  <c:v>-0.17311691277679536</c:v>
                </c:pt>
                <c:pt idx="7">
                  <c:v>-50.063355375860638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36-4EF9-B9C6-FF686EBDF761}"/>
            </c:ext>
          </c:extLst>
        </c:ser>
        <c:ser>
          <c:idx val="2"/>
          <c:order val="3"/>
          <c:tx>
            <c:strRef>
              <c:f>'NZ-0p_GHG_by_sector'!$S$484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'NZ-0p_GHG_by_sector'!$T$484:$AA$484</c:f>
              <c:numCache>
                <c:formatCode>General</c:formatCode>
                <c:ptCount val="8"/>
                <c:pt idx="0">
                  <c:v>98.935342939451303</c:v>
                </c:pt>
                <c:pt idx="1">
                  <c:v>101.81990010965093</c:v>
                </c:pt>
                <c:pt idx="2">
                  <c:v>92.833301850136095</c:v>
                </c:pt>
                <c:pt idx="3">
                  <c:v>76.716495727597263</c:v>
                </c:pt>
                <c:pt idx="4">
                  <c:v>60.728014093647289</c:v>
                </c:pt>
                <c:pt idx="5">
                  <c:v>44.984049267704528</c:v>
                </c:pt>
                <c:pt idx="6">
                  <c:v>32.565616225689993</c:v>
                </c:pt>
                <c:pt idx="7">
                  <c:v>23.08444364044583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36-4EF9-B9C6-FF686EBDF761}"/>
            </c:ext>
          </c:extLst>
        </c:ser>
        <c:ser>
          <c:idx val="1"/>
          <c:order val="4"/>
          <c:tx>
            <c:strRef>
              <c:f>'NZ-0p_GHG_by_sector'!$S$483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'NZ-0p_GHG_by_sector'!$T$483:$AA$483</c:f>
              <c:numCache>
                <c:formatCode>General</c:formatCode>
                <c:ptCount val="8"/>
                <c:pt idx="0">
                  <c:v>254.10687452013894</c:v>
                </c:pt>
                <c:pt idx="1">
                  <c:v>269.68113732062471</c:v>
                </c:pt>
                <c:pt idx="2">
                  <c:v>253.31358264526963</c:v>
                </c:pt>
                <c:pt idx="3">
                  <c:v>232.56543349868451</c:v>
                </c:pt>
                <c:pt idx="4">
                  <c:v>193.58182970232744</c:v>
                </c:pt>
                <c:pt idx="5">
                  <c:v>134.24829716451711</c:v>
                </c:pt>
                <c:pt idx="6">
                  <c:v>71.530836697384558</c:v>
                </c:pt>
                <c:pt idx="7">
                  <c:v>27.408151480005237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36-4EF9-B9C6-FF686EBDF761}"/>
            </c:ext>
          </c:extLst>
        </c:ser>
        <c:ser>
          <c:idx val="0"/>
          <c:order val="5"/>
          <c:tx>
            <c:strRef>
              <c:f>'NZ-0p_GHG_by_sector'!$S$482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'NZ-0p_GHG_by_sector'!$T$481:$AA$481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'NZ-0p_GHG_by_sector'!$T$482:$AA$482</c:f>
              <c:numCache>
                <c:formatCode>General</c:formatCode>
                <c:ptCount val="8"/>
                <c:pt idx="0">
                  <c:v>72.988476041568958</c:v>
                </c:pt>
                <c:pt idx="1">
                  <c:v>81.467571564287184</c:v>
                </c:pt>
                <c:pt idx="2">
                  <c:v>73.104729305739014</c:v>
                </c:pt>
                <c:pt idx="3">
                  <c:v>66.699246515372437</c:v>
                </c:pt>
                <c:pt idx="4">
                  <c:v>56.129239916386624</c:v>
                </c:pt>
                <c:pt idx="5">
                  <c:v>47.268325865981438</c:v>
                </c:pt>
                <c:pt idx="6">
                  <c:v>33.160091934020826</c:v>
                </c:pt>
                <c:pt idx="7">
                  <c:v>24.392592319525093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36-4EF9-B9C6-FF686EBDF761}"/>
            </c:ext>
          </c:extLst>
        </c:ser>
        <c:ser>
          <c:idx val="6"/>
          <c:order val="6"/>
          <c:tx>
            <c:strRef>
              <c:f>'NZ-0p_GHG_by_sector'!$S$486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  <a:ln>
              <a:noFill/>
            </a:ln>
            <a:effectLst/>
          </c:spPr>
          <c:invertIfNegative val="0"/>
          <c:val>
            <c:numRef>
              <c:f>'NZ-0p_GHG_by_sector'!$T$486:$AA$486</c:f>
              <c:numCache>
                <c:formatCode>General</c:formatCode>
                <c:ptCount val="8"/>
                <c:pt idx="0">
                  <c:v>16.311936076203967</c:v>
                </c:pt>
                <c:pt idx="1">
                  <c:v>17.290345100704783</c:v>
                </c:pt>
                <c:pt idx="2">
                  <c:v>17.820204370519651</c:v>
                </c:pt>
                <c:pt idx="3">
                  <c:v>17.874500965924454</c:v>
                </c:pt>
                <c:pt idx="4">
                  <c:v>17.860661709044383</c:v>
                </c:pt>
                <c:pt idx="5">
                  <c:v>17.803993513215698</c:v>
                </c:pt>
                <c:pt idx="6">
                  <c:v>17.67671971429127</c:v>
                </c:pt>
                <c:pt idx="7">
                  <c:v>17.456752823124546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36-4EF9-B9C6-FF686EBDF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 b="1"/>
              <a:t>NZ2050</a:t>
            </a:r>
            <a:endParaRPr lang="ko-KR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NZ2050_GHG_by_sector!$S$491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NZ2050_GHG_by_sector!$T$491:$AA$491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-3.6831458272029272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A7-4709-AD8C-3DE0EE3F2965}"/>
            </c:ext>
          </c:extLst>
        </c:ser>
        <c:ser>
          <c:idx val="5"/>
          <c:order val="1"/>
          <c:tx>
            <c:strRef>
              <c:f>NZ2050_GHG_by_sector!$S$492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NZ2050_GHG_by_sector!$T$492:$AA$492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A7-4709-AD8C-3DE0EE3F2965}"/>
            </c:ext>
          </c:extLst>
        </c:ser>
        <c:ser>
          <c:idx val="3"/>
          <c:order val="2"/>
          <c:tx>
            <c:strRef>
              <c:f>NZ2050_GHG_by_sector!$P$489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NZ2050_GHG_by_sector!$T$489:$AA$489</c:f>
              <c:numCache>
                <c:formatCode>General</c:formatCode>
                <c:ptCount val="8"/>
                <c:pt idx="0">
                  <c:v>259.66756087801082</c:v>
                </c:pt>
                <c:pt idx="1">
                  <c:v>265.55958042361902</c:v>
                </c:pt>
                <c:pt idx="2">
                  <c:v>179.58831964209327</c:v>
                </c:pt>
                <c:pt idx="3">
                  <c:v>113.74576243633476</c:v>
                </c:pt>
                <c:pt idx="4">
                  <c:v>68.18785024177636</c:v>
                </c:pt>
                <c:pt idx="5">
                  <c:v>33.878620895738784</c:v>
                </c:pt>
                <c:pt idx="6">
                  <c:v>5.1931448772644657</c:v>
                </c:pt>
                <c:pt idx="7">
                  <c:v>-5.6585074771068378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A7-4709-AD8C-3DE0EE3F2965}"/>
            </c:ext>
          </c:extLst>
        </c:ser>
        <c:ser>
          <c:idx val="2"/>
          <c:order val="3"/>
          <c:tx>
            <c:strRef>
              <c:f>NZ2050_GHG_by_sector!$P$488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NZ2050_GHG_by_sector!$T$488:$AA$488</c:f>
              <c:numCache>
                <c:formatCode>General</c:formatCode>
                <c:ptCount val="8"/>
                <c:pt idx="0">
                  <c:v>98.9353429394274</c:v>
                </c:pt>
                <c:pt idx="1">
                  <c:v>101.15625598351595</c:v>
                </c:pt>
                <c:pt idx="2">
                  <c:v>91.83832965983612</c:v>
                </c:pt>
                <c:pt idx="3">
                  <c:v>75.460085763184452</c:v>
                </c:pt>
                <c:pt idx="4">
                  <c:v>59.19892237095759</c:v>
                </c:pt>
                <c:pt idx="5">
                  <c:v>43.665108625094803</c:v>
                </c:pt>
                <c:pt idx="6">
                  <c:v>32.137269681305341</c:v>
                </c:pt>
                <c:pt idx="7">
                  <c:v>20.99395377276641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A7-4709-AD8C-3DE0EE3F2965}"/>
            </c:ext>
          </c:extLst>
        </c:ser>
        <c:ser>
          <c:idx val="1"/>
          <c:order val="4"/>
          <c:tx>
            <c:strRef>
              <c:f>NZ2050_GHG_by_sector!$P$487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NZ2050_GHG_by_sector!$T$487:$AA$487</c:f>
              <c:numCache>
                <c:formatCode>General</c:formatCode>
                <c:ptCount val="8"/>
                <c:pt idx="0">
                  <c:v>267.61340792029443</c:v>
                </c:pt>
                <c:pt idx="1">
                  <c:v>268.71523963267782</c:v>
                </c:pt>
                <c:pt idx="2">
                  <c:v>254.54947120337792</c:v>
                </c:pt>
                <c:pt idx="3">
                  <c:v>226.54967314197344</c:v>
                </c:pt>
                <c:pt idx="4">
                  <c:v>181.81536010871164</c:v>
                </c:pt>
                <c:pt idx="5">
                  <c:v>126.02287843391711</c:v>
                </c:pt>
                <c:pt idx="6">
                  <c:v>66.220465415731383</c:v>
                </c:pt>
                <c:pt idx="7">
                  <c:v>-4.9730383233982245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7-4709-AD8C-3DE0EE3F2965}"/>
            </c:ext>
          </c:extLst>
        </c:ser>
        <c:ser>
          <c:idx val="0"/>
          <c:order val="5"/>
          <c:tx>
            <c:strRef>
              <c:f>NZ2050_GHG_by_sector!$P$486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NZ2050_GHG_by_sector!$T$485:$AA$485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NZ2050_GHG_by_sector!$T$486:$AA$486</c:f>
              <c:numCache>
                <c:formatCode>General</c:formatCode>
                <c:ptCount val="8"/>
                <c:pt idx="0">
                  <c:v>72.988476041563871</c:v>
                </c:pt>
                <c:pt idx="1">
                  <c:v>69.69408075109078</c:v>
                </c:pt>
                <c:pt idx="2">
                  <c:v>62.2239590335274</c:v>
                </c:pt>
                <c:pt idx="3">
                  <c:v>55.758438439967456</c:v>
                </c:pt>
                <c:pt idx="4">
                  <c:v>45.5771104837252</c:v>
                </c:pt>
                <c:pt idx="5">
                  <c:v>35.886372693234335</c:v>
                </c:pt>
                <c:pt idx="6">
                  <c:v>21.977359602425572</c:v>
                </c:pt>
                <c:pt idx="7">
                  <c:v>10.687096294823416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7-4709-AD8C-3DE0EE3F2965}"/>
            </c:ext>
          </c:extLst>
        </c:ser>
        <c:ser>
          <c:idx val="6"/>
          <c:order val="6"/>
          <c:tx>
            <c:strRef>
              <c:f>NZ2050_GHG_by_sector!$P$490</c:f>
              <c:strCache>
                <c:ptCount val="1"/>
                <c:pt idx="0">
                  <c:v>농업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  <a:ln>
              <a:noFill/>
            </a:ln>
            <a:effectLst/>
          </c:spPr>
          <c:invertIfNegative val="0"/>
          <c:val>
            <c:numRef>
              <c:f>NZ2050_GHG_by_sector!$T$490:$AA$490</c:f>
              <c:numCache>
                <c:formatCode>General</c:formatCode>
                <c:ptCount val="8"/>
                <c:pt idx="0">
                  <c:v>16.311936075645395</c:v>
                </c:pt>
                <c:pt idx="1">
                  <c:v>17.257564145670653</c:v>
                </c:pt>
                <c:pt idx="2">
                  <c:v>17.237320220144273</c:v>
                </c:pt>
                <c:pt idx="3">
                  <c:v>17.085016721348694</c:v>
                </c:pt>
                <c:pt idx="4">
                  <c:v>17.137254661682501</c:v>
                </c:pt>
                <c:pt idx="5">
                  <c:v>16.940464717368304</c:v>
                </c:pt>
                <c:pt idx="6">
                  <c:v>16.607967137120575</c:v>
                </c:pt>
                <c:pt idx="7">
                  <c:v>16.157549699595648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FA7-4709-AD8C-3DE0EE3F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MtCO</a:t>
                </a:r>
                <a:r>
                  <a:rPr lang="en-US" altLang="ko-KR" baseline="-25000"/>
                  <a:t>2</a:t>
                </a:r>
                <a:r>
                  <a:rPr lang="en-US" altLang="ko-KR"/>
                  <a:t>eq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9"/>
          <c:order val="0"/>
          <c:tx>
            <c:strRef>
              <c:f>NZ2050_GHG_by_sector!$S$532</c:f>
              <c:strCache>
                <c:ptCount val="1"/>
                <c:pt idx="0">
                  <c:v>Other industry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NZ2050_GHG_by_sector!$T$532:$AA$532</c:f>
              <c:numCache>
                <c:formatCode>General</c:formatCode>
                <c:ptCount val="8"/>
                <c:pt idx="0">
                  <c:v>55.057755594966793</c:v>
                </c:pt>
                <c:pt idx="1">
                  <c:v>58.368457700812158</c:v>
                </c:pt>
                <c:pt idx="2">
                  <c:v>59.998782528339497</c:v>
                </c:pt>
                <c:pt idx="3">
                  <c:v>56.591622741749376</c:v>
                </c:pt>
                <c:pt idx="4">
                  <c:v>44.586361342684626</c:v>
                </c:pt>
                <c:pt idx="5">
                  <c:v>28.880238695463753</c:v>
                </c:pt>
                <c:pt idx="6">
                  <c:v>18.38613965911113</c:v>
                </c:pt>
                <c:pt idx="7">
                  <c:v>4.715604973466041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DB-4995-A31C-2DAB1B6F9181}"/>
            </c:ext>
          </c:extLst>
        </c:ser>
        <c:ser>
          <c:idx val="8"/>
          <c:order val="1"/>
          <c:tx>
            <c:strRef>
              <c:f>NZ2050_GHG_by_sector!$S$531</c:f>
              <c:strCache>
                <c:ptCount val="1"/>
                <c:pt idx="0">
                  <c:v>Construction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NZ2050_GHG_by_sector!$T$531:$AA$531</c:f>
              <c:numCache>
                <c:formatCode>General</c:formatCode>
                <c:ptCount val="8"/>
                <c:pt idx="0">
                  <c:v>2.4778565425193628</c:v>
                </c:pt>
                <c:pt idx="1">
                  <c:v>2.6634515660360871</c:v>
                </c:pt>
                <c:pt idx="2">
                  <c:v>2.5941758860508175</c:v>
                </c:pt>
                <c:pt idx="3">
                  <c:v>2.2945006013870954</c:v>
                </c:pt>
                <c:pt idx="4">
                  <c:v>1.9208037233385582</c:v>
                </c:pt>
                <c:pt idx="5">
                  <c:v>1.5997291911785501</c:v>
                </c:pt>
                <c:pt idx="6">
                  <c:v>1.1859062373691098</c:v>
                </c:pt>
                <c:pt idx="7">
                  <c:v>0.30806231602639367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6DB-4995-A31C-2DAB1B6F9181}"/>
            </c:ext>
          </c:extLst>
        </c:ser>
        <c:ser>
          <c:idx val="7"/>
          <c:order val="2"/>
          <c:tx>
            <c:strRef>
              <c:f>NZ2050_GHG_by_sector!$S$530</c:f>
              <c:strCache>
                <c:ptCount val="1"/>
                <c:pt idx="0">
                  <c:v>Mining energy use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NZ2050_GHG_by_sector!$T$530:$AA$530</c:f>
              <c:numCache>
                <c:formatCode>General</c:formatCode>
                <c:ptCount val="8"/>
                <c:pt idx="0">
                  <c:v>0.19181033255703753</c:v>
                </c:pt>
                <c:pt idx="1">
                  <c:v>0.17401189370591966</c:v>
                </c:pt>
                <c:pt idx="2">
                  <c:v>0.21623197657985277</c:v>
                </c:pt>
                <c:pt idx="3">
                  <c:v>0.21727566030141418</c:v>
                </c:pt>
                <c:pt idx="4">
                  <c:v>0.19824450015339917</c:v>
                </c:pt>
                <c:pt idx="5">
                  <c:v>0.16354092364599787</c:v>
                </c:pt>
                <c:pt idx="6">
                  <c:v>0.11533489527594513</c:v>
                </c:pt>
                <c:pt idx="7">
                  <c:v>3.4272833611961262E-2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1C-4811-A2E4-D445258DDB46}"/>
            </c:ext>
          </c:extLst>
        </c:ser>
        <c:ser>
          <c:idx val="6"/>
          <c:order val="3"/>
          <c:tx>
            <c:strRef>
              <c:f>NZ2050_GHG_by_sector!$S$529</c:f>
              <c:strCache>
                <c:ptCount val="1"/>
                <c:pt idx="0">
                  <c:v>Agricultural energy use</c:v>
                </c:pt>
              </c:strCache>
            </c:strRef>
          </c:tx>
          <c:spPr>
            <a:solidFill>
              <a:srgbClr val="FFC000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NZ2050_GHG_by_sector!$T$529:$AA$529</c:f>
              <c:numCache>
                <c:formatCode>General</c:formatCode>
                <c:ptCount val="8"/>
                <c:pt idx="0">
                  <c:v>1.4314709246868484</c:v>
                </c:pt>
                <c:pt idx="1">
                  <c:v>1.4211979141373008</c:v>
                </c:pt>
                <c:pt idx="2">
                  <c:v>1.6850030281665695</c:v>
                </c:pt>
                <c:pt idx="3">
                  <c:v>1.6694924874346315</c:v>
                </c:pt>
                <c:pt idx="4">
                  <c:v>1.4901980338118166</c:v>
                </c:pt>
                <c:pt idx="5">
                  <c:v>1.2210929022939276</c:v>
                </c:pt>
                <c:pt idx="6">
                  <c:v>0.87352412527676238</c:v>
                </c:pt>
                <c:pt idx="7">
                  <c:v>0.26956096878416874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1C-4811-A2E4-D445258DDB46}"/>
            </c:ext>
          </c:extLst>
        </c:ser>
        <c:ser>
          <c:idx val="5"/>
          <c:order val="4"/>
          <c:tx>
            <c:strRef>
              <c:f>NZ2050_GHG_by_sector!$S$528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NZ2050_GHG_by_sector!$T$528:$AA$528</c:f>
              <c:numCache>
                <c:formatCode>General</c:formatCode>
                <c:ptCount val="8"/>
                <c:pt idx="0">
                  <c:v>0.35744067867627499</c:v>
                </c:pt>
                <c:pt idx="1">
                  <c:v>0.37212658137625237</c:v>
                </c:pt>
                <c:pt idx="2">
                  <c:v>0.373710902157187</c:v>
                </c:pt>
                <c:pt idx="3">
                  <c:v>0.36257250301891703</c:v>
                </c:pt>
                <c:pt idx="4">
                  <c:v>0.31277840791664618</c:v>
                </c:pt>
                <c:pt idx="5">
                  <c:v>0.22756760877937945</c:v>
                </c:pt>
                <c:pt idx="6">
                  <c:v>0.17020394021531693</c:v>
                </c:pt>
                <c:pt idx="7">
                  <c:v>0.10858937608521113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1C-4811-A2E4-D445258DDB46}"/>
            </c:ext>
          </c:extLst>
        </c:ser>
        <c:ser>
          <c:idx val="4"/>
          <c:order val="5"/>
          <c:tx>
            <c:strRef>
              <c:f>NZ2050_GHG_by_sector!$S$527</c:f>
              <c:strCache>
                <c:ptCount val="1"/>
                <c:pt idx="0">
                  <c:v>Display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NZ2050_GHG_by_sector!$T$527:$AA$527</c:f>
              <c:numCache>
                <c:formatCode>General</c:formatCode>
                <c:ptCount val="8"/>
                <c:pt idx="0">
                  <c:v>0.58259806963866623</c:v>
                </c:pt>
                <c:pt idx="1">
                  <c:v>0.78646102045668742</c:v>
                </c:pt>
                <c:pt idx="2">
                  <c:v>0.86222086675687315</c:v>
                </c:pt>
                <c:pt idx="3">
                  <c:v>1.015479739646945</c:v>
                </c:pt>
                <c:pt idx="4">
                  <c:v>1.0983897223186334</c:v>
                </c:pt>
                <c:pt idx="5">
                  <c:v>1.2047190719949306</c:v>
                </c:pt>
                <c:pt idx="6">
                  <c:v>1.3223296217235767</c:v>
                </c:pt>
                <c:pt idx="7">
                  <c:v>1.443145183300111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1C-4811-A2E4-D445258DDB46}"/>
            </c:ext>
          </c:extLst>
        </c:ser>
        <c:ser>
          <c:idx val="3"/>
          <c:order val="6"/>
          <c:tx>
            <c:strRef>
              <c:f>NZ2050_GHG_by_sector!$S$526</c:f>
              <c:strCache>
                <c:ptCount val="1"/>
                <c:pt idx="0">
                  <c:v>Semiconductor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NZ2050_GHG_by_sector!$T$526:$AA$526</c:f>
              <c:numCache>
                <c:formatCode>General</c:formatCode>
                <c:ptCount val="8"/>
                <c:pt idx="0">
                  <c:v>0.6374527405845799</c:v>
                </c:pt>
                <c:pt idx="1">
                  <c:v>0.86050912461826479</c:v>
                </c:pt>
                <c:pt idx="2">
                  <c:v>0.9434026349680652</c:v>
                </c:pt>
                <c:pt idx="3">
                  <c:v>1.0419928452507685</c:v>
                </c:pt>
                <c:pt idx="4">
                  <c:v>1.1374861391766669</c:v>
                </c:pt>
                <c:pt idx="5">
                  <c:v>1.2671461822713406</c:v>
                </c:pt>
                <c:pt idx="6">
                  <c:v>1.405880494401476</c:v>
                </c:pt>
                <c:pt idx="7">
                  <c:v>1.5505953458005832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1C-4811-A2E4-D445258DDB46}"/>
            </c:ext>
          </c:extLst>
        </c:ser>
        <c:ser>
          <c:idx val="2"/>
          <c:order val="7"/>
          <c:tx>
            <c:strRef>
              <c:f>NZ2050_GHG_by_sector!$S$525</c:f>
              <c:strCache>
                <c:ptCount val="1"/>
                <c:pt idx="0">
                  <c:v>Cement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NZ2050_GHG_by_sector!$T$525:$AA$525</c:f>
              <c:numCache>
                <c:formatCode>General</c:formatCode>
                <c:ptCount val="8"/>
                <c:pt idx="0">
                  <c:v>38.102302808154327</c:v>
                </c:pt>
                <c:pt idx="1">
                  <c:v>39.723212572276729</c:v>
                </c:pt>
                <c:pt idx="2">
                  <c:v>39.703951286876574</c:v>
                </c:pt>
                <c:pt idx="3">
                  <c:v>34.914351176527575</c:v>
                </c:pt>
                <c:pt idx="4">
                  <c:v>25.955604615647463</c:v>
                </c:pt>
                <c:pt idx="5">
                  <c:v>15.244632006865084</c:v>
                </c:pt>
                <c:pt idx="6">
                  <c:v>9.0000385518535175</c:v>
                </c:pt>
                <c:pt idx="7">
                  <c:v>3.8448790129525556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1C-4811-A2E4-D445258DDB46}"/>
            </c:ext>
          </c:extLst>
        </c:ser>
        <c:ser>
          <c:idx val="1"/>
          <c:order val="8"/>
          <c:tx>
            <c:strRef>
              <c:f>NZ2050_GHG_by_sector!$S$524</c:f>
              <c:strCache>
                <c:ptCount val="1"/>
                <c:pt idx="0">
                  <c:v>Chemical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NZ2050_GHG_by_sector!$T$524:$AA$524</c:f>
              <c:numCache>
                <c:formatCode>General</c:formatCode>
                <c:ptCount val="8"/>
                <c:pt idx="0">
                  <c:v>20.240312736798238</c:v>
                </c:pt>
                <c:pt idx="1">
                  <c:v>20.311706435883877</c:v>
                </c:pt>
                <c:pt idx="2">
                  <c:v>19.706249650222421</c:v>
                </c:pt>
                <c:pt idx="3">
                  <c:v>20.99272944936148</c:v>
                </c:pt>
                <c:pt idx="4">
                  <c:v>20.226906775683712</c:v>
                </c:pt>
                <c:pt idx="5">
                  <c:v>13.246049856668003</c:v>
                </c:pt>
                <c:pt idx="6">
                  <c:v>0.94566497461507815</c:v>
                </c:pt>
                <c:pt idx="7">
                  <c:v>-11.457495223983145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C-4811-A2E4-D445258DDB46}"/>
            </c:ext>
          </c:extLst>
        </c:ser>
        <c:ser>
          <c:idx val="0"/>
          <c:order val="9"/>
          <c:tx>
            <c:strRef>
              <c:f>NZ2050_GHG_by_sector!$S$523</c:f>
              <c:strCache>
                <c:ptCount val="1"/>
                <c:pt idx="0">
                  <c:v>Iron and steel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NZ2050_GHG_by_sector!$T$522:$AA$522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NZ2050_GHG_by_sector!$T$523:$AA$523</c:f>
              <c:numCache>
                <c:formatCode>General</c:formatCode>
                <c:ptCount val="8"/>
                <c:pt idx="0">
                  <c:v>89.175478270492022</c:v>
                </c:pt>
                <c:pt idx="1">
                  <c:v>84.718681268607924</c:v>
                </c:pt>
                <c:pt idx="2">
                  <c:v>74.157401767548706</c:v>
                </c:pt>
                <c:pt idx="3">
                  <c:v>53.405849738304518</c:v>
                </c:pt>
                <c:pt idx="4">
                  <c:v>34.40265601356824</c:v>
                </c:pt>
                <c:pt idx="5">
                  <c:v>24.744818716247025</c:v>
                </c:pt>
                <c:pt idx="6">
                  <c:v>15.346353770201567</c:v>
                </c:pt>
                <c:pt idx="7">
                  <c:v>5.474068150284209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C-4811-A2E4-D445258DD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470027312"/>
        <c:axId val="1462810496"/>
      </c:barChart>
      <c:catAx>
        <c:axId val="147002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62810496"/>
        <c:crosses val="autoZero"/>
        <c:auto val="1"/>
        <c:lblAlgn val="ctr"/>
        <c:lblOffset val="100"/>
        <c:noMultiLvlLbl val="0"/>
      </c:catAx>
      <c:valAx>
        <c:axId val="1462810496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7002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/>
              <a:t>CO2 Capture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1"/>
          <c:order val="0"/>
          <c:tx>
            <c:strRef>
              <c:f>'NZ-0p_CCS'!$E$51</c:f>
              <c:strCache>
                <c:ptCount val="1"/>
                <c:pt idx="0">
                  <c:v>Iron and Steel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'NZ-0p_CCS'!$F$51:$K$51</c:f>
              <c:numCache>
                <c:formatCode>General</c:formatCode>
                <c:ptCount val="6"/>
                <c:pt idx="0">
                  <c:v>0.2162897000000002</c:v>
                </c:pt>
                <c:pt idx="1">
                  <c:v>1.5443622333333311</c:v>
                </c:pt>
                <c:pt idx="2">
                  <c:v>5.3410991333333389</c:v>
                </c:pt>
                <c:pt idx="3">
                  <c:v>10.109050196666676</c:v>
                </c:pt>
                <c:pt idx="4">
                  <c:v>15.056118733333347</c:v>
                </c:pt>
                <c:pt idx="5">
                  <c:v>15.743663100000013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7-40CC-A2F0-86EDC478BE32}"/>
            </c:ext>
          </c:extLst>
        </c:ser>
        <c:ser>
          <c:idx val="10"/>
          <c:order val="1"/>
          <c:tx>
            <c:strRef>
              <c:f>'NZ-0p_CCS'!$E$50</c:f>
              <c:strCache>
                <c:ptCount val="1"/>
                <c:pt idx="0">
                  <c:v>Chemical CCS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'NZ-0p_CCS'!$F$50:$K$50</c:f>
              <c:numCache>
                <c:formatCode>General</c:formatCode>
                <c:ptCount val="6"/>
                <c:pt idx="0">
                  <c:v>9.7354675000000095E-3</c:v>
                </c:pt>
                <c:pt idx="1">
                  <c:v>0.18141318543333351</c:v>
                </c:pt>
                <c:pt idx="2">
                  <c:v>1.5742914898333347</c:v>
                </c:pt>
                <c:pt idx="3">
                  <c:v>4.2870521363999998</c:v>
                </c:pt>
                <c:pt idx="4">
                  <c:v>5.7980066481333346</c:v>
                </c:pt>
                <c:pt idx="5">
                  <c:v>6.5267611146466731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7-40CC-A2F0-86EDC478BE32}"/>
            </c:ext>
          </c:extLst>
        </c:ser>
        <c:ser>
          <c:idx val="9"/>
          <c:order val="2"/>
          <c:tx>
            <c:strRef>
              <c:f>'NZ-0p_CCS'!$E$49</c:f>
              <c:strCache>
                <c:ptCount val="1"/>
                <c:pt idx="0">
                  <c:v>Coalfuel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'NZ-0p_CCS'!$F$49:$K$49</c:f>
              <c:numCache>
                <c:formatCode>General</c:formatCode>
                <c:ptCount val="6"/>
                <c:pt idx="0">
                  <c:v>0</c:v>
                </c:pt>
                <c:pt idx="1">
                  <c:v>0.57931582610000054</c:v>
                </c:pt>
                <c:pt idx="2">
                  <c:v>1.5933439188333349</c:v>
                </c:pt>
                <c:pt idx="3">
                  <c:v>2.7982269791666692</c:v>
                </c:pt>
                <c:pt idx="4">
                  <c:v>3.864757634613337</c:v>
                </c:pt>
                <c:pt idx="5">
                  <c:v>4.4508090363990034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7-40CC-A2F0-86EDC478BE32}"/>
            </c:ext>
          </c:extLst>
        </c:ser>
        <c:ser>
          <c:idx val="8"/>
          <c:order val="3"/>
          <c:tx>
            <c:strRef>
              <c:f>'NZ-0p_CCS'!$E$48</c:f>
              <c:strCache>
                <c:ptCount val="1"/>
                <c:pt idx="0">
                  <c:v>Biofuel CCS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'NZ-0p_CCS'!$F$48:$K$48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2.0804593333333354</c:v>
                </c:pt>
                <c:pt idx="4">
                  <c:v>14.489257933333347</c:v>
                </c:pt>
                <c:pt idx="5">
                  <c:v>24.885653796666691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7-40CC-A2F0-86EDC478BE32}"/>
            </c:ext>
          </c:extLst>
        </c:ser>
        <c:ser>
          <c:idx val="7"/>
          <c:order val="4"/>
          <c:tx>
            <c:strRef>
              <c:f>'NZ-0p_CCS'!$E$47</c:f>
              <c:strCache>
                <c:ptCount val="1"/>
                <c:pt idx="0">
                  <c:v>Gaspower CCS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'NZ-0p_CCS'!$F$47:$K$47</c:f>
              <c:numCache>
                <c:formatCode>General</c:formatCode>
                <c:ptCount val="6"/>
                <c:pt idx="0">
                  <c:v>0</c:v>
                </c:pt>
                <c:pt idx="1">
                  <c:v>1.874605223333335</c:v>
                </c:pt>
                <c:pt idx="2">
                  <c:v>5.6140581200000055</c:v>
                </c:pt>
                <c:pt idx="3">
                  <c:v>11.904676074866675</c:v>
                </c:pt>
                <c:pt idx="4">
                  <c:v>20.514248710999979</c:v>
                </c:pt>
                <c:pt idx="5">
                  <c:v>47.192038659333377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7-40CC-A2F0-86EDC478BE32}"/>
            </c:ext>
          </c:extLst>
        </c:ser>
        <c:ser>
          <c:idx val="6"/>
          <c:order val="5"/>
          <c:tx>
            <c:strRef>
              <c:f>'NZ-0p_CCS'!$E$46</c:f>
              <c:strCache>
                <c:ptCount val="1"/>
                <c:pt idx="0">
                  <c:v>Biopower CCS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'NZ-0p_CCS'!$F$46:$K$46</c:f>
              <c:numCache>
                <c:formatCode>General</c:formatCode>
                <c:ptCount val="6"/>
                <c:pt idx="0">
                  <c:v>8.773547566666675E-3</c:v>
                </c:pt>
                <c:pt idx="1">
                  <c:v>0.26351068553333318</c:v>
                </c:pt>
                <c:pt idx="2">
                  <c:v>4.0983830484666699</c:v>
                </c:pt>
                <c:pt idx="3">
                  <c:v>18.534613332766686</c:v>
                </c:pt>
                <c:pt idx="4">
                  <c:v>42.109200340900031</c:v>
                </c:pt>
                <c:pt idx="5">
                  <c:v>55.124073760066715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67-40CC-A2F0-86EDC478BE32}"/>
            </c:ext>
          </c:extLst>
        </c:ser>
        <c:ser>
          <c:idx val="5"/>
          <c:order val="6"/>
          <c:tx>
            <c:strRef>
              <c:f>'NZ-0p_CCS'!$E$45</c:f>
              <c:strCache>
                <c:ptCount val="1"/>
                <c:pt idx="0">
                  <c:v>AirCapture CCS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'NZ-0p_CCS'!$F$45:$K$45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4.0377201333333367E-4</c:v>
                </c:pt>
                <c:pt idx="4">
                  <c:v>0.17651991855300014</c:v>
                </c:pt>
                <c:pt idx="5">
                  <c:v>51.098728277842341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67-40CC-A2F0-86EDC478BE32}"/>
            </c:ext>
          </c:extLst>
        </c:ser>
        <c:ser>
          <c:idx val="4"/>
          <c:order val="7"/>
          <c:tx>
            <c:strRef>
              <c:f>'NZ-0p_CCS'!$E$44</c:f>
              <c:strCache>
                <c:ptCount val="1"/>
                <c:pt idx="0">
                  <c:v>Cement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'NZ-0p_CCS'!$F$44:$K$44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0.34431283333333368</c:v>
                </c:pt>
                <c:pt idx="3">
                  <c:v>4.5413650333333377</c:v>
                </c:pt>
                <c:pt idx="4">
                  <c:v>6.2066700666666721</c:v>
                </c:pt>
                <c:pt idx="5">
                  <c:v>6.1785977000000054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67-40CC-A2F0-86EDC478BE32}"/>
            </c:ext>
          </c:extLst>
        </c:ser>
        <c:ser>
          <c:idx val="3"/>
          <c:order val="8"/>
          <c:tx>
            <c:strRef>
              <c:f>'NZ-0p_CCS'!$E$43</c:f>
              <c:strCache>
                <c:ptCount val="1"/>
                <c:pt idx="0">
                  <c:v>Fertilizer CCS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'NZ-0p_CCS'!$F$43:$K$43</c:f>
              <c:numCache>
                <c:formatCode>General</c:formatCode>
                <c:ptCount val="6"/>
                <c:pt idx="0">
                  <c:v>1.4944013333333347E-4</c:v>
                </c:pt>
                <c:pt idx="1">
                  <c:v>2.1137831000000019E-3</c:v>
                </c:pt>
                <c:pt idx="2">
                  <c:v>2.1634222133333353E-2</c:v>
                </c:pt>
                <c:pt idx="3">
                  <c:v>7.7572848833333041E-2</c:v>
                </c:pt>
                <c:pt idx="4">
                  <c:v>0.12671242943333308</c:v>
                </c:pt>
                <c:pt idx="5">
                  <c:v>0.16013694887666644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67-40CC-A2F0-86EDC478BE32}"/>
            </c:ext>
          </c:extLst>
        </c:ser>
        <c:ser>
          <c:idx val="2"/>
          <c:order val="9"/>
          <c:tx>
            <c:strRef>
              <c:f>'NZ-0p_CCS'!$E$42</c:f>
              <c:strCache>
                <c:ptCount val="1"/>
                <c:pt idx="0">
                  <c:v>Gashydrogen CCS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'NZ-0p_CCS'!$F$42:$K$42</c:f>
              <c:numCache>
                <c:formatCode>General</c:formatCode>
                <c:ptCount val="6"/>
                <c:pt idx="0">
                  <c:v>3.692333333333337E-3</c:v>
                </c:pt>
                <c:pt idx="1">
                  <c:v>0.15635803333333348</c:v>
                </c:pt>
                <c:pt idx="2">
                  <c:v>1.1694173333333344</c:v>
                </c:pt>
                <c:pt idx="3">
                  <c:v>3.0062633333333362</c:v>
                </c:pt>
                <c:pt idx="4">
                  <c:v>4.8759700000000041</c:v>
                </c:pt>
                <c:pt idx="5">
                  <c:v>5.7307800000000055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667-40CC-A2F0-86EDC478BE32}"/>
            </c:ext>
          </c:extLst>
        </c:ser>
        <c:ser>
          <c:idx val="1"/>
          <c:order val="10"/>
          <c:tx>
            <c:strRef>
              <c:f>'NZ-0p_CCS'!$E$41</c:f>
              <c:strCache>
                <c:ptCount val="1"/>
                <c:pt idx="0">
                  <c:v>Coalhydrogen CCS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'NZ-0p_CCS'!$F$41:$K$41</c:f>
              <c:numCache>
                <c:formatCode>General</c:formatCode>
                <c:ptCount val="6"/>
                <c:pt idx="0">
                  <c:v>0.11242146666666678</c:v>
                </c:pt>
                <c:pt idx="1">
                  <c:v>0.57607366666666715</c:v>
                </c:pt>
                <c:pt idx="2">
                  <c:v>1.5674120000000016</c:v>
                </c:pt>
                <c:pt idx="3">
                  <c:v>2.7282970000000026</c:v>
                </c:pt>
                <c:pt idx="4">
                  <c:v>3.7679766666666703</c:v>
                </c:pt>
                <c:pt idx="5">
                  <c:v>4.3423233333333373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667-40CC-A2F0-86EDC478BE32}"/>
            </c:ext>
          </c:extLst>
        </c:ser>
        <c:ser>
          <c:idx val="0"/>
          <c:order val="11"/>
          <c:tx>
            <c:strRef>
              <c:f>'NZ-0p_CCS'!$E$40</c:f>
              <c:strCache>
                <c:ptCount val="1"/>
                <c:pt idx="0">
                  <c:v>Biohydrogen CCS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'NZ-0p_CCS'!$F$39:$K$39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'NZ-0p_CCS'!$F$40:$K$40</c:f>
              <c:numCache>
                <c:formatCode>General</c:formatCode>
                <c:ptCount val="6"/>
                <c:pt idx="0" formatCode="0.00E+00">
                  <c:v>1.7259403333333347E-4</c:v>
                </c:pt>
                <c:pt idx="1">
                  <c:v>3.6439076666666695E-2</c:v>
                </c:pt>
                <c:pt idx="2">
                  <c:v>3.2958200000000031</c:v>
                </c:pt>
                <c:pt idx="3">
                  <c:v>11.766186666666677</c:v>
                </c:pt>
                <c:pt idx="4">
                  <c:v>14.453230000000014</c:v>
                </c:pt>
                <c:pt idx="5">
                  <c:v>12.881220000000011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667-40CC-A2F0-86EDC478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235856"/>
        <c:axId val="1239977328"/>
      </c:areaChart>
      <c:catAx>
        <c:axId val="14112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239977328"/>
        <c:crosses val="autoZero"/>
        <c:auto val="1"/>
        <c:lblAlgn val="ctr"/>
        <c:lblOffset val="100"/>
        <c:noMultiLvlLbl val="0"/>
      </c:catAx>
      <c:valAx>
        <c:axId val="12399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Cambria" panose="02040503050406030204" pitchFamily="18" charset="0"/>
                    <a:cs typeface="+mn-cs"/>
                  </a:defRPr>
                </a:pPr>
                <a:r>
                  <a:rPr lang="en-US"/>
                  <a:t>MtCO2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1123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1"/>
          <c:order val="0"/>
          <c:tx>
            <c:strRef>
              <c:f>'NZ-22p_CCS'!$E$51</c:f>
              <c:strCache>
                <c:ptCount val="1"/>
                <c:pt idx="0">
                  <c:v>Iron CCS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'NZ-22p_CCS'!$F$51:$K$51</c:f>
              <c:numCache>
                <c:formatCode>General</c:formatCode>
                <c:ptCount val="6"/>
                <c:pt idx="0">
                  <c:v>0.21648696666666686</c:v>
                </c:pt>
                <c:pt idx="1">
                  <c:v>1.3556935333333346</c:v>
                </c:pt>
                <c:pt idx="2">
                  <c:v>4.4666985000000041</c:v>
                </c:pt>
                <c:pt idx="3">
                  <c:v>8.1078743533333402</c:v>
                </c:pt>
                <c:pt idx="4">
                  <c:v>11.758821800000012</c:v>
                </c:pt>
                <c:pt idx="5">
                  <c:v>12.002269766666641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77E-4594-B310-ABC28CE09CEA}"/>
            </c:ext>
          </c:extLst>
        </c:ser>
        <c:ser>
          <c:idx val="10"/>
          <c:order val="1"/>
          <c:tx>
            <c:strRef>
              <c:f>'NZ-22p_CCS'!$E$50</c:f>
              <c:strCache>
                <c:ptCount val="1"/>
                <c:pt idx="0">
                  <c:v>Chemical CCS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'NZ-22p_CCS'!$F$50:$K$50</c:f>
              <c:numCache>
                <c:formatCode>General</c:formatCode>
                <c:ptCount val="6"/>
                <c:pt idx="0" formatCode="0.00E+00">
                  <c:v>9.7419791333333422E-3</c:v>
                </c:pt>
                <c:pt idx="1">
                  <c:v>0.17569643153333347</c:v>
                </c:pt>
                <c:pt idx="2">
                  <c:v>1.4846547440999942</c:v>
                </c:pt>
                <c:pt idx="3">
                  <c:v>4.1298370285333368</c:v>
                </c:pt>
                <c:pt idx="4">
                  <c:v>5.6443396845000047</c:v>
                </c:pt>
                <c:pt idx="5">
                  <c:v>6.3927357034933356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7E-4594-B310-ABC28CE09CEA}"/>
            </c:ext>
          </c:extLst>
        </c:ser>
        <c:ser>
          <c:idx val="9"/>
          <c:order val="2"/>
          <c:tx>
            <c:strRef>
              <c:f>'NZ-22p_CCS'!$E$49</c:f>
              <c:strCache>
                <c:ptCount val="1"/>
                <c:pt idx="0">
                  <c:v>Coalfuel CCS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'NZ-22p_CCS'!$F$49:$K$49</c:f>
              <c:numCache>
                <c:formatCode>General</c:formatCode>
                <c:ptCount val="6"/>
                <c:pt idx="0">
                  <c:v>0</c:v>
                </c:pt>
                <c:pt idx="1">
                  <c:v>0.53730120253333391</c:v>
                </c:pt>
                <c:pt idx="2">
                  <c:v>1.4405091297666679</c:v>
                </c:pt>
                <c:pt idx="3">
                  <c:v>2.5056066181666692</c:v>
                </c:pt>
                <c:pt idx="4">
                  <c:v>3.3828123238066699</c:v>
                </c:pt>
                <c:pt idx="5">
                  <c:v>3.8039019023976697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77E-4594-B310-ABC28CE09CEA}"/>
            </c:ext>
          </c:extLst>
        </c:ser>
        <c:ser>
          <c:idx val="8"/>
          <c:order val="3"/>
          <c:tx>
            <c:strRef>
              <c:f>'NZ-22p_CCS'!$E$48</c:f>
              <c:strCache>
                <c:ptCount val="1"/>
                <c:pt idx="0">
                  <c:v>Biofuel CCS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'NZ-22p_CCS'!$F$48:$K$48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2.1890722333333357</c:v>
                </c:pt>
                <c:pt idx="4">
                  <c:v>14.948887433333347</c:v>
                </c:pt>
                <c:pt idx="5">
                  <c:v>25.91895819333336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77E-4594-B310-ABC28CE09CEA}"/>
            </c:ext>
          </c:extLst>
        </c:ser>
        <c:ser>
          <c:idx val="7"/>
          <c:order val="4"/>
          <c:tx>
            <c:strRef>
              <c:f>'NZ-22p_CCS'!$E$47</c:f>
              <c:strCache>
                <c:ptCount val="1"/>
                <c:pt idx="0">
                  <c:v>Gaspower CCS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'NZ-22p_CCS'!$F$47:$K$47</c:f>
              <c:numCache>
                <c:formatCode>General</c:formatCode>
                <c:ptCount val="6"/>
                <c:pt idx="0">
                  <c:v>0</c:v>
                </c:pt>
                <c:pt idx="1">
                  <c:v>1.7399434800000015</c:v>
                </c:pt>
                <c:pt idx="2">
                  <c:v>5.1168046966666667</c:v>
                </c:pt>
                <c:pt idx="3">
                  <c:v>10.892848433133345</c:v>
                </c:pt>
                <c:pt idx="4">
                  <c:v>19.085731452333313</c:v>
                </c:pt>
                <c:pt idx="5">
                  <c:v>44.822923717000037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7E-4594-B310-ABC28CE09CEA}"/>
            </c:ext>
          </c:extLst>
        </c:ser>
        <c:ser>
          <c:idx val="6"/>
          <c:order val="5"/>
          <c:tx>
            <c:strRef>
              <c:f>'NZ-22p_CCS'!$E$46</c:f>
              <c:strCache>
                <c:ptCount val="1"/>
                <c:pt idx="0">
                  <c:v>Biopower CCS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'NZ-22p_CCS'!$F$46:$K$46</c:f>
              <c:numCache>
                <c:formatCode>General</c:formatCode>
                <c:ptCount val="6"/>
                <c:pt idx="0" formatCode="0.00E+00">
                  <c:v>8.7953774333333415E-3</c:v>
                </c:pt>
                <c:pt idx="1">
                  <c:v>0.22981106683333352</c:v>
                </c:pt>
                <c:pt idx="2">
                  <c:v>3.3548384265000029</c:v>
                </c:pt>
                <c:pt idx="3">
                  <c:v>16.983498432633347</c:v>
                </c:pt>
                <c:pt idx="4">
                  <c:v>41.009810114166697</c:v>
                </c:pt>
                <c:pt idx="5">
                  <c:v>55.139835636600054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7E-4594-B310-ABC28CE09CEA}"/>
            </c:ext>
          </c:extLst>
        </c:ser>
        <c:ser>
          <c:idx val="5"/>
          <c:order val="6"/>
          <c:tx>
            <c:strRef>
              <c:f>'NZ-22p_CCS'!$E$45</c:f>
              <c:strCache>
                <c:ptCount val="1"/>
                <c:pt idx="0">
                  <c:v>AirCapture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'NZ-22p_CCS'!$F$45:$K$45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2.7415164700000027E-4</c:v>
                </c:pt>
                <c:pt idx="4">
                  <c:v>0.11161961766633344</c:v>
                </c:pt>
                <c:pt idx="5">
                  <c:v>48.72956834802838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7E-4594-B310-ABC28CE09CEA}"/>
            </c:ext>
          </c:extLst>
        </c:ser>
        <c:ser>
          <c:idx val="4"/>
          <c:order val="7"/>
          <c:tx>
            <c:strRef>
              <c:f>'NZ-22p_CCS'!$E$44</c:f>
              <c:strCache>
                <c:ptCount val="1"/>
                <c:pt idx="0">
                  <c:v>Cement CCS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'NZ-22p_CCS'!$F$44:$K$44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0.33982850000000031</c:v>
                </c:pt>
                <c:pt idx="3">
                  <c:v>4.3908062000000037</c:v>
                </c:pt>
                <c:pt idx="4">
                  <c:v>6.0435422666666723</c:v>
                </c:pt>
                <c:pt idx="5">
                  <c:v>6.0014449000000054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7E-4594-B310-ABC28CE09CEA}"/>
            </c:ext>
          </c:extLst>
        </c:ser>
        <c:ser>
          <c:idx val="3"/>
          <c:order val="8"/>
          <c:tx>
            <c:strRef>
              <c:f>'NZ-22p_CCS'!$E$43</c:f>
              <c:strCache>
                <c:ptCount val="1"/>
                <c:pt idx="0">
                  <c:v>Fertilizer CCS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'NZ-22p_CCS'!$F$43:$K$43</c:f>
              <c:numCache>
                <c:formatCode>General</c:formatCode>
                <c:ptCount val="6"/>
                <c:pt idx="0" formatCode="0.00E+00">
                  <c:v>1.499787666666668E-4</c:v>
                </c:pt>
                <c:pt idx="1">
                  <c:v>2.0113866666666685E-3</c:v>
                </c:pt>
                <c:pt idx="2">
                  <c:v>1.9730511900000018E-2</c:v>
                </c:pt>
                <c:pt idx="3">
                  <c:v>7.2690069100000074E-2</c:v>
                </c:pt>
                <c:pt idx="4">
                  <c:v>0.12125057633333346</c:v>
                </c:pt>
                <c:pt idx="5">
                  <c:v>0.15523474307000015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7E-4594-B310-ABC28CE09CEA}"/>
            </c:ext>
          </c:extLst>
        </c:ser>
        <c:ser>
          <c:idx val="2"/>
          <c:order val="9"/>
          <c:tx>
            <c:strRef>
              <c:f>'NZ-22p_CCS'!$E$42</c:f>
              <c:strCache>
                <c:ptCount val="1"/>
                <c:pt idx="0">
                  <c:v>Gashydrogen CCS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'NZ-22p_CCS'!$F$42:$K$42</c:f>
              <c:numCache>
                <c:formatCode>General</c:formatCode>
                <c:ptCount val="6"/>
                <c:pt idx="0" formatCode="0.00E+00">
                  <c:v>3.6993000000000039E-3</c:v>
                </c:pt>
                <c:pt idx="1">
                  <c:v>0.13745893333333348</c:v>
                </c:pt>
                <c:pt idx="2">
                  <c:v>0.98410400000000098</c:v>
                </c:pt>
                <c:pt idx="3">
                  <c:v>2.602020666666669</c:v>
                </c:pt>
                <c:pt idx="4">
                  <c:v>4.2095900000000039</c:v>
                </c:pt>
                <c:pt idx="5">
                  <c:v>4.8643466666666715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7E-4594-B310-ABC28CE09CEA}"/>
            </c:ext>
          </c:extLst>
        </c:ser>
        <c:ser>
          <c:idx val="1"/>
          <c:order val="10"/>
          <c:tx>
            <c:strRef>
              <c:f>'NZ-22p_CCS'!$E$41</c:f>
              <c:strCache>
                <c:ptCount val="1"/>
                <c:pt idx="0">
                  <c:v>Coalhydrogen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'NZ-22p_CCS'!$F$41:$K$41</c:f>
              <c:numCache>
                <c:formatCode>General</c:formatCode>
                <c:ptCount val="6"/>
                <c:pt idx="0">
                  <c:v>0.11249663333333344</c:v>
                </c:pt>
                <c:pt idx="1">
                  <c:v>0.53417466666666724</c:v>
                </c:pt>
                <c:pt idx="2">
                  <c:v>1.415868666666668</c:v>
                </c:pt>
                <c:pt idx="3">
                  <c:v>2.4381060000000025</c:v>
                </c:pt>
                <c:pt idx="4">
                  <c:v>3.2884646666666697</c:v>
                </c:pt>
                <c:pt idx="5">
                  <c:v>3.6976866666666699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7E-4594-B310-ABC28CE09CEA}"/>
            </c:ext>
          </c:extLst>
        </c:ser>
        <c:ser>
          <c:idx val="0"/>
          <c:order val="11"/>
          <c:tx>
            <c:strRef>
              <c:f>'NZ-22p_CCS'!$E$40</c:f>
              <c:strCache>
                <c:ptCount val="1"/>
                <c:pt idx="0">
                  <c:v>Biohydrogen CCS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'NZ-22p_CCS'!$F$39:$K$39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'NZ-22p_CCS'!$F$40:$K$40</c:f>
              <c:numCache>
                <c:formatCode>General</c:formatCode>
                <c:ptCount val="6"/>
                <c:pt idx="0" formatCode="0.00E+00">
                  <c:v>1.7307070000000015E-4</c:v>
                </c:pt>
                <c:pt idx="1">
                  <c:v>2.9530856666666692E-2</c:v>
                </c:pt>
                <c:pt idx="2">
                  <c:v>2.4815963333333357</c:v>
                </c:pt>
                <c:pt idx="3">
                  <c:v>10.509620000000011</c:v>
                </c:pt>
                <c:pt idx="4">
                  <c:v>12.976186666666678</c:v>
                </c:pt>
                <c:pt idx="5">
                  <c:v>11.273753333333344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7E-4594-B310-ABC28CE09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235856"/>
        <c:axId val="1239977328"/>
      </c:areaChart>
      <c:catAx>
        <c:axId val="14112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239977328"/>
        <c:crosses val="autoZero"/>
        <c:auto val="1"/>
        <c:lblAlgn val="ctr"/>
        <c:lblOffset val="100"/>
        <c:noMultiLvlLbl val="0"/>
      </c:catAx>
      <c:valAx>
        <c:axId val="123997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1123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CP_CO2_by_sector!$D$116</c:f>
              <c:strCache>
                <c:ptCount val="1"/>
                <c:pt idx="0">
                  <c:v>Direct emissions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CP_CO2_by_sector!$E$115:$L$115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CP_CO2_by_sector!$E$116:$L$116</c:f>
              <c:numCache>
                <c:formatCode>General</c:formatCode>
                <c:ptCount val="8"/>
                <c:pt idx="0">
                  <c:v>89.060708206792015</c:v>
                </c:pt>
                <c:pt idx="1">
                  <c:v>99.748210371483026</c:v>
                </c:pt>
                <c:pt idx="2">
                  <c:v>108.19789101632436</c:v>
                </c:pt>
                <c:pt idx="3">
                  <c:v>111.91058715713407</c:v>
                </c:pt>
                <c:pt idx="4">
                  <c:v>111.85947371203707</c:v>
                </c:pt>
                <c:pt idx="5">
                  <c:v>107.56914914696473</c:v>
                </c:pt>
                <c:pt idx="6">
                  <c:v>98.276833470395147</c:v>
                </c:pt>
                <c:pt idx="7">
                  <c:v>82.67458158269757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002-4878-9EE2-1AE9DB2B8FEA}"/>
            </c:ext>
          </c:extLst>
        </c:ser>
        <c:ser>
          <c:idx val="3"/>
          <c:order val="1"/>
          <c:tx>
            <c:strRef>
              <c:f>CP_CO2_by_sector!$D$117</c:f>
              <c:strCache>
                <c:ptCount val="1"/>
                <c:pt idx="0">
                  <c:v>Indirect emissions (electricity)</c:v>
                </c:pt>
              </c:strCache>
            </c:strRef>
          </c:tx>
          <c:spPr>
            <a:solidFill>
              <a:srgbClr val="ED7D31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numRef>
              <c:f>CP_CO2_by_sector!$E$115:$L$115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CP_CO2_by_sector!$E$117:$L$117</c:f>
              <c:numCache>
                <c:formatCode>General</c:formatCode>
                <c:ptCount val="8"/>
                <c:pt idx="0">
                  <c:v>27.846403570287816</c:v>
                </c:pt>
                <c:pt idx="1">
                  <c:v>27.982460940136193</c:v>
                </c:pt>
                <c:pt idx="2">
                  <c:v>27.168550118702225</c:v>
                </c:pt>
                <c:pt idx="3">
                  <c:v>24.991556763097957</c:v>
                </c:pt>
                <c:pt idx="4">
                  <c:v>22.535742051379831</c:v>
                </c:pt>
                <c:pt idx="5">
                  <c:v>20.121135029405941</c:v>
                </c:pt>
                <c:pt idx="6">
                  <c:v>12.740916618210091</c:v>
                </c:pt>
                <c:pt idx="7">
                  <c:v>11.821766276243133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002-4878-9EE2-1AE9DB2B8FEA}"/>
            </c:ext>
          </c:extLst>
        </c:ser>
        <c:ser>
          <c:idx val="5"/>
          <c:order val="2"/>
          <c:tx>
            <c:strRef>
              <c:f>CP_CO2_by_sector!$D$118</c:f>
              <c:strCache>
                <c:ptCount val="1"/>
                <c:pt idx="0">
                  <c:v>Indirect emissions (hydrogen)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cat>
            <c:numRef>
              <c:f>CP_CO2_by_sector!$E$115:$L$115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CP_CO2_by_sector!$E$118:$L$118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887439"/>
        <c:axId val="1858994655"/>
      </c:barChart>
      <c:lineChart>
        <c:grouping val="stacked"/>
        <c:varyColors val="0"/>
        <c:ser>
          <c:idx val="0"/>
          <c:order val="3"/>
          <c:tx>
            <c:strRef>
              <c:f>CP_CO2_by_sector!$D$119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val>
            <c:numRef>
              <c:f>CP_CO2_by_sector!$E$119:$L$119</c:f>
              <c:numCache>
                <c:formatCode>General</c:formatCode>
                <c:ptCount val="8"/>
                <c:pt idx="0">
                  <c:v>116.90711177707983</c:v>
                </c:pt>
                <c:pt idx="1">
                  <c:v>127.73067131161922</c:v>
                </c:pt>
                <c:pt idx="2">
                  <c:v>135.36644113502658</c:v>
                </c:pt>
                <c:pt idx="3">
                  <c:v>136.90214392023202</c:v>
                </c:pt>
                <c:pt idx="4">
                  <c:v>134.3952157634169</c:v>
                </c:pt>
                <c:pt idx="5">
                  <c:v>127.69028417637068</c:v>
                </c:pt>
                <c:pt idx="6">
                  <c:v>111.01775008860524</c:v>
                </c:pt>
                <c:pt idx="7">
                  <c:v>94.496347858940709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887439"/>
        <c:axId val="1858994655"/>
      </c:lineChart>
      <c:catAx>
        <c:axId val="16438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8994655"/>
        <c:crosses val="autoZero"/>
        <c:auto val="1"/>
        <c:lblAlgn val="ctr"/>
        <c:lblOffset val="100"/>
        <c:noMultiLvlLbl val="0"/>
      </c:catAx>
      <c:valAx>
        <c:axId val="1858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38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CP_CO2_by_sector!$Q$59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CP_CO2_by_sector!$R$59:$Y$59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2-4243-B0FA-AEF3F90FD058}"/>
            </c:ext>
          </c:extLst>
        </c:ser>
        <c:ser>
          <c:idx val="4"/>
          <c:order val="1"/>
          <c:tx>
            <c:strRef>
              <c:f>CP_CO2_by_sector!$Q$58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CP_CO2_by_sector!$R$58:$Y$58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2-4243-B0FA-AEF3F90FD058}"/>
            </c:ext>
          </c:extLst>
        </c:ser>
        <c:ser>
          <c:idx val="3"/>
          <c:order val="2"/>
          <c:tx>
            <c:strRef>
              <c:f>CP_CO2_by_sector!$Q$57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CP_CO2_by_sector!$R$57:$Y$57</c:f>
              <c:numCache>
                <c:formatCode>General</c:formatCode>
                <c:ptCount val="8"/>
                <c:pt idx="0">
                  <c:v>253.60015254323559</c:v>
                </c:pt>
                <c:pt idx="1">
                  <c:v>238.07823997347535</c:v>
                </c:pt>
                <c:pt idx="2">
                  <c:v>227.65149307725142</c:v>
                </c:pt>
                <c:pt idx="3">
                  <c:v>213.6563139713333</c:v>
                </c:pt>
                <c:pt idx="4">
                  <c:v>192.29974809066206</c:v>
                </c:pt>
                <c:pt idx="5">
                  <c:v>166.8048437051792</c:v>
                </c:pt>
                <c:pt idx="6">
                  <c:v>102.65876775432176</c:v>
                </c:pt>
                <c:pt idx="7">
                  <c:v>89.811554601098265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2-4243-B0FA-AEF3F90FD058}"/>
            </c:ext>
          </c:extLst>
        </c:ser>
        <c:ser>
          <c:idx val="2"/>
          <c:order val="3"/>
          <c:tx>
            <c:strRef>
              <c:f>CP_CO2_by_sector!$Q$56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CP_CO2_by_sector!$R$56:$Y$56</c:f>
              <c:numCache>
                <c:formatCode>General</c:formatCode>
                <c:ptCount val="8"/>
                <c:pt idx="0">
                  <c:v>97.667124844318806</c:v>
                </c:pt>
                <c:pt idx="1">
                  <c:v>100.99243238649566</c:v>
                </c:pt>
                <c:pt idx="2">
                  <c:v>98.122132994751667</c:v>
                </c:pt>
                <c:pt idx="3">
                  <c:v>88.850428241464812</c:v>
                </c:pt>
                <c:pt idx="4">
                  <c:v>79.64601294755839</c:v>
                </c:pt>
                <c:pt idx="5">
                  <c:v>70.335762950855369</c:v>
                </c:pt>
                <c:pt idx="6">
                  <c:v>64.06130317023576</c:v>
                </c:pt>
                <c:pt idx="7">
                  <c:v>59.11196856067194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2-4243-B0FA-AEF3F90FD058}"/>
            </c:ext>
          </c:extLst>
        </c:ser>
        <c:ser>
          <c:idx val="1"/>
          <c:order val="4"/>
          <c:tx>
            <c:strRef>
              <c:f>CP_CO2_by_sector!$Q$55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CP_CO2_by_sector!$R$55:$Y$55</c:f>
              <c:numCache>
                <c:formatCode>General</c:formatCode>
                <c:ptCount val="8"/>
                <c:pt idx="0">
                  <c:v>225.55915727819374</c:v>
                </c:pt>
                <c:pt idx="1">
                  <c:v>239.63433787128332</c:v>
                </c:pt>
                <c:pt idx="2">
                  <c:v>256.41036047010772</c:v>
                </c:pt>
                <c:pt idx="3">
                  <c:v>265.72811383907532</c:v>
                </c:pt>
                <c:pt idx="4">
                  <c:v>273.26219723911379</c:v>
                </c:pt>
                <c:pt idx="5">
                  <c:v>276.61044287691914</c:v>
                </c:pt>
                <c:pt idx="6">
                  <c:v>266.00494468412461</c:v>
                </c:pt>
                <c:pt idx="7">
                  <c:v>244.56361261230236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62-4243-B0FA-AEF3F90FD058}"/>
            </c:ext>
          </c:extLst>
        </c:ser>
        <c:ser>
          <c:idx val="0"/>
          <c:order val="5"/>
          <c:tx>
            <c:strRef>
              <c:f>CP_CO2_by_sector!$Q$54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CP_CO2_by_sector!$R$53:$Y$53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CP_CO2_by_sector!$R$54:$Y$54</c:f>
              <c:numCache>
                <c:formatCode>General</c:formatCode>
                <c:ptCount val="8"/>
                <c:pt idx="0">
                  <c:v>48.969369154048948</c:v>
                </c:pt>
                <c:pt idx="1">
                  <c:v>55.19783481517031</c:v>
                </c:pt>
                <c:pt idx="2">
                  <c:v>59.071391962726295</c:v>
                </c:pt>
                <c:pt idx="3">
                  <c:v>58.12197363652399</c:v>
                </c:pt>
                <c:pt idx="4">
                  <c:v>55.936977182115648</c:v>
                </c:pt>
                <c:pt idx="5">
                  <c:v>52.536897940214466</c:v>
                </c:pt>
                <c:pt idx="6">
                  <c:v>49.194540646547921</c:v>
                </c:pt>
                <c:pt idx="7">
                  <c:v>44.431486873912945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62-4243-B0FA-AEF3F90FD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NZ-0p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'NZ-0p_CO2_by_sector'!$D$114</c:f>
              <c:strCache>
                <c:ptCount val="1"/>
                <c:pt idx="0">
                  <c:v>Direct emissions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'NZ-0p_CO2_by_sector'!$E$114:$L$114</c:f>
              <c:numCache>
                <c:formatCode>General</c:formatCode>
                <c:ptCount val="8"/>
                <c:pt idx="0">
                  <c:v>89.060708206792015</c:v>
                </c:pt>
                <c:pt idx="1">
                  <c:v>99.8003501359415</c:v>
                </c:pt>
                <c:pt idx="2">
                  <c:v>99.009920350043359</c:v>
                </c:pt>
                <c:pt idx="3">
                  <c:v>84.909895034128354</c:v>
                </c:pt>
                <c:pt idx="4">
                  <c:v>64.448597308976161</c:v>
                </c:pt>
                <c:pt idx="5">
                  <c:v>46.511210432800709</c:v>
                </c:pt>
                <c:pt idx="6">
                  <c:v>28.572115960747432</c:v>
                </c:pt>
                <c:pt idx="7">
                  <c:v>15.374534697286983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002-4878-9EE2-1AE9DB2B8FEA}"/>
            </c:ext>
          </c:extLst>
        </c:ser>
        <c:ser>
          <c:idx val="3"/>
          <c:order val="1"/>
          <c:tx>
            <c:strRef>
              <c:f>'NZ-0p_CO2_by_sector'!$D$115</c:f>
              <c:strCache>
                <c:ptCount val="1"/>
                <c:pt idx="0">
                  <c:v>Indirect emissions (electricity)</c:v>
                </c:pt>
              </c:strCache>
            </c:strRef>
          </c:tx>
          <c:spPr>
            <a:solidFill>
              <a:srgbClr val="ED7D31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numRef>
              <c:f>'NZ-0p_CO2_by_sector'!$E$113:$L$113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'NZ-0p_CO2_by_sector'!$E$115:$L$115</c:f>
              <c:numCache>
                <c:formatCode>General</c:formatCode>
                <c:ptCount val="8"/>
                <c:pt idx="0">
                  <c:v>27.846403570287816</c:v>
                </c:pt>
                <c:pt idx="1">
                  <c:v>28.001200242680444</c:v>
                </c:pt>
                <c:pt idx="2">
                  <c:v>26.462699365544179</c:v>
                </c:pt>
                <c:pt idx="3">
                  <c:v>17.884876059673545</c:v>
                </c:pt>
                <c:pt idx="4">
                  <c:v>10.042523238154425</c:v>
                </c:pt>
                <c:pt idx="5">
                  <c:v>3.8474584644471883</c:v>
                </c:pt>
                <c:pt idx="6">
                  <c:v>-1.0262289875601793</c:v>
                </c:pt>
                <c:pt idx="7">
                  <c:v>-2.5499319604269819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002-4878-9EE2-1AE9DB2B8FEA}"/>
            </c:ext>
          </c:extLst>
        </c:ser>
        <c:ser>
          <c:idx val="5"/>
          <c:order val="2"/>
          <c:tx>
            <c:strRef>
              <c:f>'NZ-0p_CO2_by_sector'!$D$116</c:f>
              <c:strCache>
                <c:ptCount val="1"/>
                <c:pt idx="0">
                  <c:v>Indirect emissions (hydrogen)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0"/>
          <c:cat>
            <c:numRef>
              <c:f>'NZ-0p_CO2_by_sector'!$E$113:$L$113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'NZ-0p_CO2_by_sector'!$E$116:$L$116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1.1130630932262162</c:v>
                </c:pt>
                <c:pt idx="3">
                  <c:v>3.3651989830385989</c:v>
                </c:pt>
                <c:pt idx="4">
                  <c:v>2.2428816450045126</c:v>
                </c:pt>
                <c:pt idx="5">
                  <c:v>-3.7909030482722774</c:v>
                </c:pt>
                <c:pt idx="6">
                  <c:v>-6.1736884967334547</c:v>
                </c:pt>
                <c:pt idx="7">
                  <c:v>-5.8289656914782562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887439"/>
        <c:axId val="1858994655"/>
      </c:barChart>
      <c:lineChart>
        <c:grouping val="stacked"/>
        <c:varyColors val="0"/>
        <c:ser>
          <c:idx val="0"/>
          <c:order val="3"/>
          <c:tx>
            <c:strRef>
              <c:f>'NZ-0p_CO2_by_sector'!$D$117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val>
            <c:numRef>
              <c:f>'NZ-0p_CO2_by_sector'!$E$117:$L$117</c:f>
              <c:numCache>
                <c:formatCode>General</c:formatCode>
                <c:ptCount val="8"/>
                <c:pt idx="0">
                  <c:v>116.90711177707983</c:v>
                </c:pt>
                <c:pt idx="1">
                  <c:v>127.80155037862194</c:v>
                </c:pt>
                <c:pt idx="2">
                  <c:v>126.58568280881376</c:v>
                </c:pt>
                <c:pt idx="3">
                  <c:v>106.15997007684049</c:v>
                </c:pt>
                <c:pt idx="4">
                  <c:v>76.734002192135108</c:v>
                </c:pt>
                <c:pt idx="5">
                  <c:v>46.567765848975618</c:v>
                </c:pt>
                <c:pt idx="6">
                  <c:v>21.372198476453796</c:v>
                </c:pt>
                <c:pt idx="7">
                  <c:v>6.9956370453817449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887439"/>
        <c:axId val="1858994655"/>
      </c:lineChart>
      <c:catAx>
        <c:axId val="16438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8994655"/>
        <c:crosses val="autoZero"/>
        <c:auto val="1"/>
        <c:lblAlgn val="ctr"/>
        <c:lblOffset val="100"/>
        <c:noMultiLvlLbl val="0"/>
      </c:catAx>
      <c:valAx>
        <c:axId val="1858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38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'NZ-0p_CO2_by_sector'!$Q$57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'NZ-0p_CO2_by_sector'!$R$57:$Y$57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F-4577-B460-AE66BBECD38C}"/>
            </c:ext>
          </c:extLst>
        </c:ser>
        <c:ser>
          <c:idx val="4"/>
          <c:order val="1"/>
          <c:tx>
            <c:strRef>
              <c:f>'NZ-0p_CO2_by_sector'!$Q$56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'NZ-0p_CO2_by_sector'!$R$56:$Y$56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-3.9834939691614019E-4</c:v>
                </c:pt>
                <c:pt idx="6">
                  <c:v>-0.17311691277679536</c:v>
                </c:pt>
                <c:pt idx="7">
                  <c:v>-50.063355375860638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F-4577-B460-AE66BBECD38C}"/>
            </c:ext>
          </c:extLst>
        </c:ser>
        <c:ser>
          <c:idx val="3"/>
          <c:order val="2"/>
          <c:tx>
            <c:strRef>
              <c:f>'NZ-0p_CO2_by_sector'!$Q$55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'NZ-0p_CO2_by_sector'!$R$55:$Y$55</c:f>
              <c:numCache>
                <c:formatCode>General</c:formatCode>
                <c:ptCount val="8"/>
                <c:pt idx="0">
                  <c:v>253.60015254323559</c:v>
                </c:pt>
                <c:pt idx="1">
                  <c:v>238.94916519953114</c:v>
                </c:pt>
                <c:pt idx="2">
                  <c:v>206.8020628790251</c:v>
                </c:pt>
                <c:pt idx="3">
                  <c:v>128.03179590232898</c:v>
                </c:pt>
                <c:pt idx="4">
                  <c:v>69.990419943315302</c:v>
                </c:pt>
                <c:pt idx="5">
                  <c:v>31.703346079655578</c:v>
                </c:pt>
                <c:pt idx="6">
                  <c:v>0.56417080711611689</c:v>
                </c:pt>
                <c:pt idx="7">
                  <c:v>-11.123607825797844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F-4577-B460-AE66BBECD38C}"/>
            </c:ext>
          </c:extLst>
        </c:ser>
        <c:ser>
          <c:idx val="2"/>
          <c:order val="3"/>
          <c:tx>
            <c:strRef>
              <c:f>'NZ-0p_CO2_by_sector'!$Q$54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'NZ-0p_CO2_by_sector'!$R$54:$Y$54</c:f>
              <c:numCache>
                <c:formatCode>General</c:formatCode>
                <c:ptCount val="8"/>
                <c:pt idx="0">
                  <c:v>97.667124844318806</c:v>
                </c:pt>
                <c:pt idx="1">
                  <c:v>100.50570663737093</c:v>
                </c:pt>
                <c:pt idx="2">
                  <c:v>91.611154026763586</c:v>
                </c:pt>
                <c:pt idx="3">
                  <c:v>75.665356404304774</c:v>
                </c:pt>
                <c:pt idx="4">
                  <c:v>59.860195639207774</c:v>
                </c:pt>
                <c:pt idx="5">
                  <c:v>44.307469920957026</c:v>
                </c:pt>
                <c:pt idx="6">
                  <c:v>32.047102065560495</c:v>
                </c:pt>
                <c:pt idx="7">
                  <c:v>22.700192315596325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F-4577-B460-AE66BBECD38C}"/>
            </c:ext>
          </c:extLst>
        </c:ser>
        <c:ser>
          <c:idx val="1"/>
          <c:order val="4"/>
          <c:tx>
            <c:strRef>
              <c:f>'NZ-0p_CO2_by_sector'!$Q$53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'NZ-0p_CO2_by_sector'!$R$53:$Y$53</c:f>
              <c:numCache>
                <c:formatCode>General</c:formatCode>
                <c:ptCount val="8"/>
                <c:pt idx="0">
                  <c:v>225.55915727819374</c:v>
                </c:pt>
                <c:pt idx="1">
                  <c:v>239.91876518308914</c:v>
                </c:pt>
                <c:pt idx="2">
                  <c:v>228.47049463203572</c:v>
                </c:pt>
                <c:pt idx="3">
                  <c:v>209.57797245843182</c:v>
                </c:pt>
                <c:pt idx="4">
                  <c:v>171.9626030235371</c:v>
                </c:pt>
                <c:pt idx="5">
                  <c:v>113.3294623960327</c:v>
                </c:pt>
                <c:pt idx="6">
                  <c:v>51.323291720530705</c:v>
                </c:pt>
                <c:pt idx="7">
                  <c:v>7.9117751098727052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F-4577-B460-AE66BBECD38C}"/>
            </c:ext>
          </c:extLst>
        </c:ser>
        <c:ser>
          <c:idx val="0"/>
          <c:order val="5"/>
          <c:tx>
            <c:strRef>
              <c:f>'NZ-0p_CO2_by_sector'!$Q$52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'NZ-0p_CO2_by_sector'!$R$51:$Y$51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'NZ-0p_CO2_by_sector'!$R$52:$Y$52</c:f>
              <c:numCache>
                <c:formatCode>General</c:formatCode>
                <c:ptCount val="8"/>
                <c:pt idx="0">
                  <c:v>48.969369154048948</c:v>
                </c:pt>
                <c:pt idx="1">
                  <c:v>55.243528287327202</c:v>
                </c:pt>
                <c:pt idx="2">
                  <c:v>50.675259553039012</c:v>
                </c:pt>
                <c:pt idx="3">
                  <c:v>47.904928713032433</c:v>
                </c:pt>
                <c:pt idx="4">
                  <c:v>42.001918939624623</c:v>
                </c:pt>
                <c:pt idx="5">
                  <c:v>33.542807618497434</c:v>
                </c:pt>
                <c:pt idx="6">
                  <c:v>24.00289427668184</c:v>
                </c:pt>
                <c:pt idx="7">
                  <c:v>15.715123419354088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F-4577-B460-AE66BBEC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NZ-22p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1"/>
          <c:tx>
            <c:strRef>
              <c:f>'NZ-22p_CO2_by_sector'!$D$116</c:f>
              <c:strCache>
                <c:ptCount val="1"/>
                <c:pt idx="0">
                  <c:v>Indirect emissions (hydrogen)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numRef>
              <c:f>'NZ-22p_CO2_by_sector'!$E$113:$L$113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'NZ-22p_CO2_by_sector'!$E$116:$L$116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1.1121064113360608</c:v>
                </c:pt>
                <c:pt idx="3">
                  <c:v>3.0955821812129058</c:v>
                </c:pt>
                <c:pt idx="4">
                  <c:v>2.4416674340804225</c:v>
                </c:pt>
                <c:pt idx="5">
                  <c:v>-3.0371318119494397</c:v>
                </c:pt>
                <c:pt idx="6">
                  <c:v>-5.0550655702802834</c:v>
                </c:pt>
                <c:pt idx="7">
                  <c:v>-4.6108820394483185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002-4878-9EE2-1AE9DB2B8FEA}"/>
            </c:ext>
          </c:extLst>
        </c:ser>
        <c:ser>
          <c:idx val="3"/>
          <c:order val="2"/>
          <c:tx>
            <c:strRef>
              <c:f>'NZ-22p_CO2_by_sector'!$D$115</c:f>
              <c:strCache>
                <c:ptCount val="1"/>
                <c:pt idx="0">
                  <c:v>Indirect emissions (electricity)</c:v>
                </c:pt>
              </c:strCache>
            </c:strRef>
          </c:tx>
          <c:spPr>
            <a:solidFill>
              <a:srgbClr val="5B9BD5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numRef>
              <c:f>'NZ-22p_CO2_by_sector'!$E$113:$L$113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'NZ-22p_CO2_by_sector'!$E$115:$L$115</c:f>
              <c:numCache>
                <c:formatCode>General</c:formatCode>
                <c:ptCount val="8"/>
                <c:pt idx="0">
                  <c:v>27.846359328488198</c:v>
                </c:pt>
                <c:pt idx="1">
                  <c:v>28.001105959945516</c:v>
                </c:pt>
                <c:pt idx="2">
                  <c:v>26.490874656217557</c:v>
                </c:pt>
                <c:pt idx="3">
                  <c:v>17.338307790064999</c:v>
                </c:pt>
                <c:pt idx="4">
                  <c:v>9.5474748822661812</c:v>
                </c:pt>
                <c:pt idx="5">
                  <c:v>3.7170388067097417</c:v>
                </c:pt>
                <c:pt idx="6">
                  <c:v>-0.61096194543328641</c:v>
                </c:pt>
                <c:pt idx="7">
                  <c:v>-1.9768059780119418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002-4878-9EE2-1AE9DB2B8FEA}"/>
            </c:ext>
          </c:extLst>
        </c:ser>
        <c:ser>
          <c:idx val="4"/>
          <c:order val="3"/>
          <c:tx>
            <c:strRef>
              <c:f>'NZ-22p_CO2_by_sector'!$D$114</c:f>
              <c:strCache>
                <c:ptCount val="1"/>
                <c:pt idx="0">
                  <c:v>Direct emissions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  <a:ln>
              <a:noFill/>
            </a:ln>
            <a:effectLst/>
          </c:spPr>
          <c:invertIfNegative val="0"/>
          <c:cat>
            <c:numRef>
              <c:f>'NZ-22p_CO2_by_sector'!$E$113:$L$113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'NZ-22p_CO2_by_sector'!$E$114:$L$114</c:f>
              <c:numCache>
                <c:formatCode>General</c:formatCode>
                <c:ptCount val="8"/>
                <c:pt idx="0">
                  <c:v>89.060708206792015</c:v>
                </c:pt>
                <c:pt idx="1">
                  <c:v>99.8003501359415</c:v>
                </c:pt>
                <c:pt idx="2">
                  <c:v>99.056964443501258</c:v>
                </c:pt>
                <c:pt idx="3">
                  <c:v>82.210294305359071</c:v>
                </c:pt>
                <c:pt idx="4">
                  <c:v>60.209243541871658</c:v>
                </c:pt>
                <c:pt idx="5">
                  <c:v>41.936062899096704</c:v>
                </c:pt>
                <c:pt idx="6">
                  <c:v>24.813485319625407</c:v>
                </c:pt>
                <c:pt idx="7">
                  <c:v>12.674338356353129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3887439"/>
        <c:axId val="1858994655"/>
      </c:barChart>
      <c:lineChart>
        <c:grouping val="stacked"/>
        <c:varyColors val="0"/>
        <c:ser>
          <c:idx val="0"/>
          <c:order val="0"/>
          <c:tx>
            <c:strRef>
              <c:f>'NZ-22p_CO2_by_sector'!$D$117</c:f>
              <c:strCache>
                <c:ptCount val="1"/>
                <c:pt idx="0">
                  <c:v>Total emissions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val>
            <c:numRef>
              <c:f>'NZ-22p_CO2_by_sector'!$E$117:$L$117</c:f>
              <c:numCache>
                <c:formatCode>General</c:formatCode>
                <c:ptCount val="8"/>
                <c:pt idx="0">
                  <c:v>116.90706753528022</c:v>
                </c:pt>
                <c:pt idx="1">
                  <c:v>127.80145609588702</c:v>
                </c:pt>
                <c:pt idx="2">
                  <c:v>126.65994551105487</c:v>
                </c:pt>
                <c:pt idx="3">
                  <c:v>102.64418427663698</c:v>
                </c:pt>
                <c:pt idx="4">
                  <c:v>72.198385858218273</c:v>
                </c:pt>
                <c:pt idx="5">
                  <c:v>42.615969893857013</c:v>
                </c:pt>
                <c:pt idx="6">
                  <c:v>19.147457803911838</c:v>
                </c:pt>
                <c:pt idx="7">
                  <c:v>6.0866503388928681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02-4878-9EE2-1AE9DB2B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887439"/>
        <c:axId val="1858994655"/>
      </c:lineChart>
      <c:catAx>
        <c:axId val="16438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8994655"/>
        <c:crosses val="autoZero"/>
        <c:auto val="1"/>
        <c:lblAlgn val="ctr"/>
        <c:lblOffset val="100"/>
        <c:noMultiLvlLbl val="0"/>
      </c:catAx>
      <c:valAx>
        <c:axId val="18589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38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'NZ-22p_CO2_by_sector'!$Q$57</c:f>
              <c:strCache>
                <c:ptCount val="1"/>
                <c:pt idx="0">
                  <c:v>LULUCF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'NZ-22p_CO2_by_sector'!$R$57:$Y$57</c:f>
              <c:numCache>
                <c:formatCode>General</c:formatCode>
                <c:ptCount val="8"/>
                <c:pt idx="0">
                  <c:v>-45</c:v>
                </c:pt>
                <c:pt idx="1">
                  <c:v>-45</c:v>
                </c:pt>
                <c:pt idx="2">
                  <c:v>-44.875</c:v>
                </c:pt>
                <c:pt idx="3">
                  <c:v>-43.0625</c:v>
                </c:pt>
                <c:pt idx="4">
                  <c:v>-39.4375</c:v>
                </c:pt>
                <c:pt idx="5">
                  <c:v>-37.625</c:v>
                </c:pt>
                <c:pt idx="6">
                  <c:v>-35.8125</c:v>
                </c:pt>
                <c:pt idx="7">
                  <c:v>-34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F-4577-B460-AE66BBECD38C}"/>
            </c:ext>
          </c:extLst>
        </c:ser>
        <c:ser>
          <c:idx val="4"/>
          <c:order val="1"/>
          <c:tx>
            <c:strRef>
              <c:f>'NZ-22p_CO2_by_sector'!$Q$56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'NZ-22p_CO2_by_sector'!$R$56:$Y$56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-2.7083142194805882E-4</c:v>
                </c:pt>
                <c:pt idx="6">
                  <c:v>-0.10943087150464512</c:v>
                </c:pt>
                <c:pt idx="7">
                  <c:v>-47.738197404094663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F-4577-B460-AE66BBECD38C}"/>
            </c:ext>
          </c:extLst>
        </c:ser>
        <c:ser>
          <c:idx val="3"/>
          <c:order val="2"/>
          <c:tx>
            <c:strRef>
              <c:f>'NZ-22p_CO2_by_sector'!$Q$55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'NZ-22p_CO2_by_sector'!$R$55:$Y$55</c:f>
              <c:numCache>
                <c:formatCode>General</c:formatCode>
                <c:ptCount val="8"/>
                <c:pt idx="0">
                  <c:v>253.60015254323559</c:v>
                </c:pt>
                <c:pt idx="1">
                  <c:v>238.94916519953114</c:v>
                </c:pt>
                <c:pt idx="2">
                  <c:v>207.11175968411757</c:v>
                </c:pt>
                <c:pt idx="3">
                  <c:v>130.13280730331329</c:v>
                </c:pt>
                <c:pt idx="4">
                  <c:v>72.264358201650737</c:v>
                </c:pt>
                <c:pt idx="5">
                  <c:v>33.920528774898635</c:v>
                </c:pt>
                <c:pt idx="6">
                  <c:v>2.4605638808155703</c:v>
                </c:pt>
                <c:pt idx="7">
                  <c:v>-10.6561453973396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F-4577-B460-AE66BBECD38C}"/>
            </c:ext>
          </c:extLst>
        </c:ser>
        <c:ser>
          <c:idx val="2"/>
          <c:order val="3"/>
          <c:tx>
            <c:strRef>
              <c:f>'NZ-22p_CO2_by_sector'!$Q$54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'NZ-22p_CO2_by_sector'!$R$54:$Y$54</c:f>
              <c:numCache>
                <c:formatCode>General</c:formatCode>
                <c:ptCount val="8"/>
                <c:pt idx="0">
                  <c:v>97.667124844318806</c:v>
                </c:pt>
                <c:pt idx="1">
                  <c:v>100.50570663737093</c:v>
                </c:pt>
                <c:pt idx="2">
                  <c:v>91.620646549178815</c:v>
                </c:pt>
                <c:pt idx="3">
                  <c:v>75.719303308841432</c:v>
                </c:pt>
                <c:pt idx="4">
                  <c:v>60.001691104308179</c:v>
                </c:pt>
                <c:pt idx="5">
                  <c:v>44.449785890692311</c:v>
                </c:pt>
                <c:pt idx="6">
                  <c:v>32.148233103017546</c:v>
                </c:pt>
                <c:pt idx="7">
                  <c:v>22.71431538042145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F-4577-B460-AE66BBECD38C}"/>
            </c:ext>
          </c:extLst>
        </c:ser>
        <c:ser>
          <c:idx val="1"/>
          <c:order val="4"/>
          <c:tx>
            <c:strRef>
              <c:f>'NZ-22p_CO2_by_sector'!$Q$53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'NZ-22p_CO2_by_sector'!$R$53:$Y$53</c:f>
              <c:numCache>
                <c:formatCode>General</c:formatCode>
                <c:ptCount val="8"/>
                <c:pt idx="0">
                  <c:v>225.55915727819374</c:v>
                </c:pt>
                <c:pt idx="1">
                  <c:v>239.91876518308914</c:v>
                </c:pt>
                <c:pt idx="2">
                  <c:v>228.5610917388517</c:v>
                </c:pt>
                <c:pt idx="3">
                  <c:v>206.86671169493778</c:v>
                </c:pt>
                <c:pt idx="4">
                  <c:v>168.85469722971888</c:v>
                </c:pt>
                <c:pt idx="5">
                  <c:v>110.23625536147759</c:v>
                </c:pt>
                <c:pt idx="6">
                  <c:v>48.630516238899773</c:v>
                </c:pt>
                <c:pt idx="7">
                  <c:v>5.2847797426544574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F-4577-B460-AE66BBECD38C}"/>
            </c:ext>
          </c:extLst>
        </c:ser>
        <c:ser>
          <c:idx val="0"/>
          <c:order val="5"/>
          <c:tx>
            <c:strRef>
              <c:f>'NZ-22p_CO2_by_sector'!$Q$52</c:f>
              <c:strCache>
                <c:ptCount val="1"/>
                <c:pt idx="0">
                  <c:v>Building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'NZ-22p_CO2_by_sector'!$R$51:$Y$51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'NZ-22p_CO2_by_sector'!$R$52:$Y$52</c:f>
              <c:numCache>
                <c:formatCode>General</c:formatCode>
                <c:ptCount val="8"/>
                <c:pt idx="0">
                  <c:v>48.969369154048948</c:v>
                </c:pt>
                <c:pt idx="1">
                  <c:v>55.243528287327202</c:v>
                </c:pt>
                <c:pt idx="2">
                  <c:v>50.707775275466688</c:v>
                </c:pt>
                <c:pt idx="3">
                  <c:v>48.064925874344951</c:v>
                </c:pt>
                <c:pt idx="4">
                  <c:v>42.301781838962448</c:v>
                </c:pt>
                <c:pt idx="5">
                  <c:v>33.975532996419204</c:v>
                </c:pt>
                <c:pt idx="6">
                  <c:v>24.499200782178836</c:v>
                </c:pt>
                <c:pt idx="7">
                  <c:v>15.729344974282039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F-4577-B460-AE66BBECD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1206399"/>
        <c:axId val="628134671"/>
      </c:barChart>
      <c:catAx>
        <c:axId val="52120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628134671"/>
        <c:crosses val="autoZero"/>
        <c:auto val="1"/>
        <c:lblAlgn val="ctr"/>
        <c:lblOffset val="100"/>
        <c:noMultiLvlLbl val="0"/>
      </c:catAx>
      <c:valAx>
        <c:axId val="62813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2120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'NZ-0p_Hydrogen production'!$E$17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'NZ-0p_Hydrogen production'!$F$16:$L$16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'NZ-0p_Hydrogen production'!$F$17:$L$17</c:f>
              <c:numCache>
                <c:formatCode>0.00E+00</c:formatCode>
                <c:ptCount val="7"/>
                <c:pt idx="0">
                  <c:v>1.2914211666666668E-2</c:v>
                </c:pt>
                <c:pt idx="1">
                  <c:v>0.20775010000000002</c:v>
                </c:pt>
                <c:pt idx="2">
                  <c:v>0.59407633333333343</c:v>
                </c:pt>
                <c:pt idx="3">
                  <c:v>0.81720116666666676</c:v>
                </c:pt>
                <c:pt idx="4">
                  <c:v>0.68983025000000009</c:v>
                </c:pt>
                <c:pt idx="5">
                  <c:v>0.58263983333333325</c:v>
                </c:pt>
                <c:pt idx="6">
                  <c:v>0.54300920833333333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9-4632-A314-E89CD6655DB4}"/>
            </c:ext>
          </c:extLst>
        </c:ser>
        <c:ser>
          <c:idx val="1"/>
          <c:order val="1"/>
          <c:tx>
            <c:strRef>
              <c:f>'NZ-0p_Hydrogen production'!$E$18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'NZ-0p_Hydrogen production'!$F$16:$L$16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'NZ-0p_Hydrogen production'!$F$18:$L$18</c:f>
              <c:numCache>
                <c:formatCode>0.00E+00</c:formatCode>
                <c:ptCount val="7"/>
                <c:pt idx="0">
                  <c:v>0</c:v>
                </c:pt>
                <c:pt idx="1">
                  <c:v>6.0295533333333332E-3</c:v>
                </c:pt>
                <c:pt idx="2">
                  <c:v>4.810366666666667E-2</c:v>
                </c:pt>
                <c:pt idx="3">
                  <c:v>0.22374224999999998</c:v>
                </c:pt>
                <c:pt idx="4">
                  <c:v>0.51104583333333342</c:v>
                </c:pt>
                <c:pt idx="5">
                  <c:v>0.79162250000000001</c:v>
                </c:pt>
                <c:pt idx="6">
                  <c:v>0.93281333333333327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F9-4632-A314-E89CD6655DB4}"/>
            </c:ext>
          </c:extLst>
        </c:ser>
        <c:ser>
          <c:idx val="2"/>
          <c:order val="2"/>
          <c:tx>
            <c:strRef>
              <c:f>'NZ-0p_Hydrogen production'!$E$19</c:f>
              <c:strCache>
                <c:ptCount val="1"/>
                <c:pt idx="0">
                  <c:v>Green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'NZ-0p_Hydrogen production'!$F$16:$L$16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'NZ-0p_Hydrogen production'!$F$19:$L$19</c:f>
              <c:numCache>
                <c:formatCode>0.00E+00</c:formatCode>
                <c:ptCount val="7"/>
                <c:pt idx="0">
                  <c:v>2.4171799999999997E-3</c:v>
                </c:pt>
                <c:pt idx="1">
                  <c:v>7.647293434166666E-2</c:v>
                </c:pt>
                <c:pt idx="2">
                  <c:v>0.366935075</c:v>
                </c:pt>
                <c:pt idx="3">
                  <c:v>1.0073433333333333</c:v>
                </c:pt>
                <c:pt idx="4">
                  <c:v>2.05921675</c:v>
                </c:pt>
                <c:pt idx="5">
                  <c:v>3.1126934966666666</c:v>
                </c:pt>
                <c:pt idx="6">
                  <c:v>4.1133704275833329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F9-4632-A314-E89CD6655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1302560"/>
        <c:axId val="1706693088"/>
      </c:barChart>
      <c:catAx>
        <c:axId val="171130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6693088"/>
        <c:crosses val="autoZero"/>
        <c:auto val="1"/>
        <c:lblAlgn val="ctr"/>
        <c:lblOffset val="100"/>
        <c:noMultiLvlLbl val="0"/>
      </c:catAx>
      <c:valAx>
        <c:axId val="17066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130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Costs by tech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CP_iron_steel_tech_cost!$E$21</c:f>
              <c:strCache>
                <c:ptCount val="1"/>
                <c:pt idx="0">
                  <c:v>DRI-H2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CP_iron_steel_tech_cost!$I$14:$P$14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CP_iron_steel_tech_cost!$I$21:$P$21</c:f>
              <c:numCache>
                <c:formatCode>General</c:formatCode>
                <c:ptCount val="8"/>
                <c:pt idx="2">
                  <c:v>762.37433103078263</c:v>
                </c:pt>
                <c:pt idx="3">
                  <c:v>738.5907232915298</c:v>
                </c:pt>
                <c:pt idx="4">
                  <c:v>719.75691435852718</c:v>
                </c:pt>
                <c:pt idx="5">
                  <c:v>732.42629300516398</c:v>
                </c:pt>
                <c:pt idx="6">
                  <c:v>716.9906438199987</c:v>
                </c:pt>
                <c:pt idx="7">
                  <c:v>704.3598806250418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A-4782-A390-E33081823906}"/>
            </c:ext>
          </c:extLst>
        </c:ser>
        <c:ser>
          <c:idx val="4"/>
          <c:order val="1"/>
          <c:tx>
            <c:strRef>
              <c:f>CP_iron_steel_tech_cost!$E$19</c:f>
              <c:strCache>
                <c:ptCount val="1"/>
                <c:pt idx="0">
                  <c:v>DRI-EAF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CP_iron_steel_tech_cost!$I$14:$P$14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CP_iron_steel_tech_cost!$I$19:$P$19</c:f>
              <c:numCache>
                <c:formatCode>General</c:formatCode>
                <c:ptCount val="8"/>
                <c:pt idx="0">
                  <c:v>484.58179263630876</c:v>
                </c:pt>
                <c:pt idx="1">
                  <c:v>506.81025082154116</c:v>
                </c:pt>
                <c:pt idx="2">
                  <c:v>512.11109918851855</c:v>
                </c:pt>
                <c:pt idx="3">
                  <c:v>501.72354268660712</c:v>
                </c:pt>
                <c:pt idx="4">
                  <c:v>494.59723660384947</c:v>
                </c:pt>
                <c:pt idx="5">
                  <c:v>500.7335829253571</c:v>
                </c:pt>
                <c:pt idx="6">
                  <c:v>494.68499899403128</c:v>
                </c:pt>
                <c:pt idx="7">
                  <c:v>488.14143518208039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A-4782-A390-E33081823906}"/>
            </c:ext>
          </c:extLst>
        </c:ser>
        <c:ser>
          <c:idx val="8"/>
          <c:order val="2"/>
          <c:tx>
            <c:strRef>
              <c:f>CP_iron_steel_tech_cost!$E$22</c:f>
              <c:strCache>
                <c:ptCount val="1"/>
                <c:pt idx="0">
                  <c:v>EAF-scrap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CP_iron_steel_tech_cost!$I$14:$P$14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CP_iron_steel_tech_cost!$I$22:$P$22</c:f>
              <c:numCache>
                <c:formatCode>General</c:formatCode>
                <c:ptCount val="8"/>
                <c:pt idx="0">
                  <c:v>203.78040845684396</c:v>
                </c:pt>
                <c:pt idx="1">
                  <c:v>233.84323968882032</c:v>
                </c:pt>
                <c:pt idx="2">
                  <c:v>244.53199671383541</c:v>
                </c:pt>
                <c:pt idx="3">
                  <c:v>238.61470531822144</c:v>
                </c:pt>
                <c:pt idx="4">
                  <c:v>235.70977020320569</c:v>
                </c:pt>
                <c:pt idx="5">
                  <c:v>241.74782264770974</c:v>
                </c:pt>
                <c:pt idx="6">
                  <c:v>239.68049178458855</c:v>
                </c:pt>
                <c:pt idx="7">
                  <c:v>236.50840795385955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A-4782-A390-E33081823906}"/>
            </c:ext>
          </c:extLst>
        </c:ser>
        <c:ser>
          <c:idx val="2"/>
          <c:order val="3"/>
          <c:tx>
            <c:strRef>
              <c:f>CP_iron_steel_tech_cost!$E$17</c:f>
              <c:strCache>
                <c:ptCount val="1"/>
                <c:pt idx="0">
                  <c:v>BF-H2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CP_iron_steel_tech_cost!$I$14:$P$14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CP_iron_steel_tech_cost!$I$17:$P$17</c:f>
              <c:numCache>
                <c:formatCode>General</c:formatCode>
                <c:ptCount val="8"/>
                <c:pt idx="0">
                  <c:v>170.02945053986988</c:v>
                </c:pt>
                <c:pt idx="1">
                  <c:v>251.65935594527528</c:v>
                </c:pt>
                <c:pt idx="2">
                  <c:v>251.04431711488166</c:v>
                </c:pt>
                <c:pt idx="3">
                  <c:v>248.15904077526659</c:v>
                </c:pt>
                <c:pt idx="4">
                  <c:v>245.21829860505665</c:v>
                </c:pt>
                <c:pt idx="5">
                  <c:v>248.58802333847493</c:v>
                </c:pt>
                <c:pt idx="6">
                  <c:v>246.23564023204347</c:v>
                </c:pt>
                <c:pt idx="7">
                  <c:v>244.32768586949234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8A-4782-A390-E33081823906}"/>
            </c:ext>
          </c:extLst>
        </c:ser>
        <c:ser>
          <c:idx val="0"/>
          <c:order val="4"/>
          <c:tx>
            <c:strRef>
              <c:f>CP_iron_steel_tech_cost!$E$15</c:f>
              <c:strCache>
                <c:ptCount val="1"/>
                <c:pt idx="0">
                  <c:v>BF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CP_iron_steel_tech_cost!$I$14:$P$14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CP_iron_steel_tech_cost!$I$15:$P$15</c:f>
              <c:numCache>
                <c:formatCode>General</c:formatCode>
                <c:ptCount val="8"/>
                <c:pt idx="0">
                  <c:v>209.21079411172957</c:v>
                </c:pt>
                <c:pt idx="1">
                  <c:v>219.75526976728591</c:v>
                </c:pt>
                <c:pt idx="2">
                  <c:v>223.03126426799005</c:v>
                </c:pt>
                <c:pt idx="3">
                  <c:v>220.80174850781302</c:v>
                </c:pt>
                <c:pt idx="4">
                  <c:v>218.40618630541212</c:v>
                </c:pt>
                <c:pt idx="5">
                  <c:v>219.21781288981288</c:v>
                </c:pt>
                <c:pt idx="6">
                  <c:v>217.05218814968816</c:v>
                </c:pt>
                <c:pt idx="7">
                  <c:v>214.15953976929782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8A-4782-A390-E33081823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44415"/>
        <c:axId val="237614719"/>
        <c:extLst/>
      </c:lineChart>
      <c:catAx>
        <c:axId val="41634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237614719"/>
        <c:crosses val="autoZero"/>
        <c:auto val="1"/>
        <c:lblAlgn val="ctr"/>
        <c:lblOffset val="100"/>
        <c:noMultiLvlLbl val="0"/>
      </c:catAx>
      <c:valAx>
        <c:axId val="2376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4163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Costs by tech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'NZ-0p_iron_steel_tech_cost'!$E$21</c:f>
              <c:strCache>
                <c:ptCount val="1"/>
                <c:pt idx="0">
                  <c:v>DRI-H2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'NZ-0p_iron_steel_tech_cost'!$I$21:$P$21</c:f>
              <c:numCache>
                <c:formatCode>General</c:formatCode>
                <c:ptCount val="8"/>
                <c:pt idx="0">
                  <c:v>416.05691838240227</c:v>
                </c:pt>
                <c:pt idx="1">
                  <c:v>766.99063275434241</c:v>
                </c:pt>
                <c:pt idx="2">
                  <c:v>895.01489705586494</c:v>
                </c:pt>
                <c:pt idx="3">
                  <c:v>984.9116685668298</c:v>
                </c:pt>
                <c:pt idx="4">
                  <c:v>1043.9125682382132</c:v>
                </c:pt>
                <c:pt idx="5">
                  <c:v>1039.5525326939842</c:v>
                </c:pt>
                <c:pt idx="6">
                  <c:v>1012.2970447991415</c:v>
                </c:pt>
                <c:pt idx="7">
                  <c:v>974.21518845147875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A-4911-AF0E-C0D1DFCFA768}"/>
            </c:ext>
          </c:extLst>
        </c:ser>
        <c:ser>
          <c:idx val="5"/>
          <c:order val="1"/>
          <c:tx>
            <c:strRef>
              <c:f>'NZ-0p_iron_steel_tech_cost'!$E$20</c:f>
              <c:strCache>
                <c:ptCount val="1"/>
                <c:pt idx="0">
                  <c:v>DRI-EAF-CCS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'NZ-0p_iron_steel_tech_cost'!$I$20:$P$20</c:f>
              <c:numCache>
                <c:formatCode>General</c:formatCode>
                <c:ptCount val="8"/>
                <c:pt idx="0">
                  <c:v>501.08112199047684</c:v>
                </c:pt>
                <c:pt idx="1">
                  <c:v>575.55628629870557</c:v>
                </c:pt>
                <c:pt idx="2">
                  <c:v>650.03145060693441</c:v>
                </c:pt>
                <c:pt idx="3">
                  <c:v>678.5893323720743</c:v>
                </c:pt>
                <c:pt idx="4">
                  <c:v>700.78619609684119</c:v>
                </c:pt>
                <c:pt idx="5">
                  <c:v>715.2073120515056</c:v>
                </c:pt>
                <c:pt idx="6">
                  <c:v>714.614038293877</c:v>
                </c:pt>
                <c:pt idx="7">
                  <c:v>710.42952753001146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3AA-4911-AF0E-C0D1DFCFA768}"/>
            </c:ext>
          </c:extLst>
        </c:ser>
        <c:ser>
          <c:idx val="4"/>
          <c:order val="2"/>
          <c:tx>
            <c:strRef>
              <c:f>'NZ-0p_iron_steel_tech_cost'!$E$19</c:f>
              <c:strCache>
                <c:ptCount val="1"/>
                <c:pt idx="0">
                  <c:v>DRI-EAF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'NZ-0p_iron_steel_tech_cost'!$I$19:$P$19</c:f>
              <c:numCache>
                <c:formatCode>General</c:formatCode>
                <c:ptCount val="8"/>
                <c:pt idx="0">
                  <c:v>484.58179263630876</c:v>
                </c:pt>
                <c:pt idx="1">
                  <c:v>506.00634732747631</c:v>
                </c:pt>
                <c:pt idx="2">
                  <c:v>578.20319998658704</c:v>
                </c:pt>
                <c:pt idx="3">
                  <c:v>643.60373315002346</c:v>
                </c:pt>
                <c:pt idx="4">
                  <c:v>711.00173831399638</c:v>
                </c:pt>
                <c:pt idx="5">
                  <c:v>782.18054724699891</c:v>
                </c:pt>
                <c:pt idx="6">
                  <c:v>856.74698444101671</c:v>
                </c:pt>
                <c:pt idx="7">
                  <c:v>925.61237676882843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A-4911-AF0E-C0D1DFCFA768}"/>
            </c:ext>
          </c:extLst>
        </c:ser>
        <c:ser>
          <c:idx val="8"/>
          <c:order val="3"/>
          <c:tx>
            <c:strRef>
              <c:f>'NZ-0p_iron_steel_tech_cost'!$E$22</c:f>
              <c:strCache>
                <c:ptCount val="1"/>
                <c:pt idx="0">
                  <c:v>EAF-scrap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'NZ-0p_iron_steel_tech_cost'!$I$22:$P$22</c:f>
              <c:numCache>
                <c:formatCode>General</c:formatCode>
                <c:ptCount val="8"/>
                <c:pt idx="0">
                  <c:v>203.78040845684396</c:v>
                </c:pt>
                <c:pt idx="1">
                  <c:v>233.15483150023476</c:v>
                </c:pt>
                <c:pt idx="2">
                  <c:v>275.37942371403665</c:v>
                </c:pt>
                <c:pt idx="3">
                  <c:v>310.91652179598958</c:v>
                </c:pt>
                <c:pt idx="4">
                  <c:v>337.82763007175907</c:v>
                </c:pt>
                <c:pt idx="5">
                  <c:v>349.11984129166387</c:v>
                </c:pt>
                <c:pt idx="6">
                  <c:v>346.16997183287509</c:v>
                </c:pt>
                <c:pt idx="7">
                  <c:v>335.99866186037156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A-4911-AF0E-C0D1DFCFA768}"/>
            </c:ext>
          </c:extLst>
        </c:ser>
        <c:ser>
          <c:idx val="2"/>
          <c:order val="4"/>
          <c:tx>
            <c:strRef>
              <c:f>'NZ-0p_iron_steel_tech_cost'!$E$17</c:f>
              <c:strCache>
                <c:ptCount val="1"/>
                <c:pt idx="0">
                  <c:v>BF-H2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'NZ-0p_iron_steel_tech_cost'!$I$17:$P$17</c:f>
              <c:numCache>
                <c:formatCode>General</c:formatCode>
                <c:ptCount val="8"/>
                <c:pt idx="0">
                  <c:v>170.02945053986988</c:v>
                </c:pt>
                <c:pt idx="1">
                  <c:v>250.83123003152036</c:v>
                </c:pt>
                <c:pt idx="2">
                  <c:v>366.90997988062503</c:v>
                </c:pt>
                <c:pt idx="3">
                  <c:v>482.25433404868892</c:v>
                </c:pt>
                <c:pt idx="4">
                  <c:v>611.34578901482132</c:v>
                </c:pt>
                <c:pt idx="5">
                  <c:v>759.78007477701021</c:v>
                </c:pt>
                <c:pt idx="6">
                  <c:v>954.69332237945139</c:v>
                </c:pt>
                <c:pt idx="7">
                  <c:v>1145.7520458051104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A-4911-AF0E-C0D1DFCFA768}"/>
            </c:ext>
          </c:extLst>
        </c:ser>
        <c:ser>
          <c:idx val="1"/>
          <c:order val="5"/>
          <c:tx>
            <c:strRef>
              <c:f>'NZ-0p_iron_steel_tech_cost'!$E$16</c:f>
              <c:strCache>
                <c:ptCount val="1"/>
                <c:pt idx="0">
                  <c:v>BF-CCS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'NZ-0p_iron_steel_tech_cost'!$I$16:$P$16</c:f>
              <c:numCache>
                <c:formatCode>General</c:formatCode>
                <c:ptCount val="8"/>
                <c:pt idx="0">
                  <c:v>213.07233927972638</c:v>
                </c:pt>
                <c:pt idx="1">
                  <c:v>363.6869938635906</c:v>
                </c:pt>
                <c:pt idx="2">
                  <c:v>514.3016484474548</c:v>
                </c:pt>
                <c:pt idx="3">
                  <c:v>536.81445677687611</c:v>
                </c:pt>
                <c:pt idx="4">
                  <c:v>558.44964120447992</c:v>
                </c:pt>
                <c:pt idx="5">
                  <c:v>578.67360639796118</c:v>
                </c:pt>
                <c:pt idx="6">
                  <c:v>603.65780363490035</c:v>
                </c:pt>
                <c:pt idx="7">
                  <c:v>628.48051807390516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3AA-4911-AF0E-C0D1DFCFA768}"/>
            </c:ext>
          </c:extLst>
        </c:ser>
        <c:ser>
          <c:idx val="0"/>
          <c:order val="6"/>
          <c:tx>
            <c:strRef>
              <c:f>'NZ-0p_iron_steel_tech_cost'!$E$15</c:f>
              <c:strCache>
                <c:ptCount val="1"/>
                <c:pt idx="0">
                  <c:v>BF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'NZ-0p_iron_steel_tech_cost'!$I$14:$P$14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'NZ-0p_iron_steel_tech_cost'!$I$15:$P$15</c:f>
              <c:numCache>
                <c:formatCode>General</c:formatCode>
                <c:ptCount val="8"/>
                <c:pt idx="0">
                  <c:v>209.21079411172957</c:v>
                </c:pt>
                <c:pt idx="1">
                  <c:v>218.60347615854067</c:v>
                </c:pt>
                <c:pt idx="2">
                  <c:v>344.02295271946889</c:v>
                </c:pt>
                <c:pt idx="3">
                  <c:v>476.19170813493389</c:v>
                </c:pt>
                <c:pt idx="4">
                  <c:v>630.27087083361278</c:v>
                </c:pt>
                <c:pt idx="5">
                  <c:v>819.42690564013139</c:v>
                </c:pt>
                <c:pt idx="6">
                  <c:v>1066.3762296291329</c:v>
                </c:pt>
                <c:pt idx="7">
                  <c:v>1308.263418952451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AA-4911-AF0E-C0D1DFCF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44415"/>
        <c:axId val="237614719"/>
        <c:extLst/>
      </c:lineChart>
      <c:catAx>
        <c:axId val="41634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237614719"/>
        <c:crosses val="autoZero"/>
        <c:auto val="1"/>
        <c:lblAlgn val="ctr"/>
        <c:lblOffset val="100"/>
        <c:noMultiLvlLbl val="0"/>
      </c:catAx>
      <c:valAx>
        <c:axId val="2376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4163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Costs by tech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'NZ-22p_iron_steel_tech_cost'!$E$21</c:f>
              <c:strCache>
                <c:ptCount val="1"/>
                <c:pt idx="0">
                  <c:v>DRI-H2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'NZ-22p_iron_steel_tech_cost'!$I$21:$P$21</c:f>
              <c:numCache>
                <c:formatCode>General</c:formatCode>
                <c:ptCount val="8"/>
                <c:pt idx="2">
                  <c:v>894.45672825430893</c:v>
                </c:pt>
                <c:pt idx="3">
                  <c:v>980.73417879417877</c:v>
                </c:pt>
                <c:pt idx="4">
                  <c:v>1038.4713000469453</c:v>
                </c:pt>
                <c:pt idx="5">
                  <c:v>1037.3338994701896</c:v>
                </c:pt>
                <c:pt idx="6">
                  <c:v>1010.1100060358126</c:v>
                </c:pt>
                <c:pt idx="7">
                  <c:v>972.29494735430205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A-4911-AF0E-C0D1DFCFA768}"/>
            </c:ext>
          </c:extLst>
        </c:ser>
        <c:ser>
          <c:idx val="5"/>
          <c:order val="1"/>
          <c:tx>
            <c:strRef>
              <c:f>'NZ-22p_iron_steel_tech_cost'!$E$20</c:f>
              <c:strCache>
                <c:ptCount val="1"/>
                <c:pt idx="0">
                  <c:v>DRI-EAF-CCS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'NZ-22p_iron_steel_tech_cost'!$I$20:$P$20</c:f>
              <c:numCache>
                <c:formatCode>General</c:formatCode>
                <c:ptCount val="8"/>
                <c:pt idx="2">
                  <c:v>649.88049929582189</c:v>
                </c:pt>
                <c:pt idx="3">
                  <c:v>677.0131198444102</c:v>
                </c:pt>
                <c:pt idx="4">
                  <c:v>698.58511535108312</c:v>
                </c:pt>
                <c:pt idx="5">
                  <c:v>713.7013094359869</c:v>
                </c:pt>
                <c:pt idx="6">
                  <c:v>713.30813392797268</c:v>
                </c:pt>
                <c:pt idx="7">
                  <c:v>709.9240161625645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3AA-4911-AF0E-C0D1DFCFA768}"/>
            </c:ext>
          </c:extLst>
        </c:ser>
        <c:ser>
          <c:idx val="4"/>
          <c:order val="2"/>
          <c:tx>
            <c:strRef>
              <c:f>'NZ-22p_iron_steel_tech_cost'!$E$19</c:f>
              <c:strCache>
                <c:ptCount val="1"/>
                <c:pt idx="0">
                  <c:v>DRI-EAF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'NZ-22p_iron_steel_tech_cost'!$I$19:$P$19</c:f>
              <c:numCache>
                <c:formatCode>General</c:formatCode>
                <c:ptCount val="8"/>
                <c:pt idx="0">
                  <c:v>484.58179263630876</c:v>
                </c:pt>
                <c:pt idx="1">
                  <c:v>506.00634732747631</c:v>
                </c:pt>
                <c:pt idx="2">
                  <c:v>577.86619240828918</c:v>
                </c:pt>
                <c:pt idx="3">
                  <c:v>640.45832908590967</c:v>
                </c:pt>
                <c:pt idx="4">
                  <c:v>704.67933572530353</c:v>
                </c:pt>
                <c:pt idx="5">
                  <c:v>775.16306652806657</c:v>
                </c:pt>
                <c:pt idx="6">
                  <c:v>848.91155824559053</c:v>
                </c:pt>
                <c:pt idx="7">
                  <c:v>924.36264033264024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A-4911-AF0E-C0D1DFCFA768}"/>
            </c:ext>
          </c:extLst>
        </c:ser>
        <c:ser>
          <c:idx val="8"/>
          <c:order val="3"/>
          <c:tx>
            <c:strRef>
              <c:f>'NZ-22p_iron_steel_tech_cost'!$E$22</c:f>
              <c:strCache>
                <c:ptCount val="1"/>
                <c:pt idx="0">
                  <c:v>EAF-scrap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'NZ-22p_iron_steel_tech_cost'!$I$22:$P$22</c:f>
              <c:numCache>
                <c:formatCode>General</c:formatCode>
                <c:ptCount val="8"/>
                <c:pt idx="0">
                  <c:v>203.78040845684396</c:v>
                </c:pt>
                <c:pt idx="1">
                  <c:v>233.15483150023476</c:v>
                </c:pt>
                <c:pt idx="2">
                  <c:v>275.22917450204545</c:v>
                </c:pt>
                <c:pt idx="3">
                  <c:v>309.31433160083162</c:v>
                </c:pt>
                <c:pt idx="4">
                  <c:v>335.62374092951512</c:v>
                </c:pt>
                <c:pt idx="5">
                  <c:v>347.80516068674132</c:v>
                </c:pt>
                <c:pt idx="6">
                  <c:v>345.42258731808732</c:v>
                </c:pt>
                <c:pt idx="7">
                  <c:v>335.60969894708603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A-4911-AF0E-C0D1DFCFA768}"/>
            </c:ext>
          </c:extLst>
        </c:ser>
        <c:ser>
          <c:idx val="2"/>
          <c:order val="4"/>
          <c:tx>
            <c:strRef>
              <c:f>'NZ-22p_iron_steel_tech_cost'!$E$17</c:f>
              <c:strCache>
                <c:ptCount val="1"/>
                <c:pt idx="0">
                  <c:v>BF-H2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'NZ-22p_iron_steel_tech_cost'!$I$17:$P$17</c:f>
              <c:numCache>
                <c:formatCode>General</c:formatCode>
                <c:ptCount val="8"/>
                <c:pt idx="2">
                  <c:v>366.30968513178192</c:v>
                </c:pt>
                <c:pt idx="3">
                  <c:v>477.28347226879487</c:v>
                </c:pt>
                <c:pt idx="4">
                  <c:v>599.36446750720938</c:v>
                </c:pt>
                <c:pt idx="5">
                  <c:v>744.71653812621548</c:v>
                </c:pt>
                <c:pt idx="6">
                  <c:v>936.75117933069544</c:v>
                </c:pt>
                <c:pt idx="7">
                  <c:v>1142.9366283280799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A-4911-AF0E-C0D1DFCFA768}"/>
            </c:ext>
          </c:extLst>
        </c:ser>
        <c:ser>
          <c:idx val="1"/>
          <c:order val="5"/>
          <c:tx>
            <c:strRef>
              <c:f>'NZ-22p_iron_steel_tech_cost'!$E$16</c:f>
              <c:strCache>
                <c:ptCount val="1"/>
                <c:pt idx="0">
                  <c:v>BF-CCS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'NZ-22p_iron_steel_tech_cost'!$I$16:$P$16</c:f>
              <c:numCache>
                <c:formatCode>General</c:formatCode>
                <c:ptCount val="8"/>
                <c:pt idx="2">
                  <c:v>514.18931258802229</c:v>
                </c:pt>
                <c:pt idx="3">
                  <c:v>535.73322412983703</c:v>
                </c:pt>
                <c:pt idx="4">
                  <c:v>556.29770739722346</c:v>
                </c:pt>
                <c:pt idx="5">
                  <c:v>576.30402186305423</c:v>
                </c:pt>
                <c:pt idx="6">
                  <c:v>600.98982697337533</c:v>
                </c:pt>
                <c:pt idx="7">
                  <c:v>627.55374723358591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3AA-4911-AF0E-C0D1DFCFA768}"/>
            </c:ext>
          </c:extLst>
        </c:ser>
        <c:ser>
          <c:idx val="0"/>
          <c:order val="6"/>
          <c:tx>
            <c:strRef>
              <c:f>'NZ-22p_iron_steel_tech_cost'!$E$15</c:f>
              <c:strCache>
                <c:ptCount val="1"/>
                <c:pt idx="0">
                  <c:v>BF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'NZ-22p_iron_steel_tech_cost'!$I$14:$P$14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'NZ-22p_iron_steel_tech_cost'!$I$15:$P$15</c:f>
              <c:numCache>
                <c:formatCode>General</c:formatCode>
                <c:ptCount val="8"/>
                <c:pt idx="0">
                  <c:v>209.21079411172957</c:v>
                </c:pt>
                <c:pt idx="1">
                  <c:v>218.60347615854067</c:v>
                </c:pt>
                <c:pt idx="2">
                  <c:v>343.36403269398431</c:v>
                </c:pt>
                <c:pt idx="3">
                  <c:v>470.43800583461871</c:v>
                </c:pt>
                <c:pt idx="4">
                  <c:v>615.84975487894849</c:v>
                </c:pt>
                <c:pt idx="5">
                  <c:v>800.64926463684526</c:v>
                </c:pt>
                <c:pt idx="6">
                  <c:v>1044.2671282945478</c:v>
                </c:pt>
                <c:pt idx="7">
                  <c:v>1305.1180148883375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AA-4911-AF0E-C0D1DFCF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44415"/>
        <c:axId val="237614719"/>
        <c:extLst/>
      </c:lineChart>
      <c:catAx>
        <c:axId val="41634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237614719"/>
        <c:crosses val="autoZero"/>
        <c:auto val="1"/>
        <c:lblAlgn val="ctr"/>
        <c:lblOffset val="100"/>
        <c:noMultiLvlLbl val="0"/>
      </c:catAx>
      <c:valAx>
        <c:axId val="2376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41634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'NZ-0p_primary'!$C$30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'NZ-0p_primary'!$D$30:$K$30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1.9853251999999999</c:v>
                </c:pt>
                <c:pt idx="2">
                  <c:v>1.9933752</c:v>
                </c:pt>
                <c:pt idx="3">
                  <c:v>1.9785522000000002</c:v>
                </c:pt>
                <c:pt idx="4">
                  <c:v>1.9421310999999999</c:v>
                </c:pt>
                <c:pt idx="5">
                  <c:v>1.8751064</c:v>
                </c:pt>
                <c:pt idx="6">
                  <c:v>1.8085712999999999</c:v>
                </c:pt>
                <c:pt idx="7">
                  <c:v>1.7339329000000001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6-4BD4-9774-0DE5B43DDCFB}"/>
            </c:ext>
          </c:extLst>
        </c:ser>
        <c:ser>
          <c:idx val="0"/>
          <c:order val="1"/>
          <c:tx>
            <c:strRef>
              <c:f>'NZ-0p_primary'!$C$31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'NZ-0p_primary'!$D$31:$K$31</c:f>
              <c:numCache>
                <c:formatCode>General</c:formatCode>
                <c:ptCount val="8"/>
                <c:pt idx="0">
                  <c:v>2.9622851032881505</c:v>
                </c:pt>
                <c:pt idx="1">
                  <c:v>2.9278294121745896</c:v>
                </c:pt>
                <c:pt idx="2">
                  <c:v>2.7297127430532599</c:v>
                </c:pt>
                <c:pt idx="3">
                  <c:v>2.4355132317499502</c:v>
                </c:pt>
                <c:pt idx="4">
                  <c:v>2.13493352283042</c:v>
                </c:pt>
                <c:pt idx="5">
                  <c:v>1.7441727211020299</c:v>
                </c:pt>
                <c:pt idx="6">
                  <c:v>1.2379276029584501</c:v>
                </c:pt>
                <c:pt idx="7">
                  <c:v>0.81428600876476986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6-4BD4-9774-0DE5B43DDCFB}"/>
            </c:ext>
          </c:extLst>
        </c:ser>
        <c:ser>
          <c:idx val="1"/>
          <c:order val="2"/>
          <c:tx>
            <c:strRef>
              <c:f>'NZ-0p_primary'!$C$32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'NZ-0p_primary'!$D$32:$K$32</c:f>
              <c:numCache>
                <c:formatCode>General</c:formatCode>
                <c:ptCount val="8"/>
                <c:pt idx="0">
                  <c:v>1.70054171663122</c:v>
                </c:pt>
                <c:pt idx="1">
                  <c:v>2.0099449002656402</c:v>
                </c:pt>
                <c:pt idx="2">
                  <c:v>2.2169697482271702</c:v>
                </c:pt>
                <c:pt idx="3">
                  <c:v>2.4521292708354898</c:v>
                </c:pt>
                <c:pt idx="4">
                  <c:v>2.34533222715352</c:v>
                </c:pt>
                <c:pt idx="5">
                  <c:v>1.89605849965568</c:v>
                </c:pt>
                <c:pt idx="6">
                  <c:v>1.33395333925425</c:v>
                </c:pt>
                <c:pt idx="7">
                  <c:v>1.00990687604987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6-4BD4-9774-0DE5B43DDCFB}"/>
            </c:ext>
          </c:extLst>
        </c:ser>
        <c:ser>
          <c:idx val="8"/>
          <c:order val="3"/>
          <c:tx>
            <c:strRef>
              <c:f>'NZ-0p_primary'!$C$33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'NZ-0p_primary'!$D$33:$K$33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7.7929278966259996E-5</c:v>
                </c:pt>
                <c:pt idx="3">
                  <c:v>4.4521755596139502E-2</c:v>
                </c:pt>
                <c:pt idx="4">
                  <c:v>0.13854328156027901</c:v>
                </c:pt>
                <c:pt idx="5">
                  <c:v>0.30000337214880002</c:v>
                </c:pt>
                <c:pt idx="6">
                  <c:v>0.520695283601189</c:v>
                </c:pt>
                <c:pt idx="7">
                  <c:v>1.08123396042731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6-4BD4-9774-0DE5B43DDCFB}"/>
            </c:ext>
          </c:extLst>
        </c:ser>
        <c:ser>
          <c:idx val="2"/>
          <c:order val="4"/>
          <c:tx>
            <c:strRef>
              <c:f>'NZ-0p_primary'!$C$34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'NZ-0p_primary'!$D$34:$K$34</c:f>
              <c:numCache>
                <c:formatCode>General</c:formatCode>
                <c:ptCount val="8"/>
                <c:pt idx="0">
                  <c:v>3.5104304109288602</c:v>
                </c:pt>
                <c:pt idx="1">
                  <c:v>3.5059196760681002</c:v>
                </c:pt>
                <c:pt idx="2">
                  <c:v>2.9905712219725999</c:v>
                </c:pt>
                <c:pt idx="3">
                  <c:v>1.8896701312072299</c:v>
                </c:pt>
                <c:pt idx="4">
                  <c:v>1.0592071235210601</c:v>
                </c:pt>
                <c:pt idx="5">
                  <c:v>0.64333211893488396</c:v>
                </c:pt>
                <c:pt idx="6">
                  <c:v>0.41789485424932399</c:v>
                </c:pt>
                <c:pt idx="7">
                  <c:v>0.26920554674699998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E6-4BD4-9774-0DE5B43DDCFB}"/>
            </c:ext>
          </c:extLst>
        </c:ser>
        <c:ser>
          <c:idx val="9"/>
          <c:order val="5"/>
          <c:tx>
            <c:strRef>
              <c:f>'NZ-0p_primary'!$C$35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bg1">
                  <a:lumMod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'NZ-0p_primary'!$D$35:$K$35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1.23417125059402E-3</c:v>
                </c:pt>
                <c:pt idx="3">
                  <c:v>6.2554059082802604E-3</c:v>
                </c:pt>
                <c:pt idx="4">
                  <c:v>1.7020098677085201E-2</c:v>
                </c:pt>
                <c:pt idx="5">
                  <c:v>2.9625779551979099E-2</c:v>
                </c:pt>
                <c:pt idx="6">
                  <c:v>4.0475538674151497E-2</c:v>
                </c:pt>
                <c:pt idx="7">
                  <c:v>4.66451139340942E-2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E6-4BD4-9774-0DE5B43DDCFB}"/>
            </c:ext>
          </c:extLst>
        </c:ser>
        <c:ser>
          <c:idx val="3"/>
          <c:order val="6"/>
          <c:tx>
            <c:strRef>
              <c:f>'NZ-0p_primary'!$C$36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'NZ-0p_primary'!$D$36:$K$36</c:f>
              <c:numCache>
                <c:formatCode>General</c:formatCode>
                <c:ptCount val="8"/>
                <c:pt idx="0">
                  <c:v>0.28713689612514698</c:v>
                </c:pt>
                <c:pt idx="1">
                  <c:v>0.386308260397981</c:v>
                </c:pt>
                <c:pt idx="2">
                  <c:v>0.48814339537273399</c:v>
                </c:pt>
                <c:pt idx="3">
                  <c:v>0.68054186468826305</c:v>
                </c:pt>
                <c:pt idx="4">
                  <c:v>0.84408788228955101</c:v>
                </c:pt>
                <c:pt idx="5">
                  <c:v>0.68703805122695705</c:v>
                </c:pt>
                <c:pt idx="6">
                  <c:v>0.399138721170192</c:v>
                </c:pt>
                <c:pt idx="7">
                  <c:v>0.325229745088495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E6-4BD4-9774-0DE5B43DDCFB}"/>
            </c:ext>
          </c:extLst>
        </c:ser>
        <c:ser>
          <c:idx val="10"/>
          <c:order val="7"/>
          <c:tx>
            <c:strRef>
              <c:f>'NZ-0p_primary'!$C$37</c:f>
              <c:strCache>
                <c:ptCount val="1"/>
                <c:pt idx="0">
                  <c:v>Biomass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'NZ-0p_primary'!$D$37:$K$37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1.2769327858119101E-4</c:v>
                </c:pt>
                <c:pt idx="3">
                  <c:v>4.7816312274216698E-3</c:v>
                </c:pt>
                <c:pt idx="4">
                  <c:v>9.5919858322816298E-2</c:v>
                </c:pt>
                <c:pt idx="5">
                  <c:v>0.410040245539396</c:v>
                </c:pt>
                <c:pt idx="6">
                  <c:v>0.86523156509796595</c:v>
                </c:pt>
                <c:pt idx="7">
                  <c:v>1.0986842899222999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E6-4BD4-9774-0DE5B43DDCFB}"/>
            </c:ext>
          </c:extLst>
        </c:ser>
        <c:ser>
          <c:idx val="4"/>
          <c:order val="8"/>
          <c:tx>
            <c:strRef>
              <c:f>'NZ-0p_primary'!$C$38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'NZ-0p_primary'!$D$38:$K$38</c:f>
              <c:numCache>
                <c:formatCode>General</c:formatCode>
                <c:ptCount val="8"/>
                <c:pt idx="0">
                  <c:v>0.62173560623242197</c:v>
                </c:pt>
                <c:pt idx="1">
                  <c:v>0.60787400344570697</c:v>
                </c:pt>
                <c:pt idx="2">
                  <c:v>0.58998876348236895</c:v>
                </c:pt>
                <c:pt idx="3">
                  <c:v>0.55923584242229496</c:v>
                </c:pt>
                <c:pt idx="4">
                  <c:v>0.52551016940449902</c:v>
                </c:pt>
                <c:pt idx="5">
                  <c:v>0.48464707018737802</c:v>
                </c:pt>
                <c:pt idx="6">
                  <c:v>0.43908723806209199</c:v>
                </c:pt>
                <c:pt idx="7">
                  <c:v>0.390517597941198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E6-4BD4-9774-0DE5B43DDCFB}"/>
            </c:ext>
          </c:extLst>
        </c:ser>
        <c:ser>
          <c:idx val="5"/>
          <c:order val="9"/>
          <c:tx>
            <c:strRef>
              <c:f>'NZ-0p_primary'!$C$39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'NZ-0p_primary'!$D$39:$K$39</c:f>
              <c:numCache>
                <c:formatCode>General</c:formatCode>
                <c:ptCount val="8"/>
                <c:pt idx="0">
                  <c:v>1.4095104245100701E-2</c:v>
                </c:pt>
                <c:pt idx="1">
                  <c:v>1.1447987866311999E-2</c:v>
                </c:pt>
                <c:pt idx="2">
                  <c:v>1.46917935961296E-2</c:v>
                </c:pt>
                <c:pt idx="3">
                  <c:v>1.7901625587454E-2</c:v>
                </c:pt>
                <c:pt idx="4">
                  <c:v>2.1006709650374999E-2</c:v>
                </c:pt>
                <c:pt idx="5">
                  <c:v>2.3989859657026099E-2</c:v>
                </c:pt>
                <c:pt idx="6">
                  <c:v>2.69986921541631E-2</c:v>
                </c:pt>
                <c:pt idx="7">
                  <c:v>3.0013036565270601E-2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E6-4BD4-9774-0DE5B43DDCFB}"/>
            </c:ext>
          </c:extLst>
        </c:ser>
        <c:ser>
          <c:idx val="6"/>
          <c:order val="10"/>
          <c:tx>
            <c:strRef>
              <c:f>'NZ-0p_primary'!$C$40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'NZ-0p_primary'!$D$40:$K$40</c:f>
              <c:numCache>
                <c:formatCode>General</c:formatCode>
                <c:ptCount val="8"/>
                <c:pt idx="0">
                  <c:v>5.0640868883812199E-3</c:v>
                </c:pt>
                <c:pt idx="1">
                  <c:v>2.01552593773619E-2</c:v>
                </c:pt>
                <c:pt idx="2">
                  <c:v>7.9977375424057098E-2</c:v>
                </c:pt>
                <c:pt idx="3">
                  <c:v>0.24961434745609401</c:v>
                </c:pt>
                <c:pt idx="4">
                  <c:v>0.45348351310136797</c:v>
                </c:pt>
                <c:pt idx="5">
                  <c:v>0.69240246550765505</c:v>
                </c:pt>
                <c:pt idx="6">
                  <c:v>0.95704504204688501</c:v>
                </c:pt>
                <c:pt idx="7">
                  <c:v>1.1939641436613599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E6-4BD4-9774-0DE5B43DDCFB}"/>
            </c:ext>
          </c:extLst>
        </c:ser>
        <c:ser>
          <c:idx val="7"/>
          <c:order val="11"/>
          <c:tx>
            <c:strRef>
              <c:f>'NZ-0p_primary'!$C$41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'NZ-0p_primary'!$D$29:$K$29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'NZ-0p_primary'!$D$41:$K$41</c:f>
              <c:numCache>
                <c:formatCode>General</c:formatCode>
                <c:ptCount val="8"/>
                <c:pt idx="0">
                  <c:v>1.4999830628544399E-2</c:v>
                </c:pt>
                <c:pt idx="1">
                  <c:v>6.2225746057826499E-2</c:v>
                </c:pt>
                <c:pt idx="2">
                  <c:v>0.177844919838935</c:v>
                </c:pt>
                <c:pt idx="3">
                  <c:v>0.35902498946892603</c:v>
                </c:pt>
                <c:pt idx="4">
                  <c:v>0.54165004820137996</c:v>
                </c:pt>
                <c:pt idx="5">
                  <c:v>0.790103072014675</c:v>
                </c:pt>
                <c:pt idx="6">
                  <c:v>1.10128686447109</c:v>
                </c:pt>
                <c:pt idx="7">
                  <c:v>1.3985670729498301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E6-4BD4-9774-0DE5B43DDCFB}"/>
            </c:ext>
          </c:extLst>
        </c:ser>
        <c:ser>
          <c:idx val="12"/>
          <c:order val="12"/>
          <c:tx>
            <c:strRef>
              <c:f>'NZ-0p_primary'!$C$42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'NZ-0p_primary'!$D$42:$K$42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2.47655E-6</c:v>
                </c:pt>
                <c:pt idx="6">
                  <c:v>9.6880234E-4</c:v>
                </c:pt>
                <c:pt idx="7">
                  <c:v>0.36011688312000001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3-4DAF-B4F4-7112BB20F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23413536"/>
        <c:axId val="373008400"/>
      </c:barChart>
      <c:catAx>
        <c:axId val="22341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373008400"/>
        <c:crosses val="autoZero"/>
        <c:auto val="1"/>
        <c:lblAlgn val="ctr"/>
        <c:lblOffset val="100"/>
        <c:noMultiLvlLbl val="0"/>
      </c:catAx>
      <c:valAx>
        <c:axId val="3730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22341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 b="1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r>
              <a:rPr lang="en-US"/>
              <a:t>CurPol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Calibri" panose="020F0502020204030204" pitchFamily="34" charset="0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CurPol_electricity!$E$34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CurPol_electricity!$F$34:$M$34</c:f>
              <c:numCache>
                <c:formatCode>0.000</c:formatCode>
                <c:ptCount val="8"/>
                <c:pt idx="0">
                  <c:v>12.51084056422</c:v>
                </c:pt>
                <c:pt idx="1">
                  <c:v>4.6141423024220005</c:v>
                </c:pt>
                <c:pt idx="2">
                  <c:v>4.8058813447020006</c:v>
                </c:pt>
                <c:pt idx="3">
                  <c:v>5.4542204744840008</c:v>
                </c:pt>
                <c:pt idx="4">
                  <c:v>5.1351535525640006</c:v>
                </c:pt>
                <c:pt idx="5">
                  <c:v>5.1431135589319998</c:v>
                </c:pt>
                <c:pt idx="6">
                  <c:v>4.4665366287820003</c:v>
                </c:pt>
                <c:pt idx="7">
                  <c:v>3.7873986965832001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4-4BF9-A2AC-9D48F2125557}"/>
            </c:ext>
          </c:extLst>
        </c:ser>
        <c:ser>
          <c:idx val="2"/>
          <c:order val="2"/>
          <c:tx>
            <c:strRef>
              <c:f>CurPol_electricity!$E$35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CurPol_electricity!$F$35:$M$35</c:f>
              <c:numCache>
                <c:formatCode>0.000</c:formatCode>
                <c:ptCount val="8"/>
                <c:pt idx="0">
                  <c:v>123.37525425568001</c:v>
                </c:pt>
                <c:pt idx="1">
                  <c:v>147.37532067794004</c:v>
                </c:pt>
                <c:pt idx="2">
                  <c:v>172.44109906388005</c:v>
                </c:pt>
                <c:pt idx="3">
                  <c:v>201.88185039424002</c:v>
                </c:pt>
                <c:pt idx="4">
                  <c:v>236.063243850444</c:v>
                </c:pt>
                <c:pt idx="5">
                  <c:v>260.45466503023204</c:v>
                </c:pt>
                <c:pt idx="6">
                  <c:v>325.27041938279405</c:v>
                </c:pt>
                <c:pt idx="7">
                  <c:v>375.78690260150387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4-4BF9-A2AC-9D48F2125557}"/>
            </c:ext>
          </c:extLst>
        </c:ser>
        <c:ser>
          <c:idx val="3"/>
          <c:order val="3"/>
          <c:tx>
            <c:strRef>
              <c:f>CurPol_electricity!$E$36</c:f>
              <c:strCache>
                <c:ptCount val="1"/>
                <c:pt idx="0">
                  <c:v>가스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CurPol_electricity!$F$36:$M$36</c:f>
              <c:numCache>
                <c:formatCode>0.000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3-2204-4BF9-A2AC-9D48F2125557}"/>
            </c:ext>
          </c:extLst>
        </c:ser>
        <c:ser>
          <c:idx val="5"/>
          <c:order val="5"/>
          <c:tx>
            <c:strRef>
              <c:f>CurPol_electricity!$E$38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CurPol_electricity!$F$38:$M$38</c:f>
              <c:numCache>
                <c:formatCode>0.000</c:formatCode>
                <c:ptCount val="8"/>
                <c:pt idx="0">
                  <c:v>236.47038362059999</c:v>
                </c:pt>
                <c:pt idx="1">
                  <c:v>243.91180346262004</c:v>
                </c:pt>
                <c:pt idx="2">
                  <c:v>266.75602729354006</c:v>
                </c:pt>
                <c:pt idx="3">
                  <c:v>242.84365538588003</c:v>
                </c:pt>
                <c:pt idx="4">
                  <c:v>214.49205770462004</c:v>
                </c:pt>
                <c:pt idx="5">
                  <c:v>186.35907964270001</c:v>
                </c:pt>
                <c:pt idx="6">
                  <c:v>101.177102052728</c:v>
                </c:pt>
                <c:pt idx="7">
                  <c:v>57.862592678926006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04-4BF9-A2AC-9D48F2125557}"/>
            </c:ext>
          </c:extLst>
        </c:ser>
        <c:ser>
          <c:idx val="6"/>
          <c:order val="6"/>
          <c:tx>
            <c:strRef>
              <c:f>CurPol_electricity!$E$39</c:f>
              <c:strCache>
                <c:ptCount val="1"/>
                <c:pt idx="0">
                  <c:v>석탄 CCS</c:v>
                </c:pt>
              </c:strCache>
            </c:strRef>
          </c:tx>
          <c:spPr>
            <a:pattFill prst="wdUpDiag">
              <a:fgClr>
                <a:schemeClr val="tx1">
                  <a:lumMod val="50000"/>
                  <a:lumOff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CurPol_electricity!$F$39:$M$39</c:f>
              <c:numCache>
                <c:formatCode>0.000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6-2204-4BF9-A2AC-9D48F2125557}"/>
            </c:ext>
          </c:extLst>
        </c:ser>
        <c:ser>
          <c:idx val="7"/>
          <c:order val="7"/>
          <c:tx>
            <c:strRef>
              <c:f>CurPol_electricity!$E$40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CurPol_electricity!$F$40:$M$40</c:f>
              <c:numCache>
                <c:formatCode>0.000</c:formatCode>
                <c:ptCount val="8"/>
                <c:pt idx="0">
                  <c:v>164.66290950800001</c:v>
                </c:pt>
                <c:pt idx="1">
                  <c:v>158.852488193</c:v>
                </c:pt>
                <c:pt idx="2">
                  <c:v>163.50635302720002</c:v>
                </c:pt>
                <c:pt idx="3">
                  <c:v>153.09606692120002</c:v>
                </c:pt>
                <c:pt idx="4">
                  <c:v>138.8502221912</c:v>
                </c:pt>
                <c:pt idx="5">
                  <c:v>120.96798566320001</c:v>
                </c:pt>
                <c:pt idx="6">
                  <c:v>100.80352508720001</c:v>
                </c:pt>
                <c:pt idx="7">
                  <c:v>80.638786733200007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04-4BF9-A2AC-9D48F2125557}"/>
            </c:ext>
          </c:extLst>
        </c:ser>
        <c:ser>
          <c:idx val="8"/>
          <c:order val="8"/>
          <c:tx>
            <c:strRef>
              <c:f>CurPol_electricity!$E$41</c:f>
              <c:strCache>
                <c:ptCount val="1"/>
                <c:pt idx="0">
                  <c:v>바이오매스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CurPol_electricity!$F$41:$M$41</c:f>
              <c:numCache>
                <c:formatCode>0.000</c:formatCode>
                <c:ptCount val="8"/>
                <c:pt idx="0">
                  <c:v>2.5605584373340005</c:v>
                </c:pt>
                <c:pt idx="1">
                  <c:v>5.7160429061639997</c:v>
                </c:pt>
                <c:pt idx="2">
                  <c:v>8.9896135805740016</c:v>
                </c:pt>
                <c:pt idx="3">
                  <c:v>11.945234833958004</c:v>
                </c:pt>
                <c:pt idx="4">
                  <c:v>16.002672802128</c:v>
                </c:pt>
                <c:pt idx="5">
                  <c:v>20.394323371001203</c:v>
                </c:pt>
                <c:pt idx="6">
                  <c:v>27.7196777868356</c:v>
                </c:pt>
                <c:pt idx="7">
                  <c:v>34.183401343921425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04-4BF9-A2AC-9D48F2125557}"/>
            </c:ext>
          </c:extLst>
        </c:ser>
        <c:ser>
          <c:idx val="9"/>
          <c:order val="9"/>
          <c:tx>
            <c:strRef>
              <c:f>CurPol_electricity!$E$42</c:f>
              <c:strCache>
                <c:ptCount val="1"/>
                <c:pt idx="0">
                  <c:v>바이오매스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CurPol_electricity!$F$42:$M$42</c:f>
              <c:numCache>
                <c:formatCode>0.000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9-2204-4BF9-A2AC-9D48F2125557}"/>
            </c:ext>
          </c:extLst>
        </c:ser>
        <c:ser>
          <c:idx val="10"/>
          <c:order val="10"/>
          <c:tx>
            <c:strRef>
              <c:f>CurPol_electricity!$E$43</c:f>
              <c:strCache>
                <c:ptCount val="1"/>
                <c:pt idx="0">
                  <c:v>수력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CurPol_electricity!$F$43:$M$43</c:f>
              <c:numCache>
                <c:formatCode>0.000</c:formatCode>
                <c:ptCount val="8"/>
                <c:pt idx="0">
                  <c:v>3.7330029864000003</c:v>
                </c:pt>
                <c:pt idx="1">
                  <c:v>3.0113357424</c:v>
                </c:pt>
                <c:pt idx="2">
                  <c:v>3.8766697680000002</c:v>
                </c:pt>
                <c:pt idx="3">
                  <c:v>4.7420037936000012</c:v>
                </c:pt>
                <c:pt idx="4">
                  <c:v>5.6073378192000005</c:v>
                </c:pt>
                <c:pt idx="5">
                  <c:v>6.4726996226000013</c:v>
                </c:pt>
                <c:pt idx="6">
                  <c:v>7.3380336482000006</c:v>
                </c:pt>
                <c:pt idx="7">
                  <c:v>8.2033676738000008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04-4BF9-A2AC-9D48F2125557}"/>
            </c:ext>
          </c:extLst>
        </c:ser>
        <c:ser>
          <c:idx val="11"/>
          <c:order val="11"/>
          <c:tx>
            <c:strRef>
              <c:f>CurPol_electricity!$E$44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CurPol_electricity!$F$44:$M$44</c:f>
              <c:numCache>
                <c:formatCode>0.000</c:formatCode>
                <c:ptCount val="8"/>
                <c:pt idx="0">
                  <c:v>0</c:v>
                </c:pt>
                <c:pt idx="1">
                  <c:v>1.4681178411600002E-2</c:v>
                </c:pt>
                <c:pt idx="2">
                  <c:v>0.13610021999120001</c:v>
                </c:pt>
                <c:pt idx="3">
                  <c:v>0.76507161205680008</c:v>
                </c:pt>
                <c:pt idx="4">
                  <c:v>3.2381787572076002</c:v>
                </c:pt>
                <c:pt idx="5">
                  <c:v>7.9625744256100006</c:v>
                </c:pt>
                <c:pt idx="6">
                  <c:v>12.600393938640419</c:v>
                </c:pt>
                <c:pt idx="7">
                  <c:v>17.884068676687942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04-4BF9-A2AC-9D48F2125557}"/>
            </c:ext>
          </c:extLst>
        </c:ser>
        <c:ser>
          <c:idx val="12"/>
          <c:order val="12"/>
          <c:tx>
            <c:strRef>
              <c:f>CurPol_electricity!$E$45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CurPol_electricity!$F$45:$M$45</c:f>
              <c:numCache>
                <c:formatCode>0.000</c:formatCode>
                <c:ptCount val="8"/>
                <c:pt idx="0">
                  <c:v>3.9726142892000005</c:v>
                </c:pt>
                <c:pt idx="1">
                  <c:v>18.256346660621205</c:v>
                </c:pt>
                <c:pt idx="2">
                  <c:v>34.841624539944007</c:v>
                </c:pt>
                <c:pt idx="3">
                  <c:v>51.749378066136011</c:v>
                </c:pt>
                <c:pt idx="4">
                  <c:v>75.015913901571736</c:v>
                </c:pt>
                <c:pt idx="5">
                  <c:v>98.625274455711747</c:v>
                </c:pt>
                <c:pt idx="6">
                  <c:v>127.91641899971972</c:v>
                </c:pt>
                <c:pt idx="7">
                  <c:v>148.65935198294176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204-4BF9-A2AC-9D48F2125557}"/>
            </c:ext>
          </c:extLst>
        </c:ser>
        <c:ser>
          <c:idx val="13"/>
          <c:order val="13"/>
          <c:tx>
            <c:strRef>
              <c:f>CurPol_electricity!$E$46</c:f>
              <c:strCache>
                <c:ptCount val="1"/>
                <c:pt idx="0">
                  <c:v>풍력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CurPol_electricity!$F$28:$M$28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CurPol_electricity!$F$46:$M$46</c:f>
              <c:numCache>
                <c:formatCode>0.000</c:formatCode>
                <c:ptCount val="8"/>
                <c:pt idx="0">
                  <c:v>1.3411927396200001</c:v>
                </c:pt>
                <c:pt idx="1">
                  <c:v>9.5804807199340019</c:v>
                </c:pt>
                <c:pt idx="2">
                  <c:v>17.966018817247974</c:v>
                </c:pt>
                <c:pt idx="3">
                  <c:v>26.024169152652</c:v>
                </c:pt>
                <c:pt idx="4">
                  <c:v>38.27467895305201</c:v>
                </c:pt>
                <c:pt idx="5">
                  <c:v>53.537510607752004</c:v>
                </c:pt>
                <c:pt idx="6">
                  <c:v>79.799553561813994</c:v>
                </c:pt>
                <c:pt idx="7">
                  <c:v>102.4735819788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2-4F30-BA5B-7AB7E891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08808080"/>
        <c:axId val="37645062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CurPol_electricity!$E$37</c15:sqref>
                        </c15:formulaRef>
                      </c:ext>
                    </c:extLst>
                    <c:strCache>
                      <c:ptCount val="1"/>
                      <c:pt idx="0">
                        <c:v>CHP</c:v>
                      </c:pt>
                    </c:strCache>
                  </c:strRef>
                </c:tx>
                <c:spPr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CurPol_electricity!$F$28:$M$28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CurPol_electricity!$F$37:$M$37</c15:sqref>
                        </c15:formulaRef>
                      </c:ext>
                    </c:extLst>
                    <c:numCache>
                      <c:formatCode>0.000</c:formatCode>
                      <c:ptCount val="8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2204-4BF9-A2AC-9D48F212555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808080"/>
        <c:axId val="3764506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CurPol_electricity!$E$29</c15:sqref>
                        </c15:formulaRef>
                      </c:ext>
                    </c:extLst>
                    <c:strCache>
                      <c:ptCount val="1"/>
                      <c:pt idx="0">
                        <c:v>Historical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CurPol_electricity!$F$28:$M$28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CurPol_electricity!$F$29:$M$29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528.18625409000003</c:v>
                      </c:pt>
                      <c:pt idx="1">
                        <c:v>552.26155198000004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204-4BF9-A2AC-9D48F2125557}"/>
                  </c:ext>
                </c:extLst>
              </c15:ser>
            </c15:filteredLineSeries>
          </c:ext>
        </c:extLst>
      </c:lineChart>
      <c:catAx>
        <c:axId val="5088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endParaRPr lang="ko-KR"/>
          </a:p>
        </c:txPr>
        <c:crossAx val="376450624"/>
        <c:crosses val="autoZero"/>
        <c:auto val="1"/>
        <c:lblAlgn val="ctr"/>
        <c:lblOffset val="100"/>
        <c:noMultiLvlLbl val="0"/>
      </c:catAx>
      <c:valAx>
        <c:axId val="376450624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Calibri" panose="020F0502020204030204" pitchFamily="34" charset="0"/>
                  </a:defRPr>
                </a:pPr>
                <a:r>
                  <a:rPr lang="en-US"/>
                  <a:t>TWh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Calibri" panose="020F0502020204030204" pitchFamily="34" charset="0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endParaRPr lang="ko-KR"/>
          </a:p>
        </c:txPr>
        <c:crossAx val="5088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Calibri" panose="020F050202020403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mbria" panose="02040503050406030204" pitchFamily="18" charset="0"/>
          <a:ea typeface="Cambria" panose="02040503050406030204" pitchFamily="18" charset="0"/>
          <a:cs typeface="Calibri" panose="020F0502020204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'NZ-0p_electricity'!$E$31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'NZ-0p_electricity'!$F$31:$M$31</c:f>
              <c:numCache>
                <c:formatCode>General</c:formatCode>
                <c:ptCount val="8"/>
                <c:pt idx="0">
                  <c:v>10.578619574000001</c:v>
                </c:pt>
                <c:pt idx="1">
                  <c:v>2.5139603445000001</c:v>
                </c:pt>
                <c:pt idx="2">
                  <c:v>2.6779521423600006</c:v>
                </c:pt>
                <c:pt idx="3">
                  <c:v>2.5695381667400001</c:v>
                </c:pt>
                <c:pt idx="4">
                  <c:v>1.8922265137800003</c:v>
                </c:pt>
                <c:pt idx="5">
                  <c:v>0.72509502452000008</c:v>
                </c:pt>
                <c:pt idx="6">
                  <c:v>0.16325429727000002</c:v>
                </c:pt>
                <c:pt idx="7">
                  <c:v>3.3967804952000004E-2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6-4C2C-8337-554F204030B6}"/>
            </c:ext>
          </c:extLst>
        </c:ser>
        <c:ser>
          <c:idx val="1"/>
          <c:order val="1"/>
          <c:tx>
            <c:strRef>
              <c:f>'NZ-0p_electricity'!$E$32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'NZ-0p_electricity'!$F$32:$M$32</c:f>
              <c:numCache>
                <c:formatCode>General</c:formatCode>
                <c:ptCount val="8"/>
                <c:pt idx="0">
                  <c:v>120.36766851628001</c:v>
                </c:pt>
                <c:pt idx="1">
                  <c:v>144.11418751348</c:v>
                </c:pt>
                <c:pt idx="2">
                  <c:v>165.35239894848002</c:v>
                </c:pt>
                <c:pt idx="3">
                  <c:v>188.0147615228</c:v>
                </c:pt>
                <c:pt idx="4">
                  <c:v>173.17354659428202</c:v>
                </c:pt>
                <c:pt idx="5">
                  <c:v>118.06660167542802</c:v>
                </c:pt>
                <c:pt idx="6">
                  <c:v>48.20380928523879</c:v>
                </c:pt>
                <c:pt idx="7">
                  <c:v>13.600510880399995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46-4C2C-8337-554F204030B6}"/>
            </c:ext>
          </c:extLst>
        </c:ser>
        <c:ser>
          <c:idx val="2"/>
          <c:order val="2"/>
          <c:tx>
            <c:strRef>
              <c:f>'NZ-0p_electricity'!$E$33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'NZ-0p_electricity'!$F$33:$M$33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6.0776159732000004</c:v>
                </c:pt>
                <c:pt idx="4">
                  <c:v>17.536986251800002</c:v>
                </c:pt>
                <c:pt idx="5">
                  <c:v>37.125029699999999</c:v>
                </c:pt>
                <c:pt idx="6">
                  <c:v>66.257830784000006</c:v>
                </c:pt>
                <c:pt idx="7">
                  <c:v>89.512849388000006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46-4C2C-8337-554F204030B6}"/>
            </c:ext>
          </c:extLst>
        </c:ser>
        <c:ser>
          <c:idx val="4"/>
          <c:order val="3"/>
          <c:tx>
            <c:strRef>
              <c:f>'NZ-0p_electricity'!$E$35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'NZ-0p_electricity'!$F$35:$M$35</c:f>
              <c:numCache>
                <c:formatCode>General</c:formatCode>
                <c:ptCount val="8"/>
                <c:pt idx="0">
                  <c:v>215.852117126</c:v>
                </c:pt>
                <c:pt idx="1">
                  <c:v>200.03266002600003</c:v>
                </c:pt>
                <c:pt idx="2">
                  <c:v>159.53623874000002</c:v>
                </c:pt>
                <c:pt idx="3">
                  <c:v>68.886999553999999</c:v>
                </c:pt>
                <c:pt idx="4">
                  <c:v>15.378956747600002</c:v>
                </c:pt>
                <c:pt idx="5">
                  <c:v>2.1308739269200001</c:v>
                </c:pt>
                <c:pt idx="6">
                  <c:v>7.9278396756E-2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46-4C2C-8337-554F204030B6}"/>
            </c:ext>
          </c:extLst>
        </c:ser>
        <c:ser>
          <c:idx val="6"/>
          <c:order val="4"/>
          <c:tx>
            <c:strRef>
              <c:f>'NZ-0p_electricity'!$E$37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'NZ-0p_electricity'!$F$37:$M$37</c:f>
              <c:numCache>
                <c:formatCode>General</c:formatCode>
                <c:ptCount val="8"/>
                <c:pt idx="0">
                  <c:v>164.66290950800001</c:v>
                </c:pt>
                <c:pt idx="1">
                  <c:v>159.87615567860001</c:v>
                </c:pt>
                <c:pt idx="2">
                  <c:v>154.98034620640001</c:v>
                </c:pt>
                <c:pt idx="3">
                  <c:v>144.57006010040001</c:v>
                </c:pt>
                <c:pt idx="4">
                  <c:v>130.3239375924</c:v>
                </c:pt>
                <c:pt idx="5">
                  <c:v>112.44170106440001</c:v>
                </c:pt>
                <c:pt idx="6">
                  <c:v>92.277240488399997</c:v>
                </c:pt>
                <c:pt idx="7">
                  <c:v>72.112779912400001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46-4C2C-8337-554F204030B6}"/>
            </c:ext>
          </c:extLst>
        </c:ser>
        <c:ser>
          <c:idx val="7"/>
          <c:order val="5"/>
          <c:tx>
            <c:strRef>
              <c:f>'NZ-0p_electricity'!$E$38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'NZ-0p_electricity'!$F$38:$M$38</c:f>
              <c:numCache>
                <c:formatCode>General</c:formatCode>
                <c:ptCount val="8"/>
                <c:pt idx="0">
                  <c:v>2.3246018596800004</c:v>
                </c:pt>
                <c:pt idx="1">
                  <c:v>4.6501148311999998</c:v>
                </c:pt>
                <c:pt idx="2">
                  <c:v>9.8434300969600024</c:v>
                </c:pt>
                <c:pt idx="3">
                  <c:v>21.169294713199999</c:v>
                </c:pt>
                <c:pt idx="4">
                  <c:v>28.777161910600004</c:v>
                </c:pt>
                <c:pt idx="5">
                  <c:v>22.009545385399992</c:v>
                </c:pt>
                <c:pt idx="6">
                  <c:v>2.6300604373800027</c:v>
                </c:pt>
                <c:pt idx="7">
                  <c:v>0.13260455052800069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46-4C2C-8337-554F204030B6}"/>
            </c:ext>
          </c:extLst>
        </c:ser>
        <c:ser>
          <c:idx val="8"/>
          <c:order val="6"/>
          <c:tx>
            <c:strRef>
              <c:f>'NZ-0p_electricity'!$E$39</c:f>
              <c:strCache>
                <c:ptCount val="1"/>
                <c:pt idx="0">
                  <c:v>Biomass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'NZ-0p_electricity'!$F$39:$M$39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9.6881105282599998E-3</c:v>
                </c:pt>
                <c:pt idx="3">
                  <c:v>0.26537049007399999</c:v>
                </c:pt>
                <c:pt idx="4">
                  <c:v>4.0734199254000005</c:v>
                </c:pt>
                <c:pt idx="5">
                  <c:v>17.381402794</c:v>
                </c:pt>
                <c:pt idx="6">
                  <c:v>31.050052617799999</c:v>
                </c:pt>
                <c:pt idx="7">
                  <c:v>35.341111606200002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46-4C2C-8337-554F204030B6}"/>
            </c:ext>
          </c:extLst>
        </c:ser>
        <c:ser>
          <c:idx val="9"/>
          <c:order val="7"/>
          <c:tx>
            <c:strRef>
              <c:f>'NZ-0p_electricity'!$E$40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'NZ-0p_electricity'!$F$40:$M$40</c:f>
              <c:numCache>
                <c:formatCode>General</c:formatCode>
                <c:ptCount val="8"/>
                <c:pt idx="0">
                  <c:v>3.7330029864000003</c:v>
                </c:pt>
                <c:pt idx="1">
                  <c:v>3.0113357424</c:v>
                </c:pt>
                <c:pt idx="2">
                  <c:v>3.8766697680000002</c:v>
                </c:pt>
                <c:pt idx="3">
                  <c:v>4.7420037936000012</c:v>
                </c:pt>
                <c:pt idx="4">
                  <c:v>5.6073378192000005</c:v>
                </c:pt>
                <c:pt idx="5">
                  <c:v>6.4726996226000013</c:v>
                </c:pt>
                <c:pt idx="6">
                  <c:v>7.3380336482000006</c:v>
                </c:pt>
                <c:pt idx="7">
                  <c:v>8.2033676738000008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46-4C2C-8337-554F204030B6}"/>
            </c:ext>
          </c:extLst>
        </c:ser>
        <c:ser>
          <c:idx val="11"/>
          <c:order val="8"/>
          <c:tx>
            <c:strRef>
              <c:f>'NZ-0p_electricity'!$E$42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'NZ-0p_electricity'!$F$42:$M$42</c:f>
              <c:numCache>
                <c:formatCode>General</c:formatCode>
                <c:ptCount val="8"/>
                <c:pt idx="0">
                  <c:v>3.9726142892000005</c:v>
                </c:pt>
                <c:pt idx="1">
                  <c:v>16.361395894661797</c:v>
                </c:pt>
                <c:pt idx="2">
                  <c:v>46.569815866934</c:v>
                </c:pt>
                <c:pt idx="3">
                  <c:v>92.669539968906008</c:v>
                </c:pt>
                <c:pt idx="4">
                  <c:v>136.01303575478602</c:v>
                </c:pt>
                <c:pt idx="5">
                  <c:v>193.492315071506</c:v>
                </c:pt>
                <c:pt idx="6">
                  <c:v>263.25904588484599</c:v>
                </c:pt>
                <c:pt idx="7">
                  <c:v>323.68855339508008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46-4C2C-8337-554F204030B6}"/>
            </c:ext>
          </c:extLst>
        </c:ser>
        <c:ser>
          <c:idx val="12"/>
          <c:order val="9"/>
          <c:tx>
            <c:strRef>
              <c:f>'NZ-0p_electricity'!$E$43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'NZ-0p_electricity'!$F$30:$M$30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'NZ-0p_electricity'!$F$43:$M$43</c:f>
              <c:numCache>
                <c:formatCode>General</c:formatCode>
                <c:ptCount val="8"/>
                <c:pt idx="0">
                  <c:v>1.3411927396200001</c:v>
                </c:pt>
                <c:pt idx="1">
                  <c:v>5.2905283990860008</c:v>
                </c:pt>
                <c:pt idx="2">
                  <c:v>20.681712934245969</c:v>
                </c:pt>
                <c:pt idx="3">
                  <c:v>63.776616854585981</c:v>
                </c:pt>
                <c:pt idx="4">
                  <c:v>114.053462631586</c:v>
                </c:pt>
                <c:pt idx="5">
                  <c:v>173.41473234278601</c:v>
                </c:pt>
                <c:pt idx="6">
                  <c:v>240.12292237596171</c:v>
                </c:pt>
                <c:pt idx="7">
                  <c:v>300.20716794332003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46-4C2C-8337-554F20403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08808080"/>
        <c:axId val="376450624"/>
      </c:barChart>
      <c:catAx>
        <c:axId val="5088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376450624"/>
        <c:crosses val="autoZero"/>
        <c:auto val="1"/>
        <c:lblAlgn val="ctr"/>
        <c:lblOffset val="100"/>
        <c:noMultiLvlLbl val="0"/>
      </c:catAx>
      <c:valAx>
        <c:axId val="3764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5088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Calibri" panose="020F0502020204030204" pitchFamily="34" charset="0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NZ2050_electricity!$E$38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NZ2050_electricity!$F$38:$M$38</c:f>
              <c:numCache>
                <c:formatCode>General</c:formatCode>
                <c:ptCount val="8"/>
                <c:pt idx="0">
                  <c:v>12.51084056422</c:v>
                </c:pt>
                <c:pt idx="1">
                  <c:v>4.522619729204</c:v>
                </c:pt>
                <c:pt idx="2">
                  <c:v>5.5126180212020008</c:v>
                </c:pt>
                <c:pt idx="3">
                  <c:v>5.5308099801999999</c:v>
                </c:pt>
                <c:pt idx="4">
                  <c:v>4.8514630478340006</c:v>
                </c:pt>
                <c:pt idx="5">
                  <c:v>3.6739298835860006</c:v>
                </c:pt>
                <c:pt idx="6">
                  <c:v>2.6285046028020003</c:v>
                </c:pt>
                <c:pt idx="7">
                  <c:v>0.41482855408480002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AB-4BF2-8E1F-C36C97827238}"/>
            </c:ext>
          </c:extLst>
        </c:ser>
        <c:ser>
          <c:idx val="2"/>
          <c:order val="2"/>
          <c:tx>
            <c:strRef>
              <c:f>NZ2050_electricity!$E$39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NZ2050_electricity!$F$39:$M$39</c:f>
              <c:numCache>
                <c:formatCode>General</c:formatCode>
                <c:ptCount val="8"/>
                <c:pt idx="0">
                  <c:v>123.37525425568001</c:v>
                </c:pt>
                <c:pt idx="1">
                  <c:v>147.5638541621</c:v>
                </c:pt>
                <c:pt idx="2">
                  <c:v>166.73166394077998</c:v>
                </c:pt>
                <c:pt idx="3">
                  <c:v>187.60224730389999</c:v>
                </c:pt>
                <c:pt idx="4">
                  <c:v>170.95094814953802</c:v>
                </c:pt>
                <c:pt idx="5">
                  <c:v>114.84677493290195</c:v>
                </c:pt>
                <c:pt idx="6">
                  <c:v>47.709501000903572</c:v>
                </c:pt>
                <c:pt idx="7">
                  <c:v>2.7715951894965798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AB-4BF2-8E1F-C36C97827238}"/>
            </c:ext>
          </c:extLst>
        </c:ser>
        <c:ser>
          <c:idx val="3"/>
          <c:order val="3"/>
          <c:tx>
            <c:strRef>
              <c:f>NZ2050_electricity!$E$40</c:f>
              <c:strCache>
                <c:ptCount val="1"/>
                <c:pt idx="0">
                  <c:v>가스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NZ2050_electricity!$F$40:$M$40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7.6189783174000008</c:v>
                </c:pt>
                <c:pt idx="4">
                  <c:v>21.406406014000002</c:v>
                </c:pt>
                <c:pt idx="5">
                  <c:v>43.601979325999999</c:v>
                </c:pt>
                <c:pt idx="6">
                  <c:v>68.189221218</c:v>
                </c:pt>
                <c:pt idx="7">
                  <c:v>80.476731048000005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AB-4BF2-8E1F-C36C97827238}"/>
            </c:ext>
          </c:extLst>
        </c:ser>
        <c:ser>
          <c:idx val="5"/>
          <c:order val="5"/>
          <c:tx>
            <c:strRef>
              <c:f>NZ2050_electricity!$E$42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NZ2050_electricity!$F$42:$M$42</c:f>
              <c:numCache>
                <c:formatCode>General</c:formatCode>
                <c:ptCount val="8"/>
                <c:pt idx="0">
                  <c:v>236.47038362059999</c:v>
                </c:pt>
                <c:pt idx="1">
                  <c:v>245.64483818238003</c:v>
                </c:pt>
                <c:pt idx="2">
                  <c:v>150.88178181644003</c:v>
                </c:pt>
                <c:pt idx="3">
                  <c:v>71.9839186982</c:v>
                </c:pt>
                <c:pt idx="4">
                  <c:v>25.335806379740003</c:v>
                </c:pt>
                <c:pt idx="5">
                  <c:v>7.9999088999220014</c:v>
                </c:pt>
                <c:pt idx="6">
                  <c:v>2.5207692388360003</c:v>
                </c:pt>
                <c:pt idx="7">
                  <c:v>0.13906872181044402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AB-4BF2-8E1F-C36C97827238}"/>
            </c:ext>
          </c:extLst>
        </c:ser>
        <c:ser>
          <c:idx val="6"/>
          <c:order val="6"/>
          <c:tx>
            <c:strRef>
              <c:f>NZ2050_electricity!$E$43</c:f>
              <c:strCache>
                <c:ptCount val="1"/>
                <c:pt idx="0">
                  <c:v>석탄 CCS</c:v>
                </c:pt>
              </c:strCache>
            </c:strRef>
          </c:tx>
          <c:spPr>
            <a:pattFill prst="wdUpDiag">
              <a:fgClr>
                <a:schemeClr val="tx1">
                  <a:lumMod val="50000"/>
                  <a:lumOff val="50000"/>
                </a:schemeClr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NZ2050_electricity!$F$43:$M$43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6-73AB-4BF2-8E1F-C36C97827238}"/>
            </c:ext>
          </c:extLst>
        </c:ser>
        <c:ser>
          <c:idx val="7"/>
          <c:order val="7"/>
          <c:tx>
            <c:strRef>
              <c:f>NZ2050_electricity!$E$44</c:f>
              <c:strCache>
                <c:ptCount val="1"/>
                <c:pt idx="0">
                  <c:v>원자력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NZ2050_electricity!$F$44:$M$44</c:f>
              <c:numCache>
                <c:formatCode>General</c:formatCode>
                <c:ptCount val="8"/>
                <c:pt idx="0">
                  <c:v>164.66290950800001</c:v>
                </c:pt>
                <c:pt idx="1">
                  <c:v>158.90654379180003</c:v>
                </c:pt>
                <c:pt idx="2">
                  <c:v>191.76543119000002</c:v>
                </c:pt>
                <c:pt idx="3">
                  <c:v>181.35514508400001</c:v>
                </c:pt>
                <c:pt idx="4">
                  <c:v>167.10902257600003</c:v>
                </c:pt>
                <c:pt idx="5">
                  <c:v>149.22678604800001</c:v>
                </c:pt>
                <c:pt idx="6">
                  <c:v>129.06232547200003</c:v>
                </c:pt>
                <c:pt idx="7">
                  <c:v>108.897864896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AB-4BF2-8E1F-C36C97827238}"/>
            </c:ext>
          </c:extLst>
        </c:ser>
        <c:ser>
          <c:idx val="8"/>
          <c:order val="8"/>
          <c:tx>
            <c:strRef>
              <c:f>NZ2050_electricity!$E$45</c:f>
              <c:strCache>
                <c:ptCount val="1"/>
                <c:pt idx="0">
                  <c:v>바이오매스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NZ2050_electricity!$F$45:$M$45</c:f>
              <c:numCache>
                <c:formatCode>General</c:formatCode>
                <c:ptCount val="8"/>
                <c:pt idx="0">
                  <c:v>2.5605584373340005</c:v>
                </c:pt>
                <c:pt idx="1">
                  <c:v>5.5582094465640006</c:v>
                </c:pt>
                <c:pt idx="2">
                  <c:v>14.349982868866002</c:v>
                </c:pt>
                <c:pt idx="3">
                  <c:v>24.713009770391999</c:v>
                </c:pt>
                <c:pt idx="4">
                  <c:v>28.753685002929601</c:v>
                </c:pt>
                <c:pt idx="5">
                  <c:v>20.0571806012872</c:v>
                </c:pt>
                <c:pt idx="6">
                  <c:v>3.7618440928062</c:v>
                </c:pt>
                <c:pt idx="7">
                  <c:v>0.3417901234318812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AB-4BF2-8E1F-C36C97827238}"/>
            </c:ext>
          </c:extLst>
        </c:ser>
        <c:ser>
          <c:idx val="9"/>
          <c:order val="9"/>
          <c:tx>
            <c:strRef>
              <c:f>NZ2050_electricity!$E$46</c:f>
              <c:strCache>
                <c:ptCount val="1"/>
                <c:pt idx="0">
                  <c:v>바이오매스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NZ2050_electricity!$F$46:$M$46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4.7159926616800005E-2</c:v>
                </c:pt>
                <c:pt idx="3">
                  <c:v>0.48867400205000006</c:v>
                </c:pt>
                <c:pt idx="4">
                  <c:v>4.7558482491199996</c:v>
                </c:pt>
                <c:pt idx="5">
                  <c:v>16.336624180400001</c:v>
                </c:pt>
                <c:pt idx="6">
                  <c:v>27.324688526400003</c:v>
                </c:pt>
                <c:pt idx="7">
                  <c:v>25.745603929799998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AB-4BF2-8E1F-C36C97827238}"/>
            </c:ext>
          </c:extLst>
        </c:ser>
        <c:ser>
          <c:idx val="10"/>
          <c:order val="10"/>
          <c:tx>
            <c:strRef>
              <c:f>NZ2050_electricity!$E$47</c:f>
              <c:strCache>
                <c:ptCount val="1"/>
                <c:pt idx="0">
                  <c:v>수력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NZ2050_electricity!$F$47:$M$47</c:f>
              <c:numCache>
                <c:formatCode>General</c:formatCode>
                <c:ptCount val="8"/>
                <c:pt idx="0">
                  <c:v>3.7330029864000003</c:v>
                </c:pt>
                <c:pt idx="1">
                  <c:v>3.0113357424</c:v>
                </c:pt>
                <c:pt idx="2">
                  <c:v>3.8766697680000002</c:v>
                </c:pt>
                <c:pt idx="3">
                  <c:v>4.7420037936000012</c:v>
                </c:pt>
                <c:pt idx="4">
                  <c:v>5.6073378192000005</c:v>
                </c:pt>
                <c:pt idx="5">
                  <c:v>6.4726996226000013</c:v>
                </c:pt>
                <c:pt idx="6">
                  <c:v>7.3380336482000006</c:v>
                </c:pt>
                <c:pt idx="7">
                  <c:v>8.2033676738000008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AB-4BF2-8E1F-C36C97827238}"/>
            </c:ext>
          </c:extLst>
        </c:ser>
        <c:ser>
          <c:idx val="11"/>
          <c:order val="11"/>
          <c:tx>
            <c:strRef>
              <c:f>NZ2050_electricity!$E$48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NZ2050_electricity!$F$48:$M$48</c:f>
              <c:numCache>
                <c:formatCode>General</c:formatCode>
                <c:ptCount val="8"/>
                <c:pt idx="0">
                  <c:v>0</c:v>
                </c:pt>
                <c:pt idx="1">
                  <c:v>1.4307067001200002E-2</c:v>
                </c:pt>
                <c:pt idx="2">
                  <c:v>0.19706643543080002</c:v>
                </c:pt>
                <c:pt idx="3">
                  <c:v>0.91002831135540008</c:v>
                </c:pt>
                <c:pt idx="4">
                  <c:v>4.6039863776306005</c:v>
                </c:pt>
                <c:pt idx="5">
                  <c:v>15.863236051689801</c:v>
                </c:pt>
                <c:pt idx="6">
                  <c:v>29.245204598922744</c:v>
                </c:pt>
                <c:pt idx="7">
                  <c:v>62.709053647758346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AB-4BF2-8E1F-C36C97827238}"/>
            </c:ext>
          </c:extLst>
        </c:ser>
        <c:ser>
          <c:idx val="12"/>
          <c:order val="12"/>
          <c:tx>
            <c:strRef>
              <c:f>NZ2050_electricity!$E$49</c:f>
              <c:strCache>
                <c:ptCount val="1"/>
                <c:pt idx="0">
                  <c:v>태양광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NZ2050_electricity!$F$49:$M$49</c:f>
              <c:numCache>
                <c:formatCode>0.00E+00</c:formatCode>
                <c:ptCount val="8"/>
                <c:pt idx="0">
                  <c:v>3.9726142892000005</c:v>
                </c:pt>
                <c:pt idx="1">
                  <c:v>18.372232781107801</c:v>
                </c:pt>
                <c:pt idx="2">
                  <c:v>60.305419910964005</c:v>
                </c:pt>
                <c:pt idx="3">
                  <c:v>105.58320252205</c:v>
                </c:pt>
                <c:pt idx="4">
                  <c:v>161.61431956913003</c:v>
                </c:pt>
                <c:pt idx="5">
                  <c:v>249.56499548517002</c:v>
                </c:pt>
                <c:pt idx="6">
                  <c:v>349.36408643549004</c:v>
                </c:pt>
                <c:pt idx="7">
                  <c:v>509.50797149494008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B-4BF2-8E1F-C36C97827238}"/>
            </c:ext>
          </c:extLst>
        </c:ser>
        <c:ser>
          <c:idx val="13"/>
          <c:order val="13"/>
          <c:tx>
            <c:strRef>
              <c:f>NZ2050_electricity!$E$50</c:f>
              <c:strCache>
                <c:ptCount val="1"/>
                <c:pt idx="0">
                  <c:v>풍력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NZ2050_electricity!$F$35:$M$35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NZ2050_electricity!$F$50:$M$50</c:f>
              <c:numCache>
                <c:formatCode>General</c:formatCode>
                <c:ptCount val="8"/>
                <c:pt idx="0">
                  <c:v>1.3411927396200001</c:v>
                </c:pt>
                <c:pt idx="1">
                  <c:v>9.6493943583982009</c:v>
                </c:pt>
                <c:pt idx="2">
                  <c:v>35.889068989010006</c:v>
                </c:pt>
                <c:pt idx="3">
                  <c:v>79.271173139110005</c:v>
                </c:pt>
                <c:pt idx="4">
                  <c:v>134.96600380605</c:v>
                </c:pt>
                <c:pt idx="5">
                  <c:v>204.98522648804999</c:v>
                </c:pt>
                <c:pt idx="6">
                  <c:v>270.34654961040002</c:v>
                </c:pt>
                <c:pt idx="7">
                  <c:v>346.66863566801999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5-437E-A616-C898A94A0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08808080"/>
        <c:axId val="37645062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NZ2050_electricity!$E$41</c15:sqref>
                        </c15:formulaRef>
                      </c:ext>
                    </c:extLst>
                    <c:strCache>
                      <c:ptCount val="1"/>
                      <c:pt idx="0">
                        <c:v>CHP</c:v>
                      </c:pt>
                    </c:strCache>
                  </c:strRef>
                </c:tx>
                <c:spPr>
                  <a:solidFill>
                    <a:schemeClr val="tx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NZ2050_electricity!$F$35:$M$35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NZ2050_electricity!$F$41:$M$41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73AB-4BF2-8E1F-C36C97827238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808080"/>
        <c:axId val="3764506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NZ2050_electricity!$E$36</c15:sqref>
                        </c15:formulaRef>
                      </c:ext>
                    </c:extLst>
                    <c:strCache>
                      <c:ptCount val="1"/>
                      <c:pt idx="0">
                        <c:v>Historical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NZ2050_electricity!$F$35:$M$35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NZ2050_electricity!$F$36:$M$36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528.18625409000003</c:v>
                      </c:pt>
                      <c:pt idx="1">
                        <c:v>552.26155198000004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AB-4BF2-8E1F-C36C97827238}"/>
                  </c:ext>
                </c:extLst>
              </c15:ser>
            </c15:filteredLineSeries>
          </c:ext>
        </c:extLst>
      </c:lineChart>
      <c:catAx>
        <c:axId val="5088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endParaRPr lang="ko-KR"/>
          </a:p>
        </c:txPr>
        <c:crossAx val="376450624"/>
        <c:crosses val="autoZero"/>
        <c:auto val="1"/>
        <c:lblAlgn val="ctr"/>
        <c:lblOffset val="100"/>
        <c:noMultiLvlLbl val="0"/>
      </c:catAx>
      <c:valAx>
        <c:axId val="37645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Calibri" panose="020F0502020204030204" pitchFamily="34" charset="0"/>
                  </a:defRPr>
                </a:pPr>
                <a:r>
                  <a:rPr lang="en-US"/>
                  <a:t>TWh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Calibri" panose="020F0502020204030204" pitchFamily="34" charset="0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Calibri" panose="020F0502020204030204" pitchFamily="34" charset="0"/>
              </a:defRPr>
            </a:pPr>
            <a:endParaRPr lang="ko-KR"/>
          </a:p>
        </c:txPr>
        <c:crossAx val="5088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Calibri" panose="020F0502020204030204" pitchFamily="34" charset="0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mbria" panose="02040503050406030204" pitchFamily="18" charset="0"/>
          <a:ea typeface="Cambria" panose="02040503050406030204" pitchFamily="18" charset="0"/>
          <a:cs typeface="Calibri" panose="020F0502020204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Sheet1!$AA$62</c:f>
              <c:strCache>
                <c:ptCount val="1"/>
                <c:pt idx="0">
                  <c:v>CO2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Sheet1!$AB$61:$AI$61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Sheet1!$AB$62:$AI$62</c:f>
              <c:numCache>
                <c:formatCode>0.0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260.88900000000001</c:v>
                </c:pt>
                <c:pt idx="3">
                  <c:v>386.21699999999998</c:v>
                </c:pt>
                <c:pt idx="4">
                  <c:v>578.88699999999994</c:v>
                </c:pt>
                <c:pt idx="5">
                  <c:v>816.14200000000005</c:v>
                </c:pt>
                <c:pt idx="6">
                  <c:v>1119.6400000000001</c:v>
                </c:pt>
                <c:pt idx="7">
                  <c:v>2625.6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4-4299-809E-9143514AF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7366480"/>
        <c:axId val="1241830272"/>
      </c:lineChart>
      <c:catAx>
        <c:axId val="12173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1830272"/>
        <c:crosses val="autoZero"/>
        <c:auto val="1"/>
        <c:lblAlgn val="ctr"/>
        <c:lblOffset val="100"/>
        <c:noMultiLvlLbl val="0"/>
      </c:catAx>
      <c:valAx>
        <c:axId val="1241830272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1990$/tC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@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736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CurPol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CurPol_final_energy!$C$11</c:f>
              <c:strCache>
                <c:ptCount val="1"/>
                <c:pt idx="0">
                  <c:v>석유 원료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CurPol_final_energy!$D$11:$K$11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1.9850891000000002</c:v>
                </c:pt>
                <c:pt idx="2">
                  <c:v>2.2530025999999999</c:v>
                </c:pt>
                <c:pt idx="3">
                  <c:v>2.3825039000000001</c:v>
                </c:pt>
                <c:pt idx="4">
                  <c:v>2.4897277999999998</c:v>
                </c:pt>
                <c:pt idx="5">
                  <c:v>2.6092398999999999</c:v>
                </c:pt>
                <c:pt idx="6">
                  <c:v>2.7351595999999998</c:v>
                </c:pt>
                <c:pt idx="7">
                  <c:v>2.8673322000000003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4-4B6A-8D64-E972B667CE54}"/>
            </c:ext>
          </c:extLst>
        </c:ser>
        <c:ser>
          <c:idx val="0"/>
          <c:order val="1"/>
          <c:tx>
            <c:strRef>
              <c:f>CurPol_final_energy!$C$12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CurPol_final_energy!$D$12:$K$12</c:f>
              <c:numCache>
                <c:formatCode>General</c:formatCode>
                <c:ptCount val="8"/>
                <c:pt idx="0">
                  <c:v>2.4443442890099898</c:v>
                </c:pt>
                <c:pt idx="1">
                  <c:v>2.4810983488800002</c:v>
                </c:pt>
                <c:pt idx="2">
                  <c:v>2.4769353779899999</c:v>
                </c:pt>
                <c:pt idx="3">
                  <c:v>2.3321672427399895</c:v>
                </c:pt>
                <c:pt idx="4">
                  <c:v>2.1593951343100004</c:v>
                </c:pt>
                <c:pt idx="5">
                  <c:v>1.9859492411599997</c:v>
                </c:pt>
                <c:pt idx="6">
                  <c:v>1.8075763479899902</c:v>
                </c:pt>
                <c:pt idx="7">
                  <c:v>1.6382800096599994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9-43E9-B835-6B94F0E899D7}"/>
            </c:ext>
          </c:extLst>
        </c:ser>
        <c:ser>
          <c:idx val="1"/>
          <c:order val="2"/>
          <c:tx>
            <c:strRef>
              <c:f>CurPol_final_energy!$C$13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CurPol_final_energy!$D$13:$K$13</c:f>
              <c:numCache>
                <c:formatCode>General</c:formatCode>
                <c:ptCount val="8"/>
                <c:pt idx="0">
                  <c:v>1.3421124</c:v>
                </c:pt>
                <c:pt idx="1">
                  <c:v>1.3009410299999999</c:v>
                </c:pt>
                <c:pt idx="2">
                  <c:v>1.422541563</c:v>
                </c:pt>
                <c:pt idx="3">
                  <c:v>1.4164904219999901</c:v>
                </c:pt>
                <c:pt idx="4">
                  <c:v>1.3561167169999899</c:v>
                </c:pt>
                <c:pt idx="5">
                  <c:v>1.3013789389999999</c:v>
                </c:pt>
                <c:pt idx="6">
                  <c:v>1.19743135749999</c:v>
                </c:pt>
                <c:pt idx="7">
                  <c:v>1.0392079328999999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09-43E9-B835-6B94F0E899D7}"/>
            </c:ext>
          </c:extLst>
        </c:ser>
        <c:ser>
          <c:idx val="2"/>
          <c:order val="3"/>
          <c:tx>
            <c:strRef>
              <c:f>CurPol_final_energy!$C$14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CurPol_final_energy!$D$14:$K$14</c:f>
              <c:numCache>
                <c:formatCode>General</c:formatCode>
                <c:ptCount val="8"/>
                <c:pt idx="0">
                  <c:v>0.89976663438999904</c:v>
                </c:pt>
                <c:pt idx="1">
                  <c:v>0.93107849185999902</c:v>
                </c:pt>
                <c:pt idx="2">
                  <c:v>1.0446169445</c:v>
                </c:pt>
                <c:pt idx="3">
                  <c:v>1.12429652336999</c:v>
                </c:pt>
                <c:pt idx="4">
                  <c:v>1.13700309339999</c:v>
                </c:pt>
                <c:pt idx="5">
                  <c:v>1.1112362753</c:v>
                </c:pt>
                <c:pt idx="6">
                  <c:v>1.09352186429999</c:v>
                </c:pt>
                <c:pt idx="7">
                  <c:v>1.0678544588899901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09-43E9-B835-6B94F0E899D7}"/>
            </c:ext>
          </c:extLst>
        </c:ser>
        <c:ser>
          <c:idx val="3"/>
          <c:order val="4"/>
          <c:tx>
            <c:strRef>
              <c:f>CurPol_final_energy!$C$15</c:f>
              <c:strCache>
                <c:ptCount val="1"/>
                <c:pt idx="0">
                  <c:v>바이오매스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CurPol_final_energy!$D$15:$K$15</c:f>
              <c:numCache>
                <c:formatCode>General</c:formatCode>
                <c:ptCount val="8"/>
                <c:pt idx="0">
                  <c:v>0.23484740000000001</c:v>
                </c:pt>
                <c:pt idx="1">
                  <c:v>0.29472189799999998</c:v>
                </c:pt>
                <c:pt idx="2">
                  <c:v>0.31815296300000001</c:v>
                </c:pt>
                <c:pt idx="3">
                  <c:v>0.33788107499999898</c:v>
                </c:pt>
                <c:pt idx="4">
                  <c:v>0.355860015999999</c:v>
                </c:pt>
                <c:pt idx="5">
                  <c:v>0.37737822500000001</c:v>
                </c:pt>
                <c:pt idx="6">
                  <c:v>0.38103027299999898</c:v>
                </c:pt>
                <c:pt idx="7">
                  <c:v>0.3880590444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09-43E9-B835-6B94F0E899D7}"/>
            </c:ext>
          </c:extLst>
        </c:ser>
        <c:ser>
          <c:idx val="4"/>
          <c:order val="5"/>
          <c:tx>
            <c:strRef>
              <c:f>CurPol_final_energy!$C$16</c:f>
              <c:strCache>
                <c:ptCount val="1"/>
                <c:pt idx="0">
                  <c:v>전기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CurPol_final_energy!$D$16:$K$16</c:f>
              <c:numCache>
                <c:formatCode>General</c:formatCode>
                <c:ptCount val="8"/>
                <c:pt idx="0">
                  <c:v>1.7799465532000001</c:v>
                </c:pt>
                <c:pt idx="1">
                  <c:v>1.92435768282999</c:v>
                </c:pt>
                <c:pt idx="2">
                  <c:v>2.1952348675599902</c:v>
                </c:pt>
                <c:pt idx="3">
                  <c:v>2.2768604164699902</c:v>
                </c:pt>
                <c:pt idx="4">
                  <c:v>2.3839380876299998</c:v>
                </c:pt>
                <c:pt idx="5">
                  <c:v>2.4628430373499901</c:v>
                </c:pt>
                <c:pt idx="6">
                  <c:v>2.54482134391999</c:v>
                </c:pt>
                <c:pt idx="7">
                  <c:v>2.6716397460869898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09-43E9-B835-6B94F0E899D7}"/>
            </c:ext>
          </c:extLst>
        </c:ser>
        <c:ser>
          <c:idx val="5"/>
          <c:order val="6"/>
          <c:tx>
            <c:strRef>
              <c:f>CurPol_final_energy!$C$17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CurPol_final_energy!$D$10:$K$10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CurPol_final_energy!$D$17:$K$17</c:f>
              <c:numCache>
                <c:formatCode>General</c:formatCode>
                <c:ptCount val="8"/>
                <c:pt idx="0">
                  <c:v>0</c:v>
                </c:pt>
                <c:pt idx="1">
                  <c:v>1.47048046499999E-3</c:v>
                </c:pt>
                <c:pt idx="2">
                  <c:v>1.1019318327099899E-2</c:v>
                </c:pt>
                <c:pt idx="3">
                  <c:v>3.1558633414200003E-2</c:v>
                </c:pt>
                <c:pt idx="4">
                  <c:v>7.6540935555899997E-2</c:v>
                </c:pt>
                <c:pt idx="5">
                  <c:v>0.143124081884099</c:v>
                </c:pt>
                <c:pt idx="6">
                  <c:v>0.20037240803020001</c:v>
                </c:pt>
                <c:pt idx="7">
                  <c:v>0.25820004977123001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09-43E9-B835-6B94F0E8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85540576"/>
        <c:axId val="1983287408"/>
      </c:barChart>
      <c:catAx>
        <c:axId val="19855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7408"/>
        <c:crosses val="autoZero"/>
        <c:auto val="1"/>
        <c:lblAlgn val="ctr"/>
        <c:lblOffset val="100"/>
        <c:noMultiLvlLbl val="0"/>
      </c:catAx>
      <c:valAx>
        <c:axId val="1983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55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CurPol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CurPol_final_energy!$C$38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CurPol_final_energy!$D$38:$K$38</c:f>
              <c:numCache>
                <c:formatCode>General</c:formatCode>
                <c:ptCount val="8"/>
                <c:pt idx="0">
                  <c:v>0.28370590000000001</c:v>
                </c:pt>
                <c:pt idx="1">
                  <c:v>0.265225399999999</c:v>
                </c:pt>
                <c:pt idx="2">
                  <c:v>0.2498494</c:v>
                </c:pt>
                <c:pt idx="3">
                  <c:v>0.22751148999999901</c:v>
                </c:pt>
                <c:pt idx="4">
                  <c:v>0.18318287</c:v>
                </c:pt>
                <c:pt idx="5">
                  <c:v>0.1419995</c:v>
                </c:pt>
                <c:pt idx="6">
                  <c:v>7.7228259999999896E-2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05F-422A-994F-9A1AD7C222FE}"/>
            </c:ext>
          </c:extLst>
        </c:ser>
        <c:ser>
          <c:idx val="1"/>
          <c:order val="1"/>
          <c:tx>
            <c:strRef>
              <c:f>CurPol_final_energy!$C$39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CurPol_final_energy!$D$39:$K$39</c:f>
              <c:numCache>
                <c:formatCode>General</c:formatCode>
                <c:ptCount val="8"/>
                <c:pt idx="0">
                  <c:v>2.74183E-2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05F-422A-994F-9A1AD7C222FE}"/>
            </c:ext>
          </c:extLst>
        </c:ser>
        <c:ser>
          <c:idx val="2"/>
          <c:order val="2"/>
          <c:tx>
            <c:strRef>
              <c:f>CurPol_final_energy!$C$40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CurPol_final_energy!$D$40:$K$40</c:f>
              <c:numCache>
                <c:formatCode>General</c:formatCode>
                <c:ptCount val="8"/>
                <c:pt idx="0">
                  <c:v>0.49998670000000001</c:v>
                </c:pt>
                <c:pt idx="1">
                  <c:v>0.48818089999999997</c:v>
                </c:pt>
                <c:pt idx="2">
                  <c:v>0.54330319999999999</c:v>
                </c:pt>
                <c:pt idx="3">
                  <c:v>0.5900919</c:v>
                </c:pt>
                <c:pt idx="4">
                  <c:v>0.58835479999999996</c:v>
                </c:pt>
                <c:pt idx="5">
                  <c:v>0.55858874999999997</c:v>
                </c:pt>
                <c:pt idx="6">
                  <c:v>0.51833032000000001</c:v>
                </c:pt>
                <c:pt idx="7">
                  <c:v>0.45042298999999902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05F-422A-994F-9A1AD7C222FE}"/>
            </c:ext>
          </c:extLst>
        </c:ser>
        <c:ser>
          <c:idx val="3"/>
          <c:order val="3"/>
          <c:tx>
            <c:strRef>
              <c:f>CurPol_final_energy!$C$41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CurPol_final_energy!$D$41:$K$41</c:f>
              <c:numCache>
                <c:formatCode>General</c:formatCode>
                <c:ptCount val="8"/>
                <c:pt idx="0">
                  <c:v>7.0219599999999993E-2</c:v>
                </c:pt>
                <c:pt idx="1">
                  <c:v>0.11644834</c:v>
                </c:pt>
                <c:pt idx="2">
                  <c:v>0.11537049000000001</c:v>
                </c:pt>
                <c:pt idx="3">
                  <c:v>0.118896109999999</c:v>
                </c:pt>
                <c:pt idx="4">
                  <c:v>0.11791145</c:v>
                </c:pt>
                <c:pt idx="5">
                  <c:v>0.11927161999999999</c:v>
                </c:pt>
                <c:pt idx="6">
                  <c:v>0.11174215999999999</c:v>
                </c:pt>
                <c:pt idx="7">
                  <c:v>0.10721463000000001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05F-422A-994F-9A1AD7C222FE}"/>
            </c:ext>
          </c:extLst>
        </c:ser>
        <c:ser>
          <c:idx val="4"/>
          <c:order val="4"/>
          <c:tx>
            <c:strRef>
              <c:f>CurPol_final_energy!$C$42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CurPol_final_energy!$D$42:$K$42</c:f>
              <c:numCache>
                <c:formatCode>General</c:formatCode>
                <c:ptCount val="8"/>
                <c:pt idx="0">
                  <c:v>0.75474359999999996</c:v>
                </c:pt>
                <c:pt idx="1">
                  <c:v>0.83137260000000002</c:v>
                </c:pt>
                <c:pt idx="2">
                  <c:v>0.96313570000000004</c:v>
                </c:pt>
                <c:pt idx="3">
                  <c:v>1.0041901</c:v>
                </c:pt>
                <c:pt idx="4">
                  <c:v>1.0852744999999999</c:v>
                </c:pt>
                <c:pt idx="5">
                  <c:v>1.1361972999999901</c:v>
                </c:pt>
                <c:pt idx="6">
                  <c:v>1.1740822</c:v>
                </c:pt>
                <c:pt idx="7">
                  <c:v>1.233063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5F-422A-994F-9A1AD7C22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57350336"/>
        <c:axId val="1983284912"/>
      </c:barChart>
      <c:lineChart>
        <c:grouping val="standard"/>
        <c:varyColors val="0"/>
        <c:ser>
          <c:idx val="5"/>
          <c:order val="5"/>
          <c:tx>
            <c:strRef>
              <c:f>CurPol_final_energy!$C$43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CurPol_final_energy!$D$43:$K$43</c:f>
              <c:numCache>
                <c:formatCode>General</c:formatCode>
                <c:ptCount val="8"/>
                <c:pt idx="0">
                  <c:v>1.6757704415092409</c:v>
                </c:pt>
                <c:pt idx="1">
                  <c:v>1.8156029609886777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6-4524-B25B-F99055DDC1DB}"/>
            </c:ext>
          </c:extLst>
        </c:ser>
        <c:ser>
          <c:idx val="6"/>
          <c:order val="6"/>
          <c:tx>
            <c:strRef>
              <c:f>CurPol_final_energy!$C$44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CurPol_final_energy!$D$37:$K$37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CurPol_final_energy!$D$44:$K$44</c:f>
              <c:numCache>
                <c:formatCode>General</c:formatCode>
                <c:ptCount val="8"/>
                <c:pt idx="2">
                  <c:v>1.9259280000000003</c:v>
                </c:pt>
                <c:pt idx="3">
                  <c:v>2.0096639999999999</c:v>
                </c:pt>
                <c:pt idx="4">
                  <c:v>2.0515319999999999</c:v>
                </c:pt>
                <c:pt idx="5">
                  <c:v>2.0933999999999999</c:v>
                </c:pt>
                <c:pt idx="6">
                  <c:v>2.0724659999999999</c:v>
                </c:pt>
                <c:pt idx="7">
                  <c:v>2.0515319999999999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6-4524-B25B-F99055DDC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350336"/>
        <c:axId val="1983284912"/>
      </c:lineChart>
      <c:catAx>
        <c:axId val="17573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4912"/>
        <c:crosses val="autoZero"/>
        <c:auto val="1"/>
        <c:lblAlgn val="ctr"/>
        <c:lblOffset val="100"/>
        <c:noMultiLvlLbl val="0"/>
      </c:catAx>
      <c:valAx>
        <c:axId val="19832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7573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CurPol_final_energy!$C$65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CurPol_final_energy!$D$65:$K$65</c:f>
              <c:numCache>
                <c:formatCode>General</c:formatCode>
                <c:ptCount val="8"/>
                <c:pt idx="0">
                  <c:v>1.5739946128978606</c:v>
                </c:pt>
                <c:pt idx="1">
                  <c:v>1.6087086803380706</c:v>
                </c:pt>
                <c:pt idx="2">
                  <c:v>1.5858778952023223</c:v>
                </c:pt>
                <c:pt idx="3">
                  <c:v>1.4491304309785507</c:v>
                </c:pt>
                <c:pt idx="4">
                  <c:v>1.318901907297078</c:v>
                </c:pt>
                <c:pt idx="5">
                  <c:v>1.184827557330993</c:v>
                </c:pt>
                <c:pt idx="6">
                  <c:v>1.071760470868766</c:v>
                </c:pt>
                <c:pt idx="7">
                  <c:v>0.97592758967020221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909-43E9-B835-6B94F0E899D7}"/>
            </c:ext>
          </c:extLst>
        </c:ser>
        <c:ser>
          <c:idx val="1"/>
          <c:order val="2"/>
          <c:tx>
            <c:strRef>
              <c:f>CurPol_final_energy!$C$66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CurPol_final_energy!$D$66:$K$66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909-43E9-B835-6B94F0E899D7}"/>
            </c:ext>
          </c:extLst>
        </c:ser>
        <c:ser>
          <c:idx val="2"/>
          <c:order val="3"/>
          <c:tx>
            <c:strRef>
              <c:f>CurPol_final_energy!$C$67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CurPol_final_energy!$D$67:$K$67</c:f>
              <c:numCache>
                <c:formatCode>General</c:formatCode>
                <c:ptCount val="8"/>
                <c:pt idx="0">
                  <c:v>4.8721894000000002E-2</c:v>
                </c:pt>
                <c:pt idx="1">
                  <c:v>6.7851706999999997E-2</c:v>
                </c:pt>
                <c:pt idx="2">
                  <c:v>7.8846670999999993E-2</c:v>
                </c:pt>
                <c:pt idx="3">
                  <c:v>8.5262935499999998E-2</c:v>
                </c:pt>
                <c:pt idx="4">
                  <c:v>9.1281553400000007E-2</c:v>
                </c:pt>
                <c:pt idx="5">
                  <c:v>0.103024052</c:v>
                </c:pt>
                <c:pt idx="6">
                  <c:v>0.115474624</c:v>
                </c:pt>
                <c:pt idx="7">
                  <c:v>0.13266827099999901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909-43E9-B835-6B94F0E899D7}"/>
            </c:ext>
          </c:extLst>
        </c:ser>
        <c:ser>
          <c:idx val="3"/>
          <c:order val="4"/>
          <c:tx>
            <c:strRef>
              <c:f>CurPol_final_energy!$C$68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CurPol_final_energy!$D$68:$K$68</c:f>
              <c:numCache>
                <c:formatCode>General</c:formatCode>
                <c:ptCount val="8"/>
                <c:pt idx="0">
                  <c:v>7.3232271952741856E-3</c:v>
                </c:pt>
                <c:pt idx="1">
                  <c:v>9.6749120165932206E-3</c:v>
                </c:pt>
                <c:pt idx="2">
                  <c:v>1.2050834932797081E-2</c:v>
                </c:pt>
                <c:pt idx="3">
                  <c:v>1.2323892363101016E-2</c:v>
                </c:pt>
                <c:pt idx="4">
                  <c:v>1.4727620832898755E-2</c:v>
                </c:pt>
                <c:pt idx="5">
                  <c:v>2.3560612324908425E-2</c:v>
                </c:pt>
                <c:pt idx="6">
                  <c:v>3.948950781792103E-2</c:v>
                </c:pt>
                <c:pt idx="7">
                  <c:v>5.6104522764253137E-2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909-43E9-B835-6B94F0E899D7}"/>
            </c:ext>
          </c:extLst>
        </c:ser>
        <c:ser>
          <c:idx val="4"/>
          <c:order val="5"/>
          <c:tx>
            <c:strRef>
              <c:f>CurPol_final_energy!$C$69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CurPol_final_energy!$D$69:$K$69</c:f>
              <c:numCache>
                <c:formatCode>General</c:formatCode>
                <c:ptCount val="8"/>
                <c:pt idx="0">
                  <c:v>7.9864199999999993E-3</c:v>
                </c:pt>
                <c:pt idx="1">
                  <c:v>1.087344355E-2</c:v>
                </c:pt>
                <c:pt idx="2">
                  <c:v>2.774524921E-2</c:v>
                </c:pt>
                <c:pt idx="3">
                  <c:v>4.3666679729999998E-2</c:v>
                </c:pt>
                <c:pt idx="4">
                  <c:v>5.6280346969999999E-2</c:v>
                </c:pt>
                <c:pt idx="5">
                  <c:v>6.2609959879999996E-2</c:v>
                </c:pt>
                <c:pt idx="6">
                  <c:v>6.4755173479999997E-2</c:v>
                </c:pt>
                <c:pt idx="7">
                  <c:v>6.5067236516999999E-2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09-43E9-B835-6B94F0E899D7}"/>
            </c:ext>
          </c:extLst>
        </c:ser>
        <c:ser>
          <c:idx val="5"/>
          <c:order val="6"/>
          <c:tx>
            <c:strRef>
              <c:f>CurPol_final_energy!$C$70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CurPol_final_energy!$D$70:$K$70</c:f>
              <c:numCache>
                <c:formatCode>General</c:formatCode>
                <c:ptCount val="8"/>
                <c:pt idx="0">
                  <c:v>0</c:v>
                </c:pt>
                <c:pt idx="1">
                  <c:v>3.7311720000000003E-4</c:v>
                </c:pt>
                <c:pt idx="2">
                  <c:v>4.5479658700000002E-3</c:v>
                </c:pt>
                <c:pt idx="3">
                  <c:v>1.303037281E-2</c:v>
                </c:pt>
                <c:pt idx="4">
                  <c:v>2.409753115E-2</c:v>
                </c:pt>
                <c:pt idx="5">
                  <c:v>3.7668685100000002E-2</c:v>
                </c:pt>
                <c:pt idx="6">
                  <c:v>4.5427206649999899E-2</c:v>
                </c:pt>
                <c:pt idx="7">
                  <c:v>5.0200330180000002E-2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F909-43E9-B835-6B94F0E8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85540576"/>
        <c:axId val="1983287408"/>
      </c:barChart>
      <c:lineChart>
        <c:grouping val="standard"/>
        <c:varyColors val="0"/>
        <c:ser>
          <c:idx val="6"/>
          <c:order val="1"/>
          <c:tx>
            <c:strRef>
              <c:f>CurPol_final_energy!$C$71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CurPol_final_energy!$D$71:$K$71</c:f>
              <c:numCache>
                <c:formatCode>General</c:formatCode>
                <c:ptCount val="8"/>
                <c:pt idx="0">
                  <c:v>1.5617831674393883</c:v>
                </c:pt>
                <c:pt idx="1">
                  <c:v>1.5446775596612339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D-4B81-9595-715C1110C912}"/>
            </c:ext>
          </c:extLst>
        </c:ser>
        <c:ser>
          <c:idx val="7"/>
          <c:order val="7"/>
          <c:tx>
            <c:strRef>
              <c:f>CurPol_final_energy!$C$72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5A5A5"/>
              </a:solidFill>
              <a:ln w="9525">
                <a:solidFill>
                  <a:srgbClr val="A5A5A5"/>
                </a:solidFill>
              </a:ln>
              <a:effectLst/>
            </c:spPr>
          </c:marker>
          <c:cat>
            <c:numRef>
              <c:f>CurPol_final_energy!$D$64:$K$64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CurPol_final_energy!$D$72:$K$72</c:f>
              <c:numCache>
                <c:formatCode>General</c:formatCode>
                <c:ptCount val="8"/>
                <c:pt idx="2">
                  <c:v>1.6328520000000002</c:v>
                </c:pt>
                <c:pt idx="3">
                  <c:v>1.6328520000000002</c:v>
                </c:pt>
                <c:pt idx="4">
                  <c:v>1.5281820000000002</c:v>
                </c:pt>
                <c:pt idx="5">
                  <c:v>1.4235120000000001</c:v>
                </c:pt>
                <c:pt idx="6">
                  <c:v>1.3607100000000001</c:v>
                </c:pt>
                <c:pt idx="7">
                  <c:v>1.2979080000000001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D-4B81-9595-715C1110C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540576"/>
        <c:axId val="1983287408"/>
      </c:lineChart>
      <c:catAx>
        <c:axId val="19855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7408"/>
        <c:crosses val="autoZero"/>
        <c:auto val="1"/>
        <c:lblAlgn val="ctr"/>
        <c:lblOffset val="100"/>
        <c:noMultiLvlLbl val="0"/>
      </c:catAx>
      <c:valAx>
        <c:axId val="1983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55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CurPol_final_energy!$C$47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CurPol_final_energy!$D$46:$K$46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CurPol_final_energy!$D$47:$K$47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230.93683333333266</c:v>
                </c:pt>
                <c:pt idx="2">
                  <c:v>267.53769444444367</c:v>
                </c:pt>
                <c:pt idx="3">
                  <c:v>278.94169444444361</c:v>
                </c:pt>
                <c:pt idx="4">
                  <c:v>301.46513888888802</c:v>
                </c:pt>
                <c:pt idx="5">
                  <c:v>315.61036111110747</c:v>
                </c:pt>
                <c:pt idx="6">
                  <c:v>326.1339444444435</c:v>
                </c:pt>
                <c:pt idx="7">
                  <c:v>342.51749999999902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5-449D-9CC4-E7F572B5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78111"/>
        <c:axId val="2049058975"/>
      </c:barChart>
      <c:lineChart>
        <c:grouping val="standard"/>
        <c:varyColors val="0"/>
        <c:ser>
          <c:idx val="1"/>
          <c:order val="1"/>
          <c:tx>
            <c:strRef>
              <c:f>CurPol_final_energy!$C$48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CurPol_final_energy!$D$46:$K$46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CurPol_final_energy!$D$48:$K$48</c:f>
              <c:numCache>
                <c:formatCode>General</c:formatCode>
                <c:ptCount val="8"/>
                <c:pt idx="0">
                  <c:v>215.84400772001726</c:v>
                </c:pt>
                <c:pt idx="1">
                  <c:v>237.46560821001901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5-449D-9CC4-E7F572B5F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78111"/>
        <c:axId val="204905897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CurPol_final_energy!$C$49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CurPol_final_energy!$D$46:$K$46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CurPol_final_energy!$D$49:$K$49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255.86000000002048</c:v>
                      </c:pt>
                      <c:pt idx="3">
                        <c:v>279.12000000002229</c:v>
                      </c:pt>
                      <c:pt idx="4">
                        <c:v>290.75000000002325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095-449D-9CC4-E7F572B5FD57}"/>
                  </c:ext>
                </c:extLst>
              </c15:ser>
            </c15:filteredLineSeries>
          </c:ext>
        </c:extLst>
      </c:lineChart>
      <c:catAx>
        <c:axId val="885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8975"/>
        <c:crosses val="autoZero"/>
        <c:auto val="1"/>
        <c:lblAlgn val="ctr"/>
        <c:lblOffset val="100"/>
        <c:noMultiLvlLbl val="0"/>
      </c:catAx>
      <c:valAx>
        <c:axId val="20490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strRef>
              <c:f>CurPol_final_energy!$AK$60</c:f>
              <c:strCache>
                <c:ptCount val="1"/>
                <c:pt idx="0">
                  <c:v>GCAM_road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CurPol_final_energy!$AL$60:$AS$60</c:f>
              <c:numCache>
                <c:formatCode>General</c:formatCode>
                <c:ptCount val="8"/>
                <c:pt idx="0">
                  <c:v>0</c:v>
                </c:pt>
                <c:pt idx="1">
                  <c:v>0.42807043055555588</c:v>
                </c:pt>
                <c:pt idx="2">
                  <c:v>3.5135470027777806</c:v>
                </c:pt>
                <c:pt idx="3">
                  <c:v>7.1366027027777834</c:v>
                </c:pt>
                <c:pt idx="4">
                  <c:v>10.106440825000009</c:v>
                </c:pt>
                <c:pt idx="5">
                  <c:v>11.857188855555565</c:v>
                </c:pt>
                <c:pt idx="6">
                  <c:v>12.546987077777787</c:v>
                </c:pt>
                <c:pt idx="7">
                  <c:v>12.741968476944454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16-4B47-8AC1-CA67166C27C8}"/>
            </c:ext>
          </c:extLst>
        </c:ser>
        <c:ser>
          <c:idx val="0"/>
          <c:order val="1"/>
          <c:tx>
            <c:strRef>
              <c:f>CurPol_final_energy!$AK$59</c:f>
              <c:strCache>
                <c:ptCount val="1"/>
                <c:pt idx="0">
                  <c:v>GCAM_nonroad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CurPol_final_energy!$AL$59:$AS$59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2.592330555555558</c:v>
                </c:pt>
                <c:pt idx="2">
                  <c:v>4.1934666666666693</c:v>
                </c:pt>
                <c:pt idx="3">
                  <c:v>4.9930305555555599</c:v>
                </c:pt>
                <c:pt idx="4">
                  <c:v>5.5269888888888934</c:v>
                </c:pt>
                <c:pt idx="5">
                  <c:v>5.5344666666666713</c:v>
                </c:pt>
                <c:pt idx="6">
                  <c:v>5.4405611111111165</c:v>
                </c:pt>
                <c:pt idx="7">
                  <c:v>5.3322638888888934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6-4F11-9F07-EE5EAF40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255343"/>
        <c:axId val="2076755263"/>
      </c:barChart>
      <c:lineChart>
        <c:grouping val="standard"/>
        <c:varyColors val="0"/>
        <c:ser>
          <c:idx val="1"/>
          <c:order val="2"/>
          <c:tx>
            <c:strRef>
              <c:f>CurPol_final_energy!$AB$60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CurPol_final_energy!$AC$60:$AJ$60</c:f>
              <c:numCache>
                <c:formatCode>General</c:formatCode>
                <c:ptCount val="8"/>
                <c:pt idx="0">
                  <c:v>2.2170501600000021</c:v>
                </c:pt>
                <c:pt idx="1">
                  <c:v>3.1550445500000026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6-4F11-9F07-EE5EAF40F736}"/>
            </c:ext>
          </c:extLst>
        </c:ser>
        <c:ser>
          <c:idx val="2"/>
          <c:order val="3"/>
          <c:tx>
            <c:strRef>
              <c:f>CurPol_final_energy!$AB$61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CurPol_final_energy!$AC$61:$AJ$61</c:f>
              <c:numCache>
                <c:formatCode>General</c:formatCode>
                <c:ptCount val="8"/>
                <c:pt idx="2">
                  <c:v>5.8150000000000048</c:v>
                </c:pt>
                <c:pt idx="3">
                  <c:v>11.63000000000001</c:v>
                </c:pt>
                <c:pt idx="4">
                  <c:v>17.445000000000014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6-4F11-9F07-EE5EAF40F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CurPol_final_energy!$AA$8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CurPol_final_energy!$AB$8:$AI$8</c:f>
              <c:numCache>
                <c:formatCode>0.000</c:formatCode>
                <c:ptCount val="8"/>
                <c:pt idx="0">
                  <c:v>488.39273422222266</c:v>
                </c:pt>
                <c:pt idx="1">
                  <c:v>528.28945728744316</c:v>
                </c:pt>
                <c:pt idx="2">
                  <c:v>603.65935550761196</c:v>
                </c:pt>
                <c:pt idx="3">
                  <c:v>626.94509087104336</c:v>
                </c:pt>
                <c:pt idx="4">
                  <c:v>658.14543206030351</c:v>
                </c:pt>
                <c:pt idx="5">
                  <c:v>682.99344407778437</c:v>
                </c:pt>
                <c:pt idx="6">
                  <c:v>708.46394610724303</c:v>
                </c:pt>
                <c:pt idx="7">
                  <c:v>747.26187769701426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B-4940-A044-E54FF641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255343"/>
        <c:axId val="2076755263"/>
      </c:barChart>
      <c:lineChart>
        <c:grouping val="standard"/>
        <c:varyColors val="0"/>
        <c:ser>
          <c:idx val="1"/>
          <c:order val="1"/>
          <c:tx>
            <c:strRef>
              <c:f>CurPol_final_energy!$AA$9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CurPol_final_energy!$AB$9:$AI$9</c:f>
              <c:numCache>
                <c:formatCode>0.000</c:formatCode>
                <c:ptCount val="8"/>
                <c:pt idx="0">
                  <c:v>483.74186019000041</c:v>
                </c:pt>
                <c:pt idx="1">
                  <c:v>509.36137785000045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B-4940-A044-E54FF64167EB}"/>
            </c:ext>
          </c:extLst>
        </c:ser>
        <c:ser>
          <c:idx val="2"/>
          <c:order val="2"/>
          <c:tx>
            <c:strRef>
              <c:f>CurPol_final_energy!$AA$10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CurPol_final_energy!$AB$10:$AI$10</c:f>
              <c:numCache>
                <c:formatCode>0.000</c:formatCode>
                <c:ptCount val="8"/>
                <c:pt idx="2">
                  <c:v>564.0550000000004</c:v>
                </c:pt>
                <c:pt idx="3">
                  <c:v>628.02000000000055</c:v>
                </c:pt>
                <c:pt idx="4">
                  <c:v>657.09500000000048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B-4940-A044-E54FF6416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CurPol_final_energy!$E$139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CurPol_final_energy!$U$125:$AB$125</c:f>
              <c:numCache>
                <c:formatCode>General</c:formatCode>
                <c:ptCount val="8"/>
                <c:pt idx="0">
                  <c:v>0</c:v>
                </c:pt>
                <c:pt idx="1">
                  <c:v>4.3709279109587926E-2</c:v>
                </c:pt>
                <c:pt idx="2">
                  <c:v>0.37186451872261317</c:v>
                </c:pt>
                <c:pt idx="3">
                  <c:v>1.0360057404872918</c:v>
                </c:pt>
                <c:pt idx="4">
                  <c:v>2.4878882741920512</c:v>
                </c:pt>
                <c:pt idx="5">
                  <c:v>5.3079587027868547</c:v>
                </c:pt>
                <c:pt idx="6">
                  <c:v>7.7703644627986366</c:v>
                </c:pt>
                <c:pt idx="7">
                  <c:v>11.070092672847174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2A-49D3-8598-8617D86B0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255343"/>
        <c:axId val="2076755263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CurPol_final_energy!$AB$60</c15:sqref>
                        </c15:formulaRef>
                      </c:ext>
                    </c:extLst>
                    <c:strCache>
                      <c:ptCount val="1"/>
                      <c:pt idx="0">
                        <c:v>Historical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CurPol_final_energy!$AB$2:$AI$2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CurPol_final_energy!$AC$60:$AJ$60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2.2170501600000021</c:v>
                      </c:pt>
                      <c:pt idx="1">
                        <c:v>3.1550445500000026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02A-49D3-8598-8617D86B0D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CurPol_final_energy!$AB$61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CurPol_final_energy!$AB$2:$AI$2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CurPol_final_energy!$AC$61:$AJ$61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5.8150000000000048</c:v>
                      </c:pt>
                      <c:pt idx="3">
                        <c:v>11.63000000000001</c:v>
                      </c:pt>
                      <c:pt idx="4">
                        <c:v>17.445000000000014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2A-49D3-8598-8617D86B0D4D}"/>
                  </c:ext>
                </c:extLst>
              </c15:ser>
            </c15:filteredLineSeries>
          </c:ext>
        </c:extLst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r>
              <a:rPr lang="en-US" altLang="ko-KR" baseline="0"/>
              <a:t> (</a:t>
            </a:r>
            <a:r>
              <a:rPr lang="ko-KR" altLang="en-US" baseline="0"/>
              <a:t>수소생산</a:t>
            </a:r>
            <a:r>
              <a:rPr lang="en-US" altLang="ko-KR" baseline="0"/>
              <a:t>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CurPol_final_energy!$P$224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CurPol_final_energy!$Q$224:$X$224</c:f>
              <c:numCache>
                <c:formatCode>General</c:formatCode>
                <c:ptCount val="8"/>
                <c:pt idx="0">
                  <c:v>0</c:v>
                </c:pt>
                <c:pt idx="1">
                  <c:v>1.7357040000000001E-4</c:v>
                </c:pt>
                <c:pt idx="2">
                  <c:v>1.4372349999999998E-3</c:v>
                </c:pt>
                <c:pt idx="3">
                  <c:v>4.4320840000000002E-3</c:v>
                </c:pt>
                <c:pt idx="4">
                  <c:v>1.171196E-2</c:v>
                </c:pt>
                <c:pt idx="5">
                  <c:v>2.7169639999999998E-2</c:v>
                </c:pt>
                <c:pt idx="6">
                  <c:v>3.9831129999999999E-2</c:v>
                </c:pt>
                <c:pt idx="7">
                  <c:v>5.6640499999999996E-2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0F-4FB4-BA89-C09A4A6FA6DA}"/>
            </c:ext>
          </c:extLst>
        </c:ser>
        <c:ser>
          <c:idx val="1"/>
          <c:order val="1"/>
          <c:tx>
            <c:strRef>
              <c:f>CurPol_final_energy!$P$225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CurPol_final_energy!$Q$225:$X$225</c:f>
              <c:numCache>
                <c:formatCode>General</c:formatCode>
                <c:ptCount val="8"/>
                <c:pt idx="0">
                  <c:v>0</c:v>
                </c:pt>
                <c:pt idx="1">
                  <c:v>1.1897349999999999E-3</c:v>
                </c:pt>
                <c:pt idx="2">
                  <c:v>8.7433400000000005E-3</c:v>
                </c:pt>
                <c:pt idx="3">
                  <c:v>2.4843489999999999E-2</c:v>
                </c:pt>
                <c:pt idx="4">
                  <c:v>5.9096200000000002E-2</c:v>
                </c:pt>
                <c:pt idx="5">
                  <c:v>0.10373750000000001</c:v>
                </c:pt>
                <c:pt idx="6">
                  <c:v>0.14312029999999998</c:v>
                </c:pt>
                <c:pt idx="7">
                  <c:v>0.1781905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0F-4FB4-BA89-C09A4A6FA6DA}"/>
            </c:ext>
          </c:extLst>
        </c:ser>
        <c:ser>
          <c:idx val="2"/>
          <c:order val="2"/>
          <c:tx>
            <c:strRef>
              <c:f>CurPol_final_energy!$P$226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CurPol_final_energy!$Q$226:$X$226</c:f>
              <c:numCache>
                <c:formatCode>General</c:formatCode>
                <c:ptCount val="8"/>
                <c:pt idx="0">
                  <c:v>0</c:v>
                </c:pt>
                <c:pt idx="1">
                  <c:v>6.0445700000000003E-5</c:v>
                </c:pt>
                <c:pt idx="2">
                  <c:v>4.5530000000000001E-4</c:v>
                </c:pt>
                <c:pt idx="3">
                  <c:v>1.26019E-3</c:v>
                </c:pt>
                <c:pt idx="4">
                  <c:v>3.0196799999999998E-3</c:v>
                </c:pt>
                <c:pt idx="5">
                  <c:v>6.56611E-3</c:v>
                </c:pt>
                <c:pt idx="6">
                  <c:v>9.0562500000000001E-3</c:v>
                </c:pt>
                <c:pt idx="7">
                  <c:v>1.16521E-2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0F-4FB4-BA89-C09A4A6FA6DA}"/>
            </c:ext>
          </c:extLst>
        </c:ser>
        <c:ser>
          <c:idx val="3"/>
          <c:order val="3"/>
          <c:tx>
            <c:strRef>
              <c:f>CurPol_final_energy!$P$227</c:f>
              <c:strCache>
                <c:ptCount val="1"/>
                <c:pt idx="0">
                  <c:v>CCS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CurPol_final_energy!$Q$227:$X$227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0F-4FB4-BA89-C09A4A6FA6DA}"/>
            </c:ext>
          </c:extLst>
        </c:ser>
        <c:ser>
          <c:idx val="4"/>
          <c:order val="4"/>
          <c:tx>
            <c:strRef>
              <c:f>CurPol_final_energy!$P$228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CurPol_final_energy!$Q$228:$X$228</c:f>
              <c:numCache>
                <c:formatCode>0.00E+00</c:formatCode>
                <c:ptCount val="8"/>
                <c:pt idx="0">
                  <c:v>0</c:v>
                </c:pt>
                <c:pt idx="1">
                  <c:v>4.6728799999999999E-5</c:v>
                </c:pt>
                <c:pt idx="2">
                  <c:v>3.8345000000000002E-4</c:v>
                </c:pt>
                <c:pt idx="3">
                  <c:v>1.0228710000000001E-3</c:v>
                </c:pt>
                <c:pt idx="4">
                  <c:v>2.7129350000000001E-3</c:v>
                </c:pt>
                <c:pt idx="5">
                  <c:v>5.6507100000000006E-3</c:v>
                </c:pt>
                <c:pt idx="6">
                  <c:v>8.3647100000000009E-3</c:v>
                </c:pt>
                <c:pt idx="7">
                  <c:v>1.1717449999999999E-2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0F-4FB4-BA89-C09A4A6FA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116304"/>
        <c:axId val="235828208"/>
      </c:barChart>
      <c:catAx>
        <c:axId val="20921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5828208"/>
        <c:crosses val="autoZero"/>
        <c:auto val="1"/>
        <c:lblAlgn val="ctr"/>
        <c:lblOffset val="100"/>
        <c:noMultiLvlLbl val="0"/>
      </c:catAx>
      <c:valAx>
        <c:axId val="23582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21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 (</a:t>
            </a:r>
            <a:r>
              <a:rPr lang="ko-KR" altLang="en-US"/>
              <a:t>수소소비</a:t>
            </a:r>
            <a:r>
              <a:rPr lang="en-US" altLang="ko-KR"/>
              <a:t>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CurPol_final_energy!$R$164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CurPol_final_energy!$S$164:$Z$164</c:f>
              <c:numCache>
                <c:formatCode>General</c:formatCode>
                <c:ptCount val="8"/>
                <c:pt idx="0">
                  <c:v>0</c:v>
                </c:pt>
                <c:pt idx="1">
                  <c:v>3.7311720000000003E-4</c:v>
                </c:pt>
                <c:pt idx="2">
                  <c:v>4.5479658700000002E-3</c:v>
                </c:pt>
                <c:pt idx="3">
                  <c:v>1.3030372809999991E-2</c:v>
                </c:pt>
                <c:pt idx="4">
                  <c:v>2.4097531149999997E-2</c:v>
                </c:pt>
                <c:pt idx="5">
                  <c:v>3.7668685100000002E-2</c:v>
                </c:pt>
                <c:pt idx="6">
                  <c:v>4.5427206649999906E-2</c:v>
                </c:pt>
                <c:pt idx="7">
                  <c:v>5.0200330180000002E-2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F-4A6B-B35E-1786BA619791}"/>
            </c:ext>
          </c:extLst>
        </c:ser>
        <c:ser>
          <c:idx val="1"/>
          <c:order val="1"/>
          <c:tx>
            <c:strRef>
              <c:f>CurPol_final_energy!$R$165</c:f>
              <c:strCache>
                <c:ptCount val="1"/>
                <c:pt idx="0">
                  <c:v>iron&amp;steel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CurPol_final_energy!$S$165:$Z$165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BF-4A6B-B35E-1786BA619791}"/>
            </c:ext>
          </c:extLst>
        </c:ser>
        <c:ser>
          <c:idx val="2"/>
          <c:order val="2"/>
          <c:tx>
            <c:strRef>
              <c:f>CurPol_final_energy!$R$166</c:f>
              <c:strCache>
                <c:ptCount val="1"/>
                <c:pt idx="0">
                  <c:v>chemical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CurPol_final_energy!$S$166:$Z$166</c:f>
              <c:numCache>
                <c:formatCode>General</c:formatCode>
                <c:ptCount val="8"/>
                <c:pt idx="0">
                  <c:v>0</c:v>
                </c:pt>
                <c:pt idx="1">
                  <c:v>4.5020800000000001E-4</c:v>
                </c:pt>
                <c:pt idx="2">
                  <c:v>3.7202509999999999E-3</c:v>
                </c:pt>
                <c:pt idx="3">
                  <c:v>9.6094449999999994E-3</c:v>
                </c:pt>
                <c:pt idx="4">
                  <c:v>2.4222681999999999E-2</c:v>
                </c:pt>
                <c:pt idx="5">
                  <c:v>4.5396032000000003E-2</c:v>
                </c:pt>
                <c:pt idx="6">
                  <c:v>6.6204000799999996E-2</c:v>
                </c:pt>
                <c:pt idx="7">
                  <c:v>8.8846513199999894E-2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BF-4A6B-B35E-1786BA619791}"/>
            </c:ext>
          </c:extLst>
        </c:ser>
        <c:ser>
          <c:idx val="3"/>
          <c:order val="3"/>
          <c:tx>
            <c:strRef>
              <c:f>CurPol_final_energy!$R$167</c:f>
              <c:strCache>
                <c:ptCount val="1"/>
                <c:pt idx="0">
                  <c:v>other industrial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CurPol_final_energy!$S$167:$Z$167</c:f>
              <c:numCache>
                <c:formatCode>General</c:formatCode>
                <c:ptCount val="8"/>
                <c:pt idx="0">
                  <c:v>0</c:v>
                </c:pt>
                <c:pt idx="1">
                  <c:v>4.777688E-4</c:v>
                </c:pt>
                <c:pt idx="2">
                  <c:v>2.0475225000000001E-3</c:v>
                </c:pt>
                <c:pt idx="3">
                  <c:v>7.5044973000000003E-3</c:v>
                </c:pt>
                <c:pt idx="4">
                  <c:v>2.6142399899999998E-2</c:v>
                </c:pt>
                <c:pt idx="5">
                  <c:v>5.7667533699999898E-2</c:v>
                </c:pt>
                <c:pt idx="6">
                  <c:v>8.5991229399999994E-2</c:v>
                </c:pt>
                <c:pt idx="7">
                  <c:v>0.11606614326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BF-4A6B-B35E-1786BA619791}"/>
            </c:ext>
          </c:extLst>
        </c:ser>
        <c:ser>
          <c:idx val="4"/>
          <c:order val="4"/>
          <c:tx>
            <c:strRef>
              <c:f>CurPol_final_energy!$R$168</c:f>
              <c:strCache>
                <c:ptCount val="1"/>
                <c:pt idx="0">
                  <c:v>miscellaneous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CurPol_final_energy!$S$168:$Z$168</c:f>
              <c:numCache>
                <c:formatCode>0.00E+00</c:formatCode>
                <c:ptCount val="8"/>
                <c:pt idx="0">
                  <c:v>0</c:v>
                </c:pt>
                <c:pt idx="1">
                  <c:v>1.6938646500000001E-4</c:v>
                </c:pt>
                <c:pt idx="2">
                  <c:v>7.0357895710000001E-4</c:v>
                </c:pt>
                <c:pt idx="3">
                  <c:v>1.4143183042E-3</c:v>
                </c:pt>
                <c:pt idx="4">
                  <c:v>2.0783225058999899E-3</c:v>
                </c:pt>
                <c:pt idx="5">
                  <c:v>2.3918310840999987E-3</c:v>
                </c:pt>
                <c:pt idx="6">
                  <c:v>2.7499711802000002E-3</c:v>
                </c:pt>
                <c:pt idx="7">
                  <c:v>3.0870631312300001E-3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BF-4A6B-B35E-1786BA619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89760"/>
        <c:axId val="235802416"/>
      </c:barChart>
      <c:catAx>
        <c:axId val="17319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5802416"/>
        <c:crosses val="autoZero"/>
        <c:auto val="1"/>
        <c:lblAlgn val="ctr"/>
        <c:lblOffset val="100"/>
        <c:noMultiLvlLbl val="0"/>
      </c:catAx>
      <c:valAx>
        <c:axId val="2358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9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 (</a:t>
            </a:r>
            <a:r>
              <a:rPr lang="ko-KR" altLang="en-US"/>
              <a:t>수소소비</a:t>
            </a:r>
            <a:r>
              <a:rPr lang="en-US" altLang="ko-KR"/>
              <a:t>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CurPol_final_energy!$R$191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CurPol_final_energy!$S$191:$Z$191</c:f>
              <c:numCache>
                <c:formatCode>General</c:formatCode>
                <c:ptCount val="8"/>
                <c:pt idx="0">
                  <c:v>0</c:v>
                </c:pt>
                <c:pt idx="1">
                  <c:v>7.7505400000000006E-4</c:v>
                </c:pt>
                <c:pt idx="2">
                  <c:v>1.1110350799999998E-2</c:v>
                </c:pt>
                <c:pt idx="3">
                  <c:v>3.1545453000000001E-2</c:v>
                </c:pt>
                <c:pt idx="4">
                  <c:v>6.0471210500000004E-2</c:v>
                </c:pt>
                <c:pt idx="5">
                  <c:v>9.7870686389999989E-2</c:v>
                </c:pt>
                <c:pt idx="6">
                  <c:v>0.1246777112899999</c:v>
                </c:pt>
                <c:pt idx="7">
                  <c:v>0.14900690700999991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8-4FBB-9517-C5914BA18CA0}"/>
            </c:ext>
          </c:extLst>
        </c:ser>
        <c:ser>
          <c:idx val="1"/>
          <c:order val="1"/>
          <c:tx>
            <c:strRef>
              <c:f>CurPol_final_energy!$R$192</c:f>
              <c:strCache>
                <c:ptCount val="1"/>
                <c:pt idx="0">
                  <c:v>iron&amp;steel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CurPol_final_energy!$S$192:$Z$192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2.3053799999999999E-4</c:v>
                </c:pt>
                <c:pt idx="3">
                  <c:v>2.7035112E-2</c:v>
                </c:pt>
                <c:pt idx="4">
                  <c:v>8.0155499999999907E-2</c:v>
                </c:pt>
                <c:pt idx="5">
                  <c:v>0.13326463160000002</c:v>
                </c:pt>
                <c:pt idx="6">
                  <c:v>0.19897555699999997</c:v>
                </c:pt>
                <c:pt idx="7">
                  <c:v>0.29060031050000001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8-4FBB-9517-C5914BA18CA0}"/>
            </c:ext>
          </c:extLst>
        </c:ser>
        <c:ser>
          <c:idx val="2"/>
          <c:order val="2"/>
          <c:tx>
            <c:strRef>
              <c:f>CurPol_final_energy!$R$193</c:f>
              <c:strCache>
                <c:ptCount val="1"/>
                <c:pt idx="0">
                  <c:v>chemical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CurPol_final_energy!$S$193:$Z$193</c:f>
              <c:numCache>
                <c:formatCode>General</c:formatCode>
                <c:ptCount val="8"/>
                <c:pt idx="0">
                  <c:v>0</c:v>
                </c:pt>
                <c:pt idx="1">
                  <c:v>4.46217E-4</c:v>
                </c:pt>
                <c:pt idx="2">
                  <c:v>2.5756959999999902E-3</c:v>
                </c:pt>
                <c:pt idx="3">
                  <c:v>8.2967909999999995E-3</c:v>
                </c:pt>
                <c:pt idx="4">
                  <c:v>2.3364777E-2</c:v>
                </c:pt>
                <c:pt idx="5">
                  <c:v>4.7715868000000002E-2</c:v>
                </c:pt>
                <c:pt idx="6">
                  <c:v>7.2179282499999997E-2</c:v>
                </c:pt>
                <c:pt idx="7">
                  <c:v>0.10373313469999999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08-4FBB-9517-C5914BA18CA0}"/>
            </c:ext>
          </c:extLst>
        </c:ser>
        <c:ser>
          <c:idx val="3"/>
          <c:order val="3"/>
          <c:tx>
            <c:strRef>
              <c:f>CurPol_final_energy!$R$194</c:f>
              <c:strCache>
                <c:ptCount val="1"/>
                <c:pt idx="0">
                  <c:v>other industrial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CurPol_final_energy!$S$194:$Z$194</c:f>
              <c:numCache>
                <c:formatCode>General</c:formatCode>
                <c:ptCount val="8"/>
                <c:pt idx="0">
                  <c:v>0</c:v>
                </c:pt>
                <c:pt idx="1">
                  <c:v>4.7431299999999899E-4</c:v>
                </c:pt>
                <c:pt idx="2">
                  <c:v>2.418183E-3</c:v>
                </c:pt>
                <c:pt idx="3">
                  <c:v>8.2345336999999994E-3</c:v>
                </c:pt>
                <c:pt idx="4">
                  <c:v>3.4294865600000002E-2</c:v>
                </c:pt>
                <c:pt idx="5">
                  <c:v>0.1054100831</c:v>
                </c:pt>
                <c:pt idx="6">
                  <c:v>0.18487592619999901</c:v>
                </c:pt>
                <c:pt idx="7">
                  <c:v>0.37565936759000002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08-4FBB-9517-C5914BA18CA0}"/>
            </c:ext>
          </c:extLst>
        </c:ser>
        <c:ser>
          <c:idx val="4"/>
          <c:order val="4"/>
          <c:tx>
            <c:strRef>
              <c:f>CurPol_final_energy!$R$195</c:f>
              <c:strCache>
                <c:ptCount val="1"/>
                <c:pt idx="0">
                  <c:v>miscellaneous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CurPol_final_energy!$S$163:$Z$163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CurPol_final_energy!$S$195:$Z$195</c:f>
              <c:numCache>
                <c:formatCode>0.00E+00</c:formatCode>
                <c:ptCount val="8"/>
                <c:pt idx="0">
                  <c:v>0</c:v>
                </c:pt>
                <c:pt idx="1">
                  <c:v>1.6906811900000001E-4</c:v>
                </c:pt>
                <c:pt idx="2">
                  <c:v>7.3489274199999911E-4</c:v>
                </c:pt>
                <c:pt idx="3">
                  <c:v>1.4616073489999988E-3</c:v>
                </c:pt>
                <c:pt idx="4">
                  <c:v>2.3651732169999999E-3</c:v>
                </c:pt>
                <c:pt idx="5">
                  <c:v>3.6275748870000001E-3</c:v>
                </c:pt>
                <c:pt idx="6">
                  <c:v>6.3133698399999985E-3</c:v>
                </c:pt>
                <c:pt idx="7">
                  <c:v>1.53453211704E-2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08-4FBB-9517-C5914BA18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989760"/>
        <c:axId val="235802416"/>
      </c:barChart>
      <c:catAx>
        <c:axId val="17319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5802416"/>
        <c:crosses val="autoZero"/>
        <c:auto val="1"/>
        <c:lblAlgn val="ctr"/>
        <c:lblOffset val="100"/>
        <c:noMultiLvlLbl val="0"/>
      </c:catAx>
      <c:valAx>
        <c:axId val="23580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9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r>
              <a:rPr lang="en-US" altLang="ko-KR" baseline="0"/>
              <a:t> (</a:t>
            </a:r>
            <a:r>
              <a:rPr lang="ko-KR" altLang="en-US" baseline="0"/>
              <a:t>수소생산</a:t>
            </a:r>
            <a:r>
              <a:rPr lang="en-US" altLang="ko-KR" baseline="0"/>
              <a:t>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CurPol_final_energy!$P$239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CurPol_final_energy!$Q$239:$X$239</c:f>
              <c:numCache>
                <c:formatCode>General</c:formatCode>
                <c:ptCount val="8"/>
                <c:pt idx="0">
                  <c:v>0</c:v>
                </c:pt>
                <c:pt idx="1">
                  <c:v>2.1461189999999998E-4</c:v>
                </c:pt>
                <c:pt idx="2">
                  <c:v>3.8671549999999997E-3</c:v>
                </c:pt>
                <c:pt idx="3">
                  <c:v>2.028516E-2</c:v>
                </c:pt>
                <c:pt idx="4">
                  <c:v>5.3901669999999999E-2</c:v>
                </c:pt>
                <c:pt idx="5">
                  <c:v>0.123257583</c:v>
                </c:pt>
                <c:pt idx="6">
                  <c:v>0.21660868520000001</c:v>
                </c:pt>
                <c:pt idx="7">
                  <c:v>0.44234700481353006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C-4AC4-8DEB-7461125AFA61}"/>
            </c:ext>
          </c:extLst>
        </c:ser>
        <c:ser>
          <c:idx val="1"/>
          <c:order val="1"/>
          <c:tx>
            <c:strRef>
              <c:f>CurPol_final_energy!$P$240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CurPol_final_energy!$Q$240:$X$240</c:f>
              <c:numCache>
                <c:formatCode>General</c:formatCode>
                <c:ptCount val="8"/>
                <c:pt idx="0">
                  <c:v>0</c:v>
                </c:pt>
                <c:pt idx="1">
                  <c:v>1.5130860000000001E-3</c:v>
                </c:pt>
                <c:pt idx="2">
                  <c:v>1.050191E-2</c:v>
                </c:pt>
                <c:pt idx="3">
                  <c:v>3.9032999999999998E-2</c:v>
                </c:pt>
                <c:pt idx="4">
                  <c:v>6.6322000000000006E-2</c:v>
                </c:pt>
                <c:pt idx="5">
                  <c:v>6.4296060000000002E-2</c:v>
                </c:pt>
                <c:pt idx="6">
                  <c:v>5.0223699999999996E-2</c:v>
                </c:pt>
                <c:pt idx="7">
                  <c:v>1.4173239989999999E-2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DC-4AC4-8DEB-7461125AFA61}"/>
            </c:ext>
          </c:extLst>
        </c:ser>
        <c:ser>
          <c:idx val="2"/>
          <c:order val="2"/>
          <c:tx>
            <c:strRef>
              <c:f>CurPol_final_energy!$P$241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CurPol_final_energy!$Q$241:$X$241</c:f>
              <c:numCache>
                <c:formatCode>General</c:formatCode>
                <c:ptCount val="8"/>
                <c:pt idx="0">
                  <c:v>0</c:v>
                </c:pt>
                <c:pt idx="1">
                  <c:v>7.6861100000000002E-5</c:v>
                </c:pt>
                <c:pt idx="2">
                  <c:v>1.56813E-3</c:v>
                </c:pt>
                <c:pt idx="3">
                  <c:v>9.31477E-3</c:v>
                </c:pt>
                <c:pt idx="4">
                  <c:v>3.2141799999999998E-2</c:v>
                </c:pt>
                <c:pt idx="5">
                  <c:v>6.9966200000000006E-2</c:v>
                </c:pt>
                <c:pt idx="6">
                  <c:v>0.10761900000000001</c:v>
                </c:pt>
                <c:pt idx="7">
                  <c:v>0.19003200000000001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DC-4AC4-8DEB-7461125AFA61}"/>
            </c:ext>
          </c:extLst>
        </c:ser>
        <c:ser>
          <c:idx val="3"/>
          <c:order val="3"/>
          <c:tx>
            <c:strRef>
              <c:f>CurPol_final_energy!$P$242</c:f>
              <c:strCache>
                <c:ptCount val="1"/>
                <c:pt idx="0">
                  <c:v>CCS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CurPol_final_energy!$Q$242:$X$242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4.7004642000000001E-4</c:v>
                </c:pt>
                <c:pt idx="3">
                  <c:v>4.7736610000000002E-3</c:v>
                </c:pt>
                <c:pt idx="4">
                  <c:v>3.9516159999999995E-2</c:v>
                </c:pt>
                <c:pt idx="5">
                  <c:v>0.11344989999999999</c:v>
                </c:pt>
                <c:pt idx="6">
                  <c:v>0.1858109</c:v>
                </c:pt>
                <c:pt idx="7">
                  <c:v>0.23612759999999999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DC-4AC4-8DEB-7461125AFA61}"/>
            </c:ext>
          </c:extLst>
        </c:ser>
        <c:ser>
          <c:idx val="4"/>
          <c:order val="4"/>
          <c:tx>
            <c:strRef>
              <c:f>CurPol_final_energy!$P$243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CurPol_final_energy!$Q$223:$X$223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CurPol_final_energy!$Q$243:$X$243</c:f>
              <c:numCache>
                <c:formatCode>General</c:formatCode>
                <c:ptCount val="8"/>
                <c:pt idx="0">
                  <c:v>0</c:v>
                </c:pt>
                <c:pt idx="1">
                  <c:v>6.0092500000000001E-5</c:v>
                </c:pt>
                <c:pt idx="2">
                  <c:v>6.6241100000000001E-4</c:v>
                </c:pt>
                <c:pt idx="3">
                  <c:v>3.1669549999999999E-3</c:v>
                </c:pt>
                <c:pt idx="4">
                  <c:v>8.7697800000000013E-3</c:v>
                </c:pt>
                <c:pt idx="5">
                  <c:v>1.6919179999999999E-2</c:v>
                </c:pt>
                <c:pt idx="6">
                  <c:v>2.675928E-2</c:v>
                </c:pt>
                <c:pt idx="7">
                  <c:v>5.1664200000000007E-2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DC-4AC4-8DEB-7461125A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116304"/>
        <c:axId val="235828208"/>
      </c:barChart>
      <c:catAx>
        <c:axId val="20921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35828208"/>
        <c:crosses val="autoZero"/>
        <c:auto val="1"/>
        <c:lblAlgn val="ctr"/>
        <c:lblOffset val="100"/>
        <c:noMultiLvlLbl val="0"/>
      </c:catAx>
      <c:valAx>
        <c:axId val="23582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921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/>
              <a:t>NZ-0p_Final energy consumption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'NZ-0p_building_final_energy'!$C$12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'NZ-0p_building_final_energy'!$D$12:$K$12</c:f>
              <c:numCache>
                <c:formatCode>General</c:formatCode>
                <c:ptCount val="8"/>
                <c:pt idx="0">
                  <c:v>4.4023892890099896</c:v>
                </c:pt>
                <c:pt idx="1">
                  <c:v>4.5080142195799997</c:v>
                </c:pt>
                <c:pt idx="2">
                  <c:v>4.3306583025274898</c:v>
                </c:pt>
                <c:pt idx="3">
                  <c:v>4.0474943857176999</c:v>
                </c:pt>
                <c:pt idx="4">
                  <c:v>3.7457341130436901</c:v>
                </c:pt>
                <c:pt idx="5">
                  <c:v>3.3845852180858</c:v>
                </c:pt>
                <c:pt idx="6">
                  <c:v>3.0578650093080002</c:v>
                </c:pt>
                <c:pt idx="7">
                  <c:v>2.7559429085091001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4-4F7B-BB8A-6F2FA152B31F}"/>
            </c:ext>
          </c:extLst>
        </c:ser>
        <c:ser>
          <c:idx val="1"/>
          <c:order val="1"/>
          <c:tx>
            <c:strRef>
              <c:f>'NZ-0p_building_final_energy'!$C$13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'NZ-0p_building_final_energy'!$D$13:$K$13</c:f>
              <c:numCache>
                <c:formatCode>0.00E+00</c:formatCode>
                <c:ptCount val="8"/>
                <c:pt idx="0">
                  <c:v>1.3421124</c:v>
                </c:pt>
                <c:pt idx="1">
                  <c:v>1.5025358790000001</c:v>
                </c:pt>
                <c:pt idx="2">
                  <c:v>1.39739085131999</c:v>
                </c:pt>
                <c:pt idx="3">
                  <c:v>1.1973330173399901</c:v>
                </c:pt>
                <c:pt idx="4">
                  <c:v>0.87711630116000006</c:v>
                </c:pt>
                <c:pt idx="5">
                  <c:v>0.56599597686000003</c:v>
                </c:pt>
                <c:pt idx="6">
                  <c:v>0.33435504629199897</c:v>
                </c:pt>
                <c:pt idx="7">
                  <c:v>0.18638085090699996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C4-4F7B-BB8A-6F2FA152B31F}"/>
            </c:ext>
          </c:extLst>
        </c:ser>
        <c:ser>
          <c:idx val="7"/>
          <c:order val="2"/>
          <c:tx>
            <c:strRef>
              <c:f>'NZ-0p_building_final_energy'!$C$14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'NZ-0p_building_final_energy'!$D$14:$K$14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2.52513E-3</c:v>
                </c:pt>
                <c:pt idx="3">
                  <c:v>1.0989835699999999E-2</c:v>
                </c:pt>
                <c:pt idx="4">
                  <c:v>3.1981812300000002E-2</c:v>
                </c:pt>
                <c:pt idx="5">
                  <c:v>5.6872647439999986E-2</c:v>
                </c:pt>
                <c:pt idx="6">
                  <c:v>8.2828810350000004E-2</c:v>
                </c:pt>
                <c:pt idx="7">
                  <c:v>8.2824695840000004E-2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A-4998-BABE-3BC037BE9B77}"/>
            </c:ext>
          </c:extLst>
        </c:ser>
        <c:ser>
          <c:idx val="2"/>
          <c:order val="3"/>
          <c:tx>
            <c:strRef>
              <c:f>'NZ-0p_building_final_energy'!$C$15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'NZ-0p_building_final_energy'!$D$15:$K$15</c:f>
              <c:numCache>
                <c:formatCode>General</c:formatCode>
                <c:ptCount val="8"/>
                <c:pt idx="0">
                  <c:v>0.89976703438999905</c:v>
                </c:pt>
                <c:pt idx="1">
                  <c:v>1.04770289739</c:v>
                </c:pt>
                <c:pt idx="2">
                  <c:v>1.1083071504589901</c:v>
                </c:pt>
                <c:pt idx="3">
                  <c:v>1.1663796025469999</c:v>
                </c:pt>
                <c:pt idx="4">
                  <c:v>1.1705450396520001</c:v>
                </c:pt>
                <c:pt idx="5">
                  <c:v>1.07655598045719</c:v>
                </c:pt>
                <c:pt idx="6">
                  <c:v>0.93243075229199901</c:v>
                </c:pt>
                <c:pt idx="7">
                  <c:v>0.76777111286799993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C4-4F7B-BB8A-6F2FA152B31F}"/>
            </c:ext>
          </c:extLst>
        </c:ser>
        <c:ser>
          <c:idx val="3"/>
          <c:order val="4"/>
          <c:tx>
            <c:strRef>
              <c:f>'NZ-0p_building_final_energy'!$C$16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'NZ-0p_building_final_energy'!$D$16:$K$16</c:f>
              <c:numCache>
                <c:formatCode>General</c:formatCode>
                <c:ptCount val="8"/>
                <c:pt idx="0">
                  <c:v>0.23484740000000001</c:v>
                </c:pt>
                <c:pt idx="1">
                  <c:v>0.25816798699999999</c:v>
                </c:pt>
                <c:pt idx="2">
                  <c:v>0.26957433159999999</c:v>
                </c:pt>
                <c:pt idx="3">
                  <c:v>0.2881801873</c:v>
                </c:pt>
                <c:pt idx="4">
                  <c:v>0.34274827489999998</c:v>
                </c:pt>
                <c:pt idx="5">
                  <c:v>0.31627726001000001</c:v>
                </c:pt>
                <c:pt idx="6">
                  <c:v>0.27824152616999998</c:v>
                </c:pt>
                <c:pt idx="7">
                  <c:v>0.23448787134999999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C4-4F7B-BB8A-6F2FA152B31F}"/>
            </c:ext>
          </c:extLst>
        </c:ser>
        <c:ser>
          <c:idx val="4"/>
          <c:order val="5"/>
          <c:tx>
            <c:strRef>
              <c:f>'NZ-0p_building_final_energy'!$C$17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'NZ-0p_building_final_energy'!$D$17:$K$17</c:f>
              <c:numCache>
                <c:formatCode>General</c:formatCode>
                <c:ptCount val="8"/>
                <c:pt idx="0">
                  <c:v>1.7799465532000001</c:v>
                </c:pt>
                <c:pt idx="1">
                  <c:v>1.8393896805400001</c:v>
                </c:pt>
                <c:pt idx="2">
                  <c:v>1.9313104480499901</c:v>
                </c:pt>
                <c:pt idx="3">
                  <c:v>2.02462591095999</c:v>
                </c:pt>
                <c:pt idx="4">
                  <c:v>2.12400255124999</c:v>
                </c:pt>
                <c:pt idx="5">
                  <c:v>2.2927495155551498</c:v>
                </c:pt>
                <c:pt idx="6">
                  <c:v>2.50693988431874</c:v>
                </c:pt>
                <c:pt idx="7">
                  <c:v>2.8005237757597299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C4-4F7B-BB8A-6F2FA152B31F}"/>
            </c:ext>
          </c:extLst>
        </c:ser>
        <c:ser>
          <c:idx val="5"/>
          <c:order val="6"/>
          <c:tx>
            <c:strRef>
              <c:f>'NZ-0p_building_final_energy'!$C$18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'NZ-0p_building_final_energy'!$D$11:$K$11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'NZ-0p_building_final_energy'!$D$18:$K$18</c:f>
              <c:numCache>
                <c:formatCode>General</c:formatCode>
                <c:ptCount val="8"/>
                <c:pt idx="0">
                  <c:v>0</c:v>
                </c:pt>
                <c:pt idx="1">
                  <c:v>1.83976850999999E-3</c:v>
                </c:pt>
                <c:pt idx="2">
                  <c:v>3.4830280460000002E-2</c:v>
                </c:pt>
                <c:pt idx="3">
                  <c:v>0.12109383476</c:v>
                </c:pt>
                <c:pt idx="4">
                  <c:v>0.24579427468000001</c:v>
                </c:pt>
                <c:pt idx="5">
                  <c:v>0.39121097144</c:v>
                </c:pt>
                <c:pt idx="6">
                  <c:v>0.53843520076999996</c:v>
                </c:pt>
                <c:pt idx="7">
                  <c:v>0.67070332524999998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C4-4F7B-BB8A-6F2FA152B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85540576"/>
        <c:axId val="1983287408"/>
      </c:barChart>
      <c:catAx>
        <c:axId val="19855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7408"/>
        <c:crosses val="autoZero"/>
        <c:auto val="1"/>
        <c:lblAlgn val="ctr"/>
        <c:lblOffset val="100"/>
        <c:noMultiLvlLbl val="0"/>
      </c:catAx>
      <c:valAx>
        <c:axId val="1983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55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NZ-0p_</a:t>
            </a:r>
            <a:r>
              <a:rPr lang="en-US"/>
              <a:t>Building final energy consumption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'NZ-0p_building_final_energy'!$C$31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'NZ-0p_building_final_energy'!$D$30:$K$30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'NZ-0p_building_final_energy'!$D$31:$K$31</c:f>
              <c:numCache>
                <c:formatCode>General</c:formatCode>
                <c:ptCount val="8"/>
                <c:pt idx="0">
                  <c:v>0.28370590000000001</c:v>
                </c:pt>
                <c:pt idx="1">
                  <c:v>0.30218400000000001</c:v>
                </c:pt>
                <c:pt idx="2">
                  <c:v>0.25792549999999997</c:v>
                </c:pt>
                <c:pt idx="3">
                  <c:v>0.21807850000000001</c:v>
                </c:pt>
                <c:pt idx="4">
                  <c:v>0.17164840000000001</c:v>
                </c:pt>
                <c:pt idx="5">
                  <c:v>0.11791591999999999</c:v>
                </c:pt>
                <c:pt idx="6">
                  <c:v>5.8155829999999999E-2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0-4D9A-90D7-609DC47F516E}"/>
            </c:ext>
          </c:extLst>
        </c:ser>
        <c:ser>
          <c:idx val="1"/>
          <c:order val="1"/>
          <c:tx>
            <c:strRef>
              <c:f>'NZ-0p_building_final_energy'!$C$32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'NZ-0p_building_final_energy'!$D$30:$K$30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'NZ-0p_building_final_energy'!$D$32:$K$32</c:f>
              <c:numCache>
                <c:formatCode>General</c:formatCode>
                <c:ptCount val="8"/>
                <c:pt idx="0">
                  <c:v>2.74183E-2</c:v>
                </c:pt>
                <c:pt idx="1">
                  <c:v>3.2336280000000002E-2</c:v>
                </c:pt>
                <c:pt idx="2">
                  <c:v>5.30351E-3</c:v>
                </c:pt>
                <c:pt idx="3">
                  <c:v>2.1044219999999999E-3</c:v>
                </c:pt>
                <c:pt idx="4">
                  <c:v>1.2489179999999999E-3</c:v>
                </c:pt>
                <c:pt idx="5">
                  <c:v>7.6968100000000003E-4</c:v>
                </c:pt>
                <c:pt idx="6">
                  <c:v>5.8522399999999997E-4</c:v>
                </c:pt>
                <c:pt idx="7">
                  <c:v>5.7761499999999996E-4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0-4D9A-90D7-609DC47F516E}"/>
            </c:ext>
          </c:extLst>
        </c:ser>
        <c:ser>
          <c:idx val="2"/>
          <c:order val="2"/>
          <c:tx>
            <c:strRef>
              <c:f>'NZ-0p_building_final_energy'!$C$33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'NZ-0p_building_final_energy'!$D$30:$K$30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'NZ-0p_building_final_energy'!$D$33:$K$33</c:f>
              <c:numCache>
                <c:formatCode>General</c:formatCode>
                <c:ptCount val="8"/>
                <c:pt idx="0">
                  <c:v>0.49998670000000001</c:v>
                </c:pt>
                <c:pt idx="1">
                  <c:v>0.59683439999999999</c:v>
                </c:pt>
                <c:pt idx="2">
                  <c:v>0.62045987999999996</c:v>
                </c:pt>
                <c:pt idx="3">
                  <c:v>0.64223578999999997</c:v>
                </c:pt>
                <c:pt idx="4">
                  <c:v>0.63729468999999905</c:v>
                </c:pt>
                <c:pt idx="5">
                  <c:v>0.58760387000000003</c:v>
                </c:pt>
                <c:pt idx="6">
                  <c:v>0.58069629</c:v>
                </c:pt>
                <c:pt idx="7">
                  <c:v>0.59030415999999997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0-4D9A-90D7-609DC47F516E}"/>
            </c:ext>
          </c:extLst>
        </c:ser>
        <c:ser>
          <c:idx val="3"/>
          <c:order val="3"/>
          <c:tx>
            <c:strRef>
              <c:f>'NZ-0p_building_final_energy'!$C$34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'NZ-0p_building_final_energy'!$D$30:$K$30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'NZ-0p_building_final_energy'!$D$34:$K$34</c:f>
              <c:numCache>
                <c:formatCode>General</c:formatCode>
                <c:ptCount val="8"/>
                <c:pt idx="0">
                  <c:v>7.0219599999999993E-2</c:v>
                </c:pt>
                <c:pt idx="1">
                  <c:v>6.4478960000000002E-2</c:v>
                </c:pt>
                <c:pt idx="2">
                  <c:v>9.5376900000000001E-2</c:v>
                </c:pt>
                <c:pt idx="3">
                  <c:v>8.3749190000000001E-2</c:v>
                </c:pt>
                <c:pt idx="4">
                  <c:v>7.7284320000000004E-2</c:v>
                </c:pt>
                <c:pt idx="5">
                  <c:v>4.4919344999999999E-2</c:v>
                </c:pt>
                <c:pt idx="6">
                  <c:v>3.1772303000000002E-2</c:v>
                </c:pt>
                <c:pt idx="7">
                  <c:v>3.2375506999999998E-2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0-4D9A-90D7-609DC47F516E}"/>
            </c:ext>
          </c:extLst>
        </c:ser>
        <c:ser>
          <c:idx val="4"/>
          <c:order val="4"/>
          <c:tx>
            <c:strRef>
              <c:f>'NZ-0p_building_final_energy'!$C$35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'NZ-0p_building_final_energy'!$D$30:$K$30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'NZ-0p_building_final_energy'!$D$35:$K$35</c:f>
              <c:numCache>
                <c:formatCode>General</c:formatCode>
                <c:ptCount val="8"/>
                <c:pt idx="0">
                  <c:v>0.75474359999999996</c:v>
                </c:pt>
                <c:pt idx="1">
                  <c:v>0.76615009999999995</c:v>
                </c:pt>
                <c:pt idx="2">
                  <c:v>0.81055330000000003</c:v>
                </c:pt>
                <c:pt idx="3">
                  <c:v>0.85230099999999998</c:v>
                </c:pt>
                <c:pt idx="4">
                  <c:v>0.91156959999999998</c:v>
                </c:pt>
                <c:pt idx="5">
                  <c:v>1.0002647999999901</c:v>
                </c:pt>
                <c:pt idx="6">
                  <c:v>1.0775729999999999</c:v>
                </c:pt>
                <c:pt idx="7">
                  <c:v>1.1224514999999999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20-4D9A-90D7-609DC47F5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57350336"/>
        <c:axId val="1983284912"/>
      </c:barChart>
      <c:catAx>
        <c:axId val="17573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4912"/>
        <c:crosses val="autoZero"/>
        <c:auto val="1"/>
        <c:lblAlgn val="ctr"/>
        <c:lblOffset val="100"/>
        <c:noMultiLvlLbl val="0"/>
      </c:catAx>
      <c:valAx>
        <c:axId val="19832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7573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7"/>
          <c:order val="0"/>
          <c:tx>
            <c:strRef>
              <c:f>NZ2050_final_energy!$C$12</c:f>
              <c:strCache>
                <c:ptCount val="1"/>
                <c:pt idx="0">
                  <c:v>석유 원료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NZ2050_final_energy!$D$12:$K$12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1.9839691000000002</c:v>
                </c:pt>
                <c:pt idx="2">
                  <c:v>2.1160428000000002</c:v>
                </c:pt>
                <c:pt idx="3">
                  <c:v>2.2433597000000001</c:v>
                </c:pt>
                <c:pt idx="4">
                  <c:v>2.3406243999999998</c:v>
                </c:pt>
                <c:pt idx="5">
                  <c:v>2.4542028999999999</c:v>
                </c:pt>
                <c:pt idx="6">
                  <c:v>2.5899451</c:v>
                </c:pt>
                <c:pt idx="7">
                  <c:v>2.6995977000000004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7-4E4E-8803-E9660A48CEAC}"/>
            </c:ext>
          </c:extLst>
        </c:ser>
        <c:ser>
          <c:idx val="0"/>
          <c:order val="1"/>
          <c:tx>
            <c:strRef>
              <c:f>NZ2050_final_energy!$C$13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NZ2050_final_energy!$D$13:$K$13</c:f>
              <c:numCache>
                <c:formatCode>General</c:formatCode>
                <c:ptCount val="8"/>
                <c:pt idx="0">
                  <c:v>2.136257682897861</c:v>
                </c:pt>
                <c:pt idx="1">
                  <c:v>2.1484560944923556</c:v>
                </c:pt>
                <c:pt idx="2">
                  <c:v>1.9850356919061691</c:v>
                </c:pt>
                <c:pt idx="3">
                  <c:v>1.723462073605009</c:v>
                </c:pt>
                <c:pt idx="4">
                  <c:v>1.4262083948995774</c:v>
                </c:pt>
                <c:pt idx="5">
                  <c:v>1.1068365848816972</c:v>
                </c:pt>
                <c:pt idx="6">
                  <c:v>0.83062500344613377</c:v>
                </c:pt>
                <c:pt idx="7">
                  <c:v>0.47334318856889362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1-4675-8B34-4EC84092BAD4}"/>
            </c:ext>
          </c:extLst>
        </c:ser>
        <c:ser>
          <c:idx val="1"/>
          <c:order val="2"/>
          <c:tx>
            <c:strRef>
              <c:f>NZ2050_final_energy!$C$15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NZ2050_final_energy!$D$15:$K$15</c:f>
              <c:numCache>
                <c:formatCode>0.00E+00</c:formatCode>
                <c:ptCount val="8"/>
                <c:pt idx="0">
                  <c:v>1.3421124</c:v>
                </c:pt>
                <c:pt idx="1">
                  <c:v>1.3027586420000001</c:v>
                </c:pt>
                <c:pt idx="2">
                  <c:v>1.1566351100000001</c:v>
                </c:pt>
                <c:pt idx="3">
                  <c:v>0.88571382699999901</c:v>
                </c:pt>
                <c:pt idx="4">
                  <c:v>0.55942455959999893</c:v>
                </c:pt>
                <c:pt idx="5">
                  <c:v>0.32931710499999989</c:v>
                </c:pt>
                <c:pt idx="6">
                  <c:v>0.17188393042999994</c:v>
                </c:pt>
                <c:pt idx="7">
                  <c:v>0.12136369084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21-4675-8B34-4EC84092BAD4}"/>
            </c:ext>
          </c:extLst>
        </c:ser>
        <c:ser>
          <c:idx val="9"/>
          <c:order val="3"/>
          <c:tx>
            <c:strRef>
              <c:f>NZ2050_final_energy!$C$16</c:f>
              <c:strCache>
                <c:ptCount val="1"/>
                <c:pt idx="0">
                  <c:v>석탄 CCS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NZ2050_final_energy!$D$16:$K$16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2.52513E-3</c:v>
                </c:pt>
                <c:pt idx="3">
                  <c:v>1.0989835699999999E-2</c:v>
                </c:pt>
                <c:pt idx="4">
                  <c:v>3.1981812300000002E-2</c:v>
                </c:pt>
                <c:pt idx="5">
                  <c:v>5.6872647439999986E-2</c:v>
                </c:pt>
                <c:pt idx="6">
                  <c:v>8.2828810350000004E-2</c:v>
                </c:pt>
                <c:pt idx="7">
                  <c:v>8.2824695840000004E-2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A-4A16-A7C7-1A9E6B48973C}"/>
            </c:ext>
          </c:extLst>
        </c:ser>
        <c:ser>
          <c:idx val="2"/>
          <c:order val="4"/>
          <c:tx>
            <c:strRef>
              <c:f>NZ2050_final_energy!$C$17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NZ2050_final_energy!$D$17:$K$17</c:f>
              <c:numCache>
                <c:formatCode>General</c:formatCode>
                <c:ptCount val="8"/>
                <c:pt idx="0">
                  <c:v>0.8997627130000001</c:v>
                </c:pt>
                <c:pt idx="1">
                  <c:v>0.92966596049999983</c:v>
                </c:pt>
                <c:pt idx="2">
                  <c:v>1.0011177694329998</c:v>
                </c:pt>
                <c:pt idx="3">
                  <c:v>1.0243203217969989</c:v>
                </c:pt>
                <c:pt idx="4">
                  <c:v>0.93943735253799909</c:v>
                </c:pt>
                <c:pt idx="5">
                  <c:v>0.76054404033300005</c:v>
                </c:pt>
                <c:pt idx="6">
                  <c:v>0.576137345542999</c:v>
                </c:pt>
                <c:pt idx="7">
                  <c:v>0.30200560368999996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21-4675-8B34-4EC84092BAD4}"/>
            </c:ext>
          </c:extLst>
        </c:ser>
        <c:ser>
          <c:idx val="8"/>
          <c:order val="5"/>
          <c:tx>
            <c:strRef>
              <c:f>NZ2050_final_energy!$C$18</c:f>
              <c:strCache>
                <c:ptCount val="1"/>
                <c:pt idx="0">
                  <c:v>가스 CCS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NZ2050_final_energy!$D$18:$K$18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2.3283748740000002E-3</c:v>
                </c:pt>
                <c:pt idx="3">
                  <c:v>8.6890063409999999E-3</c:v>
                </c:pt>
                <c:pt idx="4">
                  <c:v>2.5350490386999901E-2</c:v>
                </c:pt>
                <c:pt idx="5">
                  <c:v>5.0654994348100002E-2</c:v>
                </c:pt>
                <c:pt idx="6">
                  <c:v>7.7514072386999894E-2</c:v>
                </c:pt>
                <c:pt idx="7">
                  <c:v>0.10315536319999999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A-4A16-A7C7-1A9E6B48973C}"/>
            </c:ext>
          </c:extLst>
        </c:ser>
        <c:ser>
          <c:idx val="3"/>
          <c:order val="6"/>
          <c:tx>
            <c:strRef>
              <c:f>NZ2050_final_energy!$C$19</c:f>
              <c:strCache>
                <c:ptCount val="1"/>
                <c:pt idx="0">
                  <c:v>바이오매스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NZ2050_final_energy!$D$19:$K$19</c:f>
              <c:numCache>
                <c:formatCode>General</c:formatCode>
                <c:ptCount val="8"/>
                <c:pt idx="0">
                  <c:v>0.24217062719527416</c:v>
                </c:pt>
                <c:pt idx="1">
                  <c:v>0.2980231363078798</c:v>
                </c:pt>
                <c:pt idx="2">
                  <c:v>0.36504350309208455</c:v>
                </c:pt>
                <c:pt idx="3">
                  <c:v>0.37902090773704156</c:v>
                </c:pt>
                <c:pt idx="4">
                  <c:v>0.40437105508519755</c:v>
                </c:pt>
                <c:pt idx="5">
                  <c:v>0.40274895112706732</c:v>
                </c:pt>
                <c:pt idx="6">
                  <c:v>0.39876038576319928</c:v>
                </c:pt>
                <c:pt idx="7">
                  <c:v>0.25847640931609972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21-4675-8B34-4EC84092BAD4}"/>
            </c:ext>
          </c:extLst>
        </c:ser>
        <c:ser>
          <c:idx val="4"/>
          <c:order val="7"/>
          <c:tx>
            <c:strRef>
              <c:f>NZ2050_final_energy!$C$20</c:f>
              <c:strCache>
                <c:ptCount val="1"/>
                <c:pt idx="0">
                  <c:v>전기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NZ2050_final_energy!$D$20:$K$20</c:f>
              <c:numCache>
                <c:formatCode>General</c:formatCode>
                <c:ptCount val="8"/>
                <c:pt idx="0">
                  <c:v>1.7582138432000001</c:v>
                </c:pt>
                <c:pt idx="1">
                  <c:v>1.9080654848399976</c:v>
                </c:pt>
                <c:pt idx="2">
                  <c:v>2.0264158871099998</c:v>
                </c:pt>
                <c:pt idx="3">
                  <c:v>2.1434393084400001</c:v>
                </c:pt>
                <c:pt idx="4">
                  <c:v>2.28675115374</c:v>
                </c:pt>
                <c:pt idx="5">
                  <c:v>2.5201110463099989</c:v>
                </c:pt>
                <c:pt idx="6">
                  <c:v>2.7356518149799998</c:v>
                </c:pt>
                <c:pt idx="7">
                  <c:v>3.0949808672670001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21-4675-8B34-4EC84092BAD4}"/>
            </c:ext>
          </c:extLst>
        </c:ser>
        <c:ser>
          <c:idx val="5"/>
          <c:order val="8"/>
          <c:tx>
            <c:strRef>
              <c:f>NZ2050_final_energy!$C$21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NZ2050_final_energy!$D$11:$K$11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NZ2050_final_energy!$D$21:$K$21</c:f>
              <c:numCache>
                <c:formatCode>General</c:formatCode>
                <c:ptCount val="8"/>
                <c:pt idx="0">
                  <c:v>0</c:v>
                </c:pt>
                <c:pt idx="1">
                  <c:v>1.864652119E-3</c:v>
                </c:pt>
                <c:pt idx="2">
                  <c:v>1.706966054199999E-2</c:v>
                </c:pt>
                <c:pt idx="3">
                  <c:v>7.6573497048999989E-2</c:v>
                </c:pt>
                <c:pt idx="4">
                  <c:v>0.2006515263169999</c:v>
                </c:pt>
                <c:pt idx="5">
                  <c:v>0.38788884397700002</c:v>
                </c:pt>
                <c:pt idx="6">
                  <c:v>0.58702184682999903</c:v>
                </c:pt>
                <c:pt idx="7">
                  <c:v>0.93434504097040005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21-4675-8B34-4EC84092BAD4}"/>
            </c:ext>
          </c:extLst>
        </c:ser>
        <c:ser>
          <c:idx val="6"/>
          <c:order val="9"/>
          <c:tx>
            <c:strRef>
              <c:f>NZ2050_final_energy!$C$22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NZ2050_final_energy!$D$22:$K$22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3.7171465460199997E-2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97-4E4E-8803-E9660A48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85540576"/>
        <c:axId val="1983287408"/>
      </c:barChart>
      <c:catAx>
        <c:axId val="19855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7408"/>
        <c:crosses val="autoZero"/>
        <c:auto val="1"/>
        <c:lblAlgn val="ctr"/>
        <c:lblOffset val="100"/>
        <c:noMultiLvlLbl val="0"/>
      </c:catAx>
      <c:valAx>
        <c:axId val="1983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55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NZ2050_final_energy!$C$42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NZ2050_final_energy!$D$41:$K$41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NZ2050_final_energy!$D$42:$K$42</c:f>
              <c:numCache>
                <c:formatCode>General</c:formatCode>
                <c:ptCount val="8"/>
                <c:pt idx="0">
                  <c:v>0.28370590000000001</c:v>
                </c:pt>
                <c:pt idx="1">
                  <c:v>0.26397199999999998</c:v>
                </c:pt>
                <c:pt idx="2">
                  <c:v>0.22406372999999999</c:v>
                </c:pt>
                <c:pt idx="3">
                  <c:v>0.18712598</c:v>
                </c:pt>
                <c:pt idx="4">
                  <c:v>0.13419935</c:v>
                </c:pt>
                <c:pt idx="5">
                  <c:v>7.5966869999999895E-2</c:v>
                </c:pt>
                <c:pt idx="6">
                  <c:v>2.6224580000000001E-2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5-45DD-9C8C-C01150A7CE83}"/>
            </c:ext>
          </c:extLst>
        </c:ser>
        <c:ser>
          <c:idx val="1"/>
          <c:order val="1"/>
          <c:tx>
            <c:strRef>
              <c:f>NZ2050_final_energy!$C$43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NZ2050_final_energy!$D$41:$K$41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NZ2050_final_energy!$D$43:$K$43</c:f>
              <c:numCache>
                <c:formatCode>General</c:formatCode>
                <c:ptCount val="8"/>
                <c:pt idx="0">
                  <c:v>2.74183E-2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F5-45DD-9C8C-C01150A7CE83}"/>
            </c:ext>
          </c:extLst>
        </c:ser>
        <c:ser>
          <c:idx val="2"/>
          <c:order val="2"/>
          <c:tx>
            <c:strRef>
              <c:f>NZ2050_final_energy!$C$44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NZ2050_final_energy!$D$41:$K$41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NZ2050_final_energy!$D$44:$K$44</c:f>
              <c:numCache>
                <c:formatCode>General</c:formatCode>
                <c:ptCount val="8"/>
                <c:pt idx="0">
                  <c:v>0.49998670000000001</c:v>
                </c:pt>
                <c:pt idx="1">
                  <c:v>0.48749199999999998</c:v>
                </c:pt>
                <c:pt idx="2">
                  <c:v>0.49249769999999998</c:v>
                </c:pt>
                <c:pt idx="3">
                  <c:v>0.49285949999999901</c:v>
                </c:pt>
                <c:pt idx="4">
                  <c:v>0.44114815000000002</c:v>
                </c:pt>
                <c:pt idx="5">
                  <c:v>0.33768131000000001</c:v>
                </c:pt>
                <c:pt idx="6">
                  <c:v>0.22529601999999899</c:v>
                </c:pt>
                <c:pt idx="7">
                  <c:v>5.3562440000000003E-2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F5-45DD-9C8C-C01150A7CE83}"/>
            </c:ext>
          </c:extLst>
        </c:ser>
        <c:ser>
          <c:idx val="3"/>
          <c:order val="3"/>
          <c:tx>
            <c:strRef>
              <c:f>NZ2050_final_energy!$C$45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NZ2050_final_energy!$D$41:$K$41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NZ2050_final_energy!$D$45:$K$45</c:f>
              <c:numCache>
                <c:formatCode>General</c:formatCode>
                <c:ptCount val="8"/>
                <c:pt idx="0">
                  <c:v>7.0219599999999993E-2</c:v>
                </c:pt>
                <c:pt idx="1">
                  <c:v>0.11090102</c:v>
                </c:pt>
                <c:pt idx="2">
                  <c:v>0.1333638</c:v>
                </c:pt>
                <c:pt idx="3">
                  <c:v>0.10900367</c:v>
                </c:pt>
                <c:pt idx="4">
                  <c:v>6.6913292999999999E-2</c:v>
                </c:pt>
                <c:pt idx="5">
                  <c:v>2.6521343999999999E-2</c:v>
                </c:pt>
                <c:pt idx="6">
                  <c:v>1.0001451E-2</c:v>
                </c:pt>
                <c:pt idx="7">
                  <c:v>7.3355454999999995E-4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F5-45DD-9C8C-C01150A7CE83}"/>
            </c:ext>
          </c:extLst>
        </c:ser>
        <c:ser>
          <c:idx val="4"/>
          <c:order val="4"/>
          <c:tx>
            <c:strRef>
              <c:f>NZ2050_final_energy!$C$46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NZ2050_final_energy!$D$41:$K$41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NZ2050_final_energy!$D$46:$K$46</c:f>
              <c:numCache>
                <c:formatCode>General</c:formatCode>
                <c:ptCount val="8"/>
                <c:pt idx="0">
                  <c:v>0.75474359999999996</c:v>
                </c:pt>
                <c:pt idx="1">
                  <c:v>0.83575790000000005</c:v>
                </c:pt>
                <c:pt idx="2">
                  <c:v>0.84700430000000004</c:v>
                </c:pt>
                <c:pt idx="3">
                  <c:v>0.89253179999999999</c:v>
                </c:pt>
                <c:pt idx="4">
                  <c:v>0.96867130000000001</c:v>
                </c:pt>
                <c:pt idx="5">
                  <c:v>1.0869740000000001</c:v>
                </c:pt>
                <c:pt idx="6">
                  <c:v>1.1818633999999999</c:v>
                </c:pt>
                <c:pt idx="7">
                  <c:v>1.3067738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F5-45DD-9C8C-C01150A7C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757350336"/>
        <c:axId val="1983284912"/>
      </c:barChart>
      <c:catAx>
        <c:axId val="175735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4912"/>
        <c:crosses val="autoZero"/>
        <c:auto val="1"/>
        <c:lblAlgn val="ctr"/>
        <c:lblOffset val="100"/>
        <c:noMultiLvlLbl val="0"/>
      </c:catAx>
      <c:valAx>
        <c:axId val="198328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75735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NZ2050_final_energy!$C$83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NZ2050_final_energy!$D$83:$K$83</c:f>
              <c:numCache>
                <c:formatCode>General</c:formatCode>
                <c:ptCount val="8"/>
                <c:pt idx="0">
                  <c:v>1.5739946128978606</c:v>
                </c:pt>
                <c:pt idx="1">
                  <c:v>1.6019846350023563</c:v>
                </c:pt>
                <c:pt idx="2">
                  <c:v>1.45804170507817</c:v>
                </c:pt>
                <c:pt idx="3">
                  <c:v>1.2302316355840088</c:v>
                </c:pt>
                <c:pt idx="4">
                  <c:v>0.99682689505627686</c:v>
                </c:pt>
                <c:pt idx="5">
                  <c:v>0.76425599730899685</c:v>
                </c:pt>
                <c:pt idx="6">
                  <c:v>0.57559620245413412</c:v>
                </c:pt>
                <c:pt idx="7">
                  <c:v>0.36701119217501382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9-43E9-B835-6B94F0E899D7}"/>
            </c:ext>
          </c:extLst>
        </c:ser>
        <c:ser>
          <c:idx val="1"/>
          <c:order val="1"/>
          <c:tx>
            <c:strRef>
              <c:f>NZ2050_final_energy!$C$84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NZ2050_final_energy!$D$84:$K$84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09-43E9-B835-6B94F0E899D7}"/>
            </c:ext>
          </c:extLst>
        </c:ser>
        <c:ser>
          <c:idx val="2"/>
          <c:order val="2"/>
          <c:tx>
            <c:strRef>
              <c:f>NZ2050_final_energy!$C$85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NZ2050_final_energy!$D$85:$K$85</c:f>
              <c:numCache>
                <c:formatCode>General</c:formatCode>
                <c:ptCount val="8"/>
                <c:pt idx="0">
                  <c:v>4.8721894000000002E-2</c:v>
                </c:pt>
                <c:pt idx="1">
                  <c:v>6.7300047000000002E-2</c:v>
                </c:pt>
                <c:pt idx="2">
                  <c:v>7.3576790999999905E-2</c:v>
                </c:pt>
                <c:pt idx="3">
                  <c:v>7.2004783499999905E-2</c:v>
                </c:pt>
                <c:pt idx="4">
                  <c:v>6.84742344E-2</c:v>
                </c:pt>
                <c:pt idx="5">
                  <c:v>6.7133859000000004E-2</c:v>
                </c:pt>
                <c:pt idx="6">
                  <c:v>6.3491097999999996E-2</c:v>
                </c:pt>
                <c:pt idx="7">
                  <c:v>5.35113781E-2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09-43E9-B835-6B94F0E899D7}"/>
            </c:ext>
          </c:extLst>
        </c:ser>
        <c:ser>
          <c:idx val="3"/>
          <c:order val="3"/>
          <c:tx>
            <c:strRef>
              <c:f>NZ2050_final_energy!$C$86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NZ2050_final_energy!$D$86:$K$86</c:f>
              <c:numCache>
                <c:formatCode>General</c:formatCode>
                <c:ptCount val="8"/>
                <c:pt idx="0">
                  <c:v>7.3232271952741856E-3</c:v>
                </c:pt>
                <c:pt idx="1">
                  <c:v>9.4286073078797931E-3</c:v>
                </c:pt>
                <c:pt idx="2">
                  <c:v>1.0519127092084673E-2</c:v>
                </c:pt>
                <c:pt idx="3">
                  <c:v>9.4233467370425667E-3</c:v>
                </c:pt>
                <c:pt idx="4">
                  <c:v>1.3791733085197594E-2</c:v>
                </c:pt>
                <c:pt idx="5">
                  <c:v>2.6151228027067295E-2</c:v>
                </c:pt>
                <c:pt idx="6">
                  <c:v>5.026556236319938E-2</c:v>
                </c:pt>
                <c:pt idx="7">
                  <c:v>6.8331069436099845E-2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09-43E9-B835-6B94F0E899D7}"/>
            </c:ext>
          </c:extLst>
        </c:ser>
        <c:ser>
          <c:idx val="4"/>
          <c:order val="4"/>
          <c:tx>
            <c:strRef>
              <c:f>NZ2050_final_energy!$C$87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NZ2050_final_energy!$D$87:$K$87</c:f>
              <c:numCache>
                <c:formatCode>General</c:formatCode>
                <c:ptCount val="8"/>
                <c:pt idx="0">
                  <c:v>7.9864199999999993E-3</c:v>
                </c:pt>
                <c:pt idx="1">
                  <c:v>1.23283883999999E-2</c:v>
                </c:pt>
                <c:pt idx="2">
                  <c:v>4.2165750899999903E-2</c:v>
                </c:pt>
                <c:pt idx="3">
                  <c:v>7.439725237E-2</c:v>
                </c:pt>
                <c:pt idx="4">
                  <c:v>0.10268123182</c:v>
                </c:pt>
                <c:pt idx="5">
                  <c:v>0.121971401199999</c:v>
                </c:pt>
                <c:pt idx="6">
                  <c:v>0.13403615959000001</c:v>
                </c:pt>
                <c:pt idx="7">
                  <c:v>0.14804438504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09-43E9-B835-6B94F0E899D7}"/>
            </c:ext>
          </c:extLst>
        </c:ser>
        <c:ser>
          <c:idx val="5"/>
          <c:order val="5"/>
          <c:tx>
            <c:strRef>
              <c:f>NZ2050_final_energy!$C$88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NZ2050_final_energy!$D$82:$K$82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NZ2050_final_energy!$D$88:$K$88</c:f>
              <c:numCache>
                <c:formatCode>General</c:formatCode>
                <c:ptCount val="8"/>
                <c:pt idx="0">
                  <c:v>0</c:v>
                </c:pt>
                <c:pt idx="1">
                  <c:v>7.7505399999999996E-4</c:v>
                </c:pt>
                <c:pt idx="2">
                  <c:v>1.11103508E-2</c:v>
                </c:pt>
                <c:pt idx="3">
                  <c:v>3.1545453000000001E-2</c:v>
                </c:pt>
                <c:pt idx="4">
                  <c:v>6.0471210499999997E-2</c:v>
                </c:pt>
                <c:pt idx="5">
                  <c:v>9.7870686390000003E-2</c:v>
                </c:pt>
                <c:pt idx="6">
                  <c:v>0.12467771128999899</c:v>
                </c:pt>
                <c:pt idx="7">
                  <c:v>0.14900690700999999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09-43E9-B835-6B94F0E8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985540576"/>
        <c:axId val="1983287408"/>
      </c:barChart>
      <c:catAx>
        <c:axId val="198554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3287408"/>
        <c:crosses val="autoZero"/>
        <c:auto val="1"/>
        <c:lblAlgn val="ctr"/>
        <c:lblOffset val="100"/>
        <c:noMultiLvlLbl val="0"/>
      </c:catAx>
      <c:valAx>
        <c:axId val="19832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98554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NZ2050_final_energy!$C$53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NZ2050_final_energy!$D$53:$K$53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232.15497222222157</c:v>
                </c:pt>
                <c:pt idx="2">
                  <c:v>235.27897222222157</c:v>
                </c:pt>
                <c:pt idx="3">
                  <c:v>247.92549999999929</c:v>
                </c:pt>
                <c:pt idx="4">
                  <c:v>269.07536111111034</c:v>
                </c:pt>
                <c:pt idx="5">
                  <c:v>301.93722222222141</c:v>
                </c:pt>
                <c:pt idx="6">
                  <c:v>328.29538888888789</c:v>
                </c:pt>
                <c:pt idx="7">
                  <c:v>362.99272222222118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E-4C1A-988E-6F392F11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326767"/>
        <c:axId val="336344415"/>
      </c:barChart>
      <c:lineChart>
        <c:grouping val="standard"/>
        <c:varyColors val="0"/>
        <c:ser>
          <c:idx val="1"/>
          <c:order val="1"/>
          <c:tx>
            <c:strRef>
              <c:f>NZ2050_final_energy!$C$54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NZ2050_final_energy!$D$54:$K$54</c:f>
              <c:numCache>
                <c:formatCode>General</c:formatCode>
                <c:ptCount val="8"/>
                <c:pt idx="0">
                  <c:v>215.84400772001726</c:v>
                </c:pt>
                <c:pt idx="1">
                  <c:v>237.46560821001901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CE-4C1A-988E-6F392F113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26767"/>
        <c:axId val="33634441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NZ2050_final_energy!$C$55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NZ2050_final_energy!$D$52:$K$52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NZ2050_final_energy!$D$55:$K$55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255.86000000002048</c:v>
                      </c:pt>
                      <c:pt idx="3">
                        <c:v>279.12000000002229</c:v>
                      </c:pt>
                      <c:pt idx="4">
                        <c:v>290.75000000002325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CE-4C1A-988E-6F392F113784}"/>
                  </c:ext>
                </c:extLst>
              </c15:ser>
            </c15:filteredLineSeries>
          </c:ext>
        </c:extLst>
      </c:lineChart>
      <c:catAx>
        <c:axId val="3423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44415"/>
        <c:crosses val="autoZero"/>
        <c:auto val="1"/>
        <c:lblAlgn val="ctr"/>
        <c:lblOffset val="100"/>
        <c:noMultiLvlLbl val="0"/>
      </c:catAx>
      <c:valAx>
        <c:axId val="3363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23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NZ2050_final_energy!$C$119</c:f>
              <c:strCache>
                <c:ptCount val="1"/>
                <c:pt idx="0">
                  <c:v>GCAM_road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NZ2050_final_energy!$D$119:$K$119</c:f>
              <c:numCache>
                <c:formatCode>0.00E+00</c:formatCode>
                <c:ptCount val="8"/>
                <c:pt idx="0" formatCode="General">
                  <c:v>0</c:v>
                </c:pt>
                <c:pt idx="1">
                  <c:v>0.77355233333333395</c:v>
                </c:pt>
                <c:pt idx="2" formatCode="General">
                  <c:v>7.6138002500000059</c:v>
                </c:pt>
                <c:pt idx="3" formatCode="General">
                  <c:v>15.942578436111123</c:v>
                </c:pt>
                <c:pt idx="4" formatCode="General">
                  <c:v>23.520797727777772</c:v>
                </c:pt>
                <c:pt idx="5" formatCode="General">
                  <c:v>28.992841999999996</c:v>
                </c:pt>
                <c:pt idx="6" formatCode="General">
                  <c:v>32.502708219444465</c:v>
                </c:pt>
                <c:pt idx="7" formatCode="General">
                  <c:v>36.187095844444471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B-4237-85BF-2F5E625688E9}"/>
            </c:ext>
          </c:extLst>
        </c:ser>
        <c:ser>
          <c:idx val="0"/>
          <c:order val="1"/>
          <c:tx>
            <c:strRef>
              <c:f>NZ2050_final_energy!$C$118</c:f>
              <c:strCache>
                <c:ptCount val="1"/>
                <c:pt idx="0">
                  <c:v>GCAM_nonroad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NZ2050_final_energy!$D$117:$K$117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NZ2050_final_energy!$D$118:$K$118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2.651000000000002</c:v>
                </c:pt>
                <c:pt idx="2">
                  <c:v>4.0989083333333367</c:v>
                </c:pt>
                <c:pt idx="3">
                  <c:v>4.7233250000000035</c:v>
                </c:pt>
                <c:pt idx="4">
                  <c:v>5.0017666666666702</c:v>
                </c:pt>
                <c:pt idx="5">
                  <c:v>4.8881027777777826</c:v>
                </c:pt>
                <c:pt idx="6">
                  <c:v>4.7295583333333369</c:v>
                </c:pt>
                <c:pt idx="7">
                  <c:v>4.9363444444444484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6-4A3D-8ECA-56701156A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633727"/>
        <c:axId val="2049052319"/>
      </c:barChart>
      <c:lineChart>
        <c:grouping val="standard"/>
        <c:varyColors val="0"/>
        <c:ser>
          <c:idx val="1"/>
          <c:order val="2"/>
          <c:tx>
            <c:strRef>
              <c:f>NZ2050_final_energy!$C$120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NZ2050_final_energy!$D$117:$K$117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NZ2050_final_energy!$D$120:$K$120</c:f>
              <c:numCache>
                <c:formatCode>General</c:formatCode>
                <c:ptCount val="8"/>
                <c:pt idx="0">
                  <c:v>2.2170501600001775</c:v>
                </c:pt>
                <c:pt idx="1">
                  <c:v>3.1550445500002526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6-4A3D-8ECA-56701156A6B3}"/>
            </c:ext>
          </c:extLst>
        </c:ser>
        <c:ser>
          <c:idx val="3"/>
          <c:order val="4"/>
          <c:tx>
            <c:strRef>
              <c:f>NZ2050_final_energy!$C$122</c:f>
              <c:strCache>
                <c:ptCount val="1"/>
                <c:pt idx="0">
                  <c:v>10차전기차전력수요전망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f>NZ2050_final_energy!$D$117:$K$117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NZ2050_final_energy!$D$122:$H$122</c:f>
              <c:numCache>
                <c:formatCode>General</c:formatCode>
                <c:ptCount val="5"/>
                <c:pt idx="2">
                  <c:v>4.4396342759666707</c:v>
                </c:pt>
                <c:pt idx="3">
                  <c:v>12.547346793385195</c:v>
                </c:pt>
                <c:pt idx="4">
                  <c:v>22.831912228696904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C-4ABE-83FF-38337D11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633727"/>
        <c:axId val="2049052319"/>
        <c:extLst>
          <c:ext xmlns:c15="http://schemas.microsoft.com/office/drawing/2012/chart" uri="{02D57815-91ED-43cb-92C2-25804820EDAC}">
            <c15:filteredLine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NZ2050_final_energy!$C$121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NZ2050_final_energy!$D$117:$K$117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NZ2050_final_energy!$D$121:$K$121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5.8150000000004658</c:v>
                      </c:pt>
                      <c:pt idx="3">
                        <c:v>11.630000000000932</c:v>
                      </c:pt>
                      <c:pt idx="4">
                        <c:v>17.445000000001393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C36-4A3D-8ECA-56701156A6B3}"/>
                  </c:ext>
                </c:extLst>
              </c15:ser>
            </c15:filteredLineSeries>
          </c:ext>
        </c:extLst>
      </c:lineChart>
      <c:catAx>
        <c:axId val="19676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2319"/>
        <c:crosses val="autoZero"/>
        <c:auto val="1"/>
        <c:lblAlgn val="ctr"/>
        <c:lblOffset val="100"/>
        <c:noMultiLvlLbl val="0"/>
      </c:catAx>
      <c:valAx>
        <c:axId val="20490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76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NZ2050_final_energy!$Z$3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NZ2050_final_energy!$AA$3:$AH$3</c:f>
              <c:numCache>
                <c:formatCode>General</c:formatCode>
                <c:ptCount val="8"/>
                <c:pt idx="0">
                  <c:v>488.39273422222084</c:v>
                </c:pt>
                <c:pt idx="1">
                  <c:v>530.07496160980008</c:v>
                </c:pt>
                <c:pt idx="2">
                  <c:v>563.88743580529342</c:v>
                </c:pt>
                <c:pt idx="3">
                  <c:v>601.60653213397654</c:v>
                </c:pt>
                <c:pt idx="4">
                  <c:v>656.47355206467</c:v>
                </c:pt>
                <c:pt idx="5">
                  <c:v>744.32843818483468</c:v>
                </c:pt>
                <c:pt idx="6">
                  <c:v>830.88642910868793</c:v>
                </c:pt>
                <c:pt idx="7">
                  <c:v>983.39055627319385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4-47F3-9F7C-33100348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326767"/>
        <c:axId val="336344415"/>
      </c:barChart>
      <c:lineChart>
        <c:grouping val="standard"/>
        <c:varyColors val="0"/>
        <c:ser>
          <c:idx val="1"/>
          <c:order val="1"/>
          <c:tx>
            <c:strRef>
              <c:f>NZ2050_final_energy!$Z$4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NZ2050_final_energy!$AA$4:$AH$4</c:f>
              <c:numCache>
                <c:formatCode>General</c:formatCode>
                <c:ptCount val="8"/>
                <c:pt idx="0">
                  <c:v>483.74186019000041</c:v>
                </c:pt>
                <c:pt idx="1">
                  <c:v>509.36137785000045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4-47F3-9F7C-331003482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26767"/>
        <c:axId val="336344415"/>
      </c:lineChart>
      <c:catAx>
        <c:axId val="3423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44415"/>
        <c:crosses val="autoZero"/>
        <c:auto val="1"/>
        <c:lblAlgn val="ctr"/>
        <c:lblOffset val="100"/>
        <c:noMultiLvlLbl val="0"/>
      </c:catAx>
      <c:valAx>
        <c:axId val="3363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23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NZ2050_final_energy!$V$169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NZ2050_final_energy!$W$169:$AD$169</c:f>
              <c:numCache>
                <c:formatCode>General</c:formatCode>
                <c:ptCount val="8"/>
                <c:pt idx="0">
                  <c:v>0</c:v>
                </c:pt>
                <c:pt idx="1">
                  <c:v>5.6771376468963103E-2</c:v>
                </c:pt>
                <c:pt idx="2">
                  <c:v>0.99413383029499747</c:v>
                </c:pt>
                <c:pt idx="3">
                  <c:v>6.2067242339783748</c:v>
                </c:pt>
                <c:pt idx="4">
                  <c:v>21.264898248005217</c:v>
                </c:pt>
                <c:pt idx="5">
                  <c:v>44.297591987615036</c:v>
                </c:pt>
                <c:pt idx="6">
                  <c:v>70.983147169801711</c:v>
                </c:pt>
                <c:pt idx="7">
                  <c:v>123.6736486990301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7-46F8-9208-2ACDEB021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255343"/>
        <c:axId val="2076755263"/>
      </c:barChar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CurPol_final_energy!$AB$60</c15:sqref>
                        </c15:formulaRef>
                      </c:ext>
                    </c:extLst>
                    <c:strCache>
                      <c:ptCount val="1"/>
                      <c:pt idx="0">
                        <c:v>Historical</c:v>
                      </c:pt>
                    </c:strCache>
                  </c:strRef>
                </c:tx>
                <c:spPr>
                  <a:ln w="28575" cap="rnd">
                    <a:solidFill>
                      <a:sysClr val="windowText" lastClr="0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ysClr val="windowText" lastClr="000000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CurPol_final_energy!$AB$2:$AI$2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CurPol_final_energy!$AC$60:$AJ$60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2.2170501600000021</c:v>
                      </c:pt>
                      <c:pt idx="1">
                        <c:v>3.1550445500000026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647-46F8-9208-2ACDEB021E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CurPol_final_energy!$AB$61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CurPol_final_energy!$AB$2:$AI$2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CurPol_final_energy!$AC$61:$AJ$61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5.8150000000000048</c:v>
                      </c:pt>
                      <c:pt idx="3">
                        <c:v>11.63000000000001</c:v>
                      </c:pt>
                      <c:pt idx="4">
                        <c:v>17.445000000000014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647-46F8-9208-2ACDEB021E55}"/>
                  </c:ext>
                </c:extLst>
              </c15:ser>
            </c15:filteredLineSeries>
          </c:ext>
        </c:extLst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수소차 수소 소비량</a:t>
            </a:r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NZ2050_final_energy!$AG$204</c:f>
              <c:strCache>
                <c:ptCount val="1"/>
                <c:pt idx="0">
                  <c:v>CurPol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NZ2050_final_energy!$AH$203:$AO$203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NZ2050_final_energy!$AH$204:$AO$204</c:f>
              <c:numCache>
                <c:formatCode>General</c:formatCode>
                <c:ptCount val="8"/>
                <c:pt idx="0">
                  <c:v>0</c:v>
                </c:pt>
                <c:pt idx="1">
                  <c:v>3.7311720000000003E-4</c:v>
                </c:pt>
                <c:pt idx="2">
                  <c:v>4.5479658700000002E-3</c:v>
                </c:pt>
                <c:pt idx="3">
                  <c:v>1.3030372809999989E-2</c:v>
                </c:pt>
                <c:pt idx="4">
                  <c:v>2.4097531149999997E-2</c:v>
                </c:pt>
                <c:pt idx="5">
                  <c:v>3.7668685100000002E-2</c:v>
                </c:pt>
                <c:pt idx="6">
                  <c:v>4.5427206649999899E-2</c:v>
                </c:pt>
                <c:pt idx="7">
                  <c:v>5.0200330180000002E-2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96-4D3A-B430-35A736366BF2}"/>
            </c:ext>
          </c:extLst>
        </c:ser>
        <c:ser>
          <c:idx val="0"/>
          <c:order val="3"/>
          <c:tx>
            <c:strRef>
              <c:f>NZ2050_final_energy!$AG$205</c:f>
              <c:strCache>
                <c:ptCount val="1"/>
                <c:pt idx="0">
                  <c:v>NZ2050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NZ2050_final_energy!$AH$203:$AO$203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NZ2050_final_energy!$AH$205:$AO$205</c:f>
              <c:numCache>
                <c:formatCode>General</c:formatCode>
                <c:ptCount val="8"/>
                <c:pt idx="0">
                  <c:v>0</c:v>
                </c:pt>
                <c:pt idx="1">
                  <c:v>7.7505400000000006E-4</c:v>
                </c:pt>
                <c:pt idx="2">
                  <c:v>1.1110350799999998E-2</c:v>
                </c:pt>
                <c:pt idx="3">
                  <c:v>3.1545453000000001E-2</c:v>
                </c:pt>
                <c:pt idx="4">
                  <c:v>6.0471210499999997E-2</c:v>
                </c:pt>
                <c:pt idx="5">
                  <c:v>9.7870686389999989E-2</c:v>
                </c:pt>
                <c:pt idx="6">
                  <c:v>0.1246777112899999</c:v>
                </c:pt>
                <c:pt idx="7">
                  <c:v>0.14900690700999991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96-4D3A-B430-35A73636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1255343"/>
        <c:axId val="20767552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CurPol_final_energy!$AB$60</c15:sqref>
                        </c15:formulaRef>
                      </c:ext>
                    </c:extLst>
                    <c:strCache>
                      <c:ptCount val="1"/>
                      <c:pt idx="0">
                        <c:v>Historical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solidFill>
                      <a:sysClr val="windowText" lastClr="00000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NZ2050_final_energy!$AH$203:$AO$203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CurPol_final_energy!$AC$60:$AJ$60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2.2170501600000021</c:v>
                      </c:pt>
                      <c:pt idx="1">
                        <c:v>3.1550445500000026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4996-4D3A-B430-35A736366BF2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CurPol_final_energy!$AB$61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NZ2050_final_energy!$AH$203:$AO$203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CurPol_final_energy!$AC$61:$AJ$61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5.8150000000000048</c:v>
                      </c:pt>
                      <c:pt idx="3">
                        <c:v>11.63000000000001</c:v>
                      </c:pt>
                      <c:pt idx="4">
                        <c:v>17.445000000000014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96-4D3A-B430-35A736366BF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4"/>
          <c:order val="4"/>
          <c:tx>
            <c:strRef>
              <c:f>NZ2050_final_energy!$AG$206</c:f>
              <c:strCache>
                <c:ptCount val="1"/>
                <c:pt idx="0">
                  <c:v>수소경제이행기본계획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3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4996-4D3A-B430-35A736366BF2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4996-4D3A-B430-35A736366BF2}"/>
              </c:ext>
            </c:extLst>
          </c:dPt>
          <c:cat>
            <c:numRef>
              <c:f>NZ2050_final_energy!$AH$203:$AO$203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NZ2050_final_energy!$AH$206:$AO$206</c:f>
              <c:numCache>
                <c:formatCode>General</c:formatCode>
                <c:ptCount val="8"/>
                <c:pt idx="3">
                  <c:v>4.5239999999999995E-2</c:v>
                </c:pt>
                <c:pt idx="4">
                  <c:v>9.9929999999999991E-2</c:v>
                </c:pt>
                <c:pt idx="5">
                  <c:v>0.15462000000000001</c:v>
                </c:pt>
                <c:pt idx="6">
                  <c:v>0.20931</c:v>
                </c:pt>
                <c:pt idx="7">
                  <c:v>0.26400000000000001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96-4D3A-B430-35A736366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 sz="1000"/>
              <a:t>CurPol</a:t>
            </a:r>
            <a:endParaRPr lang="ko-KR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'CurPol_industry_final_energ (2)'!$C$86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'CurPol_industry_final_energ (2)'!$D$86:$K$86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1.9850891000000002</c:v>
                </c:pt>
                <c:pt idx="2">
                  <c:v>2.2530025999999999</c:v>
                </c:pt>
                <c:pt idx="3">
                  <c:v>2.3825039000000001</c:v>
                </c:pt>
                <c:pt idx="4">
                  <c:v>2.4897277999999998</c:v>
                </c:pt>
                <c:pt idx="5">
                  <c:v>2.6092398999999999</c:v>
                </c:pt>
                <c:pt idx="6">
                  <c:v>2.7351595999999998</c:v>
                </c:pt>
                <c:pt idx="7">
                  <c:v>2.8673322000000003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5-49C9-B16D-44AFEC5772EB}"/>
            </c:ext>
          </c:extLst>
        </c:ser>
        <c:ser>
          <c:idx val="7"/>
          <c:order val="1"/>
          <c:tx>
            <c:strRef>
              <c:f>'CurPol_industry_final_energ (2)'!$C$85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(2)'!$D$85:$K$85</c:f>
              <c:numCache>
                <c:formatCode>0.00000000_ </c:formatCode>
                <c:ptCount val="8"/>
                <c:pt idx="0">
                  <c:v>0.27855717000000046</c:v>
                </c:pt>
                <c:pt idx="1">
                  <c:v>0.28297087692999945</c:v>
                </c:pt>
                <c:pt idx="2">
                  <c:v>0.29419816906999996</c:v>
                </c:pt>
                <c:pt idx="3">
                  <c:v>0.29885008092999943</c:v>
                </c:pt>
                <c:pt idx="4">
                  <c:v>0.29242964171000008</c:v>
                </c:pt>
                <c:pt idx="5">
                  <c:v>0.28245732336000051</c:v>
                </c:pt>
                <c:pt idx="6">
                  <c:v>0.2704710127900003</c:v>
                </c:pt>
                <c:pt idx="7">
                  <c:v>0.26078885726000012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5-49C9-B16D-44AFEC5772EB}"/>
            </c:ext>
          </c:extLst>
        </c:ser>
        <c:ser>
          <c:idx val="5"/>
          <c:order val="2"/>
          <c:tx>
            <c:strRef>
              <c:f>'CurPol_industry_final_energ (2)'!$C$83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(2)'!$D$83:$K$83</c:f>
              <c:numCache>
                <c:formatCode>General</c:formatCode>
                <c:ptCount val="8"/>
                <c:pt idx="0">
                  <c:v>1.3146941000000001</c:v>
                </c:pt>
                <c:pt idx="1">
                  <c:v>1.3009410299999997</c:v>
                </c:pt>
                <c:pt idx="2">
                  <c:v>1.422541563</c:v>
                </c:pt>
                <c:pt idx="3">
                  <c:v>1.4164904219999981</c:v>
                </c:pt>
                <c:pt idx="4">
                  <c:v>1.3561167170000001</c:v>
                </c:pt>
                <c:pt idx="5">
                  <c:v>1.3013789390000001</c:v>
                </c:pt>
                <c:pt idx="6">
                  <c:v>1.1974313574999997</c:v>
                </c:pt>
                <c:pt idx="7">
                  <c:v>1.0392079328999988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5-49C9-B16D-44AFEC5772EB}"/>
            </c:ext>
          </c:extLst>
        </c:ser>
        <c:ser>
          <c:idx val="4"/>
          <c:order val="3"/>
          <c:tx>
            <c:strRef>
              <c:f>'CurPol_industry_final_energ (2)'!$C$82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(2)'!$D$82:$K$82</c:f>
              <c:numCache>
                <c:formatCode>General</c:formatCode>
                <c:ptCount val="8"/>
                <c:pt idx="0">
                  <c:v>0.351054119</c:v>
                </c:pt>
                <c:pt idx="1">
                  <c:v>0.37503883769999991</c:v>
                </c:pt>
                <c:pt idx="2">
                  <c:v>0.42245675659999982</c:v>
                </c:pt>
                <c:pt idx="3">
                  <c:v>0.44892933896999987</c:v>
                </c:pt>
                <c:pt idx="4">
                  <c:v>0.45735282459999993</c:v>
                </c:pt>
                <c:pt idx="5">
                  <c:v>0.44960898909999897</c:v>
                </c:pt>
                <c:pt idx="6">
                  <c:v>0.45970136889999996</c:v>
                </c:pt>
                <c:pt idx="7">
                  <c:v>0.48474711708999896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5-49C9-B16D-44AFEC5772EB}"/>
            </c:ext>
          </c:extLst>
        </c:ser>
        <c:ser>
          <c:idx val="3"/>
          <c:order val="4"/>
          <c:tx>
            <c:strRef>
              <c:f>'CurPol_industry_final_energ (2)'!$C$81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(2)'!$D$81:$K$81</c:f>
              <c:numCache>
                <c:formatCode>General</c:formatCode>
                <c:ptCount val="8"/>
                <c:pt idx="0">
                  <c:v>0.16462779999999999</c:v>
                </c:pt>
                <c:pt idx="1">
                  <c:v>0.17827355799999986</c:v>
                </c:pt>
                <c:pt idx="2">
                  <c:v>0.20278247299999996</c:v>
                </c:pt>
                <c:pt idx="3">
                  <c:v>0.21898496499999892</c:v>
                </c:pt>
                <c:pt idx="4">
                  <c:v>0.237948566</c:v>
                </c:pt>
                <c:pt idx="5">
                  <c:v>0.25810660499999999</c:v>
                </c:pt>
                <c:pt idx="6">
                  <c:v>0.26928811299999988</c:v>
                </c:pt>
                <c:pt idx="7">
                  <c:v>0.28084441439999996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C5-49C9-B16D-44AFEC5772EB}"/>
            </c:ext>
          </c:extLst>
        </c:ser>
        <c:ser>
          <c:idx val="2"/>
          <c:order val="5"/>
          <c:tx>
            <c:strRef>
              <c:f>'CurPol_industry_final_energ (2)'!$C$80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(2)'!$D$80:$K$80</c:f>
              <c:numCache>
                <c:formatCode>0.00E+00</c:formatCode>
                <c:ptCount val="8"/>
                <c:pt idx="0">
                  <c:v>0.99548382320000017</c:v>
                </c:pt>
                <c:pt idx="1">
                  <c:v>1.0594386492799996</c:v>
                </c:pt>
                <c:pt idx="2">
                  <c:v>1.1809540183499998</c:v>
                </c:pt>
                <c:pt idx="3">
                  <c:v>1.2054159267400002</c:v>
                </c:pt>
                <c:pt idx="4">
                  <c:v>1.2188123106599991</c:v>
                </c:pt>
                <c:pt idx="5">
                  <c:v>1.2408604874699989</c:v>
                </c:pt>
                <c:pt idx="6">
                  <c:v>1.2836595204399979</c:v>
                </c:pt>
                <c:pt idx="7">
                  <c:v>1.3521601895699993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C5-49C9-B16D-44AFEC5772EB}"/>
            </c:ext>
          </c:extLst>
        </c:ser>
        <c:ser>
          <c:idx val="1"/>
          <c:order val="6"/>
          <c:tx>
            <c:strRef>
              <c:f>'CurPol_industry_final_energ (2)'!$C$79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'CurPol_industry_final_energ (2)'!$D$78:$K$78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(2)'!$D$79:$K$79</c:f>
              <c:numCache>
                <c:formatCode>General</c:formatCode>
                <c:ptCount val="8"/>
                <c:pt idx="0">
                  <c:v>0</c:v>
                </c:pt>
                <c:pt idx="1">
                  <c:v>1.0973632649999999E-3</c:v>
                </c:pt>
                <c:pt idx="2">
                  <c:v>6.471352457099999E-3</c:v>
                </c:pt>
                <c:pt idx="3">
                  <c:v>1.85282606042E-2</c:v>
                </c:pt>
                <c:pt idx="4">
                  <c:v>5.2443404405899993E-2</c:v>
                </c:pt>
                <c:pt idx="5">
                  <c:v>0.1054553967841</c:v>
                </c:pt>
                <c:pt idx="6">
                  <c:v>0.15494520138019999</c:v>
                </c:pt>
                <c:pt idx="7">
                  <c:v>0.20799971959122979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C5-49C9-B16D-44AFEC577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lineChart>
        <c:grouping val="standard"/>
        <c:varyColors val="0"/>
        <c:ser>
          <c:idx val="6"/>
          <c:order val="7"/>
          <c:tx>
            <c:strRef>
              <c:f>'CurPol_industry_final_energ (2)'!$C$88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'CurPol_industry_final_energ (2)'!$D$88:$K$88</c:f>
              <c:numCache>
                <c:formatCode>General</c:formatCode>
                <c:ptCount val="8"/>
                <c:pt idx="0">
                  <c:v>5.2851150156959275</c:v>
                </c:pt>
                <c:pt idx="1">
                  <c:v>5.443129143795634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C5-49C9-B16D-44AFEC5772EB}"/>
            </c:ext>
          </c:extLst>
        </c:ser>
        <c:ser>
          <c:idx val="8"/>
          <c:order val="8"/>
          <c:tx>
            <c:strRef>
              <c:f>'CurPol_industry_final_energ (2)'!$C$89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'CurPol_industry_final_energ (2)'!$D$89:$K$89</c:f>
              <c:numCache>
                <c:formatCode>General</c:formatCode>
                <c:ptCount val="8"/>
                <c:pt idx="2">
                  <c:v>6.2173980000000002</c:v>
                </c:pt>
                <c:pt idx="3">
                  <c:v>6.6988799999999999</c:v>
                </c:pt>
                <c:pt idx="4">
                  <c:v>6.7616820000000004</c:v>
                </c:pt>
                <c:pt idx="5">
                  <c:v>6.824484</c:v>
                </c:pt>
                <c:pt idx="6">
                  <c:v>6.7826160000000009</c:v>
                </c:pt>
                <c:pt idx="7">
                  <c:v>6.7407480000000009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C5-49C9-B16D-44AFEC577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1947471"/>
        <c:axId val="1398022239"/>
      </c:line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</a:p>
              <a:p>
                <a:pPr>
                  <a:defRPr/>
                </a:pP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(2)'!$O$80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'CurPol_industry_final_energ (2)'!$P$79:$W$79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(2)'!$P$80:$W$80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294.28851368888792</c:v>
                </c:pt>
                <c:pt idx="2">
                  <c:v>328.04278287499898</c:v>
                </c:pt>
                <c:pt idx="3">
                  <c:v>334.83775742777686</c:v>
                </c:pt>
                <c:pt idx="4">
                  <c:v>338.55897518333211</c:v>
                </c:pt>
                <c:pt idx="5">
                  <c:v>344.68346874166537</c:v>
                </c:pt>
                <c:pt idx="6">
                  <c:v>356.57208901110948</c:v>
                </c:pt>
                <c:pt idx="7">
                  <c:v>375.60005265833206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A-40D1-BC0A-A9E50FC1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0099535"/>
        <c:axId val="336358559"/>
      </c:barChart>
      <c:lineChart>
        <c:grouping val="standard"/>
        <c:varyColors val="0"/>
        <c:ser>
          <c:idx val="1"/>
          <c:order val="1"/>
          <c:tx>
            <c:strRef>
              <c:f>'CurPol_industry_final_energ (2)'!$O$81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'CurPol_industry_final_energ (2)'!$P$79:$W$79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(2)'!$P$81:$W$81</c:f>
              <c:numCache>
                <c:formatCode>General</c:formatCode>
                <c:ptCount val="8"/>
                <c:pt idx="0">
                  <c:v>265.68080231002131</c:v>
                </c:pt>
                <c:pt idx="1">
                  <c:v>268.7407250900215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3A-40D1-BC0A-A9E50FC1C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099535"/>
        <c:axId val="3363585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'CurPol_industry_final_energ (2)'!$O$82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'CurPol_industry_final_energ (2)'!$P$79:$W$79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'CurPol_industry_final_energ (2)'!$P$82:$W$82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302.38000000002415</c:v>
                      </c:pt>
                      <c:pt idx="3">
                        <c:v>337.27000000002698</c:v>
                      </c:pt>
                      <c:pt idx="4">
                        <c:v>348.90000000002794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83A-40D1-BC0A-A9E50FC1CCFA}"/>
                  </c:ext>
                </c:extLst>
              </c15:ser>
            </c15:filteredLineSeries>
          </c:ext>
        </c:extLst>
      </c:lineChart>
      <c:catAx>
        <c:axId val="15700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58559"/>
        <c:crosses val="autoZero"/>
        <c:auto val="1"/>
        <c:lblAlgn val="ctr"/>
        <c:lblOffset val="100"/>
        <c:noMultiLvlLbl val="0"/>
      </c:catAx>
      <c:valAx>
        <c:axId val="33635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00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'CurPol_industry_final_energ (2)'!$AL$137</c:f>
              <c:strCache>
                <c:ptCount val="1"/>
                <c:pt idx="0">
                  <c:v>agricultural energy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(2)'!$AP$137:$AW$137</c:f>
              <c:numCache>
                <c:formatCode>General</c:formatCode>
                <c:ptCount val="8"/>
                <c:pt idx="0">
                  <c:v>4.1901800000000003E-2</c:v>
                </c:pt>
                <c:pt idx="1">
                  <c:v>3.9323339999999998E-2</c:v>
                </c:pt>
                <c:pt idx="2">
                  <c:v>4.018497E-2</c:v>
                </c:pt>
                <c:pt idx="3">
                  <c:v>3.6626590000000001E-2</c:v>
                </c:pt>
                <c:pt idx="4">
                  <c:v>3.3607671999999998E-2</c:v>
                </c:pt>
                <c:pt idx="5">
                  <c:v>3.2123779999999998E-2</c:v>
                </c:pt>
                <c:pt idx="6">
                  <c:v>3.0852459999999901E-2</c:v>
                </c:pt>
                <c:pt idx="7">
                  <c:v>2.9899539999999999E-2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5-4DF5-868A-94CA59A82FF1}"/>
            </c:ext>
          </c:extLst>
        </c:ser>
        <c:ser>
          <c:idx val="1"/>
          <c:order val="1"/>
          <c:tx>
            <c:strRef>
              <c:f>'CurPol_industry_final_energ (2)'!$AL$138</c:f>
              <c:strCache>
                <c:ptCount val="1"/>
                <c:pt idx="0">
                  <c:v>cement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(2)'!$AP$138:$AW$138</c:f>
              <c:numCache>
                <c:formatCode>General</c:formatCode>
                <c:ptCount val="8"/>
                <c:pt idx="0">
                  <c:v>1.9656400000000001E-2</c:v>
                </c:pt>
                <c:pt idx="1">
                  <c:v>2.0393663999999999E-2</c:v>
                </c:pt>
                <c:pt idx="2">
                  <c:v>2.37077819999999E-2</c:v>
                </c:pt>
                <c:pt idx="3">
                  <c:v>2.4571496999999901E-2</c:v>
                </c:pt>
                <c:pt idx="4">
                  <c:v>2.4714192999999999E-2</c:v>
                </c:pt>
                <c:pt idx="5">
                  <c:v>2.4835136000000001E-2</c:v>
                </c:pt>
                <c:pt idx="6">
                  <c:v>2.5378268999999998E-2</c:v>
                </c:pt>
                <c:pt idx="7">
                  <c:v>2.61443991E-2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5-4DF5-868A-94CA59A82FF1}"/>
            </c:ext>
          </c:extLst>
        </c:ser>
        <c:ser>
          <c:idx val="2"/>
          <c:order val="2"/>
          <c:tx>
            <c:strRef>
              <c:f>'CurPol_industry_final_energ (2)'!$AL$139</c:f>
              <c:strCache>
                <c:ptCount val="1"/>
                <c:pt idx="0">
                  <c:v>chemical energy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(2)'!$AP$139:$AW$139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0.18607669999999901</c:v>
                </c:pt>
                <c:pt idx="2">
                  <c:v>0.2239266</c:v>
                </c:pt>
                <c:pt idx="3">
                  <c:v>0.24428179999999999</c:v>
                </c:pt>
                <c:pt idx="4">
                  <c:v>0.27033509999999999</c:v>
                </c:pt>
                <c:pt idx="5">
                  <c:v>0.30395797000000002</c:v>
                </c:pt>
                <c:pt idx="6">
                  <c:v>0.34121603</c:v>
                </c:pt>
                <c:pt idx="7">
                  <c:v>0.384161484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5-4DF5-868A-94CA59A82FF1}"/>
            </c:ext>
          </c:extLst>
        </c:ser>
        <c:ser>
          <c:idx val="3"/>
          <c:order val="3"/>
          <c:tx>
            <c:strRef>
              <c:f>'CurPol_industry_final_energ (2)'!$AL$140</c:f>
              <c:strCache>
                <c:ptCount val="1"/>
                <c:pt idx="0">
                  <c:v>construction energy use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(2)'!$AP$140:$AW$140</c:f>
              <c:numCache>
                <c:formatCode>0.00E+00</c:formatCode>
                <c:ptCount val="8"/>
                <c:pt idx="0" formatCode="General">
                  <c:v>0</c:v>
                </c:pt>
                <c:pt idx="1">
                  <c:v>1.09256E-4</c:v>
                </c:pt>
                <c:pt idx="2">
                  <c:v>3.4377149999999999E-4</c:v>
                </c:pt>
                <c:pt idx="3">
                  <c:v>5.7358089999999995E-4</c:v>
                </c:pt>
                <c:pt idx="4">
                  <c:v>7.5866720000000005E-4</c:v>
                </c:pt>
                <c:pt idx="5">
                  <c:v>7.9706630000000002E-4</c:v>
                </c:pt>
                <c:pt idx="6">
                  <c:v>8.4363760000000004E-4</c:v>
                </c:pt>
                <c:pt idx="7">
                  <c:v>8.9290309999999896E-4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5-4DF5-868A-94CA59A82FF1}"/>
            </c:ext>
          </c:extLst>
        </c:ser>
        <c:ser>
          <c:idx val="4"/>
          <c:order val="4"/>
          <c:tx>
            <c:strRef>
              <c:f>'CurPol_industry_final_energ (2)'!$AL$141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(2)'!$AP$141:$AW$141</c:f>
              <c:numCache>
                <c:formatCode>General</c:formatCode>
                <c:ptCount val="8"/>
                <c:pt idx="0">
                  <c:v>7.5700000000000003E-2</c:v>
                </c:pt>
                <c:pt idx="1">
                  <c:v>8.9682219999999896E-2</c:v>
                </c:pt>
                <c:pt idx="2">
                  <c:v>0.10249237999999999</c:v>
                </c:pt>
                <c:pt idx="3">
                  <c:v>0.10240610999999999</c:v>
                </c:pt>
                <c:pt idx="4">
                  <c:v>0.10006991999999899</c:v>
                </c:pt>
                <c:pt idx="5">
                  <c:v>9.887319E-2</c:v>
                </c:pt>
                <c:pt idx="6">
                  <c:v>9.7458630000000004E-2</c:v>
                </c:pt>
                <c:pt idx="7">
                  <c:v>9.6089999999999995E-2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5-4DF5-868A-94CA59A82FF1}"/>
            </c:ext>
          </c:extLst>
        </c:ser>
        <c:ser>
          <c:idx val="5"/>
          <c:order val="5"/>
          <c:tx>
            <c:strRef>
              <c:f>'CurPol_industry_final_energ (2)'!$AL$142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(2)'!$AP$142:$AW$142</c:f>
              <c:numCache>
                <c:formatCode>General</c:formatCode>
                <c:ptCount val="8"/>
                <c:pt idx="0">
                  <c:v>0.19544600000000001</c:v>
                </c:pt>
                <c:pt idx="1">
                  <c:v>0.184528739999999</c:v>
                </c:pt>
                <c:pt idx="2">
                  <c:v>0.19757532999999999</c:v>
                </c:pt>
                <c:pt idx="3">
                  <c:v>0.19220746999999999</c:v>
                </c:pt>
                <c:pt idx="4">
                  <c:v>0.18421932999999999</c:v>
                </c:pt>
                <c:pt idx="5">
                  <c:v>0.18425576999999899</c:v>
                </c:pt>
                <c:pt idx="6">
                  <c:v>0.19023208</c:v>
                </c:pt>
                <c:pt idx="7">
                  <c:v>0.20465508999999901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5-4DF5-868A-94CA59A82FF1}"/>
            </c:ext>
          </c:extLst>
        </c:ser>
        <c:ser>
          <c:idx val="6"/>
          <c:order val="6"/>
          <c:tx>
            <c:strRef>
              <c:f>'CurPol_industry_final_energ (2)'!$AL$143</c:f>
              <c:strCache>
                <c:ptCount val="1"/>
                <c:pt idx="0">
                  <c:v>mining energy use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(2)'!$AP$143:$AW$143</c:f>
              <c:numCache>
                <c:formatCode>General</c:formatCode>
                <c:ptCount val="8"/>
                <c:pt idx="0">
                  <c:v>5.86039E-3</c:v>
                </c:pt>
                <c:pt idx="1">
                  <c:v>5.1511600000000001E-3</c:v>
                </c:pt>
                <c:pt idx="2">
                  <c:v>5.3402709999999997E-3</c:v>
                </c:pt>
                <c:pt idx="3">
                  <c:v>4.8715920000000001E-3</c:v>
                </c:pt>
                <c:pt idx="4">
                  <c:v>4.5335769999999996E-3</c:v>
                </c:pt>
                <c:pt idx="5">
                  <c:v>4.3855159999999999E-3</c:v>
                </c:pt>
                <c:pt idx="6">
                  <c:v>4.2548209999999998E-3</c:v>
                </c:pt>
                <c:pt idx="7">
                  <c:v>4.1548619999999996E-3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05-4DF5-868A-94CA59A82FF1}"/>
            </c:ext>
          </c:extLst>
        </c:ser>
        <c:ser>
          <c:idx val="7"/>
          <c:order val="7"/>
          <c:tx>
            <c:strRef>
              <c:f>'CurPol_industry_final_energ (2)'!$AL$144</c:f>
              <c:strCache>
                <c:ptCount val="1"/>
                <c:pt idx="0">
                  <c:v>other industrial energy use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(2)'!$AP$144:$AW$144</c:f>
              <c:numCache>
                <c:formatCode>General</c:formatCode>
                <c:ptCount val="8"/>
                <c:pt idx="0">
                  <c:v>0.39972200000000002</c:v>
                </c:pt>
                <c:pt idx="1">
                  <c:v>0.4597407</c:v>
                </c:pt>
                <c:pt idx="2">
                  <c:v>0.51904859999999997</c:v>
                </c:pt>
                <c:pt idx="3">
                  <c:v>0.51176290000000002</c:v>
                </c:pt>
                <c:pt idx="4">
                  <c:v>0.48978479999999902</c:v>
                </c:pt>
                <c:pt idx="5">
                  <c:v>0.4623351</c:v>
                </c:pt>
                <c:pt idx="6">
                  <c:v>0.456281299999999</c:v>
                </c:pt>
                <c:pt idx="7">
                  <c:v>0.46463643999999998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05-4DF5-868A-94CA59A82FF1}"/>
            </c:ext>
          </c:extLst>
        </c:ser>
        <c:ser>
          <c:idx val="8"/>
          <c:order val="8"/>
          <c:tx>
            <c:strRef>
              <c:f>'CurPol_industry_final_energ (2)'!$AL$145</c:f>
              <c:strCache>
                <c:ptCount val="1"/>
                <c:pt idx="0">
                  <c:v>semiconductor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'CurPol_industry_final_energ (2)'!$AP$136:$AW$136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(2)'!$AP$145:$AW$145</c:f>
              <c:numCache>
                <c:formatCode>General</c:formatCode>
                <c:ptCount val="8"/>
                <c:pt idx="0">
                  <c:v>6.5199999999999994E-2</c:v>
                </c:pt>
                <c:pt idx="1">
                  <c:v>7.724288E-2</c:v>
                </c:pt>
                <c:pt idx="2">
                  <c:v>8.8276220000000002E-2</c:v>
                </c:pt>
                <c:pt idx="3">
                  <c:v>8.8201772999999997E-2</c:v>
                </c:pt>
                <c:pt idx="4">
                  <c:v>8.6189505E-2</c:v>
                </c:pt>
                <c:pt idx="5">
                  <c:v>8.5158871999999997E-2</c:v>
                </c:pt>
                <c:pt idx="6">
                  <c:v>8.3940871E-2</c:v>
                </c:pt>
                <c:pt idx="7">
                  <c:v>8.2761782000000006E-2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705-4DF5-868A-94CA59A82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914351"/>
        <c:axId val="1151764655"/>
      </c:lineChart>
      <c:catAx>
        <c:axId val="110091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1764655"/>
        <c:crosses val="autoZero"/>
        <c:auto val="1"/>
        <c:lblAlgn val="ctr"/>
        <c:lblOffset val="100"/>
        <c:noMultiLvlLbl val="0"/>
      </c:catAx>
      <c:valAx>
        <c:axId val="11517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0091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'CurPol_industry_final_energ (2)'!$S$137</c:f>
              <c:strCache>
                <c:ptCount val="1"/>
                <c:pt idx="0">
                  <c:v>agricultural energy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(2)'!$W$137:$AD$137</c:f>
              <c:numCache>
                <c:formatCode>General</c:formatCode>
                <c:ptCount val="8"/>
                <c:pt idx="0">
                  <c:v>4.1901800000000003E-2</c:v>
                </c:pt>
                <c:pt idx="1">
                  <c:v>3.932534E-2</c:v>
                </c:pt>
                <c:pt idx="2">
                  <c:v>4.0187939999999998E-2</c:v>
                </c:pt>
                <c:pt idx="3">
                  <c:v>3.6626560000000002E-2</c:v>
                </c:pt>
                <c:pt idx="4">
                  <c:v>3.3599679E-2</c:v>
                </c:pt>
                <c:pt idx="5">
                  <c:v>3.2105750000000002E-2</c:v>
                </c:pt>
                <c:pt idx="6">
                  <c:v>3.0832809999999999E-2</c:v>
                </c:pt>
                <c:pt idx="7">
                  <c:v>2.988265E-2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C-4DAB-905C-012E43D145A7}"/>
            </c:ext>
          </c:extLst>
        </c:ser>
        <c:ser>
          <c:idx val="1"/>
          <c:order val="1"/>
          <c:tx>
            <c:strRef>
              <c:f>'CurPol_industry_final_energ (2)'!$S$138</c:f>
              <c:strCache>
                <c:ptCount val="1"/>
                <c:pt idx="0">
                  <c:v>cement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(2)'!$W$138:$AD$138</c:f>
              <c:numCache>
                <c:formatCode>General</c:formatCode>
                <c:ptCount val="8"/>
                <c:pt idx="0">
                  <c:v>1.9656400000000001E-2</c:v>
                </c:pt>
                <c:pt idx="1">
                  <c:v>2.0393649E-2</c:v>
                </c:pt>
                <c:pt idx="2">
                  <c:v>2.3707777999999999E-2</c:v>
                </c:pt>
                <c:pt idx="3">
                  <c:v>2.4571493E-2</c:v>
                </c:pt>
                <c:pt idx="4">
                  <c:v>2.4714199999999999E-2</c:v>
                </c:pt>
                <c:pt idx="5">
                  <c:v>2.4835126999999999E-2</c:v>
                </c:pt>
                <c:pt idx="6">
                  <c:v>2.5378274999999999E-2</c:v>
                </c:pt>
                <c:pt idx="7">
                  <c:v>2.61443962E-2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C-4DAB-905C-012E43D145A7}"/>
            </c:ext>
          </c:extLst>
        </c:ser>
        <c:ser>
          <c:idx val="2"/>
          <c:order val="2"/>
          <c:tx>
            <c:strRef>
              <c:f>'CurPol_industry_final_energ (2)'!$S$139</c:f>
              <c:strCache>
                <c:ptCount val="1"/>
                <c:pt idx="0">
                  <c:v>chemical energy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(2)'!$W$139:$AD$139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0.18608239999999901</c:v>
                </c:pt>
                <c:pt idx="2">
                  <c:v>0.2239381</c:v>
                </c:pt>
                <c:pt idx="3">
                  <c:v>0.244287</c:v>
                </c:pt>
                <c:pt idx="4">
                  <c:v>0.27029449999999999</c:v>
                </c:pt>
                <c:pt idx="5">
                  <c:v>0.30381501999999999</c:v>
                </c:pt>
                <c:pt idx="6">
                  <c:v>0.34102740999999998</c:v>
                </c:pt>
                <c:pt idx="7">
                  <c:v>0.38393299999999903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C-4DAB-905C-012E43D145A7}"/>
            </c:ext>
          </c:extLst>
        </c:ser>
        <c:ser>
          <c:idx val="3"/>
          <c:order val="3"/>
          <c:tx>
            <c:strRef>
              <c:f>'CurPol_industry_final_energ (2)'!$S$140</c:f>
              <c:strCache>
                <c:ptCount val="1"/>
                <c:pt idx="0">
                  <c:v>construction energy use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(2)'!$W$140:$AD$140</c:f>
              <c:numCache>
                <c:formatCode>0.00E+00</c:formatCode>
                <c:ptCount val="8"/>
                <c:pt idx="0" formatCode="General">
                  <c:v>0</c:v>
                </c:pt>
                <c:pt idx="1">
                  <c:v>1.09366E-4</c:v>
                </c:pt>
                <c:pt idx="2">
                  <c:v>3.4395509999999999E-4</c:v>
                </c:pt>
                <c:pt idx="3">
                  <c:v>5.7361719999999997E-4</c:v>
                </c:pt>
                <c:pt idx="4">
                  <c:v>7.5818999999999995E-4</c:v>
                </c:pt>
                <c:pt idx="5">
                  <c:v>7.9587280000000004E-4</c:v>
                </c:pt>
                <c:pt idx="6">
                  <c:v>8.4237750000000001E-4</c:v>
                </c:pt>
                <c:pt idx="7">
                  <c:v>8.9176739999999896E-4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C-4DAB-905C-012E43D145A7}"/>
            </c:ext>
          </c:extLst>
        </c:ser>
        <c:ser>
          <c:idx val="4"/>
          <c:order val="4"/>
          <c:tx>
            <c:strRef>
              <c:f>'CurPol_industry_final_energ (2)'!$S$141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(2)'!$W$141:$AD$141</c:f>
              <c:numCache>
                <c:formatCode>General</c:formatCode>
                <c:ptCount val="8"/>
                <c:pt idx="0">
                  <c:v>7.5700000000000003E-2</c:v>
                </c:pt>
                <c:pt idx="1">
                  <c:v>8.9682219999999896E-2</c:v>
                </c:pt>
                <c:pt idx="2">
                  <c:v>0.10249237999999999</c:v>
                </c:pt>
                <c:pt idx="3">
                  <c:v>0.10240610999999999</c:v>
                </c:pt>
                <c:pt idx="4">
                  <c:v>0.10006991999999899</c:v>
                </c:pt>
                <c:pt idx="5">
                  <c:v>9.887319E-2</c:v>
                </c:pt>
                <c:pt idx="6">
                  <c:v>9.7458630000000004E-2</c:v>
                </c:pt>
                <c:pt idx="7">
                  <c:v>9.6089999999999995E-2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C-4DAB-905C-012E43D145A7}"/>
            </c:ext>
          </c:extLst>
        </c:ser>
        <c:ser>
          <c:idx val="5"/>
          <c:order val="5"/>
          <c:tx>
            <c:strRef>
              <c:f>'CurPol_industry_final_energ (2)'!$S$142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(2)'!$W$142:$AD$142</c:f>
              <c:numCache>
                <c:formatCode>General</c:formatCode>
                <c:ptCount val="8"/>
                <c:pt idx="0">
                  <c:v>0.19544590000000001</c:v>
                </c:pt>
                <c:pt idx="1">
                  <c:v>0.18452989</c:v>
                </c:pt>
                <c:pt idx="2">
                  <c:v>0.19757669</c:v>
                </c:pt>
                <c:pt idx="3">
                  <c:v>0.19220639</c:v>
                </c:pt>
                <c:pt idx="4">
                  <c:v>0.18421467</c:v>
                </c:pt>
                <c:pt idx="5">
                  <c:v>0.18424691000000001</c:v>
                </c:pt>
                <c:pt idx="6">
                  <c:v>0.19022449999999899</c:v>
                </c:pt>
                <c:pt idx="7">
                  <c:v>0.20465512999999999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1C-4DAB-905C-012E43D145A7}"/>
            </c:ext>
          </c:extLst>
        </c:ser>
        <c:ser>
          <c:idx val="6"/>
          <c:order val="6"/>
          <c:tx>
            <c:strRef>
              <c:f>'CurPol_industry_final_energ (2)'!$S$143</c:f>
              <c:strCache>
                <c:ptCount val="1"/>
                <c:pt idx="0">
                  <c:v>mining energy use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(2)'!$W$143:$AD$143</c:f>
              <c:numCache>
                <c:formatCode>General</c:formatCode>
                <c:ptCount val="8"/>
                <c:pt idx="0">
                  <c:v>5.86039E-3</c:v>
                </c:pt>
                <c:pt idx="1">
                  <c:v>5.1513339999999996E-3</c:v>
                </c:pt>
                <c:pt idx="2">
                  <c:v>5.3408500000000003E-3</c:v>
                </c:pt>
                <c:pt idx="3">
                  <c:v>4.8718329999999999E-3</c:v>
                </c:pt>
                <c:pt idx="4">
                  <c:v>4.5327325E-3</c:v>
                </c:pt>
                <c:pt idx="5">
                  <c:v>4.3833020000000004E-3</c:v>
                </c:pt>
                <c:pt idx="6">
                  <c:v>4.2523680000000003E-3</c:v>
                </c:pt>
                <c:pt idx="7">
                  <c:v>4.1528470000000003E-3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1C-4DAB-905C-012E43D145A7}"/>
            </c:ext>
          </c:extLst>
        </c:ser>
        <c:ser>
          <c:idx val="7"/>
          <c:order val="7"/>
          <c:tx>
            <c:strRef>
              <c:f>'CurPol_industry_final_energ (2)'!$S$144</c:f>
              <c:strCache>
                <c:ptCount val="1"/>
                <c:pt idx="0">
                  <c:v>other industrial energy use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(2)'!$W$144:$AD$144</c:f>
              <c:numCache>
                <c:formatCode>0.00E+00</c:formatCode>
                <c:ptCount val="8"/>
                <c:pt idx="0" formatCode="General">
                  <c:v>0.39972200000000002</c:v>
                </c:pt>
                <c:pt idx="1">
                  <c:v>0.43010739999999997</c:v>
                </c:pt>
                <c:pt idx="2">
                  <c:v>0.48831639999999998</c:v>
                </c:pt>
                <c:pt idx="3">
                  <c:v>0.49728329999999998</c:v>
                </c:pt>
                <c:pt idx="4">
                  <c:v>0.49420189999999897</c:v>
                </c:pt>
                <c:pt idx="5">
                  <c:v>0.48643809999999998</c:v>
                </c:pt>
                <c:pt idx="6">
                  <c:v>0.50218598999999997</c:v>
                </c:pt>
                <c:pt idx="7">
                  <c:v>0.53537871000000004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1C-4DAB-905C-012E43D145A7}"/>
            </c:ext>
          </c:extLst>
        </c:ser>
        <c:ser>
          <c:idx val="8"/>
          <c:order val="8"/>
          <c:tx>
            <c:strRef>
              <c:f>'CurPol_industry_final_energ (2)'!$S$145</c:f>
              <c:strCache>
                <c:ptCount val="1"/>
                <c:pt idx="0">
                  <c:v>semiconductor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'CurPol_industry_final_energ (2)'!$W$135:$AD$136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'CurPol_industry_final_energ (2)'!$W$145:$AD$145</c:f>
              <c:numCache>
                <c:formatCode>General</c:formatCode>
                <c:ptCount val="8"/>
                <c:pt idx="0">
                  <c:v>6.5199999999999994E-2</c:v>
                </c:pt>
                <c:pt idx="1">
                  <c:v>7.724288E-2</c:v>
                </c:pt>
                <c:pt idx="2">
                  <c:v>8.8276220000000002E-2</c:v>
                </c:pt>
                <c:pt idx="3">
                  <c:v>8.8201772999999997E-2</c:v>
                </c:pt>
                <c:pt idx="4">
                  <c:v>8.6189505E-2</c:v>
                </c:pt>
                <c:pt idx="5">
                  <c:v>8.5158871999999997E-2</c:v>
                </c:pt>
                <c:pt idx="6">
                  <c:v>8.3940871E-2</c:v>
                </c:pt>
                <c:pt idx="7">
                  <c:v>8.2761782000000006E-2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1C-4DAB-905C-012E43D14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273487"/>
        <c:axId val="1145874879"/>
      </c:lineChart>
      <c:catAx>
        <c:axId val="101527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5874879"/>
        <c:crosses val="autoZero"/>
        <c:auto val="1"/>
        <c:lblAlgn val="ctr"/>
        <c:lblOffset val="100"/>
        <c:noMultiLvlLbl val="0"/>
      </c:catAx>
      <c:valAx>
        <c:axId val="114587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527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'CurPol_industry_final_energ (2)'!$BE$137</c:f>
              <c:strCache>
                <c:ptCount val="1"/>
                <c:pt idx="0">
                  <c:v>agricultural energy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(2)'!$BF$137:$BP$137</c15:sqref>
                  </c15:fullRef>
                </c:ext>
              </c:extLst>
              <c:f>'CurPol_industry_final_energ (2)'!$BI$137:$BP$137</c:f>
              <c:numCache>
                <c:formatCode>General</c:formatCode>
                <c:ptCount val="8"/>
                <c:pt idx="0">
                  <c:v>4.1901800000000003E-2</c:v>
                </c:pt>
                <c:pt idx="1">
                  <c:v>3.9326350000000003E-2</c:v>
                </c:pt>
                <c:pt idx="2">
                  <c:v>4.0193710000000001E-2</c:v>
                </c:pt>
                <c:pt idx="3">
                  <c:v>3.6636099999999998E-2</c:v>
                </c:pt>
                <c:pt idx="4">
                  <c:v>3.3612615999999998E-2</c:v>
                </c:pt>
                <c:pt idx="5">
                  <c:v>3.2120929999999999E-2</c:v>
                </c:pt>
                <c:pt idx="6">
                  <c:v>3.0846419999999999E-2</c:v>
                </c:pt>
                <c:pt idx="7">
                  <c:v>2.9897690000000001E-2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246-ACF9-8E2762AFB4CB}"/>
            </c:ext>
          </c:extLst>
        </c:ser>
        <c:ser>
          <c:idx val="1"/>
          <c:order val="1"/>
          <c:tx>
            <c:strRef>
              <c:f>'CurPol_industry_final_energ (2)'!$BE$138</c:f>
              <c:strCache>
                <c:ptCount val="1"/>
                <c:pt idx="0">
                  <c:v>cement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(2)'!$BF$138:$BP$138</c15:sqref>
                  </c15:fullRef>
                </c:ext>
              </c:extLst>
              <c:f>'CurPol_industry_final_energ (2)'!$BI$138:$BP$138</c:f>
              <c:numCache>
                <c:formatCode>General</c:formatCode>
                <c:ptCount val="8"/>
                <c:pt idx="0">
                  <c:v>1.9656400000000001E-2</c:v>
                </c:pt>
                <c:pt idx="1">
                  <c:v>2.0393641000000001E-2</c:v>
                </c:pt>
                <c:pt idx="2">
                  <c:v>2.37077609999999E-2</c:v>
                </c:pt>
                <c:pt idx="3">
                  <c:v>2.4571478000000001E-2</c:v>
                </c:pt>
                <c:pt idx="4">
                  <c:v>2.4714196000000001E-2</c:v>
                </c:pt>
                <c:pt idx="5">
                  <c:v>2.4835135000000001E-2</c:v>
                </c:pt>
                <c:pt idx="6">
                  <c:v>2.5378275999999901E-2</c:v>
                </c:pt>
                <c:pt idx="7">
                  <c:v>2.61443991E-2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246-ACF9-8E2762AFB4CB}"/>
            </c:ext>
          </c:extLst>
        </c:ser>
        <c:ser>
          <c:idx val="2"/>
          <c:order val="2"/>
          <c:tx>
            <c:strRef>
              <c:f>'CurPol_industry_final_energ (2)'!$BE$139</c:f>
              <c:strCache>
                <c:ptCount val="1"/>
                <c:pt idx="0">
                  <c:v>chemical energy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(2)'!$BF$139:$BP$139</c15:sqref>
                  </c15:fullRef>
                </c:ext>
              </c:extLst>
              <c:f>'CurPol_industry_final_energ (2)'!$BI$139:$BP$139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0.18608529999999901</c:v>
                </c:pt>
                <c:pt idx="2">
                  <c:v>0.22395889999999999</c:v>
                </c:pt>
                <c:pt idx="3">
                  <c:v>0.24432969999999901</c:v>
                </c:pt>
                <c:pt idx="4">
                  <c:v>0.27039029999999997</c:v>
                </c:pt>
                <c:pt idx="5">
                  <c:v>0.30398018999999998</c:v>
                </c:pt>
                <c:pt idx="6">
                  <c:v>0.34121824000000001</c:v>
                </c:pt>
                <c:pt idx="7">
                  <c:v>0.384177508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246-ACF9-8E2762AFB4CB}"/>
            </c:ext>
          </c:extLst>
        </c:ser>
        <c:ser>
          <c:idx val="3"/>
          <c:order val="3"/>
          <c:tx>
            <c:strRef>
              <c:f>'CurPol_industry_final_energ (2)'!$BE$140</c:f>
              <c:strCache>
                <c:ptCount val="1"/>
                <c:pt idx="0">
                  <c:v>construction energy use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(2)'!$BF$140:$BP$140</c15:sqref>
                  </c15:fullRef>
                </c:ext>
              </c:extLst>
              <c:f>'CurPol_industry_final_energ (2)'!$BI$140:$BP$140</c:f>
              <c:numCache>
                <c:formatCode>General</c:formatCode>
                <c:ptCount val="8"/>
                <c:pt idx="0">
                  <c:v>0</c:v>
                </c:pt>
                <c:pt idx="1" formatCode="0.00E+00">
                  <c:v>1.09422E-4</c:v>
                </c:pt>
                <c:pt idx="2" formatCode="0.00E+00">
                  <c:v>3.4424149999999899E-4</c:v>
                </c:pt>
                <c:pt idx="3" formatCode="0.00E+00">
                  <c:v>5.7418269999999895E-4</c:v>
                </c:pt>
                <c:pt idx="4" formatCode="0.00E+00">
                  <c:v>7.5910099999999998E-4</c:v>
                </c:pt>
                <c:pt idx="5" formatCode="0.00E+00">
                  <c:v>7.9705909999999995E-4</c:v>
                </c:pt>
                <c:pt idx="6" formatCode="0.00E+00">
                  <c:v>8.4340979999999999E-4</c:v>
                </c:pt>
                <c:pt idx="7" formatCode="0.00E+00">
                  <c:v>8.9295909999999995E-4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246-ACF9-8E2762AFB4CB}"/>
            </c:ext>
          </c:extLst>
        </c:ser>
        <c:ser>
          <c:idx val="4"/>
          <c:order val="4"/>
          <c:tx>
            <c:strRef>
              <c:f>'CurPol_industry_final_energ (2)'!$BE$141</c:f>
              <c:strCache>
                <c:ptCount val="1"/>
                <c:pt idx="0">
                  <c:v>display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(2)'!$BF$141:$BP$141</c15:sqref>
                  </c15:fullRef>
                </c:ext>
              </c:extLst>
              <c:f>'CurPol_industry_final_energ (2)'!$BI$141:$BP$141</c:f>
              <c:numCache>
                <c:formatCode>General</c:formatCode>
                <c:ptCount val="8"/>
                <c:pt idx="0">
                  <c:v>7.5700000000000003E-2</c:v>
                </c:pt>
                <c:pt idx="1">
                  <c:v>8.9682219999999896E-2</c:v>
                </c:pt>
                <c:pt idx="2">
                  <c:v>0.10249237999999999</c:v>
                </c:pt>
                <c:pt idx="3">
                  <c:v>0.10240610999999999</c:v>
                </c:pt>
                <c:pt idx="4">
                  <c:v>0.10006991999999899</c:v>
                </c:pt>
                <c:pt idx="5">
                  <c:v>9.887319E-2</c:v>
                </c:pt>
                <c:pt idx="6">
                  <c:v>9.7458630000000004E-2</c:v>
                </c:pt>
                <c:pt idx="7">
                  <c:v>9.6089999999999995E-2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246-ACF9-8E2762AFB4CB}"/>
            </c:ext>
          </c:extLst>
        </c:ser>
        <c:ser>
          <c:idx val="5"/>
          <c:order val="5"/>
          <c:tx>
            <c:strRef>
              <c:f>'CurPol_industry_final_energ (2)'!$BE$142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(2)'!$BF$142:$BP$142</c15:sqref>
                  </c15:fullRef>
                </c:ext>
              </c:extLst>
              <c:f>'CurPol_industry_final_energ (2)'!$BI$142:$BP$142</c:f>
              <c:numCache>
                <c:formatCode>General</c:formatCode>
                <c:ptCount val="8"/>
                <c:pt idx="0">
                  <c:v>0.19544590000000001</c:v>
                </c:pt>
                <c:pt idx="1">
                  <c:v>0.18453038999999999</c:v>
                </c:pt>
                <c:pt idx="2">
                  <c:v>0.19757933999999999</c:v>
                </c:pt>
                <c:pt idx="3">
                  <c:v>0.19220928999999901</c:v>
                </c:pt>
                <c:pt idx="4">
                  <c:v>0.18421606999999901</c:v>
                </c:pt>
                <c:pt idx="5">
                  <c:v>0.18424774999999999</c:v>
                </c:pt>
                <c:pt idx="6">
                  <c:v>0.19021616999999999</c:v>
                </c:pt>
                <c:pt idx="7">
                  <c:v>0.20463892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8D-4246-ACF9-8E2762AFB4CB}"/>
            </c:ext>
          </c:extLst>
        </c:ser>
        <c:ser>
          <c:idx val="6"/>
          <c:order val="6"/>
          <c:tx>
            <c:strRef>
              <c:f>'CurPol_industry_final_energ (2)'!$BE$143</c:f>
              <c:strCache>
                <c:ptCount val="1"/>
                <c:pt idx="0">
                  <c:v>mining energy use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(2)'!$BF$143:$BP$143</c15:sqref>
                  </c15:fullRef>
                </c:ext>
              </c:extLst>
              <c:f>'CurPol_industry_final_energ (2)'!$BI$143:$BP$143</c:f>
              <c:numCache>
                <c:formatCode>General</c:formatCode>
                <c:ptCount val="8"/>
                <c:pt idx="0">
                  <c:v>5.86039E-3</c:v>
                </c:pt>
                <c:pt idx="1">
                  <c:v>5.1514170000000001E-3</c:v>
                </c:pt>
                <c:pt idx="2">
                  <c:v>5.3418609999999998E-3</c:v>
                </c:pt>
                <c:pt idx="3">
                  <c:v>4.8737019999999997E-3</c:v>
                </c:pt>
                <c:pt idx="4">
                  <c:v>4.5351165999999998E-3</c:v>
                </c:pt>
                <c:pt idx="5">
                  <c:v>4.3857760000000001E-3</c:v>
                </c:pt>
                <c:pt idx="6">
                  <c:v>4.2543060000000002E-3</c:v>
                </c:pt>
                <c:pt idx="7">
                  <c:v>4.1545920000000004E-3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8D-4246-ACF9-8E2762AFB4CB}"/>
            </c:ext>
          </c:extLst>
        </c:ser>
        <c:ser>
          <c:idx val="7"/>
          <c:order val="7"/>
          <c:tx>
            <c:strRef>
              <c:f>'CurPol_industry_final_energ (2)'!$BE$144</c:f>
              <c:strCache>
                <c:ptCount val="1"/>
                <c:pt idx="0">
                  <c:v>other industrial energy use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(2)'!$BF$144:$BP$144</c15:sqref>
                  </c15:fullRef>
                </c:ext>
              </c:extLst>
              <c:f>'CurPol_industry_final_energ (2)'!$BI$144:$BP$144</c:f>
              <c:numCache>
                <c:formatCode>General</c:formatCode>
                <c:ptCount val="8"/>
                <c:pt idx="0">
                  <c:v>0.39972200000000002</c:v>
                </c:pt>
                <c:pt idx="1">
                  <c:v>0.41558430000000002</c:v>
                </c:pt>
                <c:pt idx="2">
                  <c:v>0.43722759999999999</c:v>
                </c:pt>
                <c:pt idx="3">
                  <c:v>0.43437540000000002</c:v>
                </c:pt>
                <c:pt idx="4">
                  <c:v>0.42202279999999998</c:v>
                </c:pt>
                <c:pt idx="5">
                  <c:v>0.3987424</c:v>
                </c:pt>
                <c:pt idx="6">
                  <c:v>0.38593607000000002</c:v>
                </c:pt>
                <c:pt idx="7">
                  <c:v>0.38358747999999998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8D-4246-ACF9-8E2762AFB4CB}"/>
            </c:ext>
          </c:extLst>
        </c:ser>
        <c:ser>
          <c:idx val="8"/>
          <c:order val="8"/>
          <c:tx>
            <c:strRef>
              <c:f>'CurPol_industry_final_energ (2)'!$BE$145</c:f>
              <c:strCache>
                <c:ptCount val="1"/>
                <c:pt idx="0">
                  <c:v>semiconductor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(2)'!$BF$136:$BP$136</c15:sqref>
                  </c15:fullRef>
                </c:ext>
              </c:extLst>
              <c:f>'CurPol_industry_final_energ (2)'!$BI$136:$BP$136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'CurPol_industry_final_energ (2)'!$BF$145:$BP$145</c15:sqref>
                  </c15:fullRef>
                </c:ext>
              </c:extLst>
              <c:f>'CurPol_industry_final_energ (2)'!$BI$145:$BP$145</c:f>
              <c:numCache>
                <c:formatCode>General</c:formatCode>
                <c:ptCount val="8"/>
                <c:pt idx="0">
                  <c:v>6.5199999999999994E-2</c:v>
                </c:pt>
                <c:pt idx="1">
                  <c:v>7.724288E-2</c:v>
                </c:pt>
                <c:pt idx="2">
                  <c:v>8.8276220000000002E-2</c:v>
                </c:pt>
                <c:pt idx="3">
                  <c:v>8.8201772999999997E-2</c:v>
                </c:pt>
                <c:pt idx="4">
                  <c:v>8.6189505E-2</c:v>
                </c:pt>
                <c:pt idx="5">
                  <c:v>8.5158871999999997E-2</c:v>
                </c:pt>
                <c:pt idx="6">
                  <c:v>8.3940871E-2</c:v>
                </c:pt>
                <c:pt idx="7">
                  <c:v>8.2761782000000006E-2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8D-4246-ACF9-8E2762AFB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3172575"/>
        <c:axId val="1151768399"/>
      </c:lineChart>
      <c:catAx>
        <c:axId val="112317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51768399"/>
        <c:crosses val="autoZero"/>
        <c:auto val="1"/>
        <c:lblAlgn val="ctr"/>
        <c:lblOffset val="100"/>
        <c:noMultiLvlLbl val="0"/>
      </c:catAx>
      <c:valAx>
        <c:axId val="1151768399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317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(2)'!$AV$85</c:f>
              <c:strCache>
                <c:ptCount val="1"/>
                <c:pt idx="0">
                  <c:v>iron_steel (CurPol)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'CurPol_industry_final_energ (2)'!$AW$84:$BD$84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(2)'!$AW$85:$BD$85</c:f>
              <c:numCache>
                <c:formatCode>General</c:formatCode>
                <c:ptCount val="8"/>
                <c:pt idx="0">
                  <c:v>54.290527777777619</c:v>
                </c:pt>
                <c:pt idx="1">
                  <c:v>51.258488888888685</c:v>
                </c:pt>
                <c:pt idx="2">
                  <c:v>54.883072222222061</c:v>
                </c:pt>
                <c:pt idx="3">
                  <c:v>53.390369444444289</c:v>
                </c:pt>
                <c:pt idx="4">
                  <c:v>51.169386111110967</c:v>
                </c:pt>
                <c:pt idx="5">
                  <c:v>51.177430555555411</c:v>
                </c:pt>
                <c:pt idx="6">
                  <c:v>52.836161111110954</c:v>
                </c:pt>
                <c:pt idx="7">
                  <c:v>56.84247222222205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F-4C43-B30E-A2B6921D7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7904"/>
        <c:axId val="719255712"/>
      </c:barChart>
      <c:catAx>
        <c:axId val="7097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9255712"/>
        <c:crosses val="autoZero"/>
        <c:auto val="1"/>
        <c:lblAlgn val="ctr"/>
        <c:lblOffset val="100"/>
        <c:noMultiLvlLbl val="0"/>
      </c:catAx>
      <c:valAx>
        <c:axId val="719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7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(2)'!$AV$86</c:f>
              <c:strCache>
                <c:ptCount val="1"/>
                <c:pt idx="0">
                  <c:v>chemical (CurPol)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'CurPol_industry_final_energ (2)'!$AW$84:$BD$84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(2)'!$AW$86:$BD$86</c:f>
              <c:numCache>
                <c:formatCode>General</c:formatCode>
                <c:ptCount val="8"/>
                <c:pt idx="0">
                  <c:v>48.964444444444304</c:v>
                </c:pt>
                <c:pt idx="1">
                  <c:v>51.690305555555405</c:v>
                </c:pt>
                <c:pt idx="2">
                  <c:v>62.20913888888871</c:v>
                </c:pt>
                <c:pt idx="3">
                  <c:v>67.85922222222203</c:v>
                </c:pt>
                <c:pt idx="4">
                  <c:v>75.077999999999776</c:v>
                </c:pt>
                <c:pt idx="5">
                  <c:v>84.382788888888371</c:v>
                </c:pt>
                <c:pt idx="6">
                  <c:v>94.725791666666382</c:v>
                </c:pt>
                <c:pt idx="7">
                  <c:v>106.65779444444414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8F-4CC7-B7F9-930EFB3F4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7904"/>
        <c:axId val="719255712"/>
      </c:barChart>
      <c:catAx>
        <c:axId val="7097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9255712"/>
        <c:crosses val="autoZero"/>
        <c:auto val="1"/>
        <c:lblAlgn val="ctr"/>
        <c:lblOffset val="100"/>
        <c:noMultiLvlLbl val="0"/>
      </c:catAx>
      <c:valAx>
        <c:axId val="719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7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(2)'!$AV$87</c:f>
              <c:strCache>
                <c:ptCount val="1"/>
                <c:pt idx="0">
                  <c:v>semiconductor&amp;display (CurPol)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'CurPol_industry_final_energ (2)'!$AW$84:$BD$84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(2)'!$AW$87:$BD$87</c:f>
              <c:numCache>
                <c:formatCode>General</c:formatCode>
                <c:ptCount val="8"/>
                <c:pt idx="0">
                  <c:v>39.138888888888772</c:v>
                </c:pt>
                <c:pt idx="1">
                  <c:v>52.820805555555367</c:v>
                </c:pt>
                <c:pt idx="2">
                  <c:v>64.512124999999756</c:v>
                </c:pt>
                <c:pt idx="3">
                  <c:v>68.395813888888696</c:v>
                </c:pt>
                <c:pt idx="4">
                  <c:v>71.137013055555357</c:v>
                </c:pt>
                <c:pt idx="5">
                  <c:v>74.67716555555532</c:v>
                </c:pt>
                <c:pt idx="6">
                  <c:v>78.303730833332807</c:v>
                </c:pt>
                <c:pt idx="7">
                  <c:v>82.119346388888374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E-40B3-995A-9EC5B163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7904"/>
        <c:axId val="719255712"/>
      </c:barChart>
      <c:catAx>
        <c:axId val="7097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9255712"/>
        <c:crosses val="autoZero"/>
        <c:auto val="1"/>
        <c:lblAlgn val="ctr"/>
        <c:lblOffset val="100"/>
        <c:noMultiLvlLbl val="0"/>
      </c:catAx>
      <c:valAx>
        <c:axId val="719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7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(2)'!$AV$89</c:f>
              <c:strCache>
                <c:ptCount val="1"/>
                <c:pt idx="0">
                  <c:v>others (CurPol)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'CurPol_industry_final_energ (2)'!$AW$84:$BD$84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(2)'!$AW$89:$BD$89</c:f>
              <c:numCache>
                <c:formatCode>General</c:formatCode>
                <c:ptCount val="8"/>
                <c:pt idx="0">
                  <c:v>128.66931199999971</c:v>
                </c:pt>
                <c:pt idx="1">
                  <c:v>132.85401257777735</c:v>
                </c:pt>
                <c:pt idx="2">
                  <c:v>139.85295676388847</c:v>
                </c:pt>
                <c:pt idx="3">
                  <c:v>138.36693826111079</c:v>
                </c:pt>
                <c:pt idx="4">
                  <c:v>134.30952129444384</c:v>
                </c:pt>
                <c:pt idx="5">
                  <c:v>127.54743235277739</c:v>
                </c:pt>
                <c:pt idx="6">
                  <c:v>123.65688428888822</c:v>
                </c:pt>
                <c:pt idx="7">
                  <c:v>122.7181064916664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6-4DB2-9814-0BE0D31B4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7904"/>
        <c:axId val="719255712"/>
      </c:barChart>
      <c:catAx>
        <c:axId val="7097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9255712"/>
        <c:crosses val="autoZero"/>
        <c:auto val="1"/>
        <c:lblAlgn val="ctr"/>
        <c:lblOffset val="100"/>
        <c:noMultiLvlLbl val="0"/>
      </c:catAx>
      <c:valAx>
        <c:axId val="719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7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(2)'!$AV$88</c:f>
              <c:strCache>
                <c:ptCount val="1"/>
                <c:pt idx="0">
                  <c:v>cement (CurPol)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'CurPol_industry_final_energ (2)'!$AW$84:$BD$84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(2)'!$AW$88:$BD$88</c:f>
              <c:numCache>
                <c:formatCode>General</c:formatCode>
                <c:ptCount val="8"/>
                <c:pt idx="0">
                  <c:v>5.4601111111110958</c:v>
                </c:pt>
                <c:pt idx="1">
                  <c:v>5.6649011111110941</c:v>
                </c:pt>
                <c:pt idx="2">
                  <c:v>6.5854899999999805</c:v>
                </c:pt>
                <c:pt idx="3">
                  <c:v>6.8254136111110908</c:v>
                </c:pt>
                <c:pt idx="4">
                  <c:v>6.8650547222222027</c:v>
                </c:pt>
                <c:pt idx="5">
                  <c:v>6.8986513888888688</c:v>
                </c:pt>
                <c:pt idx="6">
                  <c:v>7.0495211111110914</c:v>
                </c:pt>
                <c:pt idx="7">
                  <c:v>7.2623331111110909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B8-4206-BF52-4DC393D7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787904"/>
        <c:axId val="719255712"/>
      </c:barChart>
      <c:catAx>
        <c:axId val="70978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19255712"/>
        <c:crosses val="autoZero"/>
        <c:auto val="1"/>
        <c:lblAlgn val="ctr"/>
        <c:lblOffset val="100"/>
        <c:noMultiLvlLbl val="0"/>
      </c:catAx>
      <c:valAx>
        <c:axId val="7192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97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NZ2050_industry_final_energy!$C$119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NZ2050_industry_final_energy!$G$119:$N$119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1.9839691000000002</c:v>
                </c:pt>
                <c:pt idx="2">
                  <c:v>2.1160428000000002</c:v>
                </c:pt>
                <c:pt idx="3">
                  <c:v>2.2433597000000001</c:v>
                </c:pt>
                <c:pt idx="4">
                  <c:v>2.3406243999999998</c:v>
                </c:pt>
                <c:pt idx="5">
                  <c:v>2.4542028999999999</c:v>
                </c:pt>
                <c:pt idx="6">
                  <c:v>2.5899451</c:v>
                </c:pt>
                <c:pt idx="7">
                  <c:v>2.6995977000000004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C-4B83-AF9E-A20B40DE748C}"/>
            </c:ext>
          </c:extLst>
        </c:ser>
        <c:ser>
          <c:idx val="7"/>
          <c:order val="1"/>
          <c:tx>
            <c:strRef>
              <c:f>NZ2050_industry_final_energy!$C$118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NZ2050_industry_final_energy!$G$118:$N$118</c:f>
              <c:numCache>
                <c:formatCode>General</c:formatCode>
                <c:ptCount val="8"/>
                <c:pt idx="0">
                  <c:v>0.27855717000000046</c:v>
                </c:pt>
                <c:pt idx="1">
                  <c:v>0.28249945948999922</c:v>
                </c:pt>
                <c:pt idx="2">
                  <c:v>0.30293025682799923</c:v>
                </c:pt>
                <c:pt idx="3">
                  <c:v>0.30610445802100017</c:v>
                </c:pt>
                <c:pt idx="4">
                  <c:v>0.29518214984330049</c:v>
                </c:pt>
                <c:pt idx="5">
                  <c:v>0.26661371757270036</c:v>
                </c:pt>
                <c:pt idx="6">
                  <c:v>0.2288042209919996</c:v>
                </c:pt>
                <c:pt idx="7">
                  <c:v>0.1063319963938798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E6-4EE5-A0A8-01883CDF36CA}"/>
            </c:ext>
          </c:extLst>
        </c:ser>
        <c:ser>
          <c:idx val="5"/>
          <c:order val="2"/>
          <c:tx>
            <c:strRef>
              <c:f>NZ2050_industry_final_energy!$C$116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NZ2050_industry_final_energy!$G$116:$N$116</c:f>
              <c:numCache>
                <c:formatCode>General</c:formatCode>
                <c:ptCount val="8"/>
                <c:pt idx="0">
                  <c:v>1.3146941000000001</c:v>
                </c:pt>
                <c:pt idx="1">
                  <c:v>1.3027586420000001</c:v>
                </c:pt>
                <c:pt idx="2">
                  <c:v>1.1566351100000001</c:v>
                </c:pt>
                <c:pt idx="3">
                  <c:v>0.88571382699999901</c:v>
                </c:pt>
                <c:pt idx="4">
                  <c:v>0.55942455959999893</c:v>
                </c:pt>
                <c:pt idx="5">
                  <c:v>0.32931710499999989</c:v>
                </c:pt>
                <c:pt idx="6">
                  <c:v>0.17188393042999994</c:v>
                </c:pt>
                <c:pt idx="7">
                  <c:v>3.8538994999999882E-2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6-4EE5-A0A8-01883CDF36CA}"/>
            </c:ext>
          </c:extLst>
        </c:ser>
        <c:ser>
          <c:idx val="6"/>
          <c:order val="3"/>
          <c:tx>
            <c:strRef>
              <c:f>NZ2050_industry_final_energy!$C$115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NZ2050_industry_final_energy!$G$115:$N$115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2.52513E-3</c:v>
                </c:pt>
                <c:pt idx="3">
                  <c:v>1.0989835699999999E-2</c:v>
                </c:pt>
                <c:pt idx="4">
                  <c:v>3.1981812300000002E-2</c:v>
                </c:pt>
                <c:pt idx="5">
                  <c:v>5.6872647439999986E-2</c:v>
                </c:pt>
                <c:pt idx="6">
                  <c:v>8.2828810350000004E-2</c:v>
                </c:pt>
                <c:pt idx="7">
                  <c:v>8.2824695840000004E-2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6-4EE5-A0A8-01883CDF36CA}"/>
            </c:ext>
          </c:extLst>
        </c:ser>
        <c:ser>
          <c:idx val="4"/>
          <c:order val="4"/>
          <c:tx>
            <c:strRef>
              <c:f>NZ2050_industry_final_energy!$C$114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NZ2050_industry_final_energy!$G$114:$N$114</c:f>
              <c:numCache>
                <c:formatCode>0.00E+00</c:formatCode>
                <c:ptCount val="8"/>
                <c:pt idx="0">
                  <c:v>0.351054119</c:v>
                </c:pt>
                <c:pt idx="1">
                  <c:v>0.37487391349999988</c:v>
                </c:pt>
                <c:pt idx="2">
                  <c:v>0.43504327843299995</c:v>
                </c:pt>
                <c:pt idx="3">
                  <c:v>0.45945603829699994</c:v>
                </c:pt>
                <c:pt idx="4">
                  <c:v>0.42981496813799897</c:v>
                </c:pt>
                <c:pt idx="5">
                  <c:v>0.35572887133300002</c:v>
                </c:pt>
                <c:pt idx="6">
                  <c:v>0.28735022754299999</c:v>
                </c:pt>
                <c:pt idx="7">
                  <c:v>0.19493178558999999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E6-4EE5-A0A8-01883CDF36CA}"/>
            </c:ext>
          </c:extLst>
        </c:ser>
        <c:ser>
          <c:idx val="0"/>
          <c:order val="5"/>
          <c:tx>
            <c:strRef>
              <c:f>NZ2050_industry_final_energy!$C$113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NZ2050_industry_final_energy!$G$113:$N$113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2.3283748740000002E-3</c:v>
                </c:pt>
                <c:pt idx="3">
                  <c:v>8.6890063409999999E-3</c:v>
                </c:pt>
                <c:pt idx="4">
                  <c:v>2.5350490386999901E-2</c:v>
                </c:pt>
                <c:pt idx="5">
                  <c:v>5.0654994348100002E-2</c:v>
                </c:pt>
                <c:pt idx="6">
                  <c:v>7.7514072386999894E-2</c:v>
                </c:pt>
                <c:pt idx="7">
                  <c:v>0.10315536319999999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E6-4EE5-A0A8-01883CDF36CA}"/>
            </c:ext>
          </c:extLst>
        </c:ser>
        <c:ser>
          <c:idx val="3"/>
          <c:order val="6"/>
          <c:tx>
            <c:strRef>
              <c:f>NZ2050_industry_final_energy!$C$112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NZ2050_industry_final_energy!$G$112:$N$112</c:f>
              <c:numCache>
                <c:formatCode>General</c:formatCode>
                <c:ptCount val="8"/>
                <c:pt idx="0">
                  <c:v>0.16462779999999999</c:v>
                </c:pt>
                <c:pt idx="1">
                  <c:v>0.177693509</c:v>
                </c:pt>
                <c:pt idx="2">
                  <c:v>0.22116057599999989</c:v>
                </c:pt>
                <c:pt idx="3">
                  <c:v>0.26059389099999897</c:v>
                </c:pt>
                <c:pt idx="4">
                  <c:v>0.32366602899999997</c:v>
                </c:pt>
                <c:pt idx="5">
                  <c:v>0.3500763791</c:v>
                </c:pt>
                <c:pt idx="6">
                  <c:v>0.33849337239999988</c:v>
                </c:pt>
                <c:pt idx="7">
                  <c:v>0.18941178532999989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E6-4EE5-A0A8-01883CDF36CA}"/>
            </c:ext>
          </c:extLst>
        </c:ser>
        <c:ser>
          <c:idx val="2"/>
          <c:order val="7"/>
          <c:tx>
            <c:strRef>
              <c:f>NZ2050_industry_final_energy!$C$111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NZ2050_industry_final_energy!$G$111:$N$111</c:f>
              <c:numCache>
                <c:formatCode>0.0000000000_ </c:formatCode>
                <c:ptCount val="8"/>
                <c:pt idx="0">
                  <c:v>0.99548382320000017</c:v>
                </c:pt>
                <c:pt idx="1">
                  <c:v>1.0599791964399976</c:v>
                </c:pt>
                <c:pt idx="2">
                  <c:v>1.13724583621</c:v>
                </c:pt>
                <c:pt idx="3">
                  <c:v>1.17651025607</c:v>
                </c:pt>
                <c:pt idx="4">
                  <c:v>1.2153986219199999</c:v>
                </c:pt>
                <c:pt idx="5">
                  <c:v>1.3111656451099998</c:v>
                </c:pt>
                <c:pt idx="6">
                  <c:v>1.4197522553899997</c:v>
                </c:pt>
                <c:pt idx="7">
                  <c:v>1.6401626822269999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6-4EE5-A0A8-01883CDF36CA}"/>
            </c:ext>
          </c:extLst>
        </c:ser>
        <c:ser>
          <c:idx val="1"/>
          <c:order val="8"/>
          <c:tx>
            <c:strRef>
              <c:f>NZ2050_industry_final_energy!$C$110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NZ2050_industry_final_energy!$G$109:$N$109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NZ2050_industry_final_energy!$G$110:$N$110</c:f>
              <c:numCache>
                <c:formatCode>General</c:formatCode>
                <c:ptCount val="8"/>
                <c:pt idx="0">
                  <c:v>0</c:v>
                </c:pt>
                <c:pt idx="1">
                  <c:v>1.089598119E-3</c:v>
                </c:pt>
                <c:pt idx="2">
                  <c:v>5.9593097419999895E-3</c:v>
                </c:pt>
                <c:pt idx="3">
                  <c:v>4.5028044048999988E-2</c:v>
                </c:pt>
                <c:pt idx="4">
                  <c:v>0.14018031581699991</c:v>
                </c:pt>
                <c:pt idx="5">
                  <c:v>0.290018157587</c:v>
                </c:pt>
                <c:pt idx="6">
                  <c:v>0.46234413554000003</c:v>
                </c:pt>
                <c:pt idx="7">
                  <c:v>0.78533813396040009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6-4EE5-A0A8-01883CDF36CA}"/>
            </c:ext>
          </c:extLst>
        </c:ser>
        <c:ser>
          <c:idx val="9"/>
          <c:order val="9"/>
          <c:tx>
            <c:strRef>
              <c:f>NZ2050_industry_final_energy!$C$120</c:f>
              <c:strCache>
                <c:ptCount val="1"/>
                <c:pt idx="0">
                  <c:v>DAC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val>
            <c:numRef>
              <c:f>NZ2050_industry_final_energy!$G$120:$N$120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3.7171465460199997E-2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C-4B83-AF9E-A20B40DE7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NZ2050_industry_final_energy!$Q$110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NZ2050_industry_final_energy!$R$109:$Y$109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NZ2050_industry_final_energy!$R$110:$Y$110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294.43866567777627</c:v>
                </c:pt>
                <c:pt idx="2">
                  <c:v>315.9016211694435</c:v>
                </c:pt>
                <c:pt idx="3">
                  <c:v>326.80840446388794</c:v>
                </c:pt>
                <c:pt idx="4">
                  <c:v>337.61072831111011</c:v>
                </c:pt>
                <c:pt idx="5">
                  <c:v>364.21267919722112</c:v>
                </c:pt>
                <c:pt idx="6">
                  <c:v>394.37562649722099</c:v>
                </c:pt>
                <c:pt idx="7">
                  <c:v>455.60074506305421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5-4B7A-BBC9-9C96EF74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709343"/>
        <c:axId val="2049051487"/>
      </c:barChart>
      <c:lineChart>
        <c:grouping val="standard"/>
        <c:varyColors val="0"/>
        <c:ser>
          <c:idx val="1"/>
          <c:order val="1"/>
          <c:tx>
            <c:strRef>
              <c:f>NZ2050_industry_final_energy!$Q$111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NZ2050_industry_final_energy!$R$109:$Y$109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NZ2050_industry_final_energy!$R$111:$Y$111</c:f>
              <c:numCache>
                <c:formatCode>General</c:formatCode>
                <c:ptCount val="8"/>
                <c:pt idx="0">
                  <c:v>265.68080230999925</c:v>
                </c:pt>
                <c:pt idx="1">
                  <c:v>268.74072508999922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75-4B7A-BBC9-9C96EF746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09343"/>
        <c:axId val="2049051487"/>
      </c:lineChart>
      <c:catAx>
        <c:axId val="154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1487"/>
        <c:crosses val="autoZero"/>
        <c:auto val="1"/>
        <c:lblAlgn val="ctr"/>
        <c:lblOffset val="100"/>
        <c:noMultiLvlLbl val="0"/>
      </c:catAx>
      <c:valAx>
        <c:axId val="204905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0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iron_steel (NZ2050)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NZ2050_industry_final_energy!$AK$149</c:f>
              <c:strCache>
                <c:ptCount val="1"/>
                <c:pt idx="0">
                  <c:v>iron_steel (NZ2050l)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NZ2050_industry_final_energy!$AL$148:$AS$148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NZ2050_industry_final_energy!$AL$149:$AS$149</c:f>
              <c:numCache>
                <c:formatCode>General</c:formatCode>
                <c:ptCount val="8"/>
                <c:pt idx="0">
                  <c:v>54.290527777777619</c:v>
                </c:pt>
                <c:pt idx="1">
                  <c:v>51.244855555555375</c:v>
                </c:pt>
                <c:pt idx="2">
                  <c:v>55.627008611110945</c:v>
                </c:pt>
                <c:pt idx="3">
                  <c:v>54.522685333333172</c:v>
                </c:pt>
                <c:pt idx="4">
                  <c:v>52.837638805555365</c:v>
                </c:pt>
                <c:pt idx="5">
                  <c:v>53.93126267222204</c:v>
                </c:pt>
                <c:pt idx="6">
                  <c:v>56.739094777777616</c:v>
                </c:pt>
                <c:pt idx="7">
                  <c:v>60.652113213888683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8-442A-A37F-C4406A08B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37296"/>
        <c:axId val="510166128"/>
      </c:barChart>
      <c:catAx>
        <c:axId val="7012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166128"/>
        <c:crosses val="autoZero"/>
        <c:auto val="1"/>
        <c:lblAlgn val="ctr"/>
        <c:lblOffset val="100"/>
        <c:noMultiLvlLbl val="0"/>
      </c:catAx>
      <c:valAx>
        <c:axId val="5101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NZ2050_industry_final_energy!$AK$150</c:f>
              <c:strCache>
                <c:ptCount val="1"/>
                <c:pt idx="0">
                  <c:v>chemical (NZ2050)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NZ2050_industry_final_energy!$AL$148:$AS$148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NZ2050_industry_final_energy!$AL$150:$AS$150</c:f>
              <c:numCache>
                <c:formatCode>General</c:formatCode>
                <c:ptCount val="8"/>
                <c:pt idx="0">
                  <c:v>48.964444444444304</c:v>
                </c:pt>
                <c:pt idx="1">
                  <c:v>51.716111111110685</c:v>
                </c:pt>
                <c:pt idx="2">
                  <c:v>57.247944444444272</c:v>
                </c:pt>
                <c:pt idx="3">
                  <c:v>63.309916666666481</c:v>
                </c:pt>
                <c:pt idx="4">
                  <c:v>71.307694444444238</c:v>
                </c:pt>
                <c:pt idx="5">
                  <c:v>82.135883333333098</c:v>
                </c:pt>
                <c:pt idx="6">
                  <c:v>94.147552777777506</c:v>
                </c:pt>
                <c:pt idx="7">
                  <c:v>110.40353277777746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E-4950-9A87-C9D99B86E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37296"/>
        <c:axId val="510166128"/>
      </c:barChart>
      <c:catAx>
        <c:axId val="7012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166128"/>
        <c:crosses val="autoZero"/>
        <c:auto val="1"/>
        <c:lblAlgn val="ctr"/>
        <c:lblOffset val="100"/>
        <c:noMultiLvlLbl val="0"/>
      </c:catAx>
      <c:valAx>
        <c:axId val="5101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NZ2050_industry_final_energy!$AK$151</c:f>
              <c:strCache>
                <c:ptCount val="1"/>
                <c:pt idx="0">
                  <c:v>semiconductor&amp;display (NZ2050)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NZ2050_industry_final_energy!$AL$148:$AS$148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NZ2050_industry_final_energy!$AL$151:$AS$151</c:f>
              <c:numCache>
                <c:formatCode>General</c:formatCode>
                <c:ptCount val="8"/>
                <c:pt idx="0">
                  <c:v>39.138888888888772</c:v>
                </c:pt>
                <c:pt idx="1">
                  <c:v>52.820805555555367</c:v>
                </c:pt>
                <c:pt idx="2">
                  <c:v>58.221380555555385</c:v>
                </c:pt>
                <c:pt idx="3">
                  <c:v>66.037483333333142</c:v>
                </c:pt>
                <c:pt idx="4">
                  <c:v>70.827979444444239</c:v>
                </c:pt>
                <c:pt idx="5">
                  <c:v>76.933540555555325</c:v>
                </c:pt>
                <c:pt idx="6">
                  <c:v>83.257048888888619</c:v>
                </c:pt>
                <c:pt idx="7">
                  <c:v>90.032918055555299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3-4128-B707-E176CB4BF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37296"/>
        <c:axId val="510166128"/>
      </c:barChart>
      <c:catAx>
        <c:axId val="7012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166128"/>
        <c:crosses val="autoZero"/>
        <c:auto val="1"/>
        <c:lblAlgn val="ctr"/>
        <c:lblOffset val="100"/>
        <c:noMultiLvlLbl val="0"/>
      </c:catAx>
      <c:valAx>
        <c:axId val="5101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NZ2050_industry_final_energy!$AK$153</c:f>
              <c:strCache>
                <c:ptCount val="1"/>
                <c:pt idx="0">
                  <c:v>others (NZ2050)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NZ2050_industry_final_energy!$AL$148:$AS$148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NZ2050_industry_final_energy!$AL$153:$AS$153</c:f>
              <c:numCache>
                <c:formatCode>General</c:formatCode>
                <c:ptCount val="8"/>
                <c:pt idx="0">
                  <c:v>128.66931199999971</c:v>
                </c:pt>
                <c:pt idx="1">
                  <c:v>132.99199012222155</c:v>
                </c:pt>
                <c:pt idx="2">
                  <c:v>139.0516192305551</c:v>
                </c:pt>
                <c:pt idx="3">
                  <c:v>137.7793785249996</c:v>
                </c:pt>
                <c:pt idx="4">
                  <c:v>138.10783318055522</c:v>
                </c:pt>
                <c:pt idx="5">
                  <c:v>146.73919208888844</c:v>
                </c:pt>
                <c:pt idx="6">
                  <c:v>155.78095745833284</c:v>
                </c:pt>
                <c:pt idx="7">
                  <c:v>190.55987726111056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2-4CB3-8625-102C72E86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37296"/>
        <c:axId val="510166128"/>
      </c:barChart>
      <c:catAx>
        <c:axId val="7012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166128"/>
        <c:crosses val="autoZero"/>
        <c:auto val="1"/>
        <c:lblAlgn val="ctr"/>
        <c:lblOffset val="100"/>
        <c:noMultiLvlLbl val="0"/>
      </c:catAx>
      <c:valAx>
        <c:axId val="5101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NZ2050_industry_final_energy!$AK$152</c:f>
              <c:strCache>
                <c:ptCount val="1"/>
                <c:pt idx="0">
                  <c:v>cement (NZ2050)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NZ2050_industry_final_energy!$AL$148:$AS$148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NZ2050_industry_final_energy!$AL$152:$AS$152</c:f>
              <c:numCache>
                <c:formatCode>General</c:formatCode>
                <c:ptCount val="8"/>
                <c:pt idx="0">
                  <c:v>5.4601111111110958</c:v>
                </c:pt>
                <c:pt idx="1">
                  <c:v>5.6649033333332897</c:v>
                </c:pt>
                <c:pt idx="2">
                  <c:v>5.7536683277777607</c:v>
                </c:pt>
                <c:pt idx="3">
                  <c:v>5.1589406055555411</c:v>
                </c:pt>
                <c:pt idx="4">
                  <c:v>4.5295824361110988</c:v>
                </c:pt>
                <c:pt idx="5">
                  <c:v>4.4728005472222092</c:v>
                </c:pt>
                <c:pt idx="6">
                  <c:v>4.4509725944444316</c:v>
                </c:pt>
                <c:pt idx="7">
                  <c:v>3.9523037547222106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D-4D38-82A3-1B13AD0F2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1237296"/>
        <c:axId val="510166128"/>
      </c:barChart>
      <c:catAx>
        <c:axId val="70123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0166128"/>
        <c:crosses val="autoZero"/>
        <c:auto val="1"/>
        <c:lblAlgn val="ctr"/>
        <c:lblOffset val="100"/>
        <c:noMultiLvlLbl val="0"/>
      </c:catAx>
      <c:valAx>
        <c:axId val="5101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3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전력선형!$A$4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전력선형!$B$3:$I$3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전력선형!$B$4:$I$4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230.93683333333266</c:v>
                </c:pt>
                <c:pt idx="2">
                  <c:v>267.53769444444367</c:v>
                </c:pt>
                <c:pt idx="3">
                  <c:v>278.94169444444361</c:v>
                </c:pt>
                <c:pt idx="4">
                  <c:v>301.46513888888802</c:v>
                </c:pt>
                <c:pt idx="5">
                  <c:v>315.61036111110747</c:v>
                </c:pt>
                <c:pt idx="6">
                  <c:v>326.1339444444435</c:v>
                </c:pt>
                <c:pt idx="7">
                  <c:v>342.51749999999902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F-4AAF-B4A0-8500093F9517}"/>
            </c:ext>
          </c:extLst>
        </c:ser>
        <c:ser>
          <c:idx val="1"/>
          <c:order val="1"/>
          <c:tx>
            <c:strRef>
              <c:f>전력선형!$A$5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전력선형!$B$3:$I$3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전력선형!$B$5:$I$5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294.28851368888792</c:v>
                </c:pt>
                <c:pt idx="2">
                  <c:v>328.04278287499898</c:v>
                </c:pt>
                <c:pt idx="3">
                  <c:v>334.83775742777686</c:v>
                </c:pt>
                <c:pt idx="4">
                  <c:v>338.55897518333211</c:v>
                </c:pt>
                <c:pt idx="5">
                  <c:v>344.68346874166537</c:v>
                </c:pt>
                <c:pt idx="6">
                  <c:v>356.57208901110948</c:v>
                </c:pt>
                <c:pt idx="7">
                  <c:v>375.60005265833206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F-4AAF-B4A0-8500093F9517}"/>
            </c:ext>
          </c:extLst>
        </c:ser>
        <c:ser>
          <c:idx val="2"/>
          <c:order val="2"/>
          <c:tx>
            <c:strRef>
              <c:f>전력선형!$A$6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전력선형!$B$3:$I$3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전력선형!$B$6:$I$6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3.0204009861111136</c:v>
                </c:pt>
                <c:pt idx="2">
                  <c:v>7.7070136694444509</c:v>
                </c:pt>
                <c:pt idx="3">
                  <c:v>12.129633258333342</c:v>
                </c:pt>
                <c:pt idx="4">
                  <c:v>15.633429713888901</c:v>
                </c:pt>
                <c:pt idx="5">
                  <c:v>17.391655522222234</c:v>
                </c:pt>
                <c:pt idx="6">
                  <c:v>17.987548188888901</c:v>
                </c:pt>
                <c:pt idx="7">
                  <c:v>18.074232365833346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F-4AAF-B4A0-8500093F9517}"/>
            </c:ext>
          </c:extLst>
        </c:ser>
        <c:ser>
          <c:idx val="3"/>
          <c:order val="3"/>
          <c:tx>
            <c:strRef>
              <c:f>전력선형!$A$7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전력선형!$B$3:$I$3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전력선형!$B$7:$I$7</c:f>
              <c:numCache>
                <c:formatCode>General</c:formatCode>
                <c:ptCount val="8"/>
                <c:pt idx="0">
                  <c:v>0</c:v>
                </c:pt>
                <c:pt idx="1">
                  <c:v>4.3709279109587926E-2</c:v>
                </c:pt>
                <c:pt idx="2">
                  <c:v>0.37186451872261317</c:v>
                </c:pt>
                <c:pt idx="3">
                  <c:v>1.0360057404872918</c:v>
                </c:pt>
                <c:pt idx="4">
                  <c:v>2.4878882741920512</c:v>
                </c:pt>
                <c:pt idx="5">
                  <c:v>5.3079587027868547</c:v>
                </c:pt>
                <c:pt idx="6">
                  <c:v>7.7703644627986366</c:v>
                </c:pt>
                <c:pt idx="7">
                  <c:v>11.070092672847174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F-4AAF-B4A0-8500093F9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1292752"/>
        <c:axId val="1120676736"/>
      </c:barChart>
      <c:catAx>
        <c:axId val="111129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676736"/>
        <c:crosses val="autoZero"/>
        <c:auto val="1"/>
        <c:lblAlgn val="ctr"/>
        <c:lblOffset val="100"/>
        <c:noMultiLvlLbl val="0"/>
      </c:catAx>
      <c:valAx>
        <c:axId val="112067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2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전력선형!$A$16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전력선형!$B$15:$I$15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전력선형!$B$16:$I$16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232.15497222222157</c:v>
                </c:pt>
                <c:pt idx="2">
                  <c:v>235.27897222222157</c:v>
                </c:pt>
                <c:pt idx="3">
                  <c:v>247.92549999999929</c:v>
                </c:pt>
                <c:pt idx="4">
                  <c:v>269.07536111111034</c:v>
                </c:pt>
                <c:pt idx="5">
                  <c:v>301.93722222222141</c:v>
                </c:pt>
                <c:pt idx="6">
                  <c:v>328.29538888888789</c:v>
                </c:pt>
                <c:pt idx="7">
                  <c:v>362.99272222222118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A-42D7-8C69-98A348BD98A2}"/>
            </c:ext>
          </c:extLst>
        </c:ser>
        <c:ser>
          <c:idx val="1"/>
          <c:order val="1"/>
          <c:tx>
            <c:strRef>
              <c:f>전력선형!$A$17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전력선형!$B$15:$I$15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전력선형!$B$17:$I$17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294.43866567777627</c:v>
                </c:pt>
                <c:pt idx="2">
                  <c:v>315.9016211694435</c:v>
                </c:pt>
                <c:pt idx="3">
                  <c:v>326.80840446388794</c:v>
                </c:pt>
                <c:pt idx="4">
                  <c:v>337.61072831111011</c:v>
                </c:pt>
                <c:pt idx="5">
                  <c:v>364.21267919722112</c:v>
                </c:pt>
                <c:pt idx="6">
                  <c:v>394.37562649722099</c:v>
                </c:pt>
                <c:pt idx="7">
                  <c:v>455.60074506305421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A-42D7-8C69-98A348BD98A2}"/>
            </c:ext>
          </c:extLst>
        </c:ser>
        <c:ser>
          <c:idx val="2"/>
          <c:order val="2"/>
          <c:tx>
            <c:strRef>
              <c:f>전력선형!$A$18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전력선형!$B$15:$I$15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전력선형!$B$18:$I$18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3.4245523333333359</c:v>
                </c:pt>
                <c:pt idx="2">
                  <c:v>11.712708583333342</c:v>
                </c:pt>
                <c:pt idx="3">
                  <c:v>20.665903436111126</c:v>
                </c:pt>
                <c:pt idx="4">
                  <c:v>28.522564394444444</c:v>
                </c:pt>
                <c:pt idx="5">
                  <c:v>33.880944777777778</c:v>
                </c:pt>
                <c:pt idx="6">
                  <c:v>37.232266552777801</c:v>
                </c:pt>
                <c:pt idx="7">
                  <c:v>41.123440288888922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A-42D7-8C69-98A348BD98A2}"/>
            </c:ext>
          </c:extLst>
        </c:ser>
        <c:ser>
          <c:idx val="3"/>
          <c:order val="3"/>
          <c:tx>
            <c:strRef>
              <c:f>전력선형!$A$19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전력선형!$B$15:$I$15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전력선형!$B$19:$I$19</c:f>
              <c:numCache>
                <c:formatCode>General</c:formatCode>
                <c:ptCount val="8"/>
                <c:pt idx="0">
                  <c:v>0</c:v>
                </c:pt>
                <c:pt idx="1">
                  <c:v>5.6771376468963103E-2</c:v>
                </c:pt>
                <c:pt idx="2">
                  <c:v>0.99413383029499747</c:v>
                </c:pt>
                <c:pt idx="3">
                  <c:v>6.2067242339783748</c:v>
                </c:pt>
                <c:pt idx="4">
                  <c:v>21.264898248005217</c:v>
                </c:pt>
                <c:pt idx="5">
                  <c:v>44.297591987615036</c:v>
                </c:pt>
                <c:pt idx="6">
                  <c:v>70.983147169801711</c:v>
                </c:pt>
                <c:pt idx="7">
                  <c:v>123.6736486990301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BA-42D7-8C69-98A348BD9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1305152"/>
        <c:axId val="1120686304"/>
      </c:barChart>
      <c:catAx>
        <c:axId val="11113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686304"/>
        <c:crosses val="autoZero"/>
        <c:auto val="1"/>
        <c:lblAlgn val="ctr"/>
        <c:lblOffset val="100"/>
        <c:noMultiLvlLbl val="0"/>
      </c:catAx>
      <c:valAx>
        <c:axId val="112068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30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CurPol_final_energy!$AA$8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'전력선형(보정)'!$B$8:$I$8</c:f>
              <c:numCache>
                <c:formatCode>General</c:formatCode>
                <c:ptCount val="8"/>
                <c:pt idx="0">
                  <c:v>488.39273422222266</c:v>
                </c:pt>
                <c:pt idx="1">
                  <c:v>509.40508712915005</c:v>
                </c:pt>
                <c:pt idx="2">
                  <c:v>584.77498534931863</c:v>
                </c:pt>
                <c:pt idx="3">
                  <c:v>608.06072071275003</c:v>
                </c:pt>
                <c:pt idx="4">
                  <c:v>639.26106190200994</c:v>
                </c:pt>
                <c:pt idx="5">
                  <c:v>664.10907391949058</c:v>
                </c:pt>
                <c:pt idx="6">
                  <c:v>689.57957594894924</c:v>
                </c:pt>
                <c:pt idx="7">
                  <c:v>728.37750753872047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7-4B77-9E83-BD761C23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255343"/>
        <c:axId val="2076755263"/>
      </c:barChart>
      <c:lineChart>
        <c:grouping val="standard"/>
        <c:varyColors val="0"/>
        <c:ser>
          <c:idx val="1"/>
          <c:order val="1"/>
          <c:tx>
            <c:strRef>
              <c:f>CurPol_final_energy!$AA$9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CurPol_final_energy!$AB$9:$AI$9</c:f>
              <c:numCache>
                <c:formatCode>0.000</c:formatCode>
                <c:ptCount val="8"/>
                <c:pt idx="0">
                  <c:v>483.74186019000041</c:v>
                </c:pt>
                <c:pt idx="1">
                  <c:v>509.36137785000045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7-4B77-9E83-BD761C23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NZ2050_final_energy!$Z$3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'전력선형(보정)'!$B$20:$I$20</c:f>
              <c:numCache>
                <c:formatCode>General</c:formatCode>
                <c:ptCount val="8"/>
                <c:pt idx="0">
                  <c:v>488.39273422222084</c:v>
                </c:pt>
                <c:pt idx="1">
                  <c:v>509.41814922650946</c:v>
                </c:pt>
                <c:pt idx="2">
                  <c:v>543.23062342200285</c:v>
                </c:pt>
                <c:pt idx="3">
                  <c:v>580.94971975068597</c:v>
                </c:pt>
                <c:pt idx="4">
                  <c:v>635.81673968137943</c:v>
                </c:pt>
                <c:pt idx="5">
                  <c:v>723.67162580154479</c:v>
                </c:pt>
                <c:pt idx="6">
                  <c:v>810.2296167253977</c:v>
                </c:pt>
                <c:pt idx="7">
                  <c:v>962.73374388990385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E-4935-B8BE-BFF8511B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326767"/>
        <c:axId val="336344415"/>
      </c:barChart>
      <c:lineChart>
        <c:grouping val="standard"/>
        <c:varyColors val="0"/>
        <c:ser>
          <c:idx val="1"/>
          <c:order val="1"/>
          <c:tx>
            <c:strRef>
              <c:f>NZ2050_final_energy!$Z$4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NZ2050_final_energy!$AA$4:$AH$4</c:f>
              <c:numCache>
                <c:formatCode>General</c:formatCode>
                <c:ptCount val="8"/>
                <c:pt idx="0">
                  <c:v>483.74186019000041</c:v>
                </c:pt>
                <c:pt idx="1">
                  <c:v>509.36137785000045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E-4935-B8BE-BFF8511B4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26767"/>
        <c:axId val="336344415"/>
      </c:lineChart>
      <c:catAx>
        <c:axId val="3423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44415"/>
        <c:crosses val="autoZero"/>
        <c:auto val="1"/>
        <c:lblAlgn val="ctr"/>
        <c:lblOffset val="100"/>
        <c:noMultiLvlLbl val="0"/>
      </c:catAx>
      <c:valAx>
        <c:axId val="3363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23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CurPol_final_energy!$C$47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CurPol_final_energy!$D$46:$K$46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'전력선형(보정)'!$B$4:$I$4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237.46560821001898</c:v>
                </c:pt>
                <c:pt idx="2">
                  <c:v>274.06646932113006</c:v>
                </c:pt>
                <c:pt idx="3">
                  <c:v>285.47046932113005</c:v>
                </c:pt>
                <c:pt idx="4">
                  <c:v>307.99391376557435</c:v>
                </c:pt>
                <c:pt idx="5">
                  <c:v>322.13913598779379</c:v>
                </c:pt>
                <c:pt idx="6">
                  <c:v>332.66271932112988</c:v>
                </c:pt>
                <c:pt idx="7">
                  <c:v>349.0462748766854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C-41A0-91C0-E0420ADD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78111"/>
        <c:axId val="2049058975"/>
      </c:barChart>
      <c:lineChart>
        <c:grouping val="standard"/>
        <c:varyColors val="0"/>
        <c:ser>
          <c:idx val="1"/>
          <c:order val="1"/>
          <c:tx>
            <c:strRef>
              <c:f>CurPol_final_energy!$C$48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CurPol_final_energy!$D$46:$K$46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CurPol_final_energy!$D$48:$K$48</c:f>
              <c:numCache>
                <c:formatCode>General</c:formatCode>
                <c:ptCount val="8"/>
                <c:pt idx="0">
                  <c:v>215.84400772001726</c:v>
                </c:pt>
                <c:pt idx="1">
                  <c:v>237.46560821001901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C-41A0-91C0-E0420ADDA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78111"/>
        <c:axId val="204905897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CurPol_final_energy!$C$49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CurPol_final_energy!$D$46:$K$46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CurPol_final_energy!$D$49:$K$49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255.86000000002048</c:v>
                      </c:pt>
                      <c:pt idx="3">
                        <c:v>279.12000000002229</c:v>
                      </c:pt>
                      <c:pt idx="4">
                        <c:v>290.75000000002325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D1C-41A0-91C0-E0420ADDA02F}"/>
                  </c:ext>
                </c:extLst>
              </c15:ser>
            </c15:filteredLineSeries>
          </c:ext>
        </c:extLst>
      </c:lineChart>
      <c:catAx>
        <c:axId val="8857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8975"/>
        <c:crosses val="autoZero"/>
        <c:auto val="1"/>
        <c:lblAlgn val="ctr"/>
        <c:lblOffset val="100"/>
        <c:noMultiLvlLbl val="0"/>
      </c:catAx>
      <c:valAx>
        <c:axId val="20490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57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NZ2050_final_energy!$C$53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'전력선형(보정)'!$B$16:$I$16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237.46560821001898</c:v>
                </c:pt>
                <c:pt idx="2">
                  <c:v>240.58960821001901</c:v>
                </c:pt>
                <c:pt idx="3">
                  <c:v>253.2361359877967</c:v>
                </c:pt>
                <c:pt idx="4">
                  <c:v>274.38599709890775</c:v>
                </c:pt>
                <c:pt idx="5">
                  <c:v>307.24785821001888</c:v>
                </c:pt>
                <c:pt idx="6">
                  <c:v>333.60602487668541</c:v>
                </c:pt>
                <c:pt idx="7">
                  <c:v>368.3033582100187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6-40D1-AC25-3700D9376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2326767"/>
        <c:axId val="336344415"/>
      </c:barChart>
      <c:lineChart>
        <c:grouping val="standard"/>
        <c:varyColors val="0"/>
        <c:ser>
          <c:idx val="1"/>
          <c:order val="1"/>
          <c:tx>
            <c:strRef>
              <c:f>NZ2050_final_energy!$C$54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NZ2050_final_energy!$D$52:$K$52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NZ2050_final_energy!$D$54:$K$54</c:f>
              <c:numCache>
                <c:formatCode>General</c:formatCode>
                <c:ptCount val="8"/>
                <c:pt idx="0">
                  <c:v>215.84400772001726</c:v>
                </c:pt>
                <c:pt idx="1">
                  <c:v>237.46560821001901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6-40D1-AC25-3700D9376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2326767"/>
        <c:axId val="33634441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NZ2050_final_energy!$C$55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NZ2050_final_energy!$D$52:$K$52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NZ2050_final_energy!$D$55:$K$55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255.86000000002048</c:v>
                      </c:pt>
                      <c:pt idx="3">
                        <c:v>279.12000000002229</c:v>
                      </c:pt>
                      <c:pt idx="4">
                        <c:v>290.75000000002325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3B6-40D1-AC25-3700D9376ED5}"/>
                  </c:ext>
                </c:extLst>
              </c15:ser>
            </c15:filteredLineSeries>
          </c:ext>
        </c:extLst>
      </c:lineChart>
      <c:catAx>
        <c:axId val="34232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44415"/>
        <c:crosses val="autoZero"/>
        <c:auto val="1"/>
        <c:lblAlgn val="ctr"/>
        <c:lblOffset val="100"/>
        <c:noMultiLvlLbl val="0"/>
      </c:catAx>
      <c:valAx>
        <c:axId val="33634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23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'CurPol_industry_final_energ (2)'!$O$80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'CurPol_industry_final_energ (2)'!$P$79:$W$79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'전력선형(보정)'!$B$5:$I$5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268.7407250900215</c:v>
                </c:pt>
                <c:pt idx="2">
                  <c:v>302.49499427613256</c:v>
                </c:pt>
                <c:pt idx="3">
                  <c:v>309.2899688289105</c:v>
                </c:pt>
                <c:pt idx="4">
                  <c:v>313.01118658446575</c:v>
                </c:pt>
                <c:pt idx="5">
                  <c:v>319.13568014279889</c:v>
                </c:pt>
                <c:pt idx="6">
                  <c:v>331.02430041224301</c:v>
                </c:pt>
                <c:pt idx="7">
                  <c:v>350.05226405946559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CD-4A2A-9E57-D5F9652FD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0099535"/>
        <c:axId val="336358559"/>
      </c:barChart>
      <c:lineChart>
        <c:grouping val="standard"/>
        <c:varyColors val="0"/>
        <c:ser>
          <c:idx val="1"/>
          <c:order val="1"/>
          <c:tx>
            <c:strRef>
              <c:f>'CurPol_industry_final_energ (2)'!$O$81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'CurPol_industry_final_energ (2)'!$P$79:$W$79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'CurPol_industry_final_energ (2)'!$P$81:$W$81</c:f>
              <c:numCache>
                <c:formatCode>General</c:formatCode>
                <c:ptCount val="8"/>
                <c:pt idx="0">
                  <c:v>265.68080231002131</c:v>
                </c:pt>
                <c:pt idx="1">
                  <c:v>268.7407250900215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D-4A2A-9E57-D5F9652FD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0099535"/>
        <c:axId val="336358559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'CurPol_industry_final_energ (2)'!$O$82</c15:sqref>
                        </c15:formulaRef>
                      </c:ext>
                    </c:extLst>
                    <c:strCache>
                      <c:ptCount val="1"/>
                      <c:pt idx="0">
                        <c:v>Forecast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'CurPol_industry_final_energ (2)'!$P$79:$W$79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'CurPol_industry_final_energ (2)'!$P$82:$W$82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2">
                        <c:v>302.38000000002415</c:v>
                      </c:pt>
                      <c:pt idx="3">
                        <c:v>337.27000000002698</c:v>
                      </c:pt>
                      <c:pt idx="4">
                        <c:v>348.90000000002794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BCD-4A2A-9E57-D5F9652FDF32}"/>
                  </c:ext>
                </c:extLst>
              </c15:ser>
            </c15:filteredLineSeries>
          </c:ext>
        </c:extLst>
      </c:lineChart>
      <c:catAx>
        <c:axId val="157009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358559"/>
        <c:crosses val="autoZero"/>
        <c:auto val="1"/>
        <c:lblAlgn val="ctr"/>
        <c:lblOffset val="100"/>
        <c:noMultiLvlLbl val="0"/>
      </c:catAx>
      <c:valAx>
        <c:axId val="33635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009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NZ2050_industry_final_energy!$Q$110</c:f>
              <c:strCache>
                <c:ptCount val="1"/>
                <c:pt idx="0">
                  <c:v>GCAM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NZ2050_industry_final_energy!$R$109:$Y$109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'전력선형(보정)'!$B$17:$I$17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268.74072509002144</c:v>
                </c:pt>
                <c:pt idx="2">
                  <c:v>290.20368058168879</c:v>
                </c:pt>
                <c:pt idx="3">
                  <c:v>301.11046387613317</c:v>
                </c:pt>
                <c:pt idx="4">
                  <c:v>311.91278772335534</c:v>
                </c:pt>
                <c:pt idx="5">
                  <c:v>338.51473860946635</c:v>
                </c:pt>
                <c:pt idx="6">
                  <c:v>368.67768590946616</c:v>
                </c:pt>
                <c:pt idx="7">
                  <c:v>429.90280447529949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6-4C28-B817-37CFB20B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709343"/>
        <c:axId val="2049051487"/>
      </c:barChart>
      <c:lineChart>
        <c:grouping val="standard"/>
        <c:varyColors val="0"/>
        <c:ser>
          <c:idx val="1"/>
          <c:order val="1"/>
          <c:tx>
            <c:strRef>
              <c:f>NZ2050_industry_final_energy!$Q$111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NZ2050_industry_final_energy!$R$109:$Y$109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NZ2050_industry_final_energy!$R$111:$Y$111</c:f>
              <c:numCache>
                <c:formatCode>General</c:formatCode>
                <c:ptCount val="8"/>
                <c:pt idx="0">
                  <c:v>265.68080230999925</c:v>
                </c:pt>
                <c:pt idx="1">
                  <c:v>268.74072508999922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76-4C28-B817-37CFB20BA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09343"/>
        <c:axId val="2049051487"/>
      </c:lineChart>
      <c:catAx>
        <c:axId val="15470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1487"/>
        <c:crosses val="autoZero"/>
        <c:auto val="1"/>
        <c:lblAlgn val="ctr"/>
        <c:lblOffset val="100"/>
        <c:noMultiLvlLbl val="0"/>
      </c:catAx>
      <c:valAx>
        <c:axId val="204905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0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+mn-lt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layout>
        <c:manualLayout>
          <c:xMode val="edge"/>
          <c:yMode val="edge"/>
          <c:x val="0.4039374453193350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3"/>
          <c:order val="0"/>
          <c:tx>
            <c:v>GCAM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'전력선형(보정)'!$B$6:$I$6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3.1550445500000026</c:v>
                </c:pt>
                <c:pt idx="2">
                  <c:v>7.8416572333333399</c:v>
                </c:pt>
                <c:pt idx="3">
                  <c:v>12.264276822222232</c:v>
                </c:pt>
                <c:pt idx="4">
                  <c:v>15.768073277777791</c:v>
                </c:pt>
                <c:pt idx="5">
                  <c:v>17.526299086111123</c:v>
                </c:pt>
                <c:pt idx="6">
                  <c:v>18.122191752777791</c:v>
                </c:pt>
                <c:pt idx="7">
                  <c:v>18.208875929722236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D-47D7-9B2A-F0FCF5B7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1255343"/>
        <c:axId val="2076755263"/>
      </c:barChart>
      <c:lineChart>
        <c:grouping val="standard"/>
        <c:varyColors val="0"/>
        <c:ser>
          <c:idx val="1"/>
          <c:order val="1"/>
          <c:tx>
            <c:strRef>
              <c:f>CurPol_final_energy!$AB$60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CurPol_final_energy!$AB$2:$AI$2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CurPol_final_energy!$AC$60:$AJ$60</c:f>
              <c:numCache>
                <c:formatCode>General</c:formatCode>
                <c:ptCount val="8"/>
                <c:pt idx="0">
                  <c:v>2.2170501600000021</c:v>
                </c:pt>
                <c:pt idx="1">
                  <c:v>3.1550445500000026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4D-47D7-9B2A-F0FCF5B7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255343"/>
        <c:axId val="2076755263"/>
      </c:lineChart>
      <c:catAx>
        <c:axId val="173125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76755263"/>
        <c:crosses val="autoZero"/>
        <c:auto val="1"/>
        <c:lblAlgn val="ctr"/>
        <c:lblOffset val="100"/>
        <c:noMultiLvlLbl val="0"/>
      </c:catAx>
      <c:valAx>
        <c:axId val="20767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312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v>GCAM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'전력선형(보정)'!$B$18:$I$18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3.1550445500000026</c:v>
                </c:pt>
                <c:pt idx="2">
                  <c:v>11.443200800000008</c:v>
                </c:pt>
                <c:pt idx="3">
                  <c:v>20.396395652777795</c:v>
                </c:pt>
                <c:pt idx="4">
                  <c:v>28.253056611111113</c:v>
                </c:pt>
                <c:pt idx="5">
                  <c:v>33.611436994444439</c:v>
                </c:pt>
                <c:pt idx="6">
                  <c:v>36.962758769444463</c:v>
                </c:pt>
                <c:pt idx="7">
                  <c:v>40.853932505555584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D-4605-A3D7-3957AB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7633727"/>
        <c:axId val="2049052319"/>
      </c:barChart>
      <c:lineChart>
        <c:grouping val="standard"/>
        <c:varyColors val="0"/>
        <c:ser>
          <c:idx val="1"/>
          <c:order val="1"/>
          <c:tx>
            <c:strRef>
              <c:f>NZ2050_final_energy!$C$120</c:f>
              <c:strCache>
                <c:ptCount val="1"/>
                <c:pt idx="0">
                  <c:v>Historical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cat>
            <c:numRef>
              <c:f>NZ2050_final_energy!$D$117:$K$117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NZ2050_final_energy!$D$120:$K$120</c:f>
              <c:numCache>
                <c:formatCode>General</c:formatCode>
                <c:ptCount val="8"/>
                <c:pt idx="0">
                  <c:v>2.2170501600001775</c:v>
                </c:pt>
                <c:pt idx="1">
                  <c:v>3.1550445500002526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CD-4605-A3D7-3957AB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7633727"/>
        <c:axId val="2049052319"/>
        <c:extLst/>
      </c:lineChart>
      <c:catAx>
        <c:axId val="19676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9052319"/>
        <c:crosses val="autoZero"/>
        <c:auto val="1"/>
        <c:lblAlgn val="ctr"/>
        <c:lblOffset val="100"/>
        <c:noMultiLvlLbl val="0"/>
      </c:catAx>
      <c:valAx>
        <c:axId val="20490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76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'전력선형(보정)'!$A$4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'전력선형(보정)'!$B$3:$I$3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'전력선형(보정)'!$B$4:$I$4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237.46560821001898</c:v>
                </c:pt>
                <c:pt idx="2">
                  <c:v>274.06646932113006</c:v>
                </c:pt>
                <c:pt idx="3">
                  <c:v>285.47046932113005</c:v>
                </c:pt>
                <c:pt idx="4">
                  <c:v>307.99391376557435</c:v>
                </c:pt>
                <c:pt idx="5">
                  <c:v>322.13913598779379</c:v>
                </c:pt>
                <c:pt idx="6">
                  <c:v>332.66271932112988</c:v>
                </c:pt>
                <c:pt idx="7">
                  <c:v>349.0462748766854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A-4BAA-9F76-33E9CD13AEBF}"/>
            </c:ext>
          </c:extLst>
        </c:ser>
        <c:ser>
          <c:idx val="1"/>
          <c:order val="1"/>
          <c:tx>
            <c:strRef>
              <c:f>'전력선형(보정)'!$A$5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'전력선형(보정)'!$B$3:$I$3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'전력선형(보정)'!$B$5:$I$5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268.7407250900215</c:v>
                </c:pt>
                <c:pt idx="2">
                  <c:v>302.49499427613256</c:v>
                </c:pt>
                <c:pt idx="3">
                  <c:v>309.2899688289105</c:v>
                </c:pt>
                <c:pt idx="4">
                  <c:v>313.01118658446575</c:v>
                </c:pt>
                <c:pt idx="5">
                  <c:v>319.13568014279889</c:v>
                </c:pt>
                <c:pt idx="6">
                  <c:v>331.02430041224301</c:v>
                </c:pt>
                <c:pt idx="7">
                  <c:v>350.05226405946559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8A-4BAA-9F76-33E9CD13AEBF}"/>
            </c:ext>
          </c:extLst>
        </c:ser>
        <c:ser>
          <c:idx val="2"/>
          <c:order val="2"/>
          <c:tx>
            <c:strRef>
              <c:f>'전력선형(보정)'!$A$6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'전력선형(보정)'!$B$3:$I$3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'전력선형(보정)'!$B$6:$I$6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3.1550445500000026</c:v>
                </c:pt>
                <c:pt idx="2">
                  <c:v>7.8416572333333399</c:v>
                </c:pt>
                <c:pt idx="3">
                  <c:v>12.264276822222232</c:v>
                </c:pt>
                <c:pt idx="4">
                  <c:v>15.768073277777791</c:v>
                </c:pt>
                <c:pt idx="5">
                  <c:v>17.526299086111123</c:v>
                </c:pt>
                <c:pt idx="6">
                  <c:v>18.122191752777791</c:v>
                </c:pt>
                <c:pt idx="7">
                  <c:v>18.208875929722236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8A-4BAA-9F76-33E9CD13AEBF}"/>
            </c:ext>
          </c:extLst>
        </c:ser>
        <c:ser>
          <c:idx val="3"/>
          <c:order val="3"/>
          <c:tx>
            <c:strRef>
              <c:f>'전력선형(보정)'!$A$7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'전력선형(보정)'!$B$3:$I$3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'전력선형(보정)'!$B$7:$I$7</c:f>
              <c:numCache>
                <c:formatCode>General</c:formatCode>
                <c:ptCount val="8"/>
                <c:pt idx="0">
                  <c:v>0</c:v>
                </c:pt>
                <c:pt idx="1">
                  <c:v>4.3709279109587926E-2</c:v>
                </c:pt>
                <c:pt idx="2">
                  <c:v>0.37186451872261317</c:v>
                </c:pt>
                <c:pt idx="3">
                  <c:v>1.0360057404872918</c:v>
                </c:pt>
                <c:pt idx="4">
                  <c:v>2.4878882741920512</c:v>
                </c:pt>
                <c:pt idx="5">
                  <c:v>5.3079587027868547</c:v>
                </c:pt>
                <c:pt idx="6">
                  <c:v>7.7703644627986366</c:v>
                </c:pt>
                <c:pt idx="7">
                  <c:v>11.070092672847174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8A-4BAA-9F76-33E9CD13A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1303552"/>
        <c:axId val="581973920"/>
      </c:barChart>
      <c:catAx>
        <c:axId val="11113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1973920"/>
        <c:crosses val="autoZero"/>
        <c:auto val="1"/>
        <c:lblAlgn val="ctr"/>
        <c:lblOffset val="100"/>
        <c:noMultiLvlLbl val="0"/>
      </c:catAx>
      <c:valAx>
        <c:axId val="5819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3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'전력선형(보정)'!$A$16</c:f>
              <c:strCache>
                <c:ptCount val="1"/>
                <c:pt idx="0">
                  <c:v>건물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'전력선형(보정)'!$B$15:$I$15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'전력선형(보정)'!$B$16:$I$16</c:f>
              <c:numCache>
                <c:formatCode>General</c:formatCode>
                <c:ptCount val="8"/>
                <c:pt idx="0">
                  <c:v>209.65099999999939</c:v>
                </c:pt>
                <c:pt idx="1">
                  <c:v>237.46560821001898</c:v>
                </c:pt>
                <c:pt idx="2">
                  <c:v>240.58960821001901</c:v>
                </c:pt>
                <c:pt idx="3">
                  <c:v>253.2361359877967</c:v>
                </c:pt>
                <c:pt idx="4">
                  <c:v>274.38599709890775</c:v>
                </c:pt>
                <c:pt idx="5">
                  <c:v>307.24785821001888</c:v>
                </c:pt>
                <c:pt idx="6">
                  <c:v>333.60602487668541</c:v>
                </c:pt>
                <c:pt idx="7">
                  <c:v>368.3033582100187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3F-4AB8-9D4E-24BD77EA473E}"/>
            </c:ext>
          </c:extLst>
        </c:ser>
        <c:ser>
          <c:idx val="1"/>
          <c:order val="1"/>
          <c:tx>
            <c:strRef>
              <c:f>'전력선형(보정)'!$A$17</c:f>
              <c:strCache>
                <c:ptCount val="1"/>
                <c:pt idx="0">
                  <c:v>산업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'전력선형(보정)'!$B$15:$I$15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'전력선형(보정)'!$B$17:$I$17</c:f>
              <c:numCache>
                <c:formatCode>General</c:formatCode>
                <c:ptCount val="8"/>
                <c:pt idx="0">
                  <c:v>276.52328422222149</c:v>
                </c:pt>
                <c:pt idx="1">
                  <c:v>268.74072509002144</c:v>
                </c:pt>
                <c:pt idx="2">
                  <c:v>290.20368058168879</c:v>
                </c:pt>
                <c:pt idx="3">
                  <c:v>301.11046387613317</c:v>
                </c:pt>
                <c:pt idx="4">
                  <c:v>311.91278772335534</c:v>
                </c:pt>
                <c:pt idx="5">
                  <c:v>338.51473860946635</c:v>
                </c:pt>
                <c:pt idx="6">
                  <c:v>368.67768590946616</c:v>
                </c:pt>
                <c:pt idx="7">
                  <c:v>429.90280447529949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3F-4AB8-9D4E-24BD77EA473E}"/>
            </c:ext>
          </c:extLst>
        </c:ser>
        <c:ser>
          <c:idx val="2"/>
          <c:order val="2"/>
          <c:tx>
            <c:strRef>
              <c:f>'전력선형(보정)'!$A$18</c:f>
              <c:strCache>
                <c:ptCount val="1"/>
                <c:pt idx="0">
                  <c:v>수송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'전력선형(보정)'!$B$15:$I$15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'전력선형(보정)'!$B$18:$I$18</c:f>
              <c:numCache>
                <c:formatCode>General</c:formatCode>
                <c:ptCount val="8"/>
                <c:pt idx="0">
                  <c:v>2.2184500000000016</c:v>
                </c:pt>
                <c:pt idx="1">
                  <c:v>3.1550445500000026</c:v>
                </c:pt>
                <c:pt idx="2">
                  <c:v>11.443200800000008</c:v>
                </c:pt>
                <c:pt idx="3">
                  <c:v>20.396395652777795</c:v>
                </c:pt>
                <c:pt idx="4">
                  <c:v>28.253056611111113</c:v>
                </c:pt>
                <c:pt idx="5">
                  <c:v>33.611436994444439</c:v>
                </c:pt>
                <c:pt idx="6">
                  <c:v>36.962758769444463</c:v>
                </c:pt>
                <c:pt idx="7">
                  <c:v>40.853932505555584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3F-4AB8-9D4E-24BD77EA473E}"/>
            </c:ext>
          </c:extLst>
        </c:ser>
        <c:ser>
          <c:idx val="3"/>
          <c:order val="3"/>
          <c:tx>
            <c:strRef>
              <c:f>'전력선형(보정)'!$A$19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'전력선형(보정)'!$B$15:$I$15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'전력선형(보정)'!$B$19:$I$19</c:f>
              <c:numCache>
                <c:formatCode>General</c:formatCode>
                <c:ptCount val="8"/>
                <c:pt idx="0">
                  <c:v>0</c:v>
                </c:pt>
                <c:pt idx="1">
                  <c:v>5.6771376468963103E-2</c:v>
                </c:pt>
                <c:pt idx="2">
                  <c:v>0.99413383029499747</c:v>
                </c:pt>
                <c:pt idx="3">
                  <c:v>6.2067242339783748</c:v>
                </c:pt>
                <c:pt idx="4">
                  <c:v>21.264898248005217</c:v>
                </c:pt>
                <c:pt idx="5">
                  <c:v>44.297591987615036</c:v>
                </c:pt>
                <c:pt idx="6">
                  <c:v>70.983147169801711</c:v>
                </c:pt>
                <c:pt idx="7">
                  <c:v>123.6736486990301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3F-4AB8-9D4E-24BD77EA4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1309152"/>
        <c:axId val="1030448192"/>
      </c:barChart>
      <c:catAx>
        <c:axId val="11113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30448192"/>
        <c:crosses val="autoZero"/>
        <c:auto val="1"/>
        <c:lblAlgn val="ctr"/>
        <c:lblOffset val="100"/>
        <c:noMultiLvlLbl val="0"/>
      </c:catAx>
      <c:valAx>
        <c:axId val="103044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13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[1]CurPol_iron_steel_energy!$A$71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[1]CurPol_iron_steel_energy!$B$71:$E$71</c:f>
              <c:numCache>
                <c:formatCode>General</c:formatCode>
                <c:ptCount val="4"/>
                <c:pt idx="0">
                  <c:v>2.1478284000000002E-3</c:v>
                </c:pt>
                <c:pt idx="1">
                  <c:v>4.18857E-3</c:v>
                </c:pt>
                <c:pt idx="2">
                  <c:v>4.6222271999999997E-3</c:v>
                </c:pt>
                <c:pt idx="3">
                  <c:v>4.7741064999999999E-3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3-444D-93B9-6BBBA65ED39C}"/>
            </c:ext>
          </c:extLst>
        </c:ser>
        <c:ser>
          <c:idx val="4"/>
          <c:order val="1"/>
          <c:tx>
            <c:strRef>
              <c:f>[1]CurPol_iron_steel_energy!$A$70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[1]CurPol_iron_steel_energy!$B$70:$E$70</c:f>
              <c:numCache>
                <c:formatCode>General</c:formatCode>
                <c:ptCount val="4"/>
                <c:pt idx="0">
                  <c:v>1.0072017288000001</c:v>
                </c:pt>
                <c:pt idx="1">
                  <c:v>0.85360729999999996</c:v>
                </c:pt>
                <c:pt idx="2">
                  <c:v>1.5740483940000001</c:v>
                </c:pt>
                <c:pt idx="3">
                  <c:v>0.95469640999999994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13-444D-93B9-6BBBA65ED39C}"/>
            </c:ext>
          </c:extLst>
        </c:ser>
        <c:ser>
          <c:idx val="3"/>
          <c:order val="2"/>
          <c:tx>
            <c:strRef>
              <c:f>[1]CurPol_iron_steel_energy!$A$69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[1]CurPol_iron_steel_energy!$B$69:$E$69</c:f>
              <c:numCache>
                <c:formatCode>General</c:formatCode>
                <c:ptCount val="4"/>
                <c:pt idx="0">
                  <c:v>9.1896073199999997E-2</c:v>
                </c:pt>
                <c:pt idx="1">
                  <c:v>6.3962699999999997E-2</c:v>
                </c:pt>
                <c:pt idx="2">
                  <c:v>9.5320875599999993E-2</c:v>
                </c:pt>
                <c:pt idx="3">
                  <c:v>7.4465338299999892E-2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13-444D-93B9-6BBBA65ED39C}"/>
            </c:ext>
          </c:extLst>
        </c:ser>
        <c:ser>
          <c:idx val="2"/>
          <c:order val="3"/>
          <c:tx>
            <c:strRef>
              <c:f>[1]CurPol_iron_steel_energy!$A$68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[1]CurPol_iron_steel_energy!$B$68:$E$68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13-444D-93B9-6BBBA65ED39C}"/>
            </c:ext>
          </c:extLst>
        </c:ser>
        <c:ser>
          <c:idx val="1"/>
          <c:order val="4"/>
          <c:tx>
            <c:strRef>
              <c:f>[1]CurPol_iron_steel_energy!$A$67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[1]CurPol_iron_steel_energy!$B$67:$E$67</c:f>
              <c:numCache>
                <c:formatCode>General</c:formatCode>
                <c:ptCount val="4"/>
                <c:pt idx="0">
                  <c:v>0.1308375</c:v>
                </c:pt>
                <c:pt idx="1">
                  <c:v>0.19544590000000001</c:v>
                </c:pt>
                <c:pt idx="2">
                  <c:v>0.11545938359999999</c:v>
                </c:pt>
                <c:pt idx="3">
                  <c:v>0.2157539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13-444D-93B9-6BBBA65ED39C}"/>
            </c:ext>
          </c:extLst>
        </c:ser>
        <c:ser>
          <c:idx val="0"/>
          <c:order val="5"/>
          <c:tx>
            <c:strRef>
              <c:f>[1]CurPol_iron_steel_energy!$A$66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[1]CurPol_iron_steel_energy!$B$65:$E$65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[1]CurPol_iron_steel_energy!$B$66:$E$66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13-444D-93B9-6BBBA65ED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170399"/>
        <c:axId val="622166959"/>
      </c:barChart>
      <c:catAx>
        <c:axId val="70117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22166959"/>
        <c:crosses val="autoZero"/>
        <c:auto val="1"/>
        <c:lblAlgn val="ctr"/>
        <c:lblOffset val="100"/>
        <c:noMultiLvlLbl val="0"/>
      </c:catAx>
      <c:valAx>
        <c:axId val="62216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17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철강 기술별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[1]CurPol_iron_steel_energy!$V$3</c:f>
              <c:strCache>
                <c:ptCount val="1"/>
                <c:pt idx="0">
                  <c:v>BLASTFUR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[1]CurPol_iron_steel_energy!$W$2:$AD$2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[1]CurPol_iron_steel_energy!$W$3:$AD$3</c:f>
              <c:numCache>
                <c:formatCode>General</c:formatCode>
                <c:ptCount val="8"/>
                <c:pt idx="0">
                  <c:v>0.91990454999999993</c:v>
                </c:pt>
                <c:pt idx="1">
                  <c:v>0.87270986492999991</c:v>
                </c:pt>
                <c:pt idx="2">
                  <c:v>0.93426518437000006</c:v>
                </c:pt>
                <c:pt idx="3">
                  <c:v>0.89484316282999898</c:v>
                </c:pt>
                <c:pt idx="4">
                  <c:v>0.82614047066999996</c:v>
                </c:pt>
                <c:pt idx="5">
                  <c:v>0.76131405265999996</c:v>
                </c:pt>
                <c:pt idx="6">
                  <c:v>0.65008162779000001</c:v>
                </c:pt>
                <c:pt idx="7">
                  <c:v>0.48674713495999999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E-44EA-802D-ECA453119CC5}"/>
            </c:ext>
          </c:extLst>
        </c:ser>
        <c:ser>
          <c:idx val="1"/>
          <c:order val="1"/>
          <c:tx>
            <c:strRef>
              <c:f>[1]CurPol_iron_steel_energy!$V$4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[1]CurPol_iron_steel_energy!$W$2:$AD$2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[1]CurPol_iron_steel_energy!$W$4:$AD$4</c:f>
              <c:numCache>
                <c:formatCode>General</c:formatCode>
                <c:ptCount val="8"/>
                <c:pt idx="0">
                  <c:v>0.14023903999999998</c:v>
                </c:pt>
                <c:pt idx="1">
                  <c:v>0.13556497799999978</c:v>
                </c:pt>
                <c:pt idx="2">
                  <c:v>0.16434978399999992</c:v>
                </c:pt>
                <c:pt idx="3">
                  <c:v>0.190084896</c:v>
                </c:pt>
                <c:pt idx="4">
                  <c:v>0.21992177539999991</c:v>
                </c:pt>
                <c:pt idx="5">
                  <c:v>0.2491414039999999</c:v>
                </c:pt>
                <c:pt idx="6">
                  <c:v>0.29857396400000003</c:v>
                </c:pt>
                <c:pt idx="7">
                  <c:v>0.37410318599999992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E-44EA-802D-ECA453119CC5}"/>
            </c:ext>
          </c:extLst>
        </c:ser>
        <c:ser>
          <c:idx val="2"/>
          <c:order val="8"/>
          <c:tx>
            <c:strRef>
              <c:f>[1]CurPol_iron_steel_energy!$V$5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val>
            <c:numRef>
              <c:f>[1]CurPol_iron_steel_energy!$W$5:$AD$5</c:f>
              <c:numCache>
                <c:formatCode>General</c:formatCode>
                <c:ptCount val="8"/>
                <c:pt idx="0">
                  <c:v>5.7060879999999994E-2</c:v>
                </c:pt>
                <c:pt idx="1">
                  <c:v>5.23617155999999E-2</c:v>
                </c:pt>
                <c:pt idx="2">
                  <c:v>4.9441528800000002E-2</c:v>
                </c:pt>
                <c:pt idx="3">
                  <c:v>3.9061467699999998E-2</c:v>
                </c:pt>
                <c:pt idx="4">
                  <c:v>2.7550704400000001E-2</c:v>
                </c:pt>
                <c:pt idx="5">
                  <c:v>2.39948161E-2</c:v>
                </c:pt>
                <c:pt idx="6">
                  <c:v>2.4138059899999998E-2</c:v>
                </c:pt>
                <c:pt idx="7">
                  <c:v>2.9060238200000001E-2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E-44EA-802D-ECA453119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24410336"/>
        <c:axId val="585866368"/>
        <c:extLst>
          <c:ext xmlns:c15="http://schemas.microsoft.com/office/drawing/2012/chart" uri="{02D57815-91ED-43cb-92C2-25804820EDAC}">
            <c15:filteredBarSeries>
              <c15:ser>
                <c:idx val="4"/>
                <c:order val="2"/>
                <c:tx>
                  <c:strRef>
                    <c:extLst>
                      <c:ext uri="{02D57815-91ED-43cb-92C2-25804820EDAC}">
                        <c15:formulaRef>
                          <c15:sqref>[1]CurPol_iron_steel_energy!$V$7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[1]CurPol_iron_steel_energy!$W$7:$AD$7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7E-44EA-802D-ECA453119CC5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[1]CurPol_iron_steel_energy!$V$8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[1]CurPol_iron_steel_energy!$W$8:$AD$8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7E-44EA-802D-ECA453119CC5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[1]CurPol_iron_steel_energy!$V$9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[1]CurPol_iron_steel_energy!$W$9:$AD$9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7E-44EA-802D-ECA453119CC5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[1]CurPol_iron_steel_energy!$V$10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[1]CurPol_iron_steel_energy!$W$10:$AD$10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7E-44EA-802D-ECA453119CC5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[1]CurPol_iron_steel_energy!$V$11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[1]CurPol_iron_steel_energy!$W$11:$AD$11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B7E-44EA-802D-ECA453119CC5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[1]CurPol_iron_steel_energy!$V$12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[1]CurPol_iron_steel_energy!$W$2:$AD$2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2015</c:v>
                      </c:pt>
                      <c:pt idx="1">
                        <c:v>2020</c:v>
                      </c:pt>
                      <c:pt idx="2">
                        <c:v>2025</c:v>
                      </c:pt>
                      <c:pt idx="3">
                        <c:v>2030</c:v>
                      </c:pt>
                      <c:pt idx="4">
                        <c:v>2035</c:v>
                      </c:pt>
                      <c:pt idx="5">
                        <c:v>2040</c:v>
                      </c:pt>
                      <c:pt idx="6">
                        <c:v>2045</c:v>
                      </c:pt>
                      <c:pt idx="7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[1]CurPol_iron_steel_energy!$W$12:$AD$12</c15:sqref>
                        </c15:formulaRef>
                      </c:ext>
                    </c:extLst>
                    <c:numCache>
                      <c:formatCode>General</c:formatCode>
                      <c:ptCount val="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B7E-44EA-802D-ECA453119CC5}"/>
                  </c:ext>
                </c:extLst>
              </c15:ser>
            </c15:filteredBarSeries>
          </c:ext>
        </c:extLst>
      </c:barChart>
      <c:catAx>
        <c:axId val="724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5866368"/>
        <c:crosses val="autoZero"/>
        <c:auto val="1"/>
        <c:lblAlgn val="ctr"/>
        <c:lblOffset val="100"/>
        <c:noMultiLvlLbl val="0"/>
      </c:catAx>
      <c:valAx>
        <c:axId val="58586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4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기술별 철강생산량 </a:t>
            </a:r>
            <a:r>
              <a:rPr lang="en-US" altLang="ko-KR"/>
              <a:t>(CurPol)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철강CP!$AI$9</c:f>
              <c:strCache>
                <c:ptCount val="1"/>
                <c:pt idx="0">
                  <c:v>BLASTFUR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철강CP!$AJ$8:$AQ$8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철강CP!$AJ$9:$AQ$9</c:f>
              <c:numCache>
                <c:formatCode>General</c:formatCode>
                <c:ptCount val="8"/>
                <c:pt idx="0">
                  <c:v>48.5</c:v>
                </c:pt>
                <c:pt idx="1">
                  <c:v>46.336269999999999</c:v>
                </c:pt>
                <c:pt idx="2">
                  <c:v>51.594719999999903</c:v>
                </c:pt>
                <c:pt idx="3">
                  <c:v>51.547269999999997</c:v>
                </c:pt>
                <c:pt idx="4">
                  <c:v>49.443460000000002</c:v>
                </c:pt>
                <c:pt idx="5">
                  <c:v>46.515990000000002</c:v>
                </c:pt>
                <c:pt idx="6">
                  <c:v>40.699269999999999</c:v>
                </c:pt>
                <c:pt idx="7">
                  <c:v>31.140630000000002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2-47CC-82C6-CB92BA78013E}"/>
            </c:ext>
          </c:extLst>
        </c:ser>
        <c:ser>
          <c:idx val="1"/>
          <c:order val="1"/>
          <c:tx>
            <c:strRef>
              <c:f>철강CP!$AI$10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철강CP!$AJ$8:$AQ$8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철강CP!$AJ$10:$AQ$10</c:f>
              <c:numCache>
                <c:formatCode>General</c:formatCode>
                <c:ptCount val="8"/>
                <c:pt idx="0">
                  <c:v>10.6</c:v>
                </c:pt>
                <c:pt idx="1">
                  <c:v>10.328109999999899</c:v>
                </c:pt>
                <c:pt idx="2">
                  <c:v>13.098789999999999</c:v>
                </c:pt>
                <c:pt idx="3">
                  <c:v>15.818035</c:v>
                </c:pt>
                <c:pt idx="4">
                  <c:v>18.943725999999899</c:v>
                </c:pt>
                <c:pt idx="5">
                  <c:v>21.940469999999902</c:v>
                </c:pt>
                <c:pt idx="6">
                  <c:v>27.0064799999999</c:v>
                </c:pt>
                <c:pt idx="7">
                  <c:v>34.737540000000003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2-47CC-82C6-CB92BA78013E}"/>
            </c:ext>
          </c:extLst>
        </c:ser>
        <c:ser>
          <c:idx val="2"/>
          <c:order val="2"/>
          <c:tx>
            <c:strRef>
              <c:f>철강CP!$AI$11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철강CP!$AJ$8:$AQ$8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철강CP!$AJ$11:$AQ$11</c:f>
              <c:numCache>
                <c:formatCode>General</c:formatCode>
                <c:ptCount val="8"/>
                <c:pt idx="0">
                  <c:v>10.6</c:v>
                </c:pt>
                <c:pt idx="1">
                  <c:v>9.7813300000000005</c:v>
                </c:pt>
                <c:pt idx="2">
                  <c:v>9.5446069999999992</c:v>
                </c:pt>
                <c:pt idx="3">
                  <c:v>7.8496360000000003</c:v>
                </c:pt>
                <c:pt idx="4">
                  <c:v>5.781644</c:v>
                </c:pt>
                <c:pt idx="5">
                  <c:v>5.1554120000000001</c:v>
                </c:pt>
                <c:pt idx="6">
                  <c:v>5.3534199999999998</c:v>
                </c:pt>
                <c:pt idx="7">
                  <c:v>6.6321409999999998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2-47CC-82C6-CB92BA78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83738863"/>
        <c:axId val="1841280639"/>
      </c:barChart>
      <c:catAx>
        <c:axId val="158373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41280639"/>
        <c:crosses val="autoZero"/>
        <c:auto val="1"/>
        <c:lblAlgn val="ctr"/>
        <c:lblOffset val="100"/>
        <c:noMultiLvlLbl val="0"/>
      </c:catAx>
      <c:valAx>
        <c:axId val="18412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373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ko-KR" altLang="ko-KR" sz="1400" b="0" i="0" baseline="0">
                <a:effectLst/>
              </a:rPr>
              <a:t>철강 최종에너지 소비</a:t>
            </a:r>
            <a:r>
              <a:rPr lang="en-US" altLang="ko-KR" sz="1400" b="0" i="0" baseline="0">
                <a:effectLst/>
              </a:rPr>
              <a:t>_CurPol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철강CP!$F$35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철강CP!$G$35:$N$35</c:f>
              <c:numCache>
                <c:formatCode>General</c:formatCode>
                <c:ptCount val="8"/>
                <c:pt idx="0">
                  <c:v>4.18857E-3</c:v>
                </c:pt>
                <c:pt idx="1">
                  <c:v>4.0110389299999891E-3</c:v>
                </c:pt>
                <c:pt idx="2">
                  <c:v>4.6696070699999998E-3</c:v>
                </c:pt>
                <c:pt idx="3">
                  <c:v>5.1497259299999997E-3</c:v>
                </c:pt>
                <c:pt idx="4">
                  <c:v>5.7116943099999899E-3</c:v>
                </c:pt>
                <c:pt idx="5">
                  <c:v>6.3636803599999995E-3</c:v>
                </c:pt>
                <c:pt idx="6">
                  <c:v>7.5476002899999995E-3</c:v>
                </c:pt>
                <c:pt idx="7">
                  <c:v>9.418855759999999E-3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83-4574-AF12-820F998B189B}"/>
            </c:ext>
          </c:extLst>
        </c:ser>
        <c:ser>
          <c:idx val="6"/>
          <c:order val="1"/>
          <c:tx>
            <c:strRef>
              <c:f>철강CP!$F$33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철강CP!$G$33:$N$33</c:f>
              <c:numCache>
                <c:formatCode>General</c:formatCode>
                <c:ptCount val="8"/>
                <c:pt idx="0">
                  <c:v>0.85360729999999996</c:v>
                </c:pt>
                <c:pt idx="1">
                  <c:v>0.81026772999999985</c:v>
                </c:pt>
                <c:pt idx="2">
                  <c:v>0.87088012000000004</c:v>
                </c:pt>
                <c:pt idx="3">
                  <c:v>0.84001517999999897</c:v>
                </c:pt>
                <c:pt idx="4">
                  <c:v>0.78352214900000006</c:v>
                </c:pt>
                <c:pt idx="5">
                  <c:v>0.73040832</c:v>
                </c:pt>
                <c:pt idx="6">
                  <c:v>0.63914669999999996</c:v>
                </c:pt>
                <c:pt idx="7">
                  <c:v>0.50566680999999991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83-4574-AF12-820F998B189B}"/>
            </c:ext>
          </c:extLst>
        </c:ser>
        <c:ser>
          <c:idx val="4"/>
          <c:order val="2"/>
          <c:tx>
            <c:strRef>
              <c:f>철강CP!$F$31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철강CP!$G$31:$N$31</c:f>
              <c:numCache>
                <c:formatCode>General</c:formatCode>
                <c:ptCount val="8"/>
                <c:pt idx="0">
                  <c:v>6.3962699999999997E-2</c:v>
                </c:pt>
                <c:pt idx="1">
                  <c:v>6.1827229599999999E-2</c:v>
                </c:pt>
                <c:pt idx="2">
                  <c:v>7.4927710099999906E-2</c:v>
                </c:pt>
                <c:pt idx="3">
                  <c:v>8.6619290599999996E-2</c:v>
                </c:pt>
                <c:pt idx="4">
                  <c:v>0.1001693171599999</c:v>
                </c:pt>
                <c:pt idx="5">
                  <c:v>0.11343952240000001</c:v>
                </c:pt>
                <c:pt idx="6">
                  <c:v>0.13588917140000001</c:v>
                </c:pt>
                <c:pt idx="7">
                  <c:v>0.17019199340000002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83-4574-AF12-820F998B189B}"/>
            </c:ext>
          </c:extLst>
        </c:ser>
        <c:ser>
          <c:idx val="2"/>
          <c:order val="3"/>
          <c:tx>
            <c:strRef>
              <c:f>철강CP!$F$29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철강CP!$G$29:$N$29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83-4574-AF12-820F998B189B}"/>
            </c:ext>
          </c:extLst>
        </c:ser>
        <c:ser>
          <c:idx val="1"/>
          <c:order val="4"/>
          <c:tx>
            <c:strRef>
              <c:f>철강CP!$F$28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철강CP!$G$28:$N$28</c:f>
              <c:numCache>
                <c:formatCode>General</c:formatCode>
                <c:ptCount val="8"/>
                <c:pt idx="0">
                  <c:v>0.19544590000000001</c:v>
                </c:pt>
                <c:pt idx="1">
                  <c:v>0.18453055999999979</c:v>
                </c:pt>
                <c:pt idx="2">
                  <c:v>0.19757906</c:v>
                </c:pt>
                <c:pt idx="3">
                  <c:v>0.19220533000000001</c:v>
                </c:pt>
                <c:pt idx="4">
                  <c:v>0.18420979000000001</c:v>
                </c:pt>
                <c:pt idx="5">
                  <c:v>0.18423875000000001</c:v>
                </c:pt>
                <c:pt idx="6">
                  <c:v>0.19021017999999998</c:v>
                </c:pt>
                <c:pt idx="7">
                  <c:v>0.20463289999999998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83-4574-AF12-820F998B189B}"/>
            </c:ext>
          </c:extLst>
        </c:ser>
        <c:ser>
          <c:idx val="0"/>
          <c:order val="5"/>
          <c:tx>
            <c:strRef>
              <c:f>철강CP!$F$27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철강CP!$G$26:$N$26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철강CP!$G$27:$N$27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3-4574-AF12-820F998B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40827247"/>
        <c:axId val="154678687"/>
      </c:barChart>
      <c:catAx>
        <c:axId val="204082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78687"/>
        <c:crosses val="autoZero"/>
        <c:auto val="1"/>
        <c:lblAlgn val="ctr"/>
        <c:lblOffset val="100"/>
        <c:noMultiLvlLbl val="0"/>
      </c:catAx>
      <c:valAx>
        <c:axId val="1546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82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철강 기술별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[1]NZ2050_iron_steel_energy!$U$3</c:f>
              <c:strCache>
                <c:ptCount val="1"/>
                <c:pt idx="0">
                  <c:v>BLASTFUR with hydrogen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[1]NZ2050_iron_steel_energy!$V$3:$AC$3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1.2247056660000001E-3</c:v>
                </c:pt>
                <c:pt idx="3">
                  <c:v>5.1403214739999988E-3</c:v>
                </c:pt>
                <c:pt idx="4">
                  <c:v>1.2655160116E-2</c:v>
                </c:pt>
                <c:pt idx="5">
                  <c:v>1.8715707586E-2</c:v>
                </c:pt>
                <c:pt idx="6">
                  <c:v>1.6922626765999985E-2</c:v>
                </c:pt>
                <c:pt idx="7">
                  <c:v>3.4488469913999996E-3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4-451F-BC2F-ED7D857FEC7C}"/>
            </c:ext>
          </c:extLst>
        </c:ser>
        <c:ser>
          <c:idx val="2"/>
          <c:order val="1"/>
          <c:tx>
            <c:strRef>
              <c:f>[1]NZ2050_iron_steel_energy!$U$4</c:f>
              <c:strCache>
                <c:ptCount val="1"/>
                <c:pt idx="0">
                  <c:v>BLASTFUR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[1]NZ2050_iron_steel_energy!$V$4:$AC$4</c:f>
              <c:numCache>
                <c:formatCode>General</c:formatCode>
                <c:ptCount val="8"/>
                <c:pt idx="0">
                  <c:v>0.91990454999999993</c:v>
                </c:pt>
                <c:pt idx="1">
                  <c:v>0.87304736219000001</c:v>
                </c:pt>
                <c:pt idx="2">
                  <c:v>0.71975320097999995</c:v>
                </c:pt>
                <c:pt idx="3">
                  <c:v>0.47052278044999996</c:v>
                </c:pt>
                <c:pt idx="4">
                  <c:v>0.25250289966999995</c:v>
                </c:pt>
                <c:pt idx="5">
                  <c:v>0.15115100014999999</c:v>
                </c:pt>
                <c:pt idx="6">
                  <c:v>6.7803021222999998E-2</c:v>
                </c:pt>
                <c:pt idx="7">
                  <c:v>3.6622744704799901E-3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4-451F-BC2F-ED7D857FEC7C}"/>
            </c:ext>
          </c:extLst>
        </c:ser>
        <c:ser>
          <c:idx val="3"/>
          <c:order val="2"/>
          <c:tx>
            <c:strRef>
              <c:f>[1]NZ2050_iron_steel_energy!$U$5</c:f>
              <c:strCache>
                <c:ptCount val="1"/>
                <c:pt idx="0">
                  <c:v>BLASTFUR CCS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[1]NZ2050_iron_steel_energy!$V$5:$AC$5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2.037001679E-3</c:v>
                </c:pt>
                <c:pt idx="3">
                  <c:v>9.826922565E-3</c:v>
                </c:pt>
                <c:pt idx="4">
                  <c:v>3.0409436992300001E-2</c:v>
                </c:pt>
                <c:pt idx="5">
                  <c:v>5.4663066457800003E-2</c:v>
                </c:pt>
                <c:pt idx="6">
                  <c:v>7.9165787152999989E-2</c:v>
                </c:pt>
                <c:pt idx="7">
                  <c:v>7.5426456892000004E-2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4-451F-BC2F-ED7D857FEC7C}"/>
            </c:ext>
          </c:extLst>
        </c:ser>
        <c:ser>
          <c:idx val="4"/>
          <c:order val="3"/>
          <c:tx>
            <c:strRef>
              <c:f>[1]NZ2050_iron_steel_energy!$U$6</c:f>
              <c:strCache>
                <c:ptCount val="1"/>
                <c:pt idx="0">
                  <c:v>Hydrogen-based DRI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[1]NZ2050_iron_steel_energy!$V$6:$AC$6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3.4257309999999999E-2</c:v>
                </c:pt>
                <c:pt idx="4">
                  <c:v>0.10220779999999981</c:v>
                </c:pt>
                <c:pt idx="5">
                  <c:v>0.17050340000000003</c:v>
                </c:pt>
                <c:pt idx="6">
                  <c:v>0.25730261999999998</c:v>
                </c:pt>
                <c:pt idx="7">
                  <c:v>0.3810468199999999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4-451F-BC2F-ED7D857FEC7C}"/>
            </c:ext>
          </c:extLst>
        </c:ser>
        <c:ser>
          <c:idx val="5"/>
          <c:order val="4"/>
          <c:tx>
            <c:strRef>
              <c:f>[1]NZ2050_iron_steel_energy!$U$7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[1]NZ2050_iron_steel_energy!$V$7:$AC$7</c:f>
              <c:numCache>
                <c:formatCode>General</c:formatCode>
                <c:ptCount val="8"/>
                <c:pt idx="0">
                  <c:v>0.14023903999999998</c:v>
                </c:pt>
                <c:pt idx="1">
                  <c:v>0.13537120399999999</c:v>
                </c:pt>
                <c:pt idx="2">
                  <c:v>0.208727318</c:v>
                </c:pt>
                <c:pt idx="3">
                  <c:v>0.239774449</c:v>
                </c:pt>
                <c:pt idx="4">
                  <c:v>0.23623118249999897</c:v>
                </c:pt>
                <c:pt idx="5">
                  <c:v>0.2062959389999999</c:v>
                </c:pt>
                <c:pt idx="6">
                  <c:v>0.158555363</c:v>
                </c:pt>
                <c:pt idx="7">
                  <c:v>8.7965823999999998E-2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C4-451F-BC2F-ED7D857FEC7C}"/>
            </c:ext>
          </c:extLst>
        </c:ser>
        <c:ser>
          <c:idx val="6"/>
          <c:order val="5"/>
          <c:tx>
            <c:strRef>
              <c:f>[1]NZ2050_iron_steel_energy!$U$8</c:f>
              <c:strCache>
                <c:ptCount val="1"/>
                <c:pt idx="0">
                  <c:v>EAF with DRI CCS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[1]NZ2050_iron_steel_energy!$V$8:$AC$8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3.7734325999999999E-3</c:v>
                </c:pt>
                <c:pt idx="3">
                  <c:v>1.1475832E-2</c:v>
                </c:pt>
                <c:pt idx="4">
                  <c:v>2.3586661799999999E-2</c:v>
                </c:pt>
                <c:pt idx="5">
                  <c:v>3.7672531799999992E-2</c:v>
                </c:pt>
                <c:pt idx="6">
                  <c:v>5.6742337899999898E-2</c:v>
                </c:pt>
                <c:pt idx="7">
                  <c:v>7.378228249999999E-2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C4-451F-BC2F-ED7D857FEC7C}"/>
            </c:ext>
          </c:extLst>
        </c:ser>
        <c:ser>
          <c:idx val="7"/>
          <c:order val="6"/>
          <c:tx>
            <c:strRef>
              <c:f>[1]NZ2050_iron_steel_energy!$U$9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[1]NZ2050_iron_steel_energy!$V$1:$AC$2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[1]NZ2050_iron_steel_energy!$V$9:$AC$9</c:f>
              <c:numCache>
                <c:formatCode>General</c:formatCode>
                <c:ptCount val="8"/>
                <c:pt idx="0">
                  <c:v>5.7060879999999994E-2</c:v>
                </c:pt>
                <c:pt idx="1">
                  <c:v>5.2345056099999995E-2</c:v>
                </c:pt>
                <c:pt idx="2">
                  <c:v>5.6831930200000005E-2</c:v>
                </c:pt>
                <c:pt idx="3">
                  <c:v>5.52587878E-2</c:v>
                </c:pt>
                <c:pt idx="4">
                  <c:v>4.93028758E-2</c:v>
                </c:pt>
                <c:pt idx="5">
                  <c:v>4.9787963899999996E-2</c:v>
                </c:pt>
                <c:pt idx="6">
                  <c:v>5.4891183599999997E-2</c:v>
                </c:pt>
                <c:pt idx="7">
                  <c:v>6.4957155000000003E-2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C4-451F-BC2F-ED7D857FE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09629040"/>
        <c:axId val="784935504"/>
      </c:barChart>
      <c:catAx>
        <c:axId val="80962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84935504"/>
        <c:crosses val="autoZero"/>
        <c:auto val="1"/>
        <c:lblAlgn val="ctr"/>
        <c:lblOffset val="100"/>
        <c:noMultiLvlLbl val="0"/>
      </c:catAx>
      <c:valAx>
        <c:axId val="7849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962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기술별 철강생산량 </a:t>
            </a:r>
            <a:r>
              <a:rPr lang="en-US" altLang="ko-KR"/>
              <a:t>(NZ2050)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철강NZ!$AF$14</c:f>
              <c:strCache>
                <c:ptCount val="1"/>
                <c:pt idx="0">
                  <c:v>BLASTFUR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철강NZ!$AG$14:$AN$14</c:f>
              <c:numCache>
                <c:formatCode>General</c:formatCode>
                <c:ptCount val="8"/>
                <c:pt idx="0">
                  <c:v>48.5</c:v>
                </c:pt>
                <c:pt idx="1">
                  <c:v>46.354930000000003</c:v>
                </c:pt>
                <c:pt idx="2">
                  <c:v>39.105150000000002</c:v>
                </c:pt>
                <c:pt idx="3">
                  <c:v>26.47278</c:v>
                </c:pt>
                <c:pt idx="4">
                  <c:v>14.954049999999899</c:v>
                </c:pt>
                <c:pt idx="5">
                  <c:v>9.1141299999999994</c:v>
                </c:pt>
                <c:pt idx="6">
                  <c:v>4.164676</c:v>
                </c:pt>
                <c:pt idx="7">
                  <c:v>0.22938305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2-4943-82BF-2DF51C70C091}"/>
            </c:ext>
          </c:extLst>
        </c:ser>
        <c:ser>
          <c:idx val="1"/>
          <c:order val="1"/>
          <c:tx>
            <c:strRef>
              <c:f>철강NZ!$AF$15</c:f>
              <c:strCache>
                <c:ptCount val="1"/>
                <c:pt idx="0">
                  <c:v>BLASTFUR CCS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철강NZ!$AG$15:$AN$15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0.118632</c:v>
                </c:pt>
                <c:pt idx="3">
                  <c:v>0.58431690000000003</c:v>
                </c:pt>
                <c:pt idx="4">
                  <c:v>1.8484881</c:v>
                </c:pt>
                <c:pt idx="5">
                  <c:v>3.3879937999999998</c:v>
                </c:pt>
                <c:pt idx="6">
                  <c:v>5.0107558999999897</c:v>
                </c:pt>
                <c:pt idx="7">
                  <c:v>4.8522650000000001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2-4943-82BF-2DF51C70C091}"/>
            </c:ext>
          </c:extLst>
        </c:ser>
        <c:ser>
          <c:idx val="2"/>
          <c:order val="2"/>
          <c:tx>
            <c:strRef>
              <c:f>철강NZ!$AF$16</c:f>
              <c:strCache>
                <c:ptCount val="1"/>
                <c:pt idx="0">
                  <c:v>BLASTFUR with hydrogen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철강NZ!$AG$16:$AN$16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7.7194700000000005E-2</c:v>
                </c:pt>
                <c:pt idx="3">
                  <c:v>0.33059139999999998</c:v>
                </c:pt>
                <c:pt idx="4">
                  <c:v>0.83098669999999997</c:v>
                </c:pt>
                <c:pt idx="5">
                  <c:v>1.2516788000000001</c:v>
                </c:pt>
                <c:pt idx="6">
                  <c:v>1.1478173999999901</c:v>
                </c:pt>
                <c:pt idx="7">
                  <c:v>0.23623796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2-4943-82BF-2DF51C70C091}"/>
            </c:ext>
          </c:extLst>
        </c:ser>
        <c:ser>
          <c:idx val="3"/>
          <c:order val="3"/>
          <c:tx>
            <c:strRef>
              <c:f>철강NZ!$AF$17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철강NZ!$AG$17:$AN$17</c:f>
              <c:numCache>
                <c:formatCode>General</c:formatCode>
                <c:ptCount val="8"/>
                <c:pt idx="0">
                  <c:v>10.6</c:v>
                </c:pt>
                <c:pt idx="1">
                  <c:v>10.31274</c:v>
                </c:pt>
                <c:pt idx="2">
                  <c:v>16.804310000000001</c:v>
                </c:pt>
                <c:pt idx="3">
                  <c:v>19.995266999999998</c:v>
                </c:pt>
                <c:pt idx="4">
                  <c:v>20.256753</c:v>
                </c:pt>
                <c:pt idx="5">
                  <c:v>18.034109999999998</c:v>
                </c:pt>
                <c:pt idx="6">
                  <c:v>14.193439999999899</c:v>
                </c:pt>
                <c:pt idx="7">
                  <c:v>7.99898799999999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2-4943-82BF-2DF51C70C091}"/>
            </c:ext>
          </c:extLst>
        </c:ser>
        <c:ser>
          <c:idx val="4"/>
          <c:order val="4"/>
          <c:tx>
            <c:strRef>
              <c:f>철강NZ!$AF$18</c:f>
              <c:strCache>
                <c:ptCount val="1"/>
                <c:pt idx="0">
                  <c:v>EAF with DRI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철강NZ!$AG$18:$AN$18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0.31505499999999997</c:v>
                </c:pt>
                <c:pt idx="3">
                  <c:v>0.97584799999999905</c:v>
                </c:pt>
                <c:pt idx="4">
                  <c:v>2.0471550000000001</c:v>
                </c:pt>
                <c:pt idx="5">
                  <c:v>3.3400264000000002</c:v>
                </c:pt>
                <c:pt idx="6">
                  <c:v>5.152711</c:v>
                </c:pt>
                <c:pt idx="7">
                  <c:v>6.8535750000000002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52-4943-82BF-2DF51C70C091}"/>
            </c:ext>
          </c:extLst>
        </c:ser>
        <c:ser>
          <c:idx val="5"/>
          <c:order val="5"/>
          <c:tx>
            <c:strRef>
              <c:f>철강NZ!$AF$19</c:f>
              <c:strCache>
                <c:ptCount val="1"/>
                <c:pt idx="0">
                  <c:v>Hydrogen-based DRI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철강NZ!$AG$19:$AN$19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2.0545100000000001</c:v>
                </c:pt>
                <c:pt idx="4">
                  <c:v>6.2432099999999897</c:v>
                </c:pt>
                <c:pt idx="5">
                  <c:v>10.603819999999899</c:v>
                </c:pt>
                <c:pt idx="6">
                  <c:v>16.365545000000001</c:v>
                </c:pt>
                <c:pt idx="7">
                  <c:v>24.852947999999898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52-4943-82BF-2DF51C70C091}"/>
            </c:ext>
          </c:extLst>
        </c:ser>
        <c:ser>
          <c:idx val="6"/>
          <c:order val="6"/>
          <c:tx>
            <c:strRef>
              <c:f>철강NZ!$AF$20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철강NZ!$AG$13:$AN$13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철강NZ!$AG$20:$AN$20</c:f>
              <c:numCache>
                <c:formatCode>General</c:formatCode>
                <c:ptCount val="8"/>
                <c:pt idx="0">
                  <c:v>10.6</c:v>
                </c:pt>
                <c:pt idx="1">
                  <c:v>9.77806</c:v>
                </c:pt>
                <c:pt idx="2">
                  <c:v>11.061123</c:v>
                </c:pt>
                <c:pt idx="3">
                  <c:v>11.225959</c:v>
                </c:pt>
                <c:pt idx="4">
                  <c:v>10.39066</c:v>
                </c:pt>
                <c:pt idx="5">
                  <c:v>10.739789999999999</c:v>
                </c:pt>
                <c:pt idx="6">
                  <c:v>12.189919</c:v>
                </c:pt>
                <c:pt idx="7">
                  <c:v>14.813368000000001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52-4943-82BF-2DF51C70C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48645327"/>
        <c:axId val="1598010159"/>
      </c:barChart>
      <c:catAx>
        <c:axId val="16486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98010159"/>
        <c:crosses val="autoZero"/>
        <c:auto val="1"/>
        <c:lblAlgn val="ctr"/>
        <c:lblOffset val="100"/>
        <c:noMultiLvlLbl val="0"/>
      </c:catAx>
      <c:valAx>
        <c:axId val="159801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86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ko-KR" sz="1400" b="0" i="0" baseline="0">
                <a:effectLst/>
              </a:rPr>
              <a:t>철강 최종에너지 소비</a:t>
            </a:r>
            <a:r>
              <a:rPr lang="en-US" altLang="ko-KR" sz="1400" b="0" i="0" baseline="0">
                <a:effectLst/>
              </a:rPr>
              <a:t>_NZ2050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7"/>
          <c:order val="0"/>
          <c:tx>
            <c:strRef>
              <c:f>철강NZ!$F$47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철강NZ!$G$47:$N$47</c:f>
              <c:numCache>
                <c:formatCode>General</c:formatCode>
                <c:ptCount val="8"/>
                <c:pt idx="0">
                  <c:v>4.18857E-3</c:v>
                </c:pt>
                <c:pt idx="1">
                  <c:v>4.0061884899999997E-3</c:v>
                </c:pt>
                <c:pt idx="2">
                  <c:v>5.9117508280000005E-3</c:v>
                </c:pt>
                <c:pt idx="3">
                  <c:v>6.8093040210000007E-3</c:v>
                </c:pt>
                <c:pt idx="4">
                  <c:v>6.9279220432999899E-3</c:v>
                </c:pt>
                <c:pt idx="5">
                  <c:v>6.5510395727000001E-3</c:v>
                </c:pt>
                <c:pt idx="6">
                  <c:v>5.9230849919999998E-3</c:v>
                </c:pt>
                <c:pt idx="7">
                  <c:v>4.7544071938799906E-3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18-4EF8-9203-282A64100677}"/>
            </c:ext>
          </c:extLst>
        </c:ser>
        <c:ser>
          <c:idx val="6"/>
          <c:order val="1"/>
          <c:tx>
            <c:strRef>
              <c:f>철강NZ!$F$45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철강NZ!$G$45:$N$45</c:f>
              <c:numCache>
                <c:formatCode>General</c:formatCode>
                <c:ptCount val="8"/>
                <c:pt idx="0">
                  <c:v>0.85360729999999996</c:v>
                </c:pt>
                <c:pt idx="1">
                  <c:v>0.81053678000000007</c:v>
                </c:pt>
                <c:pt idx="2">
                  <c:v>0.68666139999999987</c:v>
                </c:pt>
                <c:pt idx="3">
                  <c:v>0.47087603899999997</c:v>
                </c:pt>
                <c:pt idx="4">
                  <c:v>0.27977218399999992</c:v>
                </c:pt>
                <c:pt idx="5">
                  <c:v>0.18783981100000002</c:v>
                </c:pt>
                <c:pt idx="6">
                  <c:v>0.10279305899999998</c:v>
                </c:pt>
                <c:pt idx="7">
                  <c:v>2.182466349999998E-2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18-4EF8-9203-282A64100677}"/>
            </c:ext>
          </c:extLst>
        </c:ser>
        <c:ser>
          <c:idx val="5"/>
          <c:order val="2"/>
          <c:tx>
            <c:strRef>
              <c:f>철강NZ!$F$44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2.5137200000000001E-3</c:v>
                </c:pt>
                <c:pt idx="3">
                  <c:v>1.0915280999999999E-2</c:v>
                </c:pt>
                <c:pt idx="4">
                  <c:v>3.1630103999999999E-2</c:v>
                </c:pt>
                <c:pt idx="5">
                  <c:v>5.6006298999999989E-2</c:v>
                </c:pt>
                <c:pt idx="6">
                  <c:v>8.1504215000000005E-2</c:v>
                </c:pt>
                <c:pt idx="7">
                  <c:v>8.1205200000000005E-2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18-4EF8-9203-282A64100677}"/>
            </c:ext>
          </c:extLst>
        </c:ser>
        <c:ser>
          <c:idx val="4"/>
          <c:order val="3"/>
          <c:tx>
            <c:strRef>
              <c:f>철강NZ!$F$43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철강NZ!$G$43:$N$43</c:f>
              <c:numCache>
                <c:formatCode>General</c:formatCode>
                <c:ptCount val="8"/>
                <c:pt idx="0">
                  <c:v>6.3962699999999997E-2</c:v>
                </c:pt>
                <c:pt idx="1">
                  <c:v>6.1739173799999998E-2</c:v>
                </c:pt>
                <c:pt idx="2">
                  <c:v>9.5056928233000007E-2</c:v>
                </c:pt>
                <c:pt idx="3">
                  <c:v>0.10911939403699999</c:v>
                </c:pt>
                <c:pt idx="4">
                  <c:v>0.10746451439799899</c:v>
                </c:pt>
                <c:pt idx="5">
                  <c:v>9.3835549732999998E-2</c:v>
                </c:pt>
                <c:pt idx="6">
                  <c:v>7.2111100302999998E-2</c:v>
                </c:pt>
                <c:pt idx="7">
                  <c:v>3.9996018919999994E-2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18-4EF8-9203-282A64100677}"/>
            </c:ext>
          </c:extLst>
        </c:ser>
        <c:ser>
          <c:idx val="3"/>
          <c:order val="4"/>
          <c:tx>
            <c:strRef>
              <c:f>철강NZ!$F$42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철강NZ!$G$42:$N$42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1.716021064E-3</c:v>
                </c:pt>
                <c:pt idx="3">
                  <c:v>5.2196060310000002E-3</c:v>
                </c:pt>
                <c:pt idx="4">
                  <c:v>1.0730292737E-2</c:v>
                </c:pt>
                <c:pt idx="5">
                  <c:v>1.71397323681E-2</c:v>
                </c:pt>
                <c:pt idx="6">
                  <c:v>2.5815182146999901E-2</c:v>
                </c:pt>
                <c:pt idx="7">
                  <c:v>3.3561452169999999E-2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18-4EF8-9203-282A64100677}"/>
            </c:ext>
          </c:extLst>
        </c:ser>
        <c:ser>
          <c:idx val="2"/>
          <c:order val="5"/>
          <c:tx>
            <c:strRef>
              <c:f>철강NZ!$F$41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18-4EF8-9203-282A64100677}"/>
            </c:ext>
          </c:extLst>
        </c:ser>
        <c:ser>
          <c:idx val="1"/>
          <c:order val="6"/>
          <c:tx>
            <c:strRef>
              <c:f>철강NZ!$F$40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철강NZ!$G$40:$N$40</c:f>
              <c:numCache>
                <c:formatCode>General</c:formatCode>
                <c:ptCount val="8"/>
                <c:pt idx="0">
                  <c:v>0.19544590000000001</c:v>
                </c:pt>
                <c:pt idx="1">
                  <c:v>0.18448147999999989</c:v>
                </c:pt>
                <c:pt idx="2">
                  <c:v>0.20025723099999998</c:v>
                </c:pt>
                <c:pt idx="3">
                  <c:v>0.19628166719999998</c:v>
                </c:pt>
                <c:pt idx="4">
                  <c:v>0.19021549969999987</c:v>
                </c:pt>
                <c:pt idx="5">
                  <c:v>0.19415254561999989</c:v>
                </c:pt>
                <c:pt idx="6">
                  <c:v>0.20426074120000001</c:v>
                </c:pt>
                <c:pt idx="7">
                  <c:v>0.21834760756999988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8-4EF8-9203-282A64100677}"/>
            </c:ext>
          </c:extLst>
        </c:ser>
        <c:ser>
          <c:idx val="0"/>
          <c:order val="7"/>
          <c:tx>
            <c:strRef>
              <c:f>철강NZ!$F$39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철강NZ!$G$38:$N$38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철강NZ!$G$39:$N$39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2.3053799999999999E-4</c:v>
                </c:pt>
                <c:pt idx="3">
                  <c:v>2.7035112E-2</c:v>
                </c:pt>
                <c:pt idx="4">
                  <c:v>8.0155499999999907E-2</c:v>
                </c:pt>
                <c:pt idx="5">
                  <c:v>0.13326463160000002</c:v>
                </c:pt>
                <c:pt idx="6">
                  <c:v>0.19897555699999997</c:v>
                </c:pt>
                <c:pt idx="7">
                  <c:v>0.29060031050000001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8-4EF8-9203-282A64100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01141391"/>
        <c:axId val="1580532127"/>
      </c:barChart>
      <c:catAx>
        <c:axId val="190114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80532127"/>
        <c:crosses val="autoZero"/>
        <c:auto val="1"/>
        <c:lblAlgn val="ctr"/>
        <c:lblOffset val="100"/>
        <c:noMultiLvlLbl val="0"/>
      </c:catAx>
      <c:valAx>
        <c:axId val="158053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114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6"/>
          <c:order val="0"/>
          <c:tx>
            <c:strRef>
              <c:f>[1]CurPol_chemical_energy!$A$62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[1]CurPol_chemical_energy!$B$62:$E$62</c:f>
              <c:numCache>
                <c:formatCode>General</c:formatCode>
                <c:ptCount val="4"/>
                <c:pt idx="0">
                  <c:v>1.2201</c:v>
                </c:pt>
                <c:pt idx="1">
                  <c:v>1.8793899999999999</c:v>
                </c:pt>
                <c:pt idx="2">
                  <c:v>1.3808</c:v>
                </c:pt>
                <c:pt idx="3">
                  <c:v>1.90008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9-4353-BD5C-F8957E4ADCAB}"/>
            </c:ext>
          </c:extLst>
        </c:ser>
        <c:ser>
          <c:idx val="5"/>
          <c:order val="1"/>
          <c:tx>
            <c:strRef>
              <c:f>[1]CurPol_chemical_energy!$A$61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[1]CurPol_chemical_energy!$B$61:$E$61</c:f>
              <c:numCache>
                <c:formatCode>General</c:formatCode>
                <c:ptCount val="4"/>
                <c:pt idx="0">
                  <c:v>4.9000000000000002E-2</c:v>
                </c:pt>
                <c:pt idx="1">
                  <c:v>2.2311000000000001E-2</c:v>
                </c:pt>
                <c:pt idx="2">
                  <c:v>6.1199999999999997E-2</c:v>
                </c:pt>
                <c:pt idx="3">
                  <c:v>2.2860999999999999E-2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9-4353-BD5C-F8957E4ADCAB}"/>
            </c:ext>
          </c:extLst>
        </c:ser>
        <c:ser>
          <c:idx val="4"/>
          <c:order val="2"/>
          <c:tx>
            <c:strRef>
              <c:f>[1]CurPol_chemical_energy!$A$60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[1]CurPol_chemical_energy!$B$60:$E$60</c:f>
              <c:numCache>
                <c:formatCode>General</c:formatCode>
                <c:ptCount val="4"/>
                <c:pt idx="0">
                  <c:v>1.6400000000000001E-2</c:v>
                </c:pt>
                <c:pt idx="1">
                  <c:v>5.0860000000000002E-2</c:v>
                </c:pt>
                <c:pt idx="2">
                  <c:v>1.5599999999999999E-2</c:v>
                </c:pt>
                <c:pt idx="3">
                  <c:v>4.9732999999999999E-2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E9-4353-BD5C-F8957E4ADCAB}"/>
            </c:ext>
          </c:extLst>
        </c:ser>
        <c:ser>
          <c:idx val="3"/>
          <c:order val="3"/>
          <c:tx>
            <c:strRef>
              <c:f>[1]CurPol_chemical_energy!$A$59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[1]CurPol_chemical_energy!$B$59:$E$59</c:f>
              <c:numCache>
                <c:formatCode>General</c:formatCode>
                <c:ptCount val="4"/>
                <c:pt idx="0">
                  <c:v>6.2300000000000001E-2</c:v>
                </c:pt>
                <c:pt idx="1">
                  <c:v>5.4362000000000001E-2</c:v>
                </c:pt>
                <c:pt idx="2">
                  <c:v>9.3299999999999994E-2</c:v>
                </c:pt>
                <c:pt idx="3">
                  <c:v>5.5620000000000003E-2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E9-4353-BD5C-F8957E4ADCAB}"/>
            </c:ext>
          </c:extLst>
        </c:ser>
        <c:ser>
          <c:idx val="2"/>
          <c:order val="4"/>
          <c:tx>
            <c:strRef>
              <c:f>[1]CurPol_chemical_energy!$A$58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[1]CurPol_chemical_energy!$B$58:$E$58</c:f>
              <c:numCache>
                <c:formatCode>General</c:formatCode>
                <c:ptCount val="4"/>
                <c:pt idx="0">
                  <c:v>0</c:v>
                </c:pt>
                <c:pt idx="1">
                  <c:v>1.1344E-2</c:v>
                </c:pt>
                <c:pt idx="2">
                  <c:v>0</c:v>
                </c:pt>
                <c:pt idx="3">
                  <c:v>1.166E-2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9-4353-BD5C-F8957E4ADCAB}"/>
            </c:ext>
          </c:extLst>
        </c:ser>
        <c:ser>
          <c:idx val="1"/>
          <c:order val="5"/>
          <c:tx>
            <c:strRef>
              <c:f>[1]CurPol_chemical_energy!$A$57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[1]CurPol_chemical_energy!$B$57:$E$57</c:f>
              <c:numCache>
                <c:formatCode>General</c:formatCode>
                <c:ptCount val="4"/>
                <c:pt idx="0">
                  <c:v>0.2069</c:v>
                </c:pt>
                <c:pt idx="1">
                  <c:v>0.17627200000000001</c:v>
                </c:pt>
                <c:pt idx="2">
                  <c:v>0.22589999999999999</c:v>
                </c:pt>
                <c:pt idx="3">
                  <c:v>0.17776900000000001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9-4353-BD5C-F8957E4ADCAB}"/>
            </c:ext>
          </c:extLst>
        </c:ser>
        <c:ser>
          <c:idx val="0"/>
          <c:order val="6"/>
          <c:tx>
            <c:strRef>
              <c:f>[1]CurPol_chemical_energy!$A$56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[1]CurPol_chemical_energy!$B$55:$E$55</c:f>
              <c:strCache>
                <c:ptCount val="4"/>
                <c:pt idx="0">
                  <c:v>2015_KEEI</c:v>
                </c:pt>
                <c:pt idx="1">
                  <c:v>2015_GCAM</c:v>
                </c:pt>
                <c:pt idx="2">
                  <c:v>2020_KEEI</c:v>
                </c:pt>
                <c:pt idx="3">
                  <c:v>2020_GCAM</c:v>
                </c:pt>
              </c:strCache>
            </c:strRef>
          </c:cat>
          <c:val>
            <c:numRef>
              <c:f>[1]CurPol_chemical_energy!$B$56:$E$56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9-4353-BD5C-F8957E4AD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579967"/>
        <c:axId val="289384127"/>
      </c:barChart>
      <c:catAx>
        <c:axId val="36957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9384127"/>
        <c:crosses val="autoZero"/>
        <c:auto val="1"/>
        <c:lblAlgn val="ctr"/>
        <c:lblOffset val="100"/>
        <c:noMultiLvlLbl val="0"/>
      </c:catAx>
      <c:valAx>
        <c:axId val="28938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957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ko-KR" sz="1400" b="0" i="0" baseline="0">
                <a:effectLst/>
              </a:rPr>
              <a:t>석유화학 최종에너지 소비</a:t>
            </a:r>
            <a:r>
              <a:rPr lang="en-US" altLang="ko-KR" sz="1400" b="0" i="0" baseline="0">
                <a:effectLst/>
              </a:rPr>
              <a:t>_CurPol</a:t>
            </a:r>
            <a:endParaRPr lang="ko-KR" altLang="ko-K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7"/>
          <c:order val="0"/>
          <c:tx>
            <c:strRef>
              <c:f>석유화학CP!$F$30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석유화학CP!$G$30:$N$30</c:f>
              <c:numCache>
                <c:formatCode>General</c:formatCode>
                <c:ptCount val="8"/>
                <c:pt idx="0">
                  <c:v>1.8793899999999999</c:v>
                </c:pt>
                <c:pt idx="1">
                  <c:v>1.89863</c:v>
                </c:pt>
                <c:pt idx="2">
                  <c:v>2.1570999999999998</c:v>
                </c:pt>
                <c:pt idx="3">
                  <c:v>2.2750400000000002</c:v>
                </c:pt>
                <c:pt idx="4">
                  <c:v>2.3559000000000001</c:v>
                </c:pt>
                <c:pt idx="5">
                  <c:v>2.4420299999999999</c:v>
                </c:pt>
                <c:pt idx="6">
                  <c:v>2.5479500000000002</c:v>
                </c:pt>
                <c:pt idx="7">
                  <c:v>2.6657500000000001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D4-46D6-8B77-6D2FF9553C8B}"/>
            </c:ext>
          </c:extLst>
        </c:ser>
        <c:ser>
          <c:idx val="6"/>
          <c:order val="1"/>
          <c:tx>
            <c:strRef>
              <c:f>석유화학CP!$F$29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석유화학CP!$G$29:$N$29</c:f>
              <c:numCache>
                <c:formatCode>General</c:formatCode>
                <c:ptCount val="8"/>
                <c:pt idx="0">
                  <c:v>2.2311399999999981E-2</c:v>
                </c:pt>
                <c:pt idx="1">
                  <c:v>2.4399070000000078E-2</c:v>
                </c:pt>
                <c:pt idx="2">
                  <c:v>3.2018799999999903E-2</c:v>
                </c:pt>
                <c:pt idx="3">
                  <c:v>3.8661470000000087E-2</c:v>
                </c:pt>
                <c:pt idx="4">
                  <c:v>4.8644560000000059E-2</c:v>
                </c:pt>
                <c:pt idx="5">
                  <c:v>6.2147809999999915E-2</c:v>
                </c:pt>
                <c:pt idx="6">
                  <c:v>7.3270551999999878E-2</c:v>
                </c:pt>
                <c:pt idx="7">
                  <c:v>8.4043622999999901E-2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D4-46D6-8B77-6D2FF9553C8B}"/>
            </c:ext>
          </c:extLst>
        </c:ser>
        <c:ser>
          <c:idx val="5"/>
          <c:order val="2"/>
          <c:tx>
            <c:strRef>
              <c:f>석유화학CP!$F$28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석유화학CP!$G$28:$N$28</c:f>
              <c:numCache>
                <c:formatCode>General</c:formatCode>
                <c:ptCount val="8"/>
                <c:pt idx="0">
                  <c:v>2.3106700000000001E-2</c:v>
                </c:pt>
                <c:pt idx="1">
                  <c:v>1.8826900000000001E-2</c:v>
                </c:pt>
                <c:pt idx="2">
                  <c:v>1.99977E-2</c:v>
                </c:pt>
                <c:pt idx="3">
                  <c:v>1.9488100000000001E-2</c:v>
                </c:pt>
                <c:pt idx="4">
                  <c:v>2.0002900000000001E-2</c:v>
                </c:pt>
                <c:pt idx="5">
                  <c:v>2.1653599999999999E-2</c:v>
                </c:pt>
                <c:pt idx="6">
                  <c:v>2.3451300000000001E-2</c:v>
                </c:pt>
                <c:pt idx="7">
                  <c:v>2.3886899999999999E-2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D4-46D6-8B77-6D2FF9553C8B}"/>
            </c:ext>
          </c:extLst>
        </c:ser>
        <c:ser>
          <c:idx val="4"/>
          <c:order val="3"/>
          <c:tx>
            <c:strRef>
              <c:f>석유화학CP!$F$27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석유화학CP!$G$27:$N$27</c:f>
              <c:numCache>
                <c:formatCode>General</c:formatCode>
                <c:ptCount val="8"/>
                <c:pt idx="0">
                  <c:v>4.6464999999999979E-3</c:v>
                </c:pt>
                <c:pt idx="1">
                  <c:v>5.0266100000000008E-3</c:v>
                </c:pt>
                <c:pt idx="2">
                  <c:v>6.2833030000000005E-3</c:v>
                </c:pt>
                <c:pt idx="3">
                  <c:v>7.2012320000000019E-3</c:v>
                </c:pt>
                <c:pt idx="4">
                  <c:v>8.3784450000000017E-3</c:v>
                </c:pt>
                <c:pt idx="5">
                  <c:v>1.0071300000000002E-2</c:v>
                </c:pt>
                <c:pt idx="6">
                  <c:v>1.1558942499999898E-2</c:v>
                </c:pt>
                <c:pt idx="7">
                  <c:v>1.2957587900000001E-2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D4-46D6-8B77-6D2FF9553C8B}"/>
            </c:ext>
          </c:extLst>
        </c:ser>
        <c:ser>
          <c:idx val="3"/>
          <c:order val="4"/>
          <c:tx>
            <c:strRef>
              <c:f>석유화학CP!$F$26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석유화학CP!$G$26:$N$26</c:f>
              <c:numCache>
                <c:formatCode>General</c:formatCode>
                <c:ptCount val="8"/>
                <c:pt idx="0">
                  <c:v>5.4361800000000002E-2</c:v>
                </c:pt>
                <c:pt idx="1">
                  <c:v>5.8544550000000001E-2</c:v>
                </c:pt>
                <c:pt idx="2">
                  <c:v>7.3017059999999995E-2</c:v>
                </c:pt>
                <c:pt idx="3">
                  <c:v>8.4488560000000004E-2</c:v>
                </c:pt>
                <c:pt idx="4">
                  <c:v>0.10038295</c:v>
                </c:pt>
                <c:pt idx="5">
                  <c:v>0.117798049999999</c:v>
                </c:pt>
                <c:pt idx="6">
                  <c:v>0.13359601800000001</c:v>
                </c:pt>
                <c:pt idx="7">
                  <c:v>0.14771389499999901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D4-46D6-8B77-6D2FF9553C8B}"/>
            </c:ext>
          </c:extLst>
        </c:ser>
        <c:ser>
          <c:idx val="2"/>
          <c:order val="5"/>
          <c:tx>
            <c:strRef>
              <c:f>석유화학CP!$F$25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석유화학CP!$G$25:$N$25</c:f>
              <c:numCache>
                <c:formatCode>General</c:formatCode>
                <c:ptCount val="8"/>
                <c:pt idx="0">
                  <c:v>1.1344099999999999E-2</c:v>
                </c:pt>
                <c:pt idx="1">
                  <c:v>1.2378729999999999E-2</c:v>
                </c:pt>
                <c:pt idx="2">
                  <c:v>1.5954240000000001E-2</c:v>
                </c:pt>
                <c:pt idx="3">
                  <c:v>1.8907380000000001E-2</c:v>
                </c:pt>
                <c:pt idx="4">
                  <c:v>2.3147838E-2</c:v>
                </c:pt>
                <c:pt idx="5">
                  <c:v>2.8654427E-2</c:v>
                </c:pt>
                <c:pt idx="6">
                  <c:v>3.2934755000000003E-2</c:v>
                </c:pt>
                <c:pt idx="7">
                  <c:v>3.65222376E-2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D4-46D6-8B77-6D2FF9553C8B}"/>
            </c:ext>
          </c:extLst>
        </c:ser>
        <c:ser>
          <c:idx val="1"/>
          <c:order val="6"/>
          <c:tx>
            <c:strRef>
              <c:f>석유화학CP!$F$24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석유화학CP!$G$24:$N$24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0.1860851</c:v>
                </c:pt>
                <c:pt idx="2">
                  <c:v>0.22395290000000001</c:v>
                </c:pt>
                <c:pt idx="3">
                  <c:v>0.24429319999999999</c:v>
                </c:pt>
                <c:pt idx="4">
                  <c:v>0.27028079999999999</c:v>
                </c:pt>
                <c:pt idx="5">
                  <c:v>0.30377803999999903</c:v>
                </c:pt>
                <c:pt idx="6">
                  <c:v>0.34101284999999998</c:v>
                </c:pt>
                <c:pt idx="7">
                  <c:v>0.38396806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D4-46D6-8B77-6D2FF9553C8B}"/>
            </c:ext>
          </c:extLst>
        </c:ser>
        <c:ser>
          <c:idx val="0"/>
          <c:order val="7"/>
          <c:tx>
            <c:strRef>
              <c:f>석유화학CP!$F$23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석유화학CP!$G$22:$N$22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석유화학CP!$G$23:$N$23</c:f>
              <c:numCache>
                <c:formatCode>General</c:formatCode>
                <c:ptCount val="8"/>
                <c:pt idx="0">
                  <c:v>0</c:v>
                </c:pt>
                <c:pt idx="1">
                  <c:v>4.5020800000000001E-4</c:v>
                </c:pt>
                <c:pt idx="2">
                  <c:v>3.7202509999999999E-3</c:v>
                </c:pt>
                <c:pt idx="3">
                  <c:v>9.6094449999999994E-3</c:v>
                </c:pt>
                <c:pt idx="4">
                  <c:v>2.4222681999999999E-2</c:v>
                </c:pt>
                <c:pt idx="5">
                  <c:v>4.5396032000000003E-2</c:v>
                </c:pt>
                <c:pt idx="6">
                  <c:v>6.6204000799999996E-2</c:v>
                </c:pt>
                <c:pt idx="7">
                  <c:v>8.8846513199999894E-2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4-46D6-8B77-6D2FF9553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0655775"/>
        <c:axId val="154709055"/>
      </c:barChart>
      <c:catAx>
        <c:axId val="1906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709055"/>
        <c:crosses val="autoZero"/>
        <c:auto val="1"/>
        <c:lblAlgn val="ctr"/>
        <c:lblOffset val="100"/>
        <c:noMultiLvlLbl val="0"/>
      </c:catAx>
      <c:valAx>
        <c:axId val="1547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ko-KR" altLang="en-US" sz="12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석유화학 최종에너지 소비</a:t>
            </a:r>
            <a:r>
              <a:rPr lang="en-US" altLang="ko-KR"/>
              <a:t>_NZ2050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2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[1]NZ2050_chemical_energy!$F$37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[1]NZ2050_chemical_energy!$G$37:$N$37</c:f>
              <c:numCache>
                <c:formatCode>General</c:formatCode>
                <c:ptCount val="8"/>
                <c:pt idx="0">
                  <c:v>1.8793899999999999</c:v>
                </c:pt>
                <c:pt idx="1">
                  <c:v>1.8975200000000001</c:v>
                </c:pt>
                <c:pt idx="2">
                  <c:v>2.02013</c:v>
                </c:pt>
                <c:pt idx="3">
                  <c:v>2.1383399999999999</c:v>
                </c:pt>
                <c:pt idx="4">
                  <c:v>2.2134800000000001</c:v>
                </c:pt>
                <c:pt idx="5">
                  <c:v>2.2984399999999998</c:v>
                </c:pt>
                <c:pt idx="6">
                  <c:v>2.41533</c:v>
                </c:pt>
                <c:pt idx="7">
                  <c:v>2.5104500000000001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A-4185-8439-276ED476969F}"/>
            </c:ext>
          </c:extLst>
        </c:ser>
        <c:ser>
          <c:idx val="7"/>
          <c:order val="1"/>
          <c:tx>
            <c:strRef>
              <c:f>[1]NZ2050_chemical_energy!$F$36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[1]NZ2050_chemical_energy!$G$36:$N$36</c:f>
              <c:numCache>
                <c:formatCode>General</c:formatCode>
                <c:ptCount val="8"/>
                <c:pt idx="0">
                  <c:v>2.2311399999999981E-2</c:v>
                </c:pt>
                <c:pt idx="1">
                  <c:v>2.4373600000000106E-2</c:v>
                </c:pt>
                <c:pt idx="2">
                  <c:v>2.8761450000000188E-2</c:v>
                </c:pt>
                <c:pt idx="3">
                  <c:v>3.3301180000000041E-2</c:v>
                </c:pt>
                <c:pt idx="4">
                  <c:v>3.5531929999999878E-2</c:v>
                </c:pt>
                <c:pt idx="5">
                  <c:v>3.2899819999999913E-2</c:v>
                </c:pt>
                <c:pt idx="6">
                  <c:v>2.7833329999999989E-2</c:v>
                </c:pt>
                <c:pt idx="7">
                  <c:v>9.6310950000000339E-3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6A-4185-8439-276ED476969F}"/>
            </c:ext>
          </c:extLst>
        </c:ser>
        <c:ser>
          <c:idx val="0"/>
          <c:order val="2"/>
          <c:tx>
            <c:strRef>
              <c:f>[1]NZ2050_chemical_energy!$F$35</c:f>
              <c:strCache>
                <c:ptCount val="1"/>
                <c:pt idx="0">
                  <c:v>Oil CCS</c:v>
                </c:pt>
              </c:strCache>
            </c:strRef>
          </c:tx>
          <c:spPr>
            <a:pattFill prst="wdUpDiag">
              <a:fgClr>
                <a:srgbClr val="FF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[1]NZ2050_chemical_energy!$G$35:$N$35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4.1681200000000002E-4</c:v>
                </c:pt>
                <c:pt idx="3">
                  <c:v>2.240864E-3</c:v>
                </c:pt>
                <c:pt idx="4">
                  <c:v>8.8508600000000003E-3</c:v>
                </c:pt>
                <c:pt idx="5">
                  <c:v>1.9932136E-2</c:v>
                </c:pt>
                <c:pt idx="6">
                  <c:v>3.0069901E-2</c:v>
                </c:pt>
                <c:pt idx="7">
                  <c:v>3.9111199499999999E-2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6A-4185-8439-276ED476969F}"/>
            </c:ext>
          </c:extLst>
        </c:ser>
        <c:ser>
          <c:idx val="6"/>
          <c:order val="3"/>
          <c:tx>
            <c:strRef>
              <c:f>[1]NZ2050_chemical_energy!$F$34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[1]NZ2050_chemical_energy!$G$34:$N$34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6A-4185-8439-276ED476969F}"/>
            </c:ext>
          </c:extLst>
        </c:ser>
        <c:ser>
          <c:idx val="5"/>
          <c:order val="4"/>
          <c:tx>
            <c:strRef>
              <c:f>[1]NZ2050_chemical_energy!$F$33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[1]NZ2050_chemical_energy!$G$33:$N$33</c:f>
              <c:numCache>
                <c:formatCode>General</c:formatCode>
                <c:ptCount val="8"/>
                <c:pt idx="0">
                  <c:v>2.7753199999999999E-2</c:v>
                </c:pt>
                <c:pt idx="1">
                  <c:v>2.4972570999999999E-2</c:v>
                </c:pt>
                <c:pt idx="2">
                  <c:v>5.4831300000000001E-3</c:v>
                </c:pt>
                <c:pt idx="3">
                  <c:v>4.9877079999999996E-3</c:v>
                </c:pt>
                <c:pt idx="4">
                  <c:v>3.6380513999999999E-3</c:v>
                </c:pt>
                <c:pt idx="5">
                  <c:v>2.0439946999999902E-3</c:v>
                </c:pt>
                <c:pt idx="6">
                  <c:v>1.1000828100000001E-3</c:v>
                </c:pt>
                <c:pt idx="7">
                  <c:v>1.1238505600000001E-4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6A-4185-8439-276ED476969F}"/>
            </c:ext>
          </c:extLst>
        </c:ser>
        <c:ser>
          <c:idx val="9"/>
          <c:order val="5"/>
          <c:tx>
            <c:strRef>
              <c:f>[1]NZ2050_chemical_energy!$F$32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[1]NZ2050_chemical_energy!$G$32:$N$32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1.10938E-5</c:v>
                </c:pt>
                <c:pt idx="3">
                  <c:v>7.2771100000000005E-5</c:v>
                </c:pt>
                <c:pt idx="4">
                  <c:v>3.4588879999999998E-4</c:v>
                </c:pt>
                <c:pt idx="5">
                  <c:v>8.5795932999999905E-4</c:v>
                </c:pt>
                <c:pt idx="6">
                  <c:v>1.3158493499999999E-3</c:v>
                </c:pt>
                <c:pt idx="7">
                  <c:v>1.6124632899999899E-3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6A-4185-8439-276ED476969F}"/>
            </c:ext>
          </c:extLst>
        </c:ser>
        <c:ser>
          <c:idx val="4"/>
          <c:order val="6"/>
          <c:tx>
            <c:strRef>
              <c:f>[1]NZ2050_chemical_energy!$F$31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[1]NZ2050_chemical_energy!$G$31:$N$31</c:f>
              <c:numCache>
                <c:formatCode>General</c:formatCode>
                <c:ptCount val="8"/>
                <c:pt idx="0">
                  <c:v>5.4361800000000002E-2</c:v>
                </c:pt>
                <c:pt idx="1">
                  <c:v>5.851025E-2</c:v>
                </c:pt>
                <c:pt idx="2">
                  <c:v>6.5896109999999994E-2</c:v>
                </c:pt>
                <c:pt idx="3">
                  <c:v>7.1619299999999997E-2</c:v>
                </c:pt>
                <c:pt idx="4">
                  <c:v>6.9446529999999895E-2</c:v>
                </c:pt>
                <c:pt idx="5">
                  <c:v>5.8250629999999998E-2</c:v>
                </c:pt>
                <c:pt idx="6">
                  <c:v>4.7249248000000001E-2</c:v>
                </c:pt>
                <c:pt idx="7">
                  <c:v>3.0071471999999998E-2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6A-4185-8439-276ED476969F}"/>
            </c:ext>
          </c:extLst>
        </c:ser>
        <c:ser>
          <c:idx val="10"/>
          <c:order val="7"/>
          <c:tx>
            <c:strRef>
              <c:f>[1]NZ2050_chemical_energy!$F$30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[1]NZ2050_chemical_energy!$G$30:$N$30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5.9531700000000005E-4</c:v>
                </c:pt>
                <c:pt idx="3">
                  <c:v>3.3469729999999901E-3</c:v>
                </c:pt>
                <c:pt idx="4">
                  <c:v>1.3853508E-2</c:v>
                </c:pt>
                <c:pt idx="5">
                  <c:v>3.1378973999999997E-2</c:v>
                </c:pt>
                <c:pt idx="6">
                  <c:v>4.8539214999999997E-2</c:v>
                </c:pt>
                <c:pt idx="7">
                  <c:v>6.5330029999999997E-2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6A-4185-8439-276ED476969F}"/>
            </c:ext>
          </c:extLst>
        </c:ser>
        <c:ser>
          <c:idx val="3"/>
          <c:order val="8"/>
          <c:tx>
            <c:strRef>
              <c:f>[1]NZ2050_chemical_energy!$F$29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[1]NZ2050_chemical_energy!$G$29:$N$29</c:f>
              <c:numCache>
                <c:formatCode>General</c:formatCode>
                <c:ptCount val="8"/>
                <c:pt idx="0">
                  <c:v>1.1344099999999999E-2</c:v>
                </c:pt>
                <c:pt idx="1">
                  <c:v>1.2337839999999999E-2</c:v>
                </c:pt>
                <c:pt idx="2">
                  <c:v>1.6138159999999999E-2</c:v>
                </c:pt>
                <c:pt idx="3">
                  <c:v>2.062429E-2</c:v>
                </c:pt>
                <c:pt idx="4">
                  <c:v>2.2565156999999999E-2</c:v>
                </c:pt>
                <c:pt idx="5">
                  <c:v>1.9602164999999901E-2</c:v>
                </c:pt>
                <c:pt idx="6">
                  <c:v>1.5557235000000001E-2</c:v>
                </c:pt>
                <c:pt idx="7">
                  <c:v>4.5643626599999997E-3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6A-4185-8439-276ED476969F}"/>
            </c:ext>
          </c:extLst>
        </c:ser>
        <c:ser>
          <c:idx val="11"/>
          <c:order val="9"/>
          <c:tx>
            <c:strRef>
              <c:f>[1]NZ2050_chemical_energy!$F$28</c:f>
              <c:strCache>
                <c:ptCount val="1"/>
                <c:pt idx="0">
                  <c:v>Biomass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[1]NZ2050_chemical_energy!$G$28:$N$28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1.1662099999999999E-4</c:v>
                </c:pt>
                <c:pt idx="3">
                  <c:v>1.0715810000000001E-3</c:v>
                </c:pt>
                <c:pt idx="4">
                  <c:v>8.4339949999999997E-3</c:v>
                </c:pt>
                <c:pt idx="5">
                  <c:v>2.41824463E-2</c:v>
                </c:pt>
                <c:pt idx="6">
                  <c:v>3.7974687399999998E-2</c:v>
                </c:pt>
                <c:pt idx="7">
                  <c:v>4.6528344100000001E-2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6A-4185-8439-276ED476969F}"/>
            </c:ext>
          </c:extLst>
        </c:ser>
        <c:ser>
          <c:idx val="2"/>
          <c:order val="10"/>
          <c:tx>
            <c:strRef>
              <c:f>[1]NZ2050_chemical_energy!$F$27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[1]NZ2050_chemical_energy!$G$27:$N$27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0.18617639999999999</c:v>
                </c:pt>
                <c:pt idx="2">
                  <c:v>0.20603679999999999</c:v>
                </c:pt>
                <c:pt idx="3">
                  <c:v>0.22784380000000001</c:v>
                </c:pt>
                <c:pt idx="4">
                  <c:v>0.25663710000000001</c:v>
                </c:pt>
                <c:pt idx="5">
                  <c:v>0.29562955999999901</c:v>
                </c:pt>
                <c:pt idx="6">
                  <c:v>0.33886674999999999</c:v>
                </c:pt>
                <c:pt idx="7">
                  <c:v>0.39745477899999998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6A-4185-8439-276ED476969F}"/>
            </c:ext>
          </c:extLst>
        </c:ser>
        <c:ser>
          <c:idx val="1"/>
          <c:order val="11"/>
          <c:tx>
            <c:strRef>
              <c:f>[1]NZ2050_chemical_energy!$F$26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[1]NZ2050_chemical_energy!$G$25:$N$25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[1]NZ2050_chemical_energy!$G$26:$N$26</c:f>
              <c:numCache>
                <c:formatCode>General</c:formatCode>
                <c:ptCount val="8"/>
                <c:pt idx="0">
                  <c:v>0</c:v>
                </c:pt>
                <c:pt idx="1">
                  <c:v>4.46203E-4</c:v>
                </c:pt>
                <c:pt idx="2">
                  <c:v>2.578561E-3</c:v>
                </c:pt>
                <c:pt idx="3">
                  <c:v>8.2950860000000001E-3</c:v>
                </c:pt>
                <c:pt idx="4">
                  <c:v>2.3320778E-2</c:v>
                </c:pt>
                <c:pt idx="5">
                  <c:v>4.7643640000000001E-2</c:v>
                </c:pt>
                <c:pt idx="6">
                  <c:v>7.2101510199999996E-2</c:v>
                </c:pt>
                <c:pt idx="7">
                  <c:v>0.10369668510000001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6A-4185-8439-276ED4769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ko-KR" altLang="en-US"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ko-KR" altLang="en-US"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ko-KR" altLang="en-US" sz="1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ko-KR" altLang="en-US" sz="10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ko-KR" altLang="en-US" sz="1000" b="0" i="0" u="none" strike="noStrike" kern="1200" baseline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  <a:cs typeface="+mn-cs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석유화학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석유화학NZ!$F$37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석유화학NZ!$G$37:$N$37</c:f>
              <c:numCache>
                <c:formatCode>General</c:formatCode>
                <c:ptCount val="8"/>
                <c:pt idx="0">
                  <c:v>1.8793899999999999</c:v>
                </c:pt>
                <c:pt idx="1">
                  <c:v>1.89751</c:v>
                </c:pt>
                <c:pt idx="2">
                  <c:v>2.02014</c:v>
                </c:pt>
                <c:pt idx="3">
                  <c:v>2.13828</c:v>
                </c:pt>
                <c:pt idx="4">
                  <c:v>2.2135099999999999</c:v>
                </c:pt>
                <c:pt idx="5">
                  <c:v>2.2987000000000002</c:v>
                </c:pt>
                <c:pt idx="6">
                  <c:v>2.41574</c:v>
                </c:pt>
                <c:pt idx="7">
                  <c:v>2.5107900000000001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85-4FD5-8C1E-CCB78C6713C9}"/>
            </c:ext>
          </c:extLst>
        </c:ser>
        <c:ser>
          <c:idx val="10"/>
          <c:order val="1"/>
          <c:tx>
            <c:strRef>
              <c:f>석유화학NZ!$F$36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석유화학NZ!$G$36:$N$36</c:f>
              <c:numCache>
                <c:formatCode>General</c:formatCode>
                <c:ptCount val="8"/>
                <c:pt idx="0">
                  <c:v>2.2311399999999981E-2</c:v>
                </c:pt>
                <c:pt idx="1">
                  <c:v>2.4373530000000088E-2</c:v>
                </c:pt>
                <c:pt idx="2">
                  <c:v>2.8753389999999879E-2</c:v>
                </c:pt>
                <c:pt idx="3">
                  <c:v>3.3271179999999845E-2</c:v>
                </c:pt>
                <c:pt idx="4">
                  <c:v>3.541420999999989E-2</c:v>
                </c:pt>
                <c:pt idx="5">
                  <c:v>3.2732540000000032E-2</c:v>
                </c:pt>
                <c:pt idx="6">
                  <c:v>2.7650905999999864E-2</c:v>
                </c:pt>
                <c:pt idx="7">
                  <c:v>9.5147417999998929E-3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85-4FD5-8C1E-CCB78C6713C9}"/>
            </c:ext>
          </c:extLst>
        </c:ser>
        <c:ser>
          <c:idx val="9"/>
          <c:order val="2"/>
          <c:tx>
            <c:strRef>
              <c:f>석유화학NZ!$F$35</c:f>
              <c:strCache>
                <c:ptCount val="1"/>
                <c:pt idx="0">
                  <c:v>Oil CCS</c:v>
                </c:pt>
              </c:strCache>
            </c:strRef>
          </c:tx>
          <c:spPr>
            <a:pattFill prst="wd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석유화학NZ!$G$35:$N$35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4.2380800000000002E-4</c:v>
                </c:pt>
                <c:pt idx="3">
                  <c:v>2.2768739999999999E-3</c:v>
                </c:pt>
                <c:pt idx="4">
                  <c:v>8.9516349999999995E-3</c:v>
                </c:pt>
                <c:pt idx="5">
                  <c:v>2.0077441000000001E-2</c:v>
                </c:pt>
                <c:pt idx="6">
                  <c:v>3.0239005999999999E-2</c:v>
                </c:pt>
                <c:pt idx="7">
                  <c:v>3.9249225700000001E-2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385-4FD5-8C1E-CCB78C6713C9}"/>
            </c:ext>
          </c:extLst>
        </c:ser>
        <c:ser>
          <c:idx val="8"/>
          <c:order val="3"/>
          <c:tx>
            <c:strRef>
              <c:f>석유화학NZ!$F$34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석유화학NZ!$G$34:$N$34</c:f>
              <c:numCache>
                <c:formatCode>General</c:formatCode>
                <c:ptCount val="8"/>
                <c:pt idx="0">
                  <c:v>2.3106700000000001E-2</c:v>
                </c:pt>
                <c:pt idx="1">
                  <c:v>1.99516E-2</c:v>
                </c:pt>
                <c:pt idx="2">
                  <c:v>2.8079100000000002E-4</c:v>
                </c:pt>
                <c:pt idx="3">
                  <c:v>1.09905E-4</c:v>
                </c:pt>
                <c:pt idx="4">
                  <c:v>4.41366E-5</c:v>
                </c:pt>
                <c:pt idx="5">
                  <c:v>2.0372000000000001E-5</c:v>
                </c:pt>
                <c:pt idx="6">
                  <c:v>9.3468300000000004E-6</c:v>
                </c:pt>
                <c:pt idx="7">
                  <c:v>1.38328E-6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85-4FD5-8C1E-CCB78C6713C9}"/>
            </c:ext>
          </c:extLst>
        </c:ser>
        <c:ser>
          <c:idx val="7"/>
          <c:order val="4"/>
          <c:tx>
            <c:strRef>
              <c:f>석유화학NZ!$F$33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석유화학NZ!$G$33:$N$33</c:f>
              <c:numCache>
                <c:formatCode>General</c:formatCode>
                <c:ptCount val="8"/>
                <c:pt idx="0">
                  <c:v>4.6464999999999979E-3</c:v>
                </c:pt>
                <c:pt idx="1">
                  <c:v>5.0284020000000013E-3</c:v>
                </c:pt>
                <c:pt idx="2">
                  <c:v>5.1862389999999996E-3</c:v>
                </c:pt>
                <c:pt idx="3">
                  <c:v>4.8643030000000004E-3</c:v>
                </c:pt>
                <c:pt idx="4">
                  <c:v>3.5774269999999898E-3</c:v>
                </c:pt>
                <c:pt idx="5">
                  <c:v>2.006931E-3</c:v>
                </c:pt>
                <c:pt idx="6">
                  <c:v>1.0760766E-3</c:v>
                </c:pt>
                <c:pt idx="7">
                  <c:v>1.0820072E-4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85-4FD5-8C1E-CCB78C6713C9}"/>
            </c:ext>
          </c:extLst>
        </c:ser>
        <c:ser>
          <c:idx val="6"/>
          <c:order val="5"/>
          <c:tx>
            <c:strRef>
              <c:f>석유화학NZ!$F$32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석유화학NZ!$G$32:$N$32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1.1409999999999999E-5</c:v>
                </c:pt>
                <c:pt idx="3">
                  <c:v>7.45547E-5</c:v>
                </c:pt>
                <c:pt idx="4">
                  <c:v>3.5170829999999999E-4</c:v>
                </c:pt>
                <c:pt idx="5">
                  <c:v>8.6634843999999897E-4</c:v>
                </c:pt>
                <c:pt idx="6">
                  <c:v>1.3245953499999999E-3</c:v>
                </c:pt>
                <c:pt idx="7">
                  <c:v>1.61949584E-3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85-4FD5-8C1E-CCB78C6713C9}"/>
            </c:ext>
          </c:extLst>
        </c:ser>
        <c:ser>
          <c:idx val="5"/>
          <c:order val="6"/>
          <c:tx>
            <c:strRef>
              <c:f>석유화학NZ!$F$31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석유화학NZ!$G$31:$N$31</c:f>
              <c:numCache>
                <c:formatCode>General</c:formatCode>
                <c:ptCount val="8"/>
                <c:pt idx="0">
                  <c:v>5.4361800000000002E-2</c:v>
                </c:pt>
                <c:pt idx="1">
                  <c:v>5.8510349999999899E-2</c:v>
                </c:pt>
                <c:pt idx="2">
                  <c:v>6.5875920000000004E-2</c:v>
                </c:pt>
                <c:pt idx="3">
                  <c:v>7.1550009999999997E-2</c:v>
                </c:pt>
                <c:pt idx="4">
                  <c:v>6.9225330000000002E-2</c:v>
                </c:pt>
                <c:pt idx="5">
                  <c:v>5.7954859999999997E-2</c:v>
                </c:pt>
                <c:pt idx="6">
                  <c:v>4.6938425999999998E-2</c:v>
                </c:pt>
                <c:pt idx="7">
                  <c:v>2.9799375999999999E-2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85-4FD5-8C1E-CCB78C6713C9}"/>
            </c:ext>
          </c:extLst>
        </c:ser>
        <c:ser>
          <c:idx val="4"/>
          <c:order val="7"/>
          <c:tx>
            <c:strRef>
              <c:f>석유화학NZ!$F$30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석유화학NZ!$G$30:$N$30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6.0678900000000005E-4</c:v>
                </c:pt>
                <c:pt idx="3">
                  <c:v>3.4086490000000001E-3</c:v>
                </c:pt>
                <c:pt idx="4">
                  <c:v>1.40432059999999E-2</c:v>
                </c:pt>
                <c:pt idx="5">
                  <c:v>3.1662882000000003E-2</c:v>
                </c:pt>
                <c:pt idx="6">
                  <c:v>4.8863589999999998E-2</c:v>
                </c:pt>
                <c:pt idx="7">
                  <c:v>6.5602020999999996E-2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85-4FD5-8C1E-CCB78C6713C9}"/>
            </c:ext>
          </c:extLst>
        </c:ser>
        <c:ser>
          <c:idx val="3"/>
          <c:order val="8"/>
          <c:tx>
            <c:strRef>
              <c:f>석유화학NZ!$F$29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석유화학NZ!$G$29:$N$29</c:f>
              <c:numCache>
                <c:formatCode>General</c:formatCode>
                <c:ptCount val="8"/>
                <c:pt idx="0">
                  <c:v>1.1344099999999999E-2</c:v>
                </c:pt>
                <c:pt idx="1">
                  <c:v>1.233681E-2</c:v>
                </c:pt>
                <c:pt idx="2">
                  <c:v>1.6084330000000001E-2</c:v>
                </c:pt>
                <c:pt idx="3">
                  <c:v>2.048695E-2</c:v>
                </c:pt>
                <c:pt idx="4">
                  <c:v>2.2287951E-2</c:v>
                </c:pt>
                <c:pt idx="5">
                  <c:v>1.9297135E-2</c:v>
                </c:pt>
                <c:pt idx="6">
                  <c:v>1.527919E-2</c:v>
                </c:pt>
                <c:pt idx="7">
                  <c:v>4.4383550600000004E-3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5-4FD5-8C1E-CCB78C6713C9}"/>
            </c:ext>
          </c:extLst>
        </c:ser>
        <c:ser>
          <c:idx val="2"/>
          <c:order val="9"/>
          <c:tx>
            <c:strRef>
              <c:f>석유화학NZ!$F$28</c:f>
              <c:strCache>
                <c:ptCount val="1"/>
                <c:pt idx="0">
                  <c:v>Biomass CCS</c:v>
                </c:pt>
              </c:strCache>
            </c:strRef>
          </c:tx>
          <c:spPr>
            <a:pattFill prst="wdUpDiag">
              <a:fgClr>
                <a:srgbClr val="00B05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석유화학NZ!$G$28:$N$28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1.20481E-4</c:v>
                </c:pt>
                <c:pt idx="3">
                  <c:v>1.1075E-3</c:v>
                </c:pt>
                <c:pt idx="4">
                  <c:v>8.6422600000000006E-3</c:v>
                </c:pt>
                <c:pt idx="5">
                  <c:v>2.4456311099999999E-2</c:v>
                </c:pt>
                <c:pt idx="6">
                  <c:v>3.82185024E-2</c:v>
                </c:pt>
                <c:pt idx="7">
                  <c:v>4.6706898199999999E-2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5-4FD5-8C1E-CCB78C6713C9}"/>
            </c:ext>
          </c:extLst>
        </c:ser>
        <c:ser>
          <c:idx val="1"/>
          <c:order val="10"/>
          <c:tx>
            <c:strRef>
              <c:f>석유화학NZ!$F$27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석유화학NZ!$G$27:$N$27</c:f>
              <c:numCache>
                <c:formatCode>General</c:formatCode>
                <c:ptCount val="8"/>
                <c:pt idx="0">
                  <c:v>0.17627200000000001</c:v>
                </c:pt>
                <c:pt idx="1">
                  <c:v>0.18617799999999901</c:v>
                </c:pt>
                <c:pt idx="2">
                  <c:v>0.20609259999999999</c:v>
                </c:pt>
                <c:pt idx="3">
                  <c:v>0.2279157</c:v>
                </c:pt>
                <c:pt idx="4">
                  <c:v>0.25670769999999998</c:v>
                </c:pt>
                <c:pt idx="5">
                  <c:v>0.29568918</c:v>
                </c:pt>
                <c:pt idx="6">
                  <c:v>0.33893118999999999</c:v>
                </c:pt>
                <c:pt idx="7">
                  <c:v>0.39745271799999998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5-4FD5-8C1E-CCB78C6713C9}"/>
            </c:ext>
          </c:extLst>
        </c:ser>
        <c:ser>
          <c:idx val="0"/>
          <c:order val="11"/>
          <c:tx>
            <c:strRef>
              <c:f>석유화학NZ!$F$26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석유화학NZ!$G$25:$N$25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석유화학NZ!$G$26:$N$26</c:f>
              <c:numCache>
                <c:formatCode>General</c:formatCode>
                <c:ptCount val="8"/>
                <c:pt idx="0">
                  <c:v>0</c:v>
                </c:pt>
                <c:pt idx="1">
                  <c:v>4.46217E-4</c:v>
                </c:pt>
                <c:pt idx="2">
                  <c:v>2.5756959999999902E-3</c:v>
                </c:pt>
                <c:pt idx="3">
                  <c:v>8.2967909999999995E-3</c:v>
                </c:pt>
                <c:pt idx="4">
                  <c:v>2.3364777E-2</c:v>
                </c:pt>
                <c:pt idx="5">
                  <c:v>4.7715868000000002E-2</c:v>
                </c:pt>
                <c:pt idx="6">
                  <c:v>7.2179282499999997E-2</c:v>
                </c:pt>
                <c:pt idx="7">
                  <c:v>0.10373313469999999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5-4FD5-8C1E-CCB78C671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0596575"/>
        <c:axId val="197558143"/>
      </c:barChart>
      <c:catAx>
        <c:axId val="19059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7558143"/>
        <c:crosses val="autoZero"/>
        <c:auto val="1"/>
        <c:lblAlgn val="ctr"/>
        <c:lblOffset val="100"/>
        <c:noMultiLvlLbl val="0"/>
      </c:catAx>
      <c:valAx>
        <c:axId val="19755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59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반도체</a:t>
            </a:r>
            <a:r>
              <a:rPr lang="en-US" altLang="ko-KR"/>
              <a:t>&amp;</a:t>
            </a:r>
            <a:r>
              <a:rPr lang="ko-KR" altLang="en-US"/>
              <a:t>디스플레이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'반디CP+NZ'!$F$18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'반디CP+NZ'!$G$17:$N$17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'반디CP+NZ'!$G$18:$N$18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2B-43C1-8723-1F5B48F1C59D}"/>
            </c:ext>
          </c:extLst>
        </c:ser>
        <c:ser>
          <c:idx val="1"/>
          <c:order val="1"/>
          <c:tx>
            <c:strRef>
              <c:f>'반디CP+NZ'!$F$19</c:f>
              <c:strCache>
                <c:ptCount val="1"/>
                <c:pt idx="0">
                  <c:v>Electricity(CONV)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'반디CP+NZ'!$G$17:$N$17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'반디CP+NZ'!$G$19:$N$19</c:f>
              <c:numCache>
                <c:formatCode>General</c:formatCode>
                <c:ptCount val="8"/>
                <c:pt idx="0">
                  <c:v>0.1409</c:v>
                </c:pt>
                <c:pt idx="1">
                  <c:v>0.1564424999999999</c:v>
                </c:pt>
                <c:pt idx="2">
                  <c:v>0.1593388</c:v>
                </c:pt>
                <c:pt idx="3">
                  <c:v>0.14685044</c:v>
                </c:pt>
                <c:pt idx="4">
                  <c:v>0.14063352000000001</c:v>
                </c:pt>
                <c:pt idx="5">
                  <c:v>0.14785772999999991</c:v>
                </c:pt>
                <c:pt idx="6">
                  <c:v>0.15518352999999901</c:v>
                </c:pt>
                <c:pt idx="7">
                  <c:v>0.16240265999999901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2B-43C1-8723-1F5B48F1C59D}"/>
            </c:ext>
          </c:extLst>
        </c:ser>
        <c:ser>
          <c:idx val="2"/>
          <c:order val="2"/>
          <c:tx>
            <c:strRef>
              <c:f>'반디CP+NZ'!$F$20</c:f>
              <c:strCache>
                <c:ptCount val="1"/>
                <c:pt idx="0">
                  <c:v>Electricity(HIEFF)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'반디CP+NZ'!$G$17:$N$17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'반디CP+NZ'!$G$20:$N$20</c:f>
              <c:numCache>
                <c:formatCode>General</c:formatCode>
                <c:ptCount val="8"/>
                <c:pt idx="0">
                  <c:v>0</c:v>
                </c:pt>
                <c:pt idx="1">
                  <c:v>1.7765349999999999E-2</c:v>
                </c:pt>
                <c:pt idx="2">
                  <c:v>3.8381539999999902E-2</c:v>
                </c:pt>
                <c:pt idx="3">
                  <c:v>5.2320839999999993E-2</c:v>
                </c:pt>
                <c:pt idx="4">
                  <c:v>6.0822946000000003E-2</c:v>
                </c:pt>
                <c:pt idx="5">
                  <c:v>6.367159E-2</c:v>
                </c:pt>
                <c:pt idx="6">
                  <c:v>6.6662539999999909E-2</c:v>
                </c:pt>
                <c:pt idx="7">
                  <c:v>7.0155909999999988E-2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2B-43C1-8723-1F5B48F1C59D}"/>
            </c:ext>
          </c:extLst>
        </c:ser>
        <c:ser>
          <c:idx val="3"/>
          <c:order val="3"/>
          <c:tx>
            <c:strRef>
              <c:f>'반디CP+NZ'!$F$21</c:f>
              <c:strCache>
                <c:ptCount val="1"/>
                <c:pt idx="0">
                  <c:v>Electricity(LOWF)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'반디CP+NZ'!$G$17:$N$17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'반디CP+NZ'!$G$21:$N$21</c:f>
              <c:numCache>
                <c:formatCode>General</c:formatCode>
                <c:ptCount val="8"/>
                <c:pt idx="0">
                  <c:v>0</c:v>
                </c:pt>
                <c:pt idx="1">
                  <c:v>1.5947050000000001E-2</c:v>
                </c:pt>
                <c:pt idx="2">
                  <c:v>3.4523309999999897E-2</c:v>
                </c:pt>
                <c:pt idx="3">
                  <c:v>4.7053649999999995E-2</c:v>
                </c:pt>
                <c:pt idx="4">
                  <c:v>5.4636781000000002E-2</c:v>
                </c:pt>
                <c:pt idx="5">
                  <c:v>5.7308476000000004E-2</c:v>
                </c:pt>
                <c:pt idx="6">
                  <c:v>6.0047361E-2</c:v>
                </c:pt>
                <c:pt idx="7">
                  <c:v>6.3071077000000003E-2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2B-43C1-8723-1F5B48F1C59D}"/>
            </c:ext>
          </c:extLst>
        </c:ser>
        <c:ser>
          <c:idx val="4"/>
          <c:order val="4"/>
          <c:tx>
            <c:strRef>
              <c:f>'반디CP+NZ'!$F$22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'반디CP+NZ'!$G$17:$N$17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'반디CP+NZ'!$G$22:$N$22</c:f>
              <c:numCache>
                <c:formatCode>General</c:formatCode>
                <c:ptCount val="8"/>
                <c:pt idx="0">
                  <c:v>2.3541599999999999E-2</c:v>
                </c:pt>
                <c:pt idx="1">
                  <c:v>3.1896437E-2</c:v>
                </c:pt>
                <c:pt idx="2">
                  <c:v>3.9243654999999988E-2</c:v>
                </c:pt>
                <c:pt idx="3">
                  <c:v>4.1989346999999892E-2</c:v>
                </c:pt>
                <c:pt idx="4">
                  <c:v>4.4142639599999992E-2</c:v>
                </c:pt>
                <c:pt idx="5">
                  <c:v>4.6785379000000002E-2</c:v>
                </c:pt>
                <c:pt idx="6">
                  <c:v>4.9552593999999998E-2</c:v>
                </c:pt>
                <c:pt idx="7">
                  <c:v>5.248803299999999E-2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2B-43C1-8723-1F5B48F1C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266816"/>
        <c:axId val="1952186944"/>
      </c:barChart>
      <c:catAx>
        <c:axId val="12626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2186944"/>
        <c:crosses val="autoZero"/>
        <c:auto val="1"/>
        <c:lblAlgn val="ctr"/>
        <c:lblOffset val="100"/>
        <c:noMultiLvlLbl val="0"/>
      </c:catAx>
      <c:valAx>
        <c:axId val="19521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반도체</a:t>
            </a:r>
            <a:r>
              <a:rPr lang="en-US" altLang="ko-KR"/>
              <a:t>&amp;</a:t>
            </a:r>
            <a:r>
              <a:rPr lang="ko-KR" altLang="en-US"/>
              <a:t>디스플레이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'반디CP+NZ'!$F$58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'반디CP+NZ'!$G$57:$N$57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'반디CP+NZ'!$G$58:$N$58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8-490D-BE29-53ADA05413EF}"/>
            </c:ext>
          </c:extLst>
        </c:ser>
        <c:ser>
          <c:idx val="1"/>
          <c:order val="1"/>
          <c:tx>
            <c:strRef>
              <c:f>'반디CP+NZ'!$F$59</c:f>
              <c:strCache>
                <c:ptCount val="1"/>
                <c:pt idx="0">
                  <c:v>Electricity(CONV)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'반디CP+NZ'!$G$57:$N$57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'반디CP+NZ'!$G$59:$N$59</c:f>
              <c:numCache>
                <c:formatCode>General</c:formatCode>
                <c:ptCount val="8"/>
                <c:pt idx="0">
                  <c:v>0.1409</c:v>
                </c:pt>
                <c:pt idx="1">
                  <c:v>0.1564424999999999</c:v>
                </c:pt>
                <c:pt idx="2">
                  <c:v>0.1469085</c:v>
                </c:pt>
                <c:pt idx="3">
                  <c:v>0.14044424</c:v>
                </c:pt>
                <c:pt idx="4">
                  <c:v>0.13840205</c:v>
                </c:pt>
                <c:pt idx="5">
                  <c:v>0.15105557</c:v>
                </c:pt>
                <c:pt idx="6">
                  <c:v>0.163996</c:v>
                </c:pt>
                <c:pt idx="7">
                  <c:v>0.17735214999999999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8-490D-BE29-53ADA05413EF}"/>
            </c:ext>
          </c:extLst>
        </c:ser>
        <c:ser>
          <c:idx val="2"/>
          <c:order val="2"/>
          <c:tx>
            <c:strRef>
              <c:f>'반디CP+NZ'!$F$60</c:f>
              <c:strCache>
                <c:ptCount val="1"/>
                <c:pt idx="0">
                  <c:v>Electricity(HIEFF)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'반디CP+NZ'!$G$57:$N$57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'반디CP+NZ'!$G$60:$N$60</c:f>
              <c:numCache>
                <c:formatCode>General</c:formatCode>
                <c:ptCount val="8"/>
                <c:pt idx="0">
                  <c:v>0</c:v>
                </c:pt>
                <c:pt idx="1">
                  <c:v>1.7765349999999999E-2</c:v>
                </c:pt>
                <c:pt idx="2">
                  <c:v>3.3006170000000001E-2</c:v>
                </c:pt>
                <c:pt idx="3">
                  <c:v>5.1083539999999997E-2</c:v>
                </c:pt>
                <c:pt idx="4">
                  <c:v>6.1281394999999995E-2</c:v>
                </c:pt>
                <c:pt idx="5">
                  <c:v>6.6159350000000006E-2</c:v>
                </c:pt>
                <c:pt idx="6">
                  <c:v>7.1325959999999897E-2</c:v>
                </c:pt>
                <c:pt idx="7">
                  <c:v>7.7232729999999999E-2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8-490D-BE29-53ADA05413EF}"/>
            </c:ext>
          </c:extLst>
        </c:ser>
        <c:ser>
          <c:idx val="3"/>
          <c:order val="3"/>
          <c:tx>
            <c:strRef>
              <c:f>'반디CP+NZ'!$F$61</c:f>
              <c:strCache>
                <c:ptCount val="1"/>
                <c:pt idx="0">
                  <c:v>Electricity(LOWF)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'반디CP+NZ'!$G$57:$N$57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'반디CP+NZ'!$G$61:$N$61</c:f>
              <c:numCache>
                <c:formatCode>General</c:formatCode>
                <c:ptCount val="8"/>
                <c:pt idx="0">
                  <c:v>0</c:v>
                </c:pt>
                <c:pt idx="1">
                  <c:v>1.5947050000000001E-2</c:v>
                </c:pt>
                <c:pt idx="2">
                  <c:v>2.9682300000000002E-2</c:v>
                </c:pt>
                <c:pt idx="3">
                  <c:v>4.6207159999999997E-2</c:v>
                </c:pt>
                <c:pt idx="4">
                  <c:v>5.5297280999999997E-2</c:v>
                </c:pt>
                <c:pt idx="5">
                  <c:v>5.9745826000000002E-2</c:v>
                </c:pt>
                <c:pt idx="6">
                  <c:v>6.4403415999999991E-2</c:v>
                </c:pt>
                <c:pt idx="7">
                  <c:v>6.9533625000000002E-2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B8-490D-BE29-53ADA05413EF}"/>
            </c:ext>
          </c:extLst>
        </c:ser>
        <c:ser>
          <c:idx val="4"/>
          <c:order val="4"/>
          <c:tx>
            <c:strRef>
              <c:f>'반디CP+NZ'!$F$62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'반디CP+NZ'!$G$57:$N$57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'반디CP+NZ'!$G$62:$N$62</c:f>
              <c:numCache>
                <c:formatCode>General</c:formatCode>
                <c:ptCount val="8"/>
                <c:pt idx="0">
                  <c:v>2.3541599999999999E-2</c:v>
                </c:pt>
                <c:pt idx="1">
                  <c:v>3.1896437E-2</c:v>
                </c:pt>
                <c:pt idx="2">
                  <c:v>3.5383703999999995E-2</c:v>
                </c:pt>
                <c:pt idx="3">
                  <c:v>4.0404233999999997E-2</c:v>
                </c:pt>
                <c:pt idx="4">
                  <c:v>4.3829833499999984E-2</c:v>
                </c:pt>
                <c:pt idx="5">
                  <c:v>4.8099514099999977E-2</c:v>
                </c:pt>
                <c:pt idx="6">
                  <c:v>5.2604017999999995E-2</c:v>
                </c:pt>
                <c:pt idx="7">
                  <c:v>5.7502265999999996E-2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B8-490D-BE29-53ADA0541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9675600"/>
        <c:axId val="2130294160"/>
      </c:barChart>
      <c:catAx>
        <c:axId val="189967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0294160"/>
        <c:crosses val="autoZero"/>
        <c:auto val="1"/>
        <c:lblAlgn val="ctr"/>
        <c:lblOffset val="100"/>
        <c:noMultiLvlLbl val="0"/>
      </c:catAx>
      <c:valAx>
        <c:axId val="21302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967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시멘트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시멘트!$AJ$65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시멘트!$AK$65:$AR$65</c:f>
              <c:numCache>
                <c:formatCode>0.0000000_ 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1FAB-4724-AB2D-82954844D12B}"/>
            </c:ext>
          </c:extLst>
        </c:ser>
        <c:ser>
          <c:idx val="7"/>
          <c:order val="1"/>
          <c:tx>
            <c:strRef>
              <c:f>시멘트!$AJ$64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시멘트!$AK$64:$AR$64</c:f>
              <c:numCache>
                <c:formatCode>0.000_ </c:formatCode>
                <c:ptCount val="8"/>
                <c:pt idx="0">
                  <c:v>2.1070200000000001E-2</c:v>
                </c:pt>
                <c:pt idx="1">
                  <c:v>1.2224250000000001E-2</c:v>
                </c:pt>
                <c:pt idx="2">
                  <c:v>9.5929339999999991E-3</c:v>
                </c:pt>
                <c:pt idx="3">
                  <c:v>8.3324920000000004E-3</c:v>
                </c:pt>
                <c:pt idx="4">
                  <c:v>8.1219380000000004E-3</c:v>
                </c:pt>
                <c:pt idx="5">
                  <c:v>9.1147309999999992E-3</c:v>
                </c:pt>
                <c:pt idx="6">
                  <c:v>8.9483449999999999E-3</c:v>
                </c:pt>
                <c:pt idx="7">
                  <c:v>7.6895179999999898E-3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AB-4724-AB2D-82954844D12B}"/>
            </c:ext>
          </c:extLst>
        </c:ser>
        <c:ser>
          <c:idx val="6"/>
          <c:order val="2"/>
          <c:tx>
            <c:strRef>
              <c:f>시멘트!$AJ$63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시멘트!$AK$63:$AR$63</c:f>
              <c:numCache>
                <c:formatCode>0.000_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AB-4724-AB2D-82954844D12B}"/>
            </c:ext>
          </c:extLst>
        </c:ser>
        <c:ser>
          <c:idx val="5"/>
          <c:order val="3"/>
          <c:tx>
            <c:strRef>
              <c:f>시멘트!$AJ$62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시멘트!$AK$62:$AR$62</c:f>
              <c:numCache>
                <c:formatCode>0.000_ </c:formatCode>
                <c:ptCount val="8"/>
                <c:pt idx="0">
                  <c:v>0.114653</c:v>
                </c:pt>
                <c:pt idx="1">
                  <c:v>0.12808169999999999</c:v>
                </c:pt>
                <c:pt idx="2">
                  <c:v>0.12534408</c:v>
                </c:pt>
                <c:pt idx="3">
                  <c:v>0.105756499999999</c:v>
                </c:pt>
                <c:pt idx="4">
                  <c:v>6.8351079999999995E-2</c:v>
                </c:pt>
                <c:pt idx="5">
                  <c:v>3.8392179999999998E-2</c:v>
                </c:pt>
                <c:pt idx="6">
                  <c:v>2.2441860000000001E-2</c:v>
                </c:pt>
                <c:pt idx="7">
                  <c:v>1.28099529999999E-2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AB-4724-AB2D-82954844D12B}"/>
            </c:ext>
          </c:extLst>
        </c:ser>
        <c:ser>
          <c:idx val="4"/>
          <c:order val="4"/>
          <c:tx>
            <c:strRef>
              <c:f>시멘트!$AJ$61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시멘트!$AK$61:$AR$61</c:f>
              <c:numCache>
                <c:formatCode>0.000_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AB-4724-AB2D-82954844D12B}"/>
            </c:ext>
          </c:extLst>
        </c:ser>
        <c:ser>
          <c:idx val="3"/>
          <c:order val="5"/>
          <c:tx>
            <c:strRef>
              <c:f>시멘트!$AJ$60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시멘트!$AK$60:$AR$60</c:f>
              <c:numCache>
                <c:formatCode>0.000_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AB-4724-AB2D-82954844D12B}"/>
            </c:ext>
          </c:extLst>
        </c:ser>
        <c:ser>
          <c:idx val="2"/>
          <c:order val="6"/>
          <c:tx>
            <c:strRef>
              <c:f>시멘트!$AJ$59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시멘트!$AK$59:$AR$59</c:f>
              <c:numCache>
                <c:formatCode>0.000_ </c:formatCode>
                <c:ptCount val="8"/>
                <c:pt idx="0">
                  <c:v>3.9861500000000001E-2</c:v>
                </c:pt>
                <c:pt idx="1">
                  <c:v>4.2715490000000002E-2</c:v>
                </c:pt>
                <c:pt idx="2">
                  <c:v>5.2146229999999898E-2</c:v>
                </c:pt>
                <c:pt idx="3">
                  <c:v>5.3978180000000001E-2</c:v>
                </c:pt>
                <c:pt idx="4">
                  <c:v>7.0393449999999996E-2</c:v>
                </c:pt>
                <c:pt idx="5">
                  <c:v>8.8953599999999994E-2</c:v>
                </c:pt>
                <c:pt idx="6">
                  <c:v>9.6653868000000004E-2</c:v>
                </c:pt>
                <c:pt idx="7">
                  <c:v>8.4369735000000001E-2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AB-4724-AB2D-82954844D12B}"/>
            </c:ext>
          </c:extLst>
        </c:ser>
        <c:ser>
          <c:idx val="1"/>
          <c:order val="7"/>
          <c:tx>
            <c:strRef>
              <c:f>시멘트!$AJ$58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시멘트!$AK$58:$AR$58</c:f>
              <c:numCache>
                <c:formatCode>0.000_ </c:formatCode>
                <c:ptCount val="8"/>
                <c:pt idx="0">
                  <c:v>1.9656400000000001E-2</c:v>
                </c:pt>
                <c:pt idx="1">
                  <c:v>2.0393651999999901E-2</c:v>
                </c:pt>
                <c:pt idx="2">
                  <c:v>2.071320598E-2</c:v>
                </c:pt>
                <c:pt idx="3">
                  <c:v>1.8572186180000002E-2</c:v>
                </c:pt>
                <c:pt idx="4">
                  <c:v>1.6306496770000001E-2</c:v>
                </c:pt>
                <c:pt idx="5">
                  <c:v>1.6102081970000001E-2</c:v>
                </c:pt>
                <c:pt idx="6">
                  <c:v>1.6023501339999999E-2</c:v>
                </c:pt>
                <c:pt idx="7">
                  <c:v>1.4228293517E-2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AB-4724-AB2D-82954844D12B}"/>
            </c:ext>
          </c:extLst>
        </c:ser>
        <c:ser>
          <c:idx val="0"/>
          <c:order val="8"/>
          <c:tx>
            <c:strRef>
              <c:f>시멘트!$AJ$57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시멘트!$AK$56:$AR$56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시멘트!$AK$57:$AR$57</c:f>
              <c:numCache>
                <c:formatCode>0.000_ </c:formatCode>
                <c:ptCount val="8"/>
                <c:pt idx="0">
                  <c:v>0</c:v>
                </c:pt>
                <c:pt idx="1">
                  <c:v>7.0510899999999996E-7</c:v>
                </c:pt>
                <c:pt idx="2">
                  <c:v>2.9655619999999998E-6</c:v>
                </c:pt>
                <c:pt idx="3">
                  <c:v>4.9195790000000004E-6</c:v>
                </c:pt>
                <c:pt idx="4">
                  <c:v>4.3048944999999997E-5</c:v>
                </c:pt>
                <c:pt idx="5">
                  <c:v>2.41186387E-4</c:v>
                </c:pt>
                <c:pt idx="6">
                  <c:v>7.7785399999999905E-4</c:v>
                </c:pt>
                <c:pt idx="7">
                  <c:v>3.3743306703999999E-3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B-4724-AB2D-82954844D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7916224"/>
        <c:axId val="1965716160"/>
      </c:barChart>
      <c:catAx>
        <c:axId val="4879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716160"/>
        <c:crosses val="autoZero"/>
        <c:auto val="1"/>
        <c:lblAlgn val="ctr"/>
        <c:lblOffset val="100"/>
        <c:noMultiLvlLbl val="0"/>
      </c:catAx>
      <c:valAx>
        <c:axId val="19657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79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시멘트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시멘트!$Q$65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시멘트!$R$65:$Y$65</c:f>
              <c:numCache>
                <c:formatCode>0.0000000_ 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33FA-492A-B92C-FDF876BF4796}"/>
            </c:ext>
          </c:extLst>
        </c:ser>
        <c:ser>
          <c:idx val="7"/>
          <c:order val="1"/>
          <c:tx>
            <c:strRef>
              <c:f>시멘트!$Q$64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시멘트!$R$64:$Y$64</c:f>
              <c:numCache>
                <c:formatCode>0.000000_ </c:formatCode>
                <c:ptCount val="8"/>
                <c:pt idx="0">
                  <c:v>2.1070200000000001E-2</c:v>
                </c:pt>
                <c:pt idx="1">
                  <c:v>1.24918799999999E-2</c:v>
                </c:pt>
                <c:pt idx="2">
                  <c:v>4.1522449999999997E-3</c:v>
                </c:pt>
                <c:pt idx="3">
                  <c:v>3.8133020000000002E-3</c:v>
                </c:pt>
                <c:pt idx="4">
                  <c:v>3.54558E-3</c:v>
                </c:pt>
                <c:pt idx="5">
                  <c:v>2.8582690000000001E-3</c:v>
                </c:pt>
                <c:pt idx="6">
                  <c:v>2.2705734999999999E-3</c:v>
                </c:pt>
                <c:pt idx="7">
                  <c:v>2.2865235000000001E-3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FA-492A-B92C-FDF876BF4796}"/>
            </c:ext>
          </c:extLst>
        </c:ser>
        <c:ser>
          <c:idx val="6"/>
          <c:order val="2"/>
          <c:tx>
            <c:strRef>
              <c:f>시멘트!$Q$63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시멘트!$R$63:$Y$63</c:f>
              <c:numCache>
                <c:formatCode>0.000000_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FA-492A-B92C-FDF876BF4796}"/>
            </c:ext>
          </c:extLst>
        </c:ser>
        <c:ser>
          <c:idx val="5"/>
          <c:order val="3"/>
          <c:tx>
            <c:strRef>
              <c:f>시멘트!$Q$62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시멘트!$R$62:$Y$62</c:f>
              <c:numCache>
                <c:formatCode>0.000000_ </c:formatCode>
                <c:ptCount val="8"/>
                <c:pt idx="0">
                  <c:v>0.114653</c:v>
                </c:pt>
                <c:pt idx="1">
                  <c:v>0.12767510000000001</c:v>
                </c:pt>
                <c:pt idx="2">
                  <c:v>0.16172510000000001</c:v>
                </c:pt>
                <c:pt idx="3">
                  <c:v>0.17174709999999899</c:v>
                </c:pt>
                <c:pt idx="4">
                  <c:v>0.17839740000000001</c:v>
                </c:pt>
                <c:pt idx="5">
                  <c:v>0.18304139</c:v>
                </c:pt>
                <c:pt idx="6">
                  <c:v>0.18492159999999999</c:v>
                </c:pt>
                <c:pt idx="7">
                  <c:v>0.180821379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FA-492A-B92C-FDF876BF4796}"/>
            </c:ext>
          </c:extLst>
        </c:ser>
        <c:ser>
          <c:idx val="4"/>
          <c:order val="4"/>
          <c:tx>
            <c:strRef>
              <c:f>시멘트!$Q$61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시멘트!$R$61:$Y$61</c:f>
              <c:numCache>
                <c:formatCode>0.000000_ 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4-33FA-492A-B92C-FDF876BF4796}"/>
            </c:ext>
          </c:extLst>
        </c:ser>
        <c:ser>
          <c:idx val="3"/>
          <c:order val="5"/>
          <c:tx>
            <c:strRef>
              <c:f>시멘트!$Q$60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시멘트!$R$60:$Y$60</c:f>
              <c:numCache>
                <c:formatCode>0.000000_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FA-492A-B92C-FDF876BF4796}"/>
            </c:ext>
          </c:extLst>
        </c:ser>
        <c:ser>
          <c:idx val="2"/>
          <c:order val="6"/>
          <c:tx>
            <c:strRef>
              <c:f>시멘트!$Q$59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시멘트!$R$59:$Y$59</c:f>
              <c:numCache>
                <c:formatCode>0.000000_ </c:formatCode>
                <c:ptCount val="8"/>
                <c:pt idx="0">
                  <c:v>3.9861500000000001E-2</c:v>
                </c:pt>
                <c:pt idx="1">
                  <c:v>4.2869159999999899E-2</c:v>
                </c:pt>
                <c:pt idx="2">
                  <c:v>5.1275689999999999E-2</c:v>
                </c:pt>
                <c:pt idx="3">
                  <c:v>5.3626339999999897E-2</c:v>
                </c:pt>
                <c:pt idx="4">
                  <c:v>5.5506949999999999E-2</c:v>
                </c:pt>
                <c:pt idx="5">
                  <c:v>5.8140299999999999E-2</c:v>
                </c:pt>
                <c:pt idx="6">
                  <c:v>6.2524125E-2</c:v>
                </c:pt>
                <c:pt idx="7">
                  <c:v>7.1754316999999998E-2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A-492A-B92C-FDF876BF4796}"/>
            </c:ext>
          </c:extLst>
        </c:ser>
        <c:ser>
          <c:idx val="1"/>
          <c:order val="7"/>
          <c:tx>
            <c:strRef>
              <c:f>시멘트!$Q$58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시멘트!$R$58:$Y$58</c:f>
              <c:numCache>
                <c:formatCode>0.000000_ </c:formatCode>
                <c:ptCount val="8"/>
                <c:pt idx="0">
                  <c:v>1.9656400000000001E-2</c:v>
                </c:pt>
                <c:pt idx="1">
                  <c:v>2.0393643999999999E-2</c:v>
                </c:pt>
                <c:pt idx="2">
                  <c:v>2.3707763999999999E-2</c:v>
                </c:pt>
                <c:pt idx="3">
                  <c:v>2.4571488999999998E-2</c:v>
                </c:pt>
                <c:pt idx="4">
                  <c:v>2.4714197E-2</c:v>
                </c:pt>
                <c:pt idx="5">
                  <c:v>2.4835144999999999E-2</c:v>
                </c:pt>
                <c:pt idx="6">
                  <c:v>2.5378276000000002E-2</c:v>
                </c:pt>
                <c:pt idx="7">
                  <c:v>2.6144399200000001E-2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A-492A-B92C-FDF876BF4796}"/>
            </c:ext>
          </c:extLst>
        </c:ser>
        <c:ser>
          <c:idx val="0"/>
          <c:order val="8"/>
          <c:tx>
            <c:strRef>
              <c:f>시멘트!$Q$57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시멘트!$R$56:$Y$56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시멘트!$R$57:$Y$57</c:f>
              <c:numCache>
                <c:formatCode>0.000000_ </c:formatCode>
                <c:ptCount val="8"/>
                <c:pt idx="0">
                  <c:v>0</c:v>
                </c:pt>
                <c:pt idx="1">
                  <c:v>7.03035E-7</c:v>
                </c:pt>
                <c:pt idx="2">
                  <c:v>4.9889570999999998E-6</c:v>
                </c:pt>
                <c:pt idx="3">
                  <c:v>7.6182841999999998E-6</c:v>
                </c:pt>
                <c:pt idx="4">
                  <c:v>2.39234179E-5</c:v>
                </c:pt>
                <c:pt idx="5">
                  <c:v>4.1730794099999999E-5</c:v>
                </c:pt>
                <c:pt idx="6">
                  <c:v>6.5954360199999994E-5</c:v>
                </c:pt>
                <c:pt idx="7">
                  <c:v>1.4197163123000001E-4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A-492A-B92C-FDF876BF4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83588655"/>
        <c:axId val="1893346447"/>
      </c:barChart>
      <c:catAx>
        <c:axId val="8358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3346447"/>
        <c:crosses val="autoZero"/>
        <c:auto val="1"/>
        <c:lblAlgn val="ctr"/>
        <c:lblOffset val="100"/>
        <c:noMultiLvlLbl val="0"/>
      </c:catAx>
      <c:valAx>
        <c:axId val="189334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3588655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기타산업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'기타산업 (2)'!$Q$65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(2)'!$R$65:$Y$65</c:f>
              <c:numCache>
                <c:formatCode>0.0000000_ </c:formatCode>
                <c:ptCount val="8"/>
                <c:pt idx="0">
                  <c:v>7.8655000000000003E-2</c:v>
                </c:pt>
                <c:pt idx="1">
                  <c:v>8.6459099999999997E-2</c:v>
                </c:pt>
                <c:pt idx="2">
                  <c:v>9.5902600000000005E-2</c:v>
                </c:pt>
                <c:pt idx="3">
                  <c:v>0.1074639</c:v>
                </c:pt>
                <c:pt idx="4">
                  <c:v>0.1338278</c:v>
                </c:pt>
                <c:pt idx="5">
                  <c:v>0.16720989999999999</c:v>
                </c:pt>
                <c:pt idx="6">
                  <c:v>0.1872096</c:v>
                </c:pt>
                <c:pt idx="7">
                  <c:v>0.20158219999999999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274-4C74-B9C7-4E0470BF70AF}"/>
            </c:ext>
          </c:extLst>
        </c:ser>
        <c:ser>
          <c:idx val="7"/>
          <c:order val="1"/>
          <c:tx>
            <c:strRef>
              <c:f>'기타산업 (2)'!$Q$64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(2)'!$R$64:$Y$64</c:f>
              <c:numCache>
                <c:formatCode>0.0000000_ </c:formatCode>
                <c:ptCount val="8"/>
                <c:pt idx="0">
                  <c:v>0.23098699999999997</c:v>
                </c:pt>
                <c:pt idx="1">
                  <c:v>0.24206888799999987</c:v>
                </c:pt>
                <c:pt idx="2">
                  <c:v>0.25335751700000003</c:v>
                </c:pt>
                <c:pt idx="3">
                  <c:v>0.25122558299999903</c:v>
                </c:pt>
                <c:pt idx="4">
                  <c:v>0.23452780740000001</c:v>
                </c:pt>
                <c:pt idx="5">
                  <c:v>0.21108756399999998</c:v>
                </c:pt>
                <c:pt idx="6">
                  <c:v>0.18738228700000001</c:v>
                </c:pt>
                <c:pt idx="7">
                  <c:v>0.16503985500000001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274-4C74-B9C7-4E0470BF70AF}"/>
            </c:ext>
          </c:extLst>
        </c:ser>
        <c:ser>
          <c:idx val="6"/>
          <c:order val="2"/>
          <c:tx>
            <c:strRef>
              <c:f>'기타산업 (2)'!$Q$63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(2)'!$R$63:$Y$63</c:f>
              <c:numCache>
                <c:formatCode>0.0000000_ 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74-4C74-B9C7-4E0470BF70AF}"/>
            </c:ext>
          </c:extLst>
        </c:ser>
        <c:ser>
          <c:idx val="5"/>
          <c:order val="3"/>
          <c:tx>
            <c:strRef>
              <c:f>'기타산업 (2)'!$Q$62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(2)'!$R$62:$Y$62</c:f>
              <c:numCache>
                <c:formatCode>0.0000000_ </c:formatCode>
                <c:ptCount val="8"/>
                <c:pt idx="0">
                  <c:v>0.31868060000000004</c:v>
                </c:pt>
                <c:pt idx="1">
                  <c:v>0.33914468999999986</c:v>
                </c:pt>
                <c:pt idx="2">
                  <c:v>0.36365533999999999</c:v>
                </c:pt>
                <c:pt idx="3">
                  <c:v>0.37803881</c:v>
                </c:pt>
                <c:pt idx="4">
                  <c:v>0.36581582299999998</c:v>
                </c:pt>
                <c:pt idx="5">
                  <c:v>0.35620432900000004</c:v>
                </c:pt>
                <c:pt idx="6">
                  <c:v>0.33835281499999986</c:v>
                </c:pt>
                <c:pt idx="7">
                  <c:v>0.31587525599999899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74-4C74-B9C7-4E0470BF70AF}"/>
            </c:ext>
          </c:extLst>
        </c:ser>
        <c:ser>
          <c:idx val="4"/>
          <c:order val="4"/>
          <c:tx>
            <c:strRef>
              <c:f>'기타산업 (2)'!$Q$61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(2)'!$R$61:$Y$61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4-3274-4C74-B9C7-4E0470BF70AF}"/>
            </c:ext>
          </c:extLst>
        </c:ser>
        <c:ser>
          <c:idx val="3"/>
          <c:order val="5"/>
          <c:tx>
            <c:strRef>
              <c:f>'기타산업 (2)'!$Q$60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(2)'!$R$60:$Y$60</c:f>
              <c:numCache>
                <c:formatCode>0.000_ </c:formatCode>
                <c:ptCount val="8"/>
                <c:pt idx="0">
                  <c:v>0.209188019</c:v>
                </c:pt>
                <c:pt idx="1">
                  <c:v>0.22277062109999998</c:v>
                </c:pt>
                <c:pt idx="2">
                  <c:v>0.2352683314999999</c:v>
                </c:pt>
                <c:pt idx="3">
                  <c:v>0.23583214137</c:v>
                </c:pt>
                <c:pt idx="4">
                  <c:v>0.21265791783999999</c:v>
                </c:pt>
                <c:pt idx="5">
                  <c:v>0.1715860377</c:v>
                </c:pt>
                <c:pt idx="6">
                  <c:v>0.14066358549999997</c:v>
                </c:pt>
                <c:pt idx="7">
                  <c:v>0.11435319568999991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4-4C74-B9C7-4E0470BF70AF}"/>
            </c:ext>
          </c:extLst>
        </c:ser>
        <c:ser>
          <c:idx val="2"/>
          <c:order val="6"/>
          <c:tx>
            <c:strRef>
              <c:f>'기타산업 (2)'!$Q$59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(2)'!$R$59:$Y$59</c:f>
              <c:numCache>
                <c:formatCode>0.000_ </c:formatCode>
                <c:ptCount val="8"/>
                <c:pt idx="0">
                  <c:v>0.1134222</c:v>
                </c:pt>
                <c:pt idx="1">
                  <c:v>0.12302566799999996</c:v>
                </c:pt>
                <c:pt idx="2">
                  <c:v>0.135552543</c:v>
                </c:pt>
                <c:pt idx="3">
                  <c:v>0.14645124499999898</c:v>
                </c:pt>
                <c:pt idx="4">
                  <c:v>0.159293778</c:v>
                </c:pt>
                <c:pt idx="5">
                  <c:v>0.171311878</c:v>
                </c:pt>
                <c:pt idx="6">
                  <c:v>0.17382923299999989</c:v>
                </c:pt>
                <c:pt idx="7">
                  <c:v>0.17256785979999997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4-4C74-B9C7-4E0470BF70AF}"/>
            </c:ext>
          </c:extLst>
        </c:ser>
        <c:ser>
          <c:idx val="1"/>
          <c:order val="7"/>
          <c:tx>
            <c:strRef>
              <c:f>'기타산업 (2)'!$Q$58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(2)'!$R$58:$Y$58</c:f>
              <c:numCache>
                <c:formatCode>0.000_ </c:formatCode>
                <c:ptCount val="8"/>
                <c:pt idx="0">
                  <c:v>0.44748419</c:v>
                </c:pt>
                <c:pt idx="1">
                  <c:v>0.46017015699999997</c:v>
                </c:pt>
                <c:pt idx="2">
                  <c:v>0.48309099789999999</c:v>
                </c:pt>
                <c:pt idx="3">
                  <c:v>0.47631803370000003</c:v>
                </c:pt>
                <c:pt idx="4">
                  <c:v>0.46058392319999897</c:v>
                </c:pt>
                <c:pt idx="5">
                  <c:v>0.43542242939999998</c:v>
                </c:pt>
                <c:pt idx="6">
                  <c:v>0.42127438819999902</c:v>
                </c:pt>
                <c:pt idx="7">
                  <c:v>0.41794173029999987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4-4C74-B9C7-4E0470BF70AF}"/>
            </c:ext>
          </c:extLst>
        </c:ser>
        <c:ser>
          <c:idx val="0"/>
          <c:order val="8"/>
          <c:tx>
            <c:strRef>
              <c:f>'기타산업 (2)'!$Q$57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'기타산업 (2)'!$R$56:$Y$56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(2)'!$R$57:$Y$57</c:f>
              <c:numCache>
                <c:formatCode>0.000_ </c:formatCode>
                <c:ptCount val="8"/>
                <c:pt idx="0">
                  <c:v>0</c:v>
                </c:pt>
                <c:pt idx="1">
                  <c:v>6.4645223E-4</c:v>
                </c:pt>
                <c:pt idx="2">
                  <c:v>2.7461124999999991E-3</c:v>
                </c:pt>
                <c:pt idx="3">
                  <c:v>8.9111973200000014E-3</c:v>
                </c:pt>
                <c:pt idx="4">
                  <c:v>2.8196798987999989E-2</c:v>
                </c:pt>
                <c:pt idx="5">
                  <c:v>6.0017633989999992E-2</c:v>
                </c:pt>
                <c:pt idx="6">
                  <c:v>8.8675246220000004E-2</c:v>
                </c:pt>
                <c:pt idx="7">
                  <c:v>0.1190112347599999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4-4C74-B9C7-4E0470BF7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43709744"/>
        <c:axId val="2014142016"/>
      </c:barChart>
      <c:catAx>
        <c:axId val="164370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142016"/>
        <c:crosses val="autoZero"/>
        <c:auto val="1"/>
        <c:lblAlgn val="ctr"/>
        <c:lblOffset val="100"/>
        <c:noMultiLvlLbl val="0"/>
      </c:catAx>
      <c:valAx>
        <c:axId val="20141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37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기타산업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'기타산업 (2)'!$AJ$65</c:f>
              <c:strCache>
                <c:ptCount val="1"/>
                <c:pt idx="0">
                  <c:v>Oil feedstocks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(2)'!$AK$65:$AR$65</c:f>
              <c:numCache>
                <c:formatCode>0.0000000_ </c:formatCode>
                <c:ptCount val="8"/>
                <c:pt idx="0">
                  <c:v>3.2608900000000003E-2</c:v>
                </c:pt>
                <c:pt idx="1">
                  <c:v>8.2254899999999992E-2</c:v>
                </c:pt>
                <c:pt idx="2">
                  <c:v>8.5394400000000009E-2</c:v>
                </c:pt>
                <c:pt idx="3">
                  <c:v>7.8655000000000003E-2</c:v>
                </c:pt>
                <c:pt idx="4">
                  <c:v>8.6459099999999997E-2</c:v>
                </c:pt>
                <c:pt idx="5">
                  <c:v>9.5902799999999996E-2</c:v>
                </c:pt>
                <c:pt idx="6">
                  <c:v>0.1050797</c:v>
                </c:pt>
                <c:pt idx="7">
                  <c:v>0.12711440000000002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99-4461-9E83-D573A786383F}"/>
            </c:ext>
          </c:extLst>
        </c:ser>
        <c:ser>
          <c:idx val="7"/>
          <c:order val="1"/>
          <c:tx>
            <c:strRef>
              <c:f>'기타산업 (2)'!$AJ$64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(2)'!$AK$64:$AR$64</c:f>
              <c:numCache>
                <c:formatCode>0.0000000_ </c:formatCode>
                <c:ptCount val="8"/>
                <c:pt idx="0">
                  <c:v>0.27703309999999998</c:v>
                </c:pt>
                <c:pt idx="1">
                  <c:v>0.24609969100000004</c:v>
                </c:pt>
                <c:pt idx="2">
                  <c:v>0.26875677399999998</c:v>
                </c:pt>
                <c:pt idx="3">
                  <c:v>0.2818393079999999</c:v>
                </c:pt>
                <c:pt idx="4">
                  <c:v>0.27642174479999998</c:v>
                </c:pt>
                <c:pt idx="5">
                  <c:v>0.25773806599999999</c:v>
                </c:pt>
                <c:pt idx="6">
                  <c:v>0.22516827899999986</c:v>
                </c:pt>
                <c:pt idx="7">
                  <c:v>0.10681740369999998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99-4461-9E83-D573A786383F}"/>
            </c:ext>
          </c:extLst>
        </c:ser>
        <c:ser>
          <c:idx val="6"/>
          <c:order val="2"/>
          <c:tx>
            <c:strRef>
              <c:f>'기타산업 (2)'!$AJ$63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(2)'!$AK$63:$AR$63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99-4461-9E83-D573A786383F}"/>
            </c:ext>
          </c:extLst>
        </c:ser>
        <c:ser>
          <c:idx val="5"/>
          <c:order val="3"/>
          <c:tx>
            <c:strRef>
              <c:f>'기타산업 (2)'!$AJ$62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(2)'!$AK$62:$AR$62</c:f>
              <c:numCache>
                <c:formatCode>0.0000000_ </c:formatCode>
                <c:ptCount val="8"/>
                <c:pt idx="0">
                  <c:v>0.31868060000000004</c:v>
                </c:pt>
                <c:pt idx="1">
                  <c:v>0.33916015999999999</c:v>
                </c:pt>
                <c:pt idx="2">
                  <c:v>0.33916259999999998</c:v>
                </c:pt>
                <c:pt idx="3">
                  <c:v>0.30410707999999997</c:v>
                </c:pt>
                <c:pt idx="4">
                  <c:v>0.20767973199999901</c:v>
                </c:pt>
                <c:pt idx="5">
                  <c:v>0.1010578109999999</c:v>
                </c:pt>
                <c:pt idx="6">
                  <c:v>4.5563588000000002E-2</c:v>
                </c:pt>
                <c:pt idx="7">
                  <c:v>3.7947944999999999E-3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99-4461-9E83-D573A786383F}"/>
            </c:ext>
          </c:extLst>
        </c:ser>
        <c:ser>
          <c:idx val="4"/>
          <c:order val="4"/>
          <c:tx>
            <c:strRef>
              <c:f>'기타산업 (2)'!$AJ$61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(2)'!$AK$61:$AR$61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5.5648100000000003E-6</c:v>
                </c:pt>
                <c:pt idx="3">
                  <c:v>6.0751310000000003E-5</c:v>
                </c:pt>
                <c:pt idx="4">
                  <c:v>5.7699165000000001E-4</c:v>
                </c:pt>
                <c:pt idx="5">
                  <c:v>1.8523799799999999E-3</c:v>
                </c:pt>
                <c:pt idx="6">
                  <c:v>2.8353002399999902E-3</c:v>
                </c:pt>
                <c:pt idx="7">
                  <c:v>3.9918900300000004E-3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99-4461-9E83-D573A786383F}"/>
            </c:ext>
          </c:extLst>
        </c:ser>
        <c:ser>
          <c:idx val="3"/>
          <c:order val="5"/>
          <c:tx>
            <c:strRef>
              <c:f>'기타산업 (2)'!$AJ$60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(2)'!$AK$60:$AR$60</c:f>
              <c:numCache>
                <c:formatCode>0.000_ </c:formatCode>
                <c:ptCount val="8"/>
                <c:pt idx="0">
                  <c:v>0.209188019</c:v>
                </c:pt>
                <c:pt idx="1">
                  <c:v>0.22272795270000001</c:v>
                </c:pt>
                <c:pt idx="2">
                  <c:v>0.23872672620000002</c:v>
                </c:pt>
                <c:pt idx="3">
                  <c:v>0.23838240025999999</c:v>
                </c:pt>
                <c:pt idx="4">
                  <c:v>0.20929529023999999</c:v>
                </c:pt>
                <c:pt idx="5">
                  <c:v>0.15583894749999999</c:v>
                </c:pt>
                <c:pt idx="6">
                  <c:v>0.11569668324</c:v>
                </c:pt>
                <c:pt idx="7">
                  <c:v>6.763412466999999E-2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9-4461-9E83-D573A786383F}"/>
            </c:ext>
          </c:extLst>
        </c:ser>
        <c:ser>
          <c:idx val="2"/>
          <c:order val="6"/>
          <c:tx>
            <c:strRef>
              <c:f>'기타산업 (2)'!$AJ$59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(2)'!$AK$59:$AR$59</c:f>
              <c:numCache>
                <c:formatCode>0.000_ </c:formatCode>
                <c:ptCount val="8"/>
                <c:pt idx="0">
                  <c:v>0.1134222</c:v>
                </c:pt>
                <c:pt idx="1">
                  <c:v>0.12264120899999999</c:v>
                </c:pt>
                <c:pt idx="2">
                  <c:v>0.15280953500000002</c:v>
                </c:pt>
                <c:pt idx="3">
                  <c:v>0.18502126099999897</c:v>
                </c:pt>
                <c:pt idx="4">
                  <c:v>0.22234236800000001</c:v>
                </c:pt>
                <c:pt idx="5">
                  <c:v>0.217369333</c:v>
                </c:pt>
                <c:pt idx="6">
                  <c:v>0.18834181199999989</c:v>
                </c:pt>
                <c:pt idx="7">
                  <c:v>5.3896797069999884E-2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9-4461-9E83-D573A786383F}"/>
            </c:ext>
          </c:extLst>
        </c:ser>
        <c:ser>
          <c:idx val="1"/>
          <c:order val="7"/>
          <c:tx>
            <c:strRef>
              <c:f>'기타산업 (2)'!$AJ$58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(2)'!$AK$58:$AR$58</c:f>
              <c:numCache>
                <c:formatCode>0.000_ </c:formatCode>
                <c:ptCount val="8"/>
                <c:pt idx="0">
                  <c:v>0.44748419</c:v>
                </c:pt>
                <c:pt idx="1">
                  <c:v>0.46066485099999899</c:v>
                </c:pt>
                <c:pt idx="2">
                  <c:v>0.48020157869999996</c:v>
                </c:pt>
                <c:pt idx="3">
                  <c:v>0.47452024010000005</c:v>
                </c:pt>
                <c:pt idx="4">
                  <c:v>0.47507529579999991</c:v>
                </c:pt>
                <c:pt idx="5">
                  <c:v>0.50574934259999993</c:v>
                </c:pt>
                <c:pt idx="6">
                  <c:v>0.53805795769999998</c:v>
                </c:pt>
                <c:pt idx="7">
                  <c:v>0.66289309200000002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9-4461-9E83-D573A786383F}"/>
            </c:ext>
          </c:extLst>
        </c:ser>
        <c:ser>
          <c:idx val="0"/>
          <c:order val="8"/>
          <c:tx>
            <c:strRef>
              <c:f>'기타산업 (2)'!$AJ$57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'기타산업 (2)'!$AK$56:$AR$56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'기타산업 (2)'!$AK$57:$AR$57</c:f>
              <c:numCache>
                <c:formatCode>0.000_ </c:formatCode>
                <c:ptCount val="8"/>
                <c:pt idx="0">
                  <c:v>0</c:v>
                </c:pt>
                <c:pt idx="1">
                  <c:v>6.4267601000000008E-4</c:v>
                </c:pt>
                <c:pt idx="2">
                  <c:v>3.1501101799999991E-3</c:v>
                </c:pt>
                <c:pt idx="3">
                  <c:v>9.6912214699999884E-3</c:v>
                </c:pt>
                <c:pt idx="4">
                  <c:v>3.6616989871999996E-2</c:v>
                </c:pt>
                <c:pt idx="5">
                  <c:v>0.10879647160000001</c:v>
                </c:pt>
                <c:pt idx="6">
                  <c:v>0.19041144203999999</c:v>
                </c:pt>
                <c:pt idx="7">
                  <c:v>0.38763035809000002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9-4461-9E83-D573A7863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87916224"/>
        <c:axId val="1965716160"/>
      </c:barChart>
      <c:catAx>
        <c:axId val="4879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5716160"/>
        <c:crosses val="autoZero"/>
        <c:auto val="1"/>
        <c:lblAlgn val="ctr"/>
        <c:lblOffset val="100"/>
        <c:noMultiLvlLbl val="0"/>
      </c:catAx>
      <c:valAx>
        <c:axId val="196571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79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주택 건물부문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건물!$D$31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건물!$E$31:$L$31</c:f>
              <c:numCache>
                <c:formatCode>General</c:formatCode>
                <c:ptCount val="8"/>
                <c:pt idx="0">
                  <c:v>0.1287287</c:v>
                </c:pt>
                <c:pt idx="1">
                  <c:v>0.13968259999999999</c:v>
                </c:pt>
                <c:pt idx="2">
                  <c:v>0.14267940000000001</c:v>
                </c:pt>
                <c:pt idx="3">
                  <c:v>0.13730829</c:v>
                </c:pt>
                <c:pt idx="4">
                  <c:v>0.11812517</c:v>
                </c:pt>
                <c:pt idx="5">
                  <c:v>9.7317700000000007E-2</c:v>
                </c:pt>
                <c:pt idx="6">
                  <c:v>5.6213880000000001E-2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01-4FDE-B5F1-E011297796B2}"/>
            </c:ext>
          </c:extLst>
        </c:ser>
        <c:ser>
          <c:idx val="3"/>
          <c:order val="1"/>
          <c:tx>
            <c:strRef>
              <c:f>건물!$D$30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건물!$E$30:$L$30</c:f>
              <c:numCache>
                <c:formatCode>General</c:formatCode>
                <c:ptCount val="8"/>
                <c:pt idx="0">
                  <c:v>2.74183E-2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01-4FDE-B5F1-E011297796B2}"/>
            </c:ext>
          </c:extLst>
        </c:ser>
        <c:ser>
          <c:idx val="2"/>
          <c:order val="2"/>
          <c:tx>
            <c:strRef>
              <c:f>건물!$D$29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건물!$E$29:$L$29</c:f>
              <c:numCache>
                <c:formatCode>General</c:formatCode>
                <c:ptCount val="8"/>
                <c:pt idx="0">
                  <c:v>0.3427</c:v>
                </c:pt>
                <c:pt idx="1">
                  <c:v>0.28256100000000001</c:v>
                </c:pt>
                <c:pt idx="2">
                  <c:v>0.30981999999999998</c:v>
                </c:pt>
                <c:pt idx="3">
                  <c:v>0.33124799999999999</c:v>
                </c:pt>
                <c:pt idx="4">
                  <c:v>0.321718</c:v>
                </c:pt>
                <c:pt idx="5">
                  <c:v>0.2938962</c:v>
                </c:pt>
                <c:pt idx="6">
                  <c:v>0.25641380000000003</c:v>
                </c:pt>
                <c:pt idx="7">
                  <c:v>0.19816400000000001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01-4FDE-B5F1-E011297796B2}"/>
            </c:ext>
          </c:extLst>
        </c:ser>
        <c:ser>
          <c:idx val="1"/>
          <c:order val="3"/>
          <c:tx>
            <c:strRef>
              <c:f>건물!$D$28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건물!$E$28:$L$28</c:f>
              <c:numCache>
                <c:formatCode>General</c:formatCode>
                <c:ptCount val="8"/>
                <c:pt idx="0">
                  <c:v>1.12579E-2</c:v>
                </c:pt>
                <c:pt idx="1">
                  <c:v>3.0487500000000001E-2</c:v>
                </c:pt>
                <c:pt idx="2">
                  <c:v>3.2019209999999999E-2</c:v>
                </c:pt>
                <c:pt idx="3">
                  <c:v>3.5718439999999997E-2</c:v>
                </c:pt>
                <c:pt idx="4">
                  <c:v>3.8415930000000001E-2</c:v>
                </c:pt>
                <c:pt idx="5">
                  <c:v>4.2181529999999995E-2</c:v>
                </c:pt>
                <c:pt idx="6">
                  <c:v>4.3983120000000001E-2</c:v>
                </c:pt>
                <c:pt idx="7">
                  <c:v>4.7427950000000003E-2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1-4FDE-B5F1-E011297796B2}"/>
            </c:ext>
          </c:extLst>
        </c:ser>
        <c:ser>
          <c:idx val="0"/>
          <c:order val="4"/>
          <c:tx>
            <c:strRef>
              <c:f>건물!$D$27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건물!$E$27:$L$27</c:f>
              <c:numCache>
                <c:formatCode>General</c:formatCode>
                <c:ptCount val="8"/>
                <c:pt idx="0">
                  <c:v>0.22939500000000002</c:v>
                </c:pt>
                <c:pt idx="1">
                  <c:v>0.28849320000000001</c:v>
                </c:pt>
                <c:pt idx="2">
                  <c:v>0.34034740000000002</c:v>
                </c:pt>
                <c:pt idx="3">
                  <c:v>0.357377</c:v>
                </c:pt>
                <c:pt idx="4">
                  <c:v>0.40068189999999998</c:v>
                </c:pt>
                <c:pt idx="5">
                  <c:v>0.43609589999999998</c:v>
                </c:pt>
                <c:pt idx="6">
                  <c:v>0.47569679999999998</c:v>
                </c:pt>
                <c:pt idx="7">
                  <c:v>0.53819980000000001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1-4FDE-B5F1-E01129779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6823999"/>
        <c:axId val="154677855"/>
      </c:barChart>
      <c:catAx>
        <c:axId val="768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77855"/>
        <c:crosses val="autoZero"/>
        <c:auto val="1"/>
        <c:lblAlgn val="ctr"/>
        <c:lblOffset val="100"/>
        <c:noMultiLvlLbl val="0"/>
      </c:catAx>
      <c:valAx>
        <c:axId val="15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8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상업공공 건물부문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건물!$D$31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건물!$E$38:$L$38</c:f>
              <c:numCache>
                <c:formatCode>General</c:formatCode>
                <c:ptCount val="8"/>
                <c:pt idx="0">
                  <c:v>0.15497719999999998</c:v>
                </c:pt>
                <c:pt idx="1">
                  <c:v>0.12554280000000001</c:v>
                </c:pt>
                <c:pt idx="2">
                  <c:v>0.10717</c:v>
                </c:pt>
                <c:pt idx="3">
                  <c:v>9.0203199999999997E-2</c:v>
                </c:pt>
                <c:pt idx="4">
                  <c:v>6.5057699999999996E-2</c:v>
                </c:pt>
                <c:pt idx="5">
                  <c:v>4.4681800000000001E-2</c:v>
                </c:pt>
                <c:pt idx="6">
                  <c:v>2.1014379999999999E-2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4-4B45-BB29-12E3B51CEDED}"/>
            </c:ext>
          </c:extLst>
        </c:ser>
        <c:ser>
          <c:idx val="3"/>
          <c:order val="1"/>
          <c:tx>
            <c:strRef>
              <c:f>건물!$D$30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건물!$E$37:$L$37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24-4B45-BB29-12E3B51CEDED}"/>
            </c:ext>
          </c:extLst>
        </c:ser>
        <c:ser>
          <c:idx val="2"/>
          <c:order val="2"/>
          <c:tx>
            <c:strRef>
              <c:f>건물!$D$29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건물!$E$36:$L$36</c:f>
              <c:numCache>
                <c:formatCode>General</c:formatCode>
                <c:ptCount val="8"/>
                <c:pt idx="0">
                  <c:v>0.1572867</c:v>
                </c:pt>
                <c:pt idx="1">
                  <c:v>0.20561990000000002</c:v>
                </c:pt>
                <c:pt idx="2">
                  <c:v>0.2334832</c:v>
                </c:pt>
                <c:pt idx="3">
                  <c:v>0.25884390000000002</c:v>
                </c:pt>
                <c:pt idx="4">
                  <c:v>0.26663680000000001</c:v>
                </c:pt>
                <c:pt idx="5">
                  <c:v>0.26469255000000003</c:v>
                </c:pt>
                <c:pt idx="6">
                  <c:v>0.26191651999999999</c:v>
                </c:pt>
                <c:pt idx="7">
                  <c:v>0.25225898999999996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24-4B45-BB29-12E3B51CEDED}"/>
            </c:ext>
          </c:extLst>
        </c:ser>
        <c:ser>
          <c:idx val="1"/>
          <c:order val="3"/>
          <c:tx>
            <c:strRef>
              <c:f>건물!$D$28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건물!$E$35:$L$35</c:f>
              <c:numCache>
                <c:formatCode>General</c:formatCode>
                <c:ptCount val="8"/>
                <c:pt idx="0">
                  <c:v>5.8961699999999999E-2</c:v>
                </c:pt>
                <c:pt idx="1">
                  <c:v>8.5960840000000011E-2</c:v>
                </c:pt>
                <c:pt idx="2">
                  <c:v>8.335128E-2</c:v>
                </c:pt>
                <c:pt idx="3">
                  <c:v>8.3177669999999995E-2</c:v>
                </c:pt>
                <c:pt idx="4">
                  <c:v>7.949552E-2</c:v>
                </c:pt>
                <c:pt idx="5">
                  <c:v>7.709009E-2</c:v>
                </c:pt>
                <c:pt idx="6">
                  <c:v>6.7759040000000006E-2</c:v>
                </c:pt>
                <c:pt idx="7">
                  <c:v>5.9786679999999995E-2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24-4B45-BB29-12E3B51CEDED}"/>
            </c:ext>
          </c:extLst>
        </c:ser>
        <c:ser>
          <c:idx val="0"/>
          <c:order val="4"/>
          <c:tx>
            <c:strRef>
              <c:f>건물!$D$27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건물!$E$34:$L$34</c:f>
              <c:numCache>
                <c:formatCode>General</c:formatCode>
                <c:ptCount val="8"/>
                <c:pt idx="0">
                  <c:v>0.52534860000000005</c:v>
                </c:pt>
                <c:pt idx="1">
                  <c:v>0.54287940000000001</c:v>
                </c:pt>
                <c:pt idx="2">
                  <c:v>0.62278830000000007</c:v>
                </c:pt>
                <c:pt idx="3">
                  <c:v>0.64681310000000003</c:v>
                </c:pt>
                <c:pt idx="4">
                  <c:v>0.6845926</c:v>
                </c:pt>
                <c:pt idx="5">
                  <c:v>0.70010139999999998</c:v>
                </c:pt>
                <c:pt idx="6">
                  <c:v>0.69838539999999993</c:v>
                </c:pt>
                <c:pt idx="7">
                  <c:v>0.69486320000000001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24-4B45-BB29-12E3B51CE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6823999"/>
        <c:axId val="154677855"/>
      </c:barChart>
      <c:catAx>
        <c:axId val="768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77855"/>
        <c:crosses val="autoZero"/>
        <c:auto val="1"/>
        <c:lblAlgn val="ctr"/>
        <c:lblOffset val="100"/>
        <c:noMultiLvlLbl val="0"/>
      </c:catAx>
      <c:valAx>
        <c:axId val="15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8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주택 건물부문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건물!$V$31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건물!$W$31:$AD$31</c:f>
              <c:numCache>
                <c:formatCode>General</c:formatCode>
                <c:ptCount val="8"/>
                <c:pt idx="0">
                  <c:v>0.1287287</c:v>
                </c:pt>
                <c:pt idx="1">
                  <c:v>0.13918040000000001</c:v>
                </c:pt>
                <c:pt idx="2">
                  <c:v>0.12744563</c:v>
                </c:pt>
                <c:pt idx="3">
                  <c:v>0.11342838</c:v>
                </c:pt>
                <c:pt idx="4">
                  <c:v>8.6992649999999991E-2</c:v>
                </c:pt>
                <c:pt idx="5">
                  <c:v>5.1927469999999996E-2</c:v>
                </c:pt>
                <c:pt idx="6">
                  <c:v>1.833187E-2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F-4E74-A69C-783C2A8F306D}"/>
            </c:ext>
          </c:extLst>
        </c:ser>
        <c:ser>
          <c:idx val="3"/>
          <c:order val="1"/>
          <c:tx>
            <c:strRef>
              <c:f>건물!$V$30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건물!$W$30:$AD$30</c:f>
              <c:numCache>
                <c:formatCode>General</c:formatCode>
                <c:ptCount val="8"/>
                <c:pt idx="0">
                  <c:v>2.74183E-2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F-4E74-A69C-783C2A8F306D}"/>
            </c:ext>
          </c:extLst>
        </c:ser>
        <c:ser>
          <c:idx val="2"/>
          <c:order val="2"/>
          <c:tx>
            <c:strRef>
              <c:f>건물!$V$29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건물!$W$29:$AD$29</c:f>
              <c:numCache>
                <c:formatCode>General</c:formatCode>
                <c:ptCount val="8"/>
                <c:pt idx="0">
                  <c:v>0.3427</c:v>
                </c:pt>
                <c:pt idx="1">
                  <c:v>0.28173500000000001</c:v>
                </c:pt>
                <c:pt idx="2">
                  <c:v>0.28104200000000001</c:v>
                </c:pt>
                <c:pt idx="3">
                  <c:v>0.27386339999999998</c:v>
                </c:pt>
                <c:pt idx="4">
                  <c:v>0.2345872</c:v>
                </c:pt>
                <c:pt idx="5">
                  <c:v>0.16679680000000002</c:v>
                </c:pt>
                <c:pt idx="6">
                  <c:v>0.10028189999999999</c:v>
                </c:pt>
                <c:pt idx="7">
                  <c:v>2.01852E-2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F-4E74-A69C-783C2A8F306D}"/>
            </c:ext>
          </c:extLst>
        </c:ser>
        <c:ser>
          <c:idx val="1"/>
          <c:order val="3"/>
          <c:tx>
            <c:strRef>
              <c:f>건물!$V$28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건물!$W$28:$AD$28</c:f>
              <c:numCache>
                <c:formatCode>General</c:formatCode>
                <c:ptCount val="8"/>
                <c:pt idx="0">
                  <c:v>1.12579E-2</c:v>
                </c:pt>
                <c:pt idx="1">
                  <c:v>2.8932650000000001E-2</c:v>
                </c:pt>
                <c:pt idx="2">
                  <c:v>3.725879E-2</c:v>
                </c:pt>
                <c:pt idx="3">
                  <c:v>3.2082929999999996E-2</c:v>
                </c:pt>
                <c:pt idx="4">
                  <c:v>2.0438803000000002E-2</c:v>
                </c:pt>
                <c:pt idx="5">
                  <c:v>8.1046440000000011E-3</c:v>
                </c:pt>
                <c:pt idx="6">
                  <c:v>2.9657590000000001E-3</c:v>
                </c:pt>
                <c:pt idx="7">
                  <c:v>1.7341575000000002E-4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F-4E74-A69C-783C2A8F306D}"/>
            </c:ext>
          </c:extLst>
        </c:ser>
        <c:ser>
          <c:idx val="0"/>
          <c:order val="4"/>
          <c:tx>
            <c:strRef>
              <c:f>건물!$V$27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건물!$W$27:$AD$27</c:f>
              <c:numCache>
                <c:formatCode>General</c:formatCode>
                <c:ptCount val="8"/>
                <c:pt idx="0">
                  <c:v>0.22939500000000002</c:v>
                </c:pt>
                <c:pt idx="1">
                  <c:v>0.29045209999999999</c:v>
                </c:pt>
                <c:pt idx="2">
                  <c:v>0.29267140000000003</c:v>
                </c:pt>
                <c:pt idx="3">
                  <c:v>0.31449859999999996</c:v>
                </c:pt>
                <c:pt idx="4">
                  <c:v>0.35790519999999998</c:v>
                </c:pt>
                <c:pt idx="5">
                  <c:v>0.42954639999999999</c:v>
                </c:pt>
                <c:pt idx="6">
                  <c:v>0.49308489999999999</c:v>
                </c:pt>
                <c:pt idx="7">
                  <c:v>0.5590170000000001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F-4E74-A69C-783C2A8F3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6823999"/>
        <c:axId val="154677855"/>
      </c:barChart>
      <c:catAx>
        <c:axId val="768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77855"/>
        <c:crosses val="autoZero"/>
        <c:auto val="1"/>
        <c:lblAlgn val="ctr"/>
        <c:lblOffset val="100"/>
        <c:noMultiLvlLbl val="0"/>
      </c:catAx>
      <c:valAx>
        <c:axId val="15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8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상업공공 건물부문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0"/>
          <c:tx>
            <c:strRef>
              <c:f>건물!$V$38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건물!$W$38:$AD$38</c:f>
              <c:numCache>
                <c:formatCode>General</c:formatCode>
                <c:ptCount val="8"/>
                <c:pt idx="0">
                  <c:v>0.15497719999999998</c:v>
                </c:pt>
                <c:pt idx="1">
                  <c:v>0.1247916</c:v>
                </c:pt>
                <c:pt idx="2">
                  <c:v>9.6618099999999998E-2</c:v>
                </c:pt>
                <c:pt idx="3">
                  <c:v>7.3697600000000002E-2</c:v>
                </c:pt>
                <c:pt idx="4">
                  <c:v>4.7206699999999997E-2</c:v>
                </c:pt>
                <c:pt idx="5">
                  <c:v>2.4039399999999999E-2</c:v>
                </c:pt>
                <c:pt idx="6">
                  <c:v>7.8927100000000007E-3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3-469C-8FE0-2208BA0A5FB5}"/>
            </c:ext>
          </c:extLst>
        </c:ser>
        <c:ser>
          <c:idx val="3"/>
          <c:order val="1"/>
          <c:tx>
            <c:strRef>
              <c:f>건물!$V$37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건물!$W$37:$AD$37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3-469C-8FE0-2208BA0A5FB5}"/>
            </c:ext>
          </c:extLst>
        </c:ser>
        <c:ser>
          <c:idx val="2"/>
          <c:order val="2"/>
          <c:tx>
            <c:strRef>
              <c:f>건물!$V$36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건물!$W$36:$AD$36</c:f>
              <c:numCache>
                <c:formatCode>General</c:formatCode>
                <c:ptCount val="8"/>
                <c:pt idx="0">
                  <c:v>0.1572867</c:v>
                </c:pt>
                <c:pt idx="1">
                  <c:v>0.205757</c:v>
                </c:pt>
                <c:pt idx="2">
                  <c:v>0.21145570000000002</c:v>
                </c:pt>
                <c:pt idx="3">
                  <c:v>0.21899610000000003</c:v>
                </c:pt>
                <c:pt idx="4">
                  <c:v>0.20656094999999997</c:v>
                </c:pt>
                <c:pt idx="5">
                  <c:v>0.17088450999999999</c:v>
                </c:pt>
                <c:pt idx="6">
                  <c:v>0.12501412000000001</c:v>
                </c:pt>
                <c:pt idx="7">
                  <c:v>3.3377240000000002E-2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13-469C-8FE0-2208BA0A5FB5}"/>
            </c:ext>
          </c:extLst>
        </c:ser>
        <c:ser>
          <c:idx val="1"/>
          <c:order val="3"/>
          <c:tx>
            <c:strRef>
              <c:f>건물!$V$35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건물!$W$35:$AD$35</c:f>
              <c:numCache>
                <c:formatCode>General</c:formatCode>
                <c:ptCount val="8"/>
                <c:pt idx="0">
                  <c:v>5.8961699999999999E-2</c:v>
                </c:pt>
                <c:pt idx="1">
                  <c:v>8.1968369999999999E-2</c:v>
                </c:pt>
                <c:pt idx="2">
                  <c:v>9.6105009999999991E-2</c:v>
                </c:pt>
                <c:pt idx="3">
                  <c:v>7.6920740000000001E-2</c:v>
                </c:pt>
                <c:pt idx="4">
                  <c:v>4.647449E-2</c:v>
                </c:pt>
                <c:pt idx="5">
                  <c:v>1.8416699999999998E-2</c:v>
                </c:pt>
                <c:pt idx="6">
                  <c:v>7.0356920000000005E-3</c:v>
                </c:pt>
                <c:pt idx="7">
                  <c:v>5.6013880000000001E-4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13-469C-8FE0-2208BA0A5FB5}"/>
            </c:ext>
          </c:extLst>
        </c:ser>
        <c:ser>
          <c:idx val="0"/>
          <c:order val="4"/>
          <c:tx>
            <c:strRef>
              <c:f>건물!$V$34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건물!$E$26:$L$26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건물!$W$34:$AD$34</c:f>
              <c:numCache>
                <c:formatCode>General</c:formatCode>
                <c:ptCount val="8"/>
                <c:pt idx="0">
                  <c:v>0.52534860000000005</c:v>
                </c:pt>
                <c:pt idx="1">
                  <c:v>0.54530580000000006</c:v>
                </c:pt>
                <c:pt idx="2">
                  <c:v>0.55433290000000002</c:v>
                </c:pt>
                <c:pt idx="3">
                  <c:v>0.57803320000000002</c:v>
                </c:pt>
                <c:pt idx="4">
                  <c:v>0.61076610000000009</c:v>
                </c:pt>
                <c:pt idx="5">
                  <c:v>0.6574276</c:v>
                </c:pt>
                <c:pt idx="6">
                  <c:v>0.68877850000000007</c:v>
                </c:pt>
                <c:pt idx="7">
                  <c:v>0.7477568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13-469C-8FE0-2208BA0A5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6823999"/>
        <c:axId val="154677855"/>
      </c:barChart>
      <c:catAx>
        <c:axId val="7682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77855"/>
        <c:crosses val="autoZero"/>
        <c:auto val="1"/>
        <c:lblAlgn val="ctr"/>
        <c:lblOffset val="100"/>
        <c:noMultiLvlLbl val="0"/>
      </c:catAx>
      <c:valAx>
        <c:axId val="1546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82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여객수송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수송!$A$38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수송!$B$38:$I$38</c:f>
              <c:numCache>
                <c:formatCode>General</c:formatCode>
                <c:ptCount val="8"/>
                <c:pt idx="0">
                  <c:v>0.94257363999999999</c:v>
                </c:pt>
                <c:pt idx="1">
                  <c:v>0.94061739999999994</c:v>
                </c:pt>
                <c:pt idx="2">
                  <c:v>0.85625279999999993</c:v>
                </c:pt>
                <c:pt idx="3">
                  <c:v>0.70367007999999998</c:v>
                </c:pt>
                <c:pt idx="4">
                  <c:v>0.57239275000000001</c:v>
                </c:pt>
                <c:pt idx="5">
                  <c:v>0.46135159999999997</c:v>
                </c:pt>
                <c:pt idx="6">
                  <c:v>0.39951658999999906</c:v>
                </c:pt>
                <c:pt idx="7">
                  <c:v>0.35346125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CF-4CBA-A022-8171A59ABB1D}"/>
            </c:ext>
          </c:extLst>
        </c:ser>
        <c:ser>
          <c:idx val="4"/>
          <c:order val="1"/>
          <c:tx>
            <c:strRef>
              <c:f>수송!$A$37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수송!$B$37:$I$37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CF-4CBA-A022-8171A59ABB1D}"/>
            </c:ext>
          </c:extLst>
        </c:ser>
        <c:ser>
          <c:idx val="3"/>
          <c:order val="2"/>
          <c:tx>
            <c:strRef>
              <c:f>수송!$A$36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수송!$B$36:$I$36</c:f>
              <c:numCache>
                <c:formatCode>0.00E+00</c:formatCode>
                <c:ptCount val="8"/>
                <c:pt idx="0">
                  <c:v>4.8721894000000002E-2</c:v>
                </c:pt>
                <c:pt idx="1">
                  <c:v>6.5255037000000002E-2</c:v>
                </c:pt>
                <c:pt idx="2">
                  <c:v>7.1374290999999979E-2</c:v>
                </c:pt>
                <c:pt idx="3">
                  <c:v>7.1291685499999993E-2</c:v>
                </c:pt>
                <c:pt idx="4">
                  <c:v>6.9527243400000008E-2</c:v>
                </c:pt>
                <c:pt idx="5">
                  <c:v>7.1270921999999987E-2</c:v>
                </c:pt>
                <c:pt idx="6">
                  <c:v>7.2720452000000005E-2</c:v>
                </c:pt>
                <c:pt idx="7">
                  <c:v>7.4082465E-2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CF-4CBA-A022-8171A59ABB1D}"/>
            </c:ext>
          </c:extLst>
        </c:ser>
        <c:ser>
          <c:idx val="2"/>
          <c:order val="3"/>
          <c:tx>
            <c:strRef>
              <c:f>수송!$A$35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수송!$B$35:$I$35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CF-4CBA-A022-8171A59ABB1D}"/>
            </c:ext>
          </c:extLst>
        </c:ser>
        <c:ser>
          <c:idx val="1"/>
          <c:order val="4"/>
          <c:tx>
            <c:strRef>
              <c:f>수송!$A$34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수송!$B$34:$I$34</c:f>
              <c:numCache>
                <c:formatCode>General</c:formatCode>
                <c:ptCount val="8"/>
                <c:pt idx="0">
                  <c:v>5.2943599999999997E-3</c:v>
                </c:pt>
                <c:pt idx="1">
                  <c:v>8.1457330000000005E-3</c:v>
                </c:pt>
                <c:pt idx="2">
                  <c:v>2.4445254999999999E-2</c:v>
                </c:pt>
                <c:pt idx="3">
                  <c:v>3.9798181000000002E-2</c:v>
                </c:pt>
                <c:pt idx="4">
                  <c:v>5.1596353000000005E-2</c:v>
                </c:pt>
                <c:pt idx="5">
                  <c:v>5.7201816000000003E-2</c:v>
                </c:pt>
                <c:pt idx="6">
                  <c:v>5.8729497999999998E-2</c:v>
                </c:pt>
                <c:pt idx="7">
                  <c:v>5.8591815999999998E-2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F-4CBA-A022-8171A59ABB1D}"/>
            </c:ext>
          </c:extLst>
        </c:ser>
        <c:ser>
          <c:idx val="0"/>
          <c:order val="5"/>
          <c:tx>
            <c:strRef>
              <c:f>수송!$A$33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수송!$B$32:$I$32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수송!$B$33:$I$33</c:f>
              <c:numCache>
                <c:formatCode>General</c:formatCode>
                <c:ptCount val="8"/>
                <c:pt idx="0">
                  <c:v>0</c:v>
                </c:pt>
                <c:pt idx="1">
                  <c:v>3.6703400000000002E-4</c:v>
                </c:pt>
                <c:pt idx="2">
                  <c:v>4.4548616000000003E-3</c:v>
                </c:pt>
                <c:pt idx="3">
                  <c:v>1.271034209999999E-2</c:v>
                </c:pt>
                <c:pt idx="4">
                  <c:v>2.3221651599999997E-2</c:v>
                </c:pt>
                <c:pt idx="5">
                  <c:v>3.5860216100000002E-2</c:v>
                </c:pt>
                <c:pt idx="6">
                  <c:v>4.2752127999999903E-2</c:v>
                </c:pt>
                <c:pt idx="7">
                  <c:v>4.6860492000000004E-2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F-4CBA-A022-8171A59AB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545275583"/>
        <c:axId val="1549771151"/>
      </c:barChart>
      <c:catAx>
        <c:axId val="154527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9771151"/>
        <c:crosses val="autoZero"/>
        <c:auto val="1"/>
        <c:lblAlgn val="ctr"/>
        <c:lblOffset val="100"/>
        <c:noMultiLvlLbl val="0"/>
      </c:catAx>
      <c:valAx>
        <c:axId val="154977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527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화물수송 최종에너지 소비</a:t>
            </a:r>
            <a:r>
              <a:rPr lang="en-US" altLang="ko-KR"/>
              <a:t>_CurPol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수송!$A$47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수송!$B$47:$I$47</c:f>
              <c:numCache>
                <c:formatCode>General</c:formatCode>
                <c:ptCount val="8"/>
                <c:pt idx="0">
                  <c:v>0.38626579</c:v>
                </c:pt>
                <c:pt idx="1">
                  <c:v>0.41374314000000001</c:v>
                </c:pt>
                <c:pt idx="2">
                  <c:v>0.46049586999999997</c:v>
                </c:pt>
                <c:pt idx="3">
                  <c:v>0.46872094999999997</c:v>
                </c:pt>
                <c:pt idx="4">
                  <c:v>0.46730408000000001</c:v>
                </c:pt>
                <c:pt idx="5">
                  <c:v>0.45062764</c:v>
                </c:pt>
                <c:pt idx="6">
                  <c:v>0.41908352999999998</c:v>
                </c:pt>
                <c:pt idx="7">
                  <c:v>0.38858114999999999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89-48A6-9933-9D74C445A5F6}"/>
            </c:ext>
          </c:extLst>
        </c:ser>
        <c:ser>
          <c:idx val="4"/>
          <c:order val="1"/>
          <c:tx>
            <c:strRef>
              <c:f>수송!$A$46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수송!$B$46:$I$46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89-48A6-9933-9D74C445A5F6}"/>
            </c:ext>
          </c:extLst>
        </c:ser>
        <c:ser>
          <c:idx val="3"/>
          <c:order val="2"/>
          <c:tx>
            <c:strRef>
              <c:f>수송!$A$45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수송!$B$45:$I$45</c:f>
              <c:numCache>
                <c:formatCode>General</c:formatCode>
                <c:ptCount val="8"/>
                <c:pt idx="0">
                  <c:v>0</c:v>
                </c:pt>
                <c:pt idx="1">
                  <c:v>2.5966700000000001E-3</c:v>
                </c:pt>
                <c:pt idx="2">
                  <c:v>7.4723799999999998E-3</c:v>
                </c:pt>
                <c:pt idx="3">
                  <c:v>1.3971249999999999E-2</c:v>
                </c:pt>
                <c:pt idx="4">
                  <c:v>2.1754309999999999E-2</c:v>
                </c:pt>
                <c:pt idx="5">
                  <c:v>3.1753129999999997E-2</c:v>
                </c:pt>
                <c:pt idx="6">
                  <c:v>4.2754172E-2</c:v>
                </c:pt>
                <c:pt idx="7">
                  <c:v>5.8585805999999997E-2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89-48A6-9933-9D74C445A5F6}"/>
            </c:ext>
          </c:extLst>
        </c:ser>
        <c:ser>
          <c:idx val="2"/>
          <c:order val="3"/>
          <c:tx>
            <c:strRef>
              <c:f>수송!$A$44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수송!$B$44:$I$44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89-48A6-9933-9D74C445A5F6}"/>
            </c:ext>
          </c:extLst>
        </c:ser>
        <c:ser>
          <c:idx val="1"/>
          <c:order val="4"/>
          <c:tx>
            <c:strRef>
              <c:f>수송!$A$43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수송!$B$43:$I$43</c:f>
              <c:numCache>
                <c:formatCode>General</c:formatCode>
                <c:ptCount val="8"/>
                <c:pt idx="0">
                  <c:v>2.69206E-3</c:v>
                </c:pt>
                <c:pt idx="1">
                  <c:v>2.7277105499999999E-3</c:v>
                </c:pt>
                <c:pt idx="2">
                  <c:v>3.2999942100000001E-3</c:v>
                </c:pt>
                <c:pt idx="3">
                  <c:v>3.8684987300000003E-3</c:v>
                </c:pt>
                <c:pt idx="4">
                  <c:v>4.6839939699999996E-3</c:v>
                </c:pt>
                <c:pt idx="5">
                  <c:v>5.4081438799999998E-3</c:v>
                </c:pt>
                <c:pt idx="6">
                  <c:v>6.0256754799999993E-3</c:v>
                </c:pt>
                <c:pt idx="7">
                  <c:v>6.4754205170000001E-3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89-48A6-9933-9D74C445A5F6}"/>
            </c:ext>
          </c:extLst>
        </c:ser>
        <c:ser>
          <c:idx val="0"/>
          <c:order val="5"/>
          <c:tx>
            <c:strRef>
              <c:f>수송!$A$42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수송!$B$41:$I$41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수송!$B$42:$I$42</c:f>
              <c:numCache>
                <c:formatCode>General</c:formatCode>
                <c:ptCount val="8"/>
                <c:pt idx="0">
                  <c:v>0</c:v>
                </c:pt>
                <c:pt idx="1">
                  <c:v>6.0831999999999996E-6</c:v>
                </c:pt>
                <c:pt idx="2">
                  <c:v>9.310427E-5</c:v>
                </c:pt>
                <c:pt idx="3">
                  <c:v>3.2003070999999999E-4</c:v>
                </c:pt>
                <c:pt idx="4">
                  <c:v>8.7587954999999995E-4</c:v>
                </c:pt>
                <c:pt idx="5">
                  <c:v>1.808469E-3</c:v>
                </c:pt>
                <c:pt idx="6">
                  <c:v>2.67507865E-3</c:v>
                </c:pt>
                <c:pt idx="7">
                  <c:v>3.3398381800000001E-3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9-48A6-9933-9D74C445A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0645775"/>
        <c:axId val="154689087"/>
      </c:barChart>
      <c:catAx>
        <c:axId val="1906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89087"/>
        <c:crosses val="autoZero"/>
        <c:auto val="1"/>
        <c:lblAlgn val="ctr"/>
        <c:lblOffset val="100"/>
        <c:noMultiLvlLbl val="0"/>
      </c:catAx>
      <c:valAx>
        <c:axId val="15468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여객수송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수송!$U$38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수송!$V$38:$AC$38</c:f>
              <c:numCache>
                <c:formatCode>General</c:formatCode>
                <c:ptCount val="8"/>
                <c:pt idx="0">
                  <c:v>0.94257363999999999</c:v>
                </c:pt>
                <c:pt idx="1">
                  <c:v>0.93386723999999999</c:v>
                </c:pt>
                <c:pt idx="2">
                  <c:v>0.78775978000000002</c:v>
                </c:pt>
                <c:pt idx="3">
                  <c:v>0.57625992000000004</c:v>
                </c:pt>
                <c:pt idx="4">
                  <c:v>0.39683476000000001</c:v>
                </c:pt>
                <c:pt idx="5">
                  <c:v>0.253501527</c:v>
                </c:pt>
                <c:pt idx="6">
                  <c:v>0.18194188</c:v>
                </c:pt>
                <c:pt idx="7">
                  <c:v>0.1152970779999999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9A-4262-8E01-2E66089AD590}"/>
            </c:ext>
          </c:extLst>
        </c:ser>
        <c:ser>
          <c:idx val="4"/>
          <c:order val="1"/>
          <c:tx>
            <c:strRef>
              <c:f>수송!$U$37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수송!$V$37:$AC$37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9A-4262-8E01-2E66089AD590}"/>
            </c:ext>
          </c:extLst>
        </c:ser>
        <c:ser>
          <c:idx val="3"/>
          <c:order val="2"/>
          <c:tx>
            <c:strRef>
              <c:f>수송!$U$36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수송!$V$36:$AC$36</c:f>
              <c:numCache>
                <c:formatCode>0.00E+00</c:formatCode>
                <c:ptCount val="8"/>
                <c:pt idx="0">
                  <c:v>4.8721894000000002E-2</c:v>
                </c:pt>
                <c:pt idx="1">
                  <c:v>6.4778887000000007E-2</c:v>
                </c:pt>
                <c:pt idx="2">
                  <c:v>6.6860151000000007E-2</c:v>
                </c:pt>
                <c:pt idx="3">
                  <c:v>6.15515435E-2</c:v>
                </c:pt>
                <c:pt idx="4">
                  <c:v>5.4384034400000003E-2</c:v>
                </c:pt>
                <c:pt idx="5">
                  <c:v>5.1348248999999999E-2</c:v>
                </c:pt>
                <c:pt idx="6">
                  <c:v>4.8122469000000001E-2</c:v>
                </c:pt>
                <c:pt idx="7">
                  <c:v>4.0745315099999992E-2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9A-4262-8E01-2E66089AD590}"/>
            </c:ext>
          </c:extLst>
        </c:ser>
        <c:ser>
          <c:idx val="2"/>
          <c:order val="3"/>
          <c:tx>
            <c:strRef>
              <c:f>수송!$U$35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수송!$V$35:$AC$35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9A-4262-8E01-2E66089AD590}"/>
            </c:ext>
          </c:extLst>
        </c:ser>
        <c:ser>
          <c:idx val="1"/>
          <c:order val="4"/>
          <c:tx>
            <c:strRef>
              <c:f>수송!$U$34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수송!$V$34:$AC$34</c:f>
              <c:numCache>
                <c:formatCode>General</c:formatCode>
                <c:ptCount val="8"/>
                <c:pt idx="0">
                  <c:v>5.2943599999999997E-3</c:v>
                </c:pt>
                <c:pt idx="1">
                  <c:v>9.5823100000000001E-3</c:v>
                </c:pt>
                <c:pt idx="2">
                  <c:v>3.8965684E-2</c:v>
                </c:pt>
                <c:pt idx="3">
                  <c:v>6.9235389000000008E-2</c:v>
                </c:pt>
                <c:pt idx="4">
                  <c:v>9.1836888999999894E-2</c:v>
                </c:pt>
                <c:pt idx="5">
                  <c:v>0.10344793300000001</c:v>
                </c:pt>
                <c:pt idx="6">
                  <c:v>0.10773147</c:v>
                </c:pt>
                <c:pt idx="7">
                  <c:v>0.11361677000000001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9A-4262-8E01-2E66089AD590}"/>
            </c:ext>
          </c:extLst>
        </c:ser>
        <c:ser>
          <c:idx val="0"/>
          <c:order val="5"/>
          <c:tx>
            <c:strRef>
              <c:f>수송!$U$33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수송!$V$32:$AC$32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수송!$V$33:$AC$33</c:f>
              <c:numCache>
                <c:formatCode>General</c:formatCode>
                <c:ptCount val="8"/>
                <c:pt idx="0">
                  <c:v>0</c:v>
                </c:pt>
                <c:pt idx="1">
                  <c:v>7.5784300000000001E-4</c:v>
                </c:pt>
                <c:pt idx="2">
                  <c:v>1.064439E-2</c:v>
                </c:pt>
                <c:pt idx="3">
                  <c:v>2.9114678999999997E-2</c:v>
                </c:pt>
                <c:pt idx="4">
                  <c:v>5.1928018800000003E-2</c:v>
                </c:pt>
                <c:pt idx="5">
                  <c:v>7.7869135899999997E-2</c:v>
                </c:pt>
                <c:pt idx="6">
                  <c:v>9.3138507999999898E-2</c:v>
                </c:pt>
                <c:pt idx="7">
                  <c:v>0.10570376999999991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9A-4262-8E01-2E66089AD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607525199"/>
        <c:axId val="154697823"/>
      </c:barChart>
      <c:catAx>
        <c:axId val="160752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697823"/>
        <c:crosses val="autoZero"/>
        <c:auto val="1"/>
        <c:lblAlgn val="ctr"/>
        <c:lblOffset val="100"/>
        <c:noMultiLvlLbl val="0"/>
      </c:catAx>
      <c:valAx>
        <c:axId val="15469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0752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화물수송 최종에너지 소비</a:t>
            </a:r>
            <a:r>
              <a:rPr lang="en-US" altLang="ko-KR"/>
              <a:t>_NZ2050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수송!$U$47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수송!$V$47:$AC$47</c:f>
              <c:numCache>
                <c:formatCode>General</c:formatCode>
                <c:ptCount val="8"/>
                <c:pt idx="0">
                  <c:v>0.38626579</c:v>
                </c:pt>
                <c:pt idx="1">
                  <c:v>0.41356813000000003</c:v>
                </c:pt>
                <c:pt idx="2">
                  <c:v>0.42805932000000002</c:v>
                </c:pt>
                <c:pt idx="3">
                  <c:v>0.41419791</c:v>
                </c:pt>
                <c:pt idx="4">
                  <c:v>0.37438393999999997</c:v>
                </c:pt>
                <c:pt idx="5">
                  <c:v>0.31025065000000002</c:v>
                </c:pt>
                <c:pt idx="6">
                  <c:v>0.23563486</c:v>
                </c:pt>
                <c:pt idx="7">
                  <c:v>0.163278644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D6-4357-A809-30AA7E082CA0}"/>
            </c:ext>
          </c:extLst>
        </c:ser>
        <c:ser>
          <c:idx val="4"/>
          <c:order val="1"/>
          <c:tx>
            <c:strRef>
              <c:f>수송!$U$46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수송!$V$46:$AC$46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D6-4357-A809-30AA7E082CA0}"/>
            </c:ext>
          </c:extLst>
        </c:ser>
        <c:ser>
          <c:idx val="3"/>
          <c:order val="2"/>
          <c:tx>
            <c:strRef>
              <c:f>수송!$U$45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수송!$V$45:$AC$45</c:f>
              <c:numCache>
                <c:formatCode>General</c:formatCode>
                <c:ptCount val="8"/>
                <c:pt idx="0">
                  <c:v>0</c:v>
                </c:pt>
                <c:pt idx="1">
                  <c:v>2.5211600000000002E-3</c:v>
                </c:pt>
                <c:pt idx="2">
                  <c:v>6.7166400000000003E-3</c:v>
                </c:pt>
                <c:pt idx="3">
                  <c:v>1.0453240000000001E-2</c:v>
                </c:pt>
                <c:pt idx="4">
                  <c:v>1.4090200000000001E-2</c:v>
                </c:pt>
                <c:pt idx="5">
                  <c:v>1.5785609999999999E-2</c:v>
                </c:pt>
                <c:pt idx="6">
                  <c:v>1.5368629E-2</c:v>
                </c:pt>
                <c:pt idx="7">
                  <c:v>1.2766062999999999E-2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6-4357-A809-30AA7E082CA0}"/>
            </c:ext>
          </c:extLst>
        </c:ser>
        <c:ser>
          <c:idx val="2"/>
          <c:order val="3"/>
          <c:tx>
            <c:strRef>
              <c:f>수송!$U$44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수송!$V$44:$AC$44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D6-4357-A809-30AA7E082CA0}"/>
            </c:ext>
          </c:extLst>
        </c:ser>
        <c:ser>
          <c:idx val="1"/>
          <c:order val="4"/>
          <c:tx>
            <c:strRef>
              <c:f>수송!$U$43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수송!$V$43:$AC$43</c:f>
              <c:numCache>
                <c:formatCode>General</c:formatCode>
                <c:ptCount val="8"/>
                <c:pt idx="0">
                  <c:v>2.69206E-3</c:v>
                </c:pt>
                <c:pt idx="1">
                  <c:v>2.7460784E-3</c:v>
                </c:pt>
                <c:pt idx="2">
                  <c:v>3.2000669E-3</c:v>
                </c:pt>
                <c:pt idx="3">
                  <c:v>5.1618633700000003E-3</c:v>
                </c:pt>
                <c:pt idx="4">
                  <c:v>1.084434282E-2</c:v>
                </c:pt>
                <c:pt idx="5">
                  <c:v>1.85234681999999E-2</c:v>
                </c:pt>
                <c:pt idx="6">
                  <c:v>2.6304689589999999E-2</c:v>
                </c:pt>
                <c:pt idx="7">
                  <c:v>3.4427615039999998E-2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D6-4357-A809-30AA7E082CA0}"/>
            </c:ext>
          </c:extLst>
        </c:ser>
        <c:ser>
          <c:idx val="0"/>
          <c:order val="5"/>
          <c:tx>
            <c:strRef>
              <c:f>수송!$U$42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수송!$V$41:$AC$41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수송!$V$42:$AC$42</c:f>
              <c:numCache>
                <c:formatCode>General</c:formatCode>
                <c:ptCount val="8"/>
                <c:pt idx="0">
                  <c:v>0</c:v>
                </c:pt>
                <c:pt idx="1">
                  <c:v>1.7210999999999998E-5</c:v>
                </c:pt>
                <c:pt idx="2">
                  <c:v>4.6596079999999899E-4</c:v>
                </c:pt>
                <c:pt idx="3">
                  <c:v>2.4307740000000001E-3</c:v>
                </c:pt>
                <c:pt idx="4">
                  <c:v>8.5431916999999993E-3</c:v>
                </c:pt>
                <c:pt idx="5">
                  <c:v>2.0001550489999999E-2</c:v>
                </c:pt>
                <c:pt idx="6">
                  <c:v>3.1539203289999998E-2</c:v>
                </c:pt>
                <c:pt idx="7">
                  <c:v>4.3303137009999999E-2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D6-4357-A809-30AA7E082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92165695"/>
        <c:axId val="192639727"/>
      </c:barChart>
      <c:catAx>
        <c:axId val="189216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2639727"/>
        <c:crosses val="autoZero"/>
        <c:auto val="1"/>
        <c:lblAlgn val="ctr"/>
        <c:lblOffset val="100"/>
        <c:noMultiLvlLbl val="0"/>
      </c:catAx>
      <c:valAx>
        <c:axId val="19263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EJ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9216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Industry final energy consumption by fuel[EJ]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5"/>
          <c:order val="0"/>
          <c:tx>
            <c:strRef>
              <c:f>NZ2050EF_industry_final_energy!$C$102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NZ2050EF_industry_final_energy!$D$102:$K$102</c:f>
              <c:numCache>
                <c:formatCode>General</c:formatCode>
                <c:ptCount val="8"/>
                <c:pt idx="0">
                  <c:v>1.3146941000000001</c:v>
                </c:pt>
                <c:pt idx="1">
                  <c:v>1.4700775389999989</c:v>
                </c:pt>
                <c:pt idx="2">
                  <c:v>1.393679229</c:v>
                </c:pt>
                <c:pt idx="3">
                  <c:v>1.1709338839999992</c:v>
                </c:pt>
                <c:pt idx="4">
                  <c:v>0.828000580099999</c:v>
                </c:pt>
                <c:pt idx="5">
                  <c:v>0.49785441919999984</c:v>
                </c:pt>
                <c:pt idx="6">
                  <c:v>0.25701976884</c:v>
                </c:pt>
                <c:pt idx="7">
                  <c:v>0.11919294319999978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9-4BAD-9250-E0F8E5915F29}"/>
            </c:ext>
          </c:extLst>
        </c:ser>
        <c:ser>
          <c:idx val="6"/>
          <c:order val="1"/>
          <c:tx>
            <c:strRef>
              <c:f>NZ2050EF_industry_final_energy!$C$101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chemeClr val="tx1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NZ2050EF_industry_final_energy!$D$101:$K$101</c:f>
              <c:numCache>
                <c:formatCode>0.00E+00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1.70726178E-3</c:v>
                </c:pt>
                <c:pt idx="3">
                  <c:v>1.208288108E-2</c:v>
                </c:pt>
                <c:pt idx="4">
                  <c:v>4.1297963719999997E-2</c:v>
                </c:pt>
                <c:pt idx="5">
                  <c:v>7.593371091999998E-2</c:v>
                </c:pt>
                <c:pt idx="6">
                  <c:v>0.10907988087699999</c:v>
                </c:pt>
                <c:pt idx="7">
                  <c:v>0.105871454499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D9-4BAD-9250-E0F8E5915F29}"/>
            </c:ext>
          </c:extLst>
        </c:ser>
        <c:ser>
          <c:idx val="2"/>
          <c:order val="2"/>
          <c:tx>
            <c:strRef>
              <c:f>NZ2050EF_industry_final_energy!$C$97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NZ2050EF_industry_final_energy!$D$97:$K$97</c:f>
              <c:numCache>
                <c:formatCode>General</c:formatCode>
                <c:ptCount val="8"/>
                <c:pt idx="0">
                  <c:v>0.97975849000000004</c:v>
                </c:pt>
                <c:pt idx="1">
                  <c:v>1.0214122551</c:v>
                </c:pt>
                <c:pt idx="2">
                  <c:v>1.0363810964999998</c:v>
                </c:pt>
                <c:pt idx="3">
                  <c:v>1.0415791282</c:v>
                </c:pt>
                <c:pt idx="4">
                  <c:v>1.037259976299999</c:v>
                </c:pt>
                <c:pt idx="5">
                  <c:v>1.0535944726999997</c:v>
                </c:pt>
                <c:pt idx="6">
                  <c:v>1.089902540099998</c:v>
                </c:pt>
                <c:pt idx="7">
                  <c:v>1.1363940244899999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9-4BAD-9250-E0F8E5915F29}"/>
            </c:ext>
          </c:extLst>
        </c:ser>
        <c:ser>
          <c:idx val="1"/>
          <c:order val="3"/>
          <c:tx>
            <c:strRef>
              <c:f>NZ2050EF_industry_final_energy!$C$96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NZ2050EF_industry_final_energy!$D$96:$K$96</c:f>
              <c:numCache>
                <c:formatCode>General</c:formatCode>
                <c:ptCount val="8"/>
                <c:pt idx="0">
                  <c:v>0</c:v>
                </c:pt>
                <c:pt idx="1">
                  <c:v>9.9027670999999999E-4</c:v>
                </c:pt>
                <c:pt idx="2">
                  <c:v>2.3688769489999997E-2</c:v>
                </c:pt>
                <c:pt idx="3">
                  <c:v>8.1226907670000001E-2</c:v>
                </c:pt>
                <c:pt idx="4">
                  <c:v>0.16398545769999998</c:v>
                </c:pt>
                <c:pt idx="5">
                  <c:v>0.25080677342999991</c:v>
                </c:pt>
                <c:pt idx="6">
                  <c:v>0.34097864676</c:v>
                </c:pt>
                <c:pt idx="7">
                  <c:v>0.42055580040000007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9-4BAD-9250-E0F8E5915F29}"/>
            </c:ext>
          </c:extLst>
        </c:ser>
        <c:ser>
          <c:idx val="4"/>
          <c:order val="4"/>
          <c:tx>
            <c:strRef>
              <c:f>NZ2050EF_industry_final_energy!$C$100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NZ2050EF_industry_final_energy!$D$100:$K$100</c:f>
              <c:numCache>
                <c:formatCode>General</c:formatCode>
                <c:ptCount val="8"/>
                <c:pt idx="0">
                  <c:v>0.35105451900000001</c:v>
                </c:pt>
                <c:pt idx="1">
                  <c:v>0.38547642879999999</c:v>
                </c:pt>
                <c:pt idx="2">
                  <c:v>0.41206777755999985</c:v>
                </c:pt>
                <c:pt idx="3">
                  <c:v>0.44594732976899998</c:v>
                </c:pt>
                <c:pt idx="4">
                  <c:v>0.46582098286099999</c:v>
                </c:pt>
                <c:pt idx="5">
                  <c:v>0.41907209614799901</c:v>
                </c:pt>
                <c:pt idx="6">
                  <c:v>0.352485762919999</c:v>
                </c:pt>
                <c:pt idx="7">
                  <c:v>0.27801897444099988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D9-4BAD-9250-E0F8E5915F29}"/>
            </c:ext>
          </c:extLst>
        </c:ser>
        <c:ser>
          <c:idx val="0"/>
          <c:order val="5"/>
          <c:tx>
            <c:strRef>
              <c:f>NZ2050EF_industry_final_energy!$C$99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NZ2050EF_industry_final_energy!$D$99:$K$99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1.317727683E-3</c:v>
                </c:pt>
                <c:pt idx="3">
                  <c:v>7.0165308069999998E-3</c:v>
                </c:pt>
                <c:pt idx="4">
                  <c:v>2.6211160631999998E-2</c:v>
                </c:pt>
                <c:pt idx="5">
                  <c:v>5.363577780159999E-2</c:v>
                </c:pt>
                <c:pt idx="6">
                  <c:v>7.8425481172999995E-2</c:v>
                </c:pt>
                <c:pt idx="7">
                  <c:v>9.6053844378000006E-2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D9-4BAD-9250-E0F8E5915F29}"/>
            </c:ext>
          </c:extLst>
        </c:ser>
        <c:ser>
          <c:idx val="7"/>
          <c:order val="6"/>
          <c:tx>
            <c:strRef>
              <c:f>NZ2050EF_industry_final_energy!$C$104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NZ2050EF_industry_final_energy!$D$104:$K$104</c:f>
              <c:numCache>
                <c:formatCode>General</c:formatCode>
                <c:ptCount val="8"/>
                <c:pt idx="0">
                  <c:v>2.2366021700000003</c:v>
                </c:pt>
                <c:pt idx="1">
                  <c:v>2.2667255143999978</c:v>
                </c:pt>
                <c:pt idx="2">
                  <c:v>2.2738636083841999</c:v>
                </c:pt>
                <c:pt idx="3">
                  <c:v>2.2636587275647995</c:v>
                </c:pt>
                <c:pt idx="4">
                  <c:v>2.2466538403246004</c:v>
                </c:pt>
                <c:pt idx="5">
                  <c:v>2.1902865453596987</c:v>
                </c:pt>
                <c:pt idx="6">
                  <c:v>2.1076457959149999</c:v>
                </c:pt>
                <c:pt idx="7">
                  <c:v>1.9957110431242999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D9-4BAD-9250-E0F8E5915F29}"/>
            </c:ext>
          </c:extLst>
        </c:ser>
        <c:ser>
          <c:idx val="3"/>
          <c:order val="7"/>
          <c:tx>
            <c:strRef>
              <c:f>NZ2050EF_industry_final_energy!$C$98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NZ2050EF_industry_final_energy!$D$95:$K$95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NZ2050EF_industry_final_energy!$D$98:$K$98</c:f>
              <c:numCache>
                <c:formatCode>General</c:formatCode>
                <c:ptCount val="8"/>
                <c:pt idx="0">
                  <c:v>0.16462779999999999</c:v>
                </c:pt>
                <c:pt idx="1">
                  <c:v>0.17717429700000001</c:v>
                </c:pt>
                <c:pt idx="2">
                  <c:v>0.171812136</c:v>
                </c:pt>
                <c:pt idx="3">
                  <c:v>0.1942904765999999</c:v>
                </c:pt>
                <c:pt idx="4">
                  <c:v>0.26327032029999997</c:v>
                </c:pt>
                <c:pt idx="5">
                  <c:v>0.29199629617999989</c:v>
                </c:pt>
                <c:pt idx="6">
                  <c:v>0.2760409079599988</c:v>
                </c:pt>
                <c:pt idx="7">
                  <c:v>0.23773660494000001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D9-4BAD-9250-E0F8E5915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Industry final energy consumption by fuel[EJ]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'NZ-0p_industry_final_energy'!$C$27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'NZ-0p_industry_final_energy'!$D$27:$M$27</c15:sqref>
                  </c15:fullRef>
                </c:ext>
              </c:extLst>
              <c:f>'NZ-0p_industry_final_energy'!$F$27:$M$27</c:f>
              <c:numCache>
                <c:formatCode>0.000</c:formatCode>
                <c:ptCount val="8"/>
                <c:pt idx="0">
                  <c:v>1.9580449999999998</c:v>
                </c:pt>
                <c:pt idx="1" formatCode="General">
                  <c:v>1.9830730000000001</c:v>
                </c:pt>
                <c:pt idx="2" formatCode="General">
                  <c:v>1.9932612000000001</c:v>
                </c:pt>
                <c:pt idx="3" formatCode="General">
                  <c:v>1.9797879999999999</c:v>
                </c:pt>
                <c:pt idx="4" formatCode="General">
                  <c:v>1.9482576999999999</c:v>
                </c:pt>
                <c:pt idx="5" formatCode="General">
                  <c:v>1.8919462000000002</c:v>
                </c:pt>
                <c:pt idx="6" formatCode="General">
                  <c:v>1.8313737000000001</c:v>
                </c:pt>
                <c:pt idx="7" formatCode="General">
                  <c:v>1.7614022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5-41DB-8BE9-2B85CF68663A}"/>
            </c:ext>
          </c:extLst>
        </c:ser>
        <c:ser>
          <c:idx val="7"/>
          <c:order val="1"/>
          <c:tx>
            <c:strRef>
              <c:f>'NZ-0p_industry_final_energy'!$C$26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'NZ-0p_industry_final_energy'!$D$26:$M$26</c15:sqref>
                  </c15:fullRef>
                </c:ext>
              </c:extLst>
              <c:f>'NZ-0p_industry_final_energy'!$F$26:$M$26</c:f>
              <c:numCache>
                <c:formatCode>0.000</c:formatCode>
                <c:ptCount val="8"/>
                <c:pt idx="0">
                  <c:v>0.27855717000000002</c:v>
                </c:pt>
                <c:pt idx="1" formatCode="General">
                  <c:v>0.28038451900000005</c:v>
                </c:pt>
                <c:pt idx="2" formatCode="General">
                  <c:v>0.28077868002399997</c:v>
                </c:pt>
                <c:pt idx="3" formatCode="General">
                  <c:v>0.28506762704099997</c:v>
                </c:pt>
                <c:pt idx="4" formatCode="General">
                  <c:v>0.30702522472500005</c:v>
                </c:pt>
                <c:pt idx="5" formatCode="General">
                  <c:v>0.33292981011368972</c:v>
                </c:pt>
                <c:pt idx="6" formatCode="General">
                  <c:v>0.33696221696198969</c:v>
                </c:pt>
                <c:pt idx="7" formatCode="General">
                  <c:v>0.3307323632949899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5-41DB-8BE9-2B85CF68663A}"/>
            </c:ext>
          </c:extLst>
        </c:ser>
        <c:ser>
          <c:idx val="6"/>
          <c:order val="2"/>
          <c:tx>
            <c:strRef>
              <c:f>'NZ-0p_industry_final_energy'!$C$25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'NZ-0p_industry_final_energy'!$D$25:$M$25</c15:sqref>
                  </c15:fullRef>
                </c:ext>
              </c:extLst>
              <c:f>'NZ-0p_industry_final_energy'!$F$25:$M$25</c:f>
              <c:numCache>
                <c:formatCode>0.000</c:formatCode>
                <c:ptCount val="8"/>
                <c:pt idx="0">
                  <c:v>2.3106700000000001E-2</c:v>
                </c:pt>
                <c:pt idx="1" formatCode="General">
                  <c:v>2.3052E-2</c:v>
                </c:pt>
                <c:pt idx="2" formatCode="General">
                  <c:v>1.01728E-3</c:v>
                </c:pt>
                <c:pt idx="3" formatCode="General">
                  <c:v>1.9646900000000001E-4</c:v>
                </c:pt>
                <c:pt idx="4" formatCode="General">
                  <c:v>7.8939399999999998E-5</c:v>
                </c:pt>
                <c:pt idx="5" formatCode="General">
                  <c:v>3.70472E-5</c:v>
                </c:pt>
                <c:pt idx="6" formatCode="General">
                  <c:v>2.5236E-5</c:v>
                </c:pt>
                <c:pt idx="7" formatCode="General">
                  <c:v>2.7240300000000001E-5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5-41DB-8BE9-2B85CF68663A}"/>
            </c:ext>
          </c:extLst>
        </c:ser>
        <c:ser>
          <c:idx val="5"/>
          <c:order val="3"/>
          <c:tx>
            <c:strRef>
              <c:f>'NZ-0p_industry_final_energy'!$C$24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'NZ-0p_industry_final_energy'!$D$24:$M$24</c15:sqref>
                  </c15:fullRef>
                </c:ext>
              </c:extLst>
              <c:f>'NZ-0p_industry_final_energy'!$F$24:$M$24</c:f>
              <c:numCache>
                <c:formatCode>0.000</c:formatCode>
                <c:ptCount val="8"/>
                <c:pt idx="0">
                  <c:v>1.2915874000000001</c:v>
                </c:pt>
                <c:pt idx="1" formatCode="General">
                  <c:v>1.4452020969999999</c:v>
                </c:pt>
                <c:pt idx="2" formatCode="General">
                  <c:v>1.3946517055099901</c:v>
                </c:pt>
                <c:pt idx="3" formatCode="General">
                  <c:v>1.2159118822699899</c:v>
                </c:pt>
                <c:pt idx="4" formatCode="General">
                  <c:v>0.96614184528000002</c:v>
                </c:pt>
                <c:pt idx="5" formatCode="General">
                  <c:v>0.72866110656000005</c:v>
                </c:pt>
                <c:pt idx="6" formatCode="General">
                  <c:v>0.54764276135999901</c:v>
                </c:pt>
                <c:pt idx="7" formatCode="General">
                  <c:v>0.39471017779000001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C5-41DB-8BE9-2B85CF68663A}"/>
            </c:ext>
          </c:extLst>
        </c:ser>
        <c:ser>
          <c:idx val="4"/>
          <c:order val="4"/>
          <c:tx>
            <c:strRef>
              <c:f>'NZ-0p_industry_final_energy'!$C$23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'NZ-0p_industry_final_energy'!$D$23:$M$23</c15:sqref>
                  </c15:fullRef>
                </c:ext>
              </c:extLst>
              <c:f>'NZ-0p_industry_final_energy'!$F$23:$M$23</c:f>
              <c:numCache>
                <c:formatCode>0.000</c:formatCode>
                <c:ptCount val="8"/>
                <c:pt idx="0">
                  <c:v>0.35105451900000001</c:v>
                </c:pt>
                <c:pt idx="1" formatCode="General">
                  <c:v>0.38535311989999899</c:v>
                </c:pt>
                <c:pt idx="2" formatCode="General">
                  <c:v>0.41179354827600001</c:v>
                </c:pt>
                <c:pt idx="3" formatCode="General">
                  <c:v>0.452497469012</c:v>
                </c:pt>
                <c:pt idx="4" formatCode="General">
                  <c:v>0.49402448380399999</c:v>
                </c:pt>
                <c:pt idx="5" formatCode="General">
                  <c:v>0.49946735567099998</c:v>
                </c:pt>
                <c:pt idx="6" formatCode="General">
                  <c:v>0.57136876329399899</c:v>
                </c:pt>
                <c:pt idx="7" formatCode="General">
                  <c:v>0.71463876528000003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C5-41DB-8BE9-2B85CF68663A}"/>
            </c:ext>
          </c:extLst>
        </c:ser>
        <c:ser>
          <c:idx val="3"/>
          <c:order val="5"/>
          <c:tx>
            <c:strRef>
              <c:f>'NZ-0p_industry_final_energy'!$C$22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'NZ-0p_industry_final_energy'!$D$22:$M$22</c15:sqref>
                  </c15:fullRef>
                </c:ext>
              </c:extLst>
              <c:f>'NZ-0p_industry_final_energy'!$F$22:$M$22</c:f>
              <c:numCache>
                <c:formatCode>0.000</c:formatCode>
                <c:ptCount val="8"/>
                <c:pt idx="0">
                  <c:v>0.16462779999999999</c:v>
                </c:pt>
                <c:pt idx="1" formatCode="General">
                  <c:v>0.17605699899999999</c:v>
                </c:pt>
                <c:pt idx="2" formatCode="General">
                  <c:v>0.17118660390000001</c:v>
                </c:pt>
                <c:pt idx="3" formatCode="General">
                  <c:v>0.19087028379999901</c:v>
                </c:pt>
                <c:pt idx="4" formatCode="General">
                  <c:v>0.2530944946</c:v>
                </c:pt>
                <c:pt idx="5" formatCode="General">
                  <c:v>0.30317377719999999</c:v>
                </c:pt>
                <c:pt idx="6" formatCode="General">
                  <c:v>0.31048221149999899</c:v>
                </c:pt>
                <c:pt idx="7" formatCode="General">
                  <c:v>0.2998033759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C5-41DB-8BE9-2B85CF68663A}"/>
            </c:ext>
          </c:extLst>
        </c:ser>
        <c:ser>
          <c:idx val="2"/>
          <c:order val="6"/>
          <c:tx>
            <c:strRef>
              <c:f>'NZ-0p_industry_final_energy'!$C$21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'NZ-0p_industry_final_energy'!$D$21:$M$21</c15:sqref>
                  </c15:fullRef>
                </c:ext>
              </c:extLst>
              <c:f>'NZ-0p_industry_final_energy'!$F$21:$M$21</c:f>
              <c:numCache>
                <c:formatCode>0.000</c:formatCode>
                <c:ptCount val="8"/>
                <c:pt idx="0">
                  <c:v>0.97975849000000004</c:v>
                </c:pt>
                <c:pt idx="1" formatCode="General">
                  <c:v>1.0224669735</c:v>
                </c:pt>
                <c:pt idx="2" formatCode="General">
                  <c:v>1.0404363274557</c:v>
                </c:pt>
                <c:pt idx="3" formatCode="General">
                  <c:v>1.06026356164</c:v>
                </c:pt>
                <c:pt idx="4" formatCode="General">
                  <c:v>1.06396515225999</c:v>
                </c:pt>
                <c:pt idx="5" formatCode="General">
                  <c:v>1.07086566019999</c:v>
                </c:pt>
                <c:pt idx="6" formatCode="General">
                  <c:v>1.1266076668718401</c:v>
                </c:pt>
                <c:pt idx="7" formatCode="General">
                  <c:v>1.27211385561223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C5-41DB-8BE9-2B85CF68663A}"/>
            </c:ext>
          </c:extLst>
        </c:ser>
        <c:ser>
          <c:idx val="1"/>
          <c:order val="7"/>
          <c:tx>
            <c:strRef>
              <c:f>'NZ-0p_industry_final_energy'!$C$20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'NZ-0p_industry_final_energy'!$D$19:$M$19</c15:sqref>
                  </c15:fullRef>
                </c:ext>
              </c:extLst>
              <c:f>'NZ-0p_industry_final_energy'!$F$19:$M$19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'NZ-0p_industry_final_energy'!$D$20:$M$20</c15:sqref>
                  </c15:fullRef>
                </c:ext>
              </c:extLst>
              <c:f>'NZ-0p_industry_final_energy'!$F$20:$M$20</c:f>
              <c:numCache>
                <c:formatCode>0.000</c:formatCode>
                <c:ptCount val="8"/>
                <c:pt idx="0">
                  <c:v>0</c:v>
                </c:pt>
                <c:pt idx="1" formatCode="General">
                  <c:v>9.9216910999999999E-4</c:v>
                </c:pt>
                <c:pt idx="2" formatCode="General">
                  <c:v>2.1910835819999998E-2</c:v>
                </c:pt>
                <c:pt idx="3" formatCode="General">
                  <c:v>7.8333399809999898E-2</c:v>
                </c:pt>
                <c:pt idx="4" formatCode="General">
                  <c:v>0.16485517785999901</c:v>
                </c:pt>
                <c:pt idx="5" formatCode="General">
                  <c:v>0.25643851612000002</c:v>
                </c:pt>
                <c:pt idx="6" formatCode="General">
                  <c:v>0.33088602278000001</c:v>
                </c:pt>
                <c:pt idx="7" formatCode="General">
                  <c:v>0.37976163549999897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C5-41DB-8BE9-2B85CF68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/>
              <a:t>Industry final energy consumption by fuel[EJ]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'NZ-22p_industry_final_energy'!$C$27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'NZ-22p_industry_final_energy'!$D$27:$K$27</c:f>
              <c:numCache>
                <c:formatCode>General</c:formatCode>
                <c:ptCount val="8"/>
                <c:pt idx="0">
                  <c:v>1.9580449999999998</c:v>
                </c:pt>
                <c:pt idx="1">
                  <c:v>1.9830828</c:v>
                </c:pt>
                <c:pt idx="2">
                  <c:v>1.9933611</c:v>
                </c:pt>
                <c:pt idx="3">
                  <c:v>1.9800293</c:v>
                </c:pt>
                <c:pt idx="4">
                  <c:v>1.9479880000000003</c:v>
                </c:pt>
                <c:pt idx="5">
                  <c:v>1.8928182</c:v>
                </c:pt>
                <c:pt idx="6">
                  <c:v>1.8322423000000001</c:v>
                </c:pt>
                <c:pt idx="7">
                  <c:v>1.7613514000000001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D-4047-96E4-C1A12076A937}"/>
            </c:ext>
          </c:extLst>
        </c:ser>
        <c:ser>
          <c:idx val="7"/>
          <c:order val="1"/>
          <c:tx>
            <c:strRef>
              <c:f>'NZ-22p_industry_final_energy'!$C$26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'NZ-22p_industry_final_energy'!$D$26:$K$26</c:f>
              <c:numCache>
                <c:formatCode>General</c:formatCode>
                <c:ptCount val="8"/>
                <c:pt idx="0">
                  <c:v>0.27855717000000002</c:v>
                </c:pt>
                <c:pt idx="1">
                  <c:v>0.28038513489999994</c:v>
                </c:pt>
                <c:pt idx="2">
                  <c:v>0.280906876325</c:v>
                </c:pt>
                <c:pt idx="3">
                  <c:v>0.28491253176099018</c:v>
                </c:pt>
                <c:pt idx="4">
                  <c:v>0.30638667163099975</c:v>
                </c:pt>
                <c:pt idx="5">
                  <c:v>0.33257195630029979</c:v>
                </c:pt>
                <c:pt idx="6">
                  <c:v>0.33593938110299981</c:v>
                </c:pt>
                <c:pt idx="7">
                  <c:v>0.32848805235899992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3D-4047-96E4-C1A12076A937}"/>
            </c:ext>
          </c:extLst>
        </c:ser>
        <c:ser>
          <c:idx val="6"/>
          <c:order val="2"/>
          <c:tx>
            <c:strRef>
              <c:f>'NZ-22p_industry_final_energy'!$C$25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'NZ-22p_industry_final_energy'!$D$25:$K$25</c:f>
              <c:numCache>
                <c:formatCode>General</c:formatCode>
                <c:ptCount val="8"/>
                <c:pt idx="0">
                  <c:v>2.3106700000000001E-2</c:v>
                </c:pt>
                <c:pt idx="1">
                  <c:v>2.3049E-2</c:v>
                </c:pt>
                <c:pt idx="2">
                  <c:v>1.03725E-3</c:v>
                </c:pt>
                <c:pt idx="3">
                  <c:v>2.0528500000000001E-4</c:v>
                </c:pt>
                <c:pt idx="4">
                  <c:v>8.3303899999999994E-5</c:v>
                </c:pt>
                <c:pt idx="5">
                  <c:v>3.9326499999999997E-5</c:v>
                </c:pt>
                <c:pt idx="6">
                  <c:v>2.6235299999999999E-5</c:v>
                </c:pt>
                <c:pt idx="7">
                  <c:v>2.7254400000000001E-5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3D-4047-96E4-C1A12076A937}"/>
            </c:ext>
          </c:extLst>
        </c:ser>
        <c:ser>
          <c:idx val="5"/>
          <c:order val="3"/>
          <c:tx>
            <c:strRef>
              <c:f>'NZ-22p_industry_final_energy'!$C$24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'NZ-22p_industry_final_energy'!$D$24:$K$24</c:f>
              <c:numCache>
                <c:formatCode>General</c:formatCode>
                <c:ptCount val="8"/>
                <c:pt idx="0">
                  <c:v>1.2915874000000001</c:v>
                </c:pt>
                <c:pt idx="1">
                  <c:v>1.4451990739999998</c:v>
                </c:pt>
                <c:pt idx="2">
                  <c:v>1.39589078572</c:v>
                </c:pt>
                <c:pt idx="3">
                  <c:v>1.1909056192799898</c:v>
                </c:pt>
                <c:pt idx="4">
                  <c:v>0.918466996949999</c:v>
                </c:pt>
                <c:pt idx="5">
                  <c:v>0.6642484260599989</c:v>
                </c:pt>
                <c:pt idx="6">
                  <c:v>0.476673590169999</c:v>
                </c:pt>
                <c:pt idx="7">
                  <c:v>0.33268106014999999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3D-4047-96E4-C1A12076A937}"/>
            </c:ext>
          </c:extLst>
        </c:ser>
        <c:ser>
          <c:idx val="4"/>
          <c:order val="4"/>
          <c:tx>
            <c:strRef>
              <c:f>'NZ-22p_industry_final_energy'!$C$23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'NZ-22p_industry_final_energy'!$D$23:$K$23</c:f>
              <c:numCache>
                <c:formatCode>General</c:formatCode>
                <c:ptCount val="8"/>
                <c:pt idx="0">
                  <c:v>0.35105451900000001</c:v>
                </c:pt>
                <c:pt idx="1">
                  <c:v>0.385353582299999</c:v>
                </c:pt>
                <c:pt idx="2">
                  <c:v>0.41177022542899999</c:v>
                </c:pt>
                <c:pt idx="3">
                  <c:v>0.44582264680799999</c:v>
                </c:pt>
                <c:pt idx="4">
                  <c:v>0.48165263980599998</c:v>
                </c:pt>
                <c:pt idx="5">
                  <c:v>0.48036313822400001</c:v>
                </c:pt>
                <c:pt idx="6">
                  <c:v>0.53323191616599996</c:v>
                </c:pt>
                <c:pt idx="7">
                  <c:v>0.66923790915000003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3D-4047-96E4-C1A12076A937}"/>
            </c:ext>
          </c:extLst>
        </c:ser>
        <c:ser>
          <c:idx val="3"/>
          <c:order val="5"/>
          <c:tx>
            <c:strRef>
              <c:f>'NZ-22p_industry_final_energy'!$C$22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'NZ-22p_industry_final_energy'!$D$22:$K$22</c:f>
              <c:numCache>
                <c:formatCode>General</c:formatCode>
                <c:ptCount val="8"/>
                <c:pt idx="0">
                  <c:v>0.16462779999999999</c:v>
                </c:pt>
                <c:pt idx="1">
                  <c:v>0.176056659999999</c:v>
                </c:pt>
                <c:pt idx="2">
                  <c:v>0.17128353760000001</c:v>
                </c:pt>
                <c:pt idx="3">
                  <c:v>0.190555517199999</c:v>
                </c:pt>
                <c:pt idx="4">
                  <c:v>0.25092524199999999</c:v>
                </c:pt>
                <c:pt idx="5">
                  <c:v>0.3047096259</c:v>
                </c:pt>
                <c:pt idx="6">
                  <c:v>0.31369003089999897</c:v>
                </c:pt>
                <c:pt idx="7">
                  <c:v>0.30258282121000002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3D-4047-96E4-C1A12076A937}"/>
            </c:ext>
          </c:extLst>
        </c:ser>
        <c:ser>
          <c:idx val="2"/>
          <c:order val="6"/>
          <c:tx>
            <c:strRef>
              <c:f>'NZ-22p_industry_final_energy'!$C$21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'NZ-22p_industry_final_energy'!$D$21:$K$21</c:f>
              <c:numCache>
                <c:formatCode>General</c:formatCode>
                <c:ptCount val="8"/>
                <c:pt idx="0">
                  <c:v>0.97975849000000004</c:v>
                </c:pt>
                <c:pt idx="1">
                  <c:v>1.0224650858</c:v>
                </c:pt>
                <c:pt idx="2">
                  <c:v>1.0404766987488301</c:v>
                </c:pt>
                <c:pt idx="3">
                  <c:v>1.046228823149</c:v>
                </c:pt>
                <c:pt idx="4">
                  <c:v>1.0356318227600001</c:v>
                </c:pt>
                <c:pt idx="5">
                  <c:v>1.0257779552999999</c:v>
                </c:pt>
                <c:pt idx="6">
                  <c:v>1.05870778119145</c:v>
                </c:pt>
                <c:pt idx="7">
                  <c:v>1.1875261776399599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3D-4047-96E4-C1A12076A937}"/>
            </c:ext>
          </c:extLst>
        </c:ser>
        <c:ser>
          <c:idx val="1"/>
          <c:order val="7"/>
          <c:tx>
            <c:strRef>
              <c:f>'NZ-22p_industry_final_energy'!$C$20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'NZ-22p_industry_final_energy'!$D$19:$K$19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'NZ-22p_industry_final_energy'!$D$20:$K$20</c:f>
              <c:numCache>
                <c:formatCode>General</c:formatCode>
                <c:ptCount val="8"/>
                <c:pt idx="0">
                  <c:v>0</c:v>
                </c:pt>
                <c:pt idx="1">
                  <c:v>9.921729900000001E-4</c:v>
                </c:pt>
                <c:pt idx="2">
                  <c:v>2.186015384E-2</c:v>
                </c:pt>
                <c:pt idx="3">
                  <c:v>7.1893254140000001E-2</c:v>
                </c:pt>
                <c:pt idx="4">
                  <c:v>0.14696741826999901</c:v>
                </c:pt>
                <c:pt idx="5">
                  <c:v>0.22558390729</c:v>
                </c:pt>
                <c:pt idx="6">
                  <c:v>0.28656408815000001</c:v>
                </c:pt>
                <c:pt idx="7">
                  <c:v>0.31983883029999999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3D-4047-96E4-C1A12076A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subsector share-weights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Shareweights!$C$35</c:f>
              <c:strCache>
                <c:ptCount val="1"/>
                <c:pt idx="0">
                  <c:v>BLASTFUR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Shareweights!$E$35:$O$35</c15:sqref>
                  </c15:fullRef>
                </c:ext>
              </c:extLst>
              <c:f>Shareweights!$H$35:$O$35</c:f>
              <c:numCache>
                <c:formatCode>General</c:formatCode>
                <c:ptCount val="8"/>
                <c:pt idx="0">
                  <c:v>1</c:v>
                </c:pt>
                <c:pt idx="1">
                  <c:v>0.87142900000000001</c:v>
                </c:pt>
                <c:pt idx="2">
                  <c:v>0.74285699999999999</c:v>
                </c:pt>
                <c:pt idx="3">
                  <c:v>0.614286</c:v>
                </c:pt>
                <c:pt idx="4">
                  <c:v>0.48571399999999998</c:v>
                </c:pt>
                <c:pt idx="5">
                  <c:v>0.35714299999999999</c:v>
                </c:pt>
                <c:pt idx="6">
                  <c:v>0.228571</c:v>
                </c:pt>
                <c:pt idx="7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9F-4B3F-B8C9-7AA3D07BDC0F}"/>
            </c:ext>
          </c:extLst>
        </c:ser>
        <c:ser>
          <c:idx val="2"/>
          <c:order val="1"/>
          <c:tx>
            <c:strRef>
              <c:f>Shareweights!$C$39</c:f>
              <c:strCache>
                <c:ptCount val="1"/>
                <c:pt idx="0">
                  <c:v>EAF with DRI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Shareweights!$E$39:$O$39</c15:sqref>
                  </c15:fullRef>
                </c:ext>
              </c:extLst>
              <c:f>Shareweights!$H$39:$O$39</c:f>
              <c:numCache>
                <c:formatCode>General</c:formatCode>
                <c:ptCount val="8"/>
                <c:pt idx="0">
                  <c:v>2.7159</c:v>
                </c:pt>
                <c:pt idx="1">
                  <c:v>2.7159</c:v>
                </c:pt>
                <c:pt idx="2">
                  <c:v>2.7159</c:v>
                </c:pt>
                <c:pt idx="3">
                  <c:v>2.7159</c:v>
                </c:pt>
                <c:pt idx="4">
                  <c:v>2.7159</c:v>
                </c:pt>
                <c:pt idx="5">
                  <c:v>2.7159</c:v>
                </c:pt>
                <c:pt idx="6">
                  <c:v>2.7159</c:v>
                </c:pt>
                <c:pt idx="7">
                  <c:v>2.7159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9F-4B3F-B8C9-7AA3D07BDC0F}"/>
            </c:ext>
          </c:extLst>
        </c:ser>
        <c:ser>
          <c:idx val="3"/>
          <c:order val="2"/>
          <c:tx>
            <c:strRef>
              <c:f>Shareweights!$C$43</c:f>
              <c:strCache>
                <c:ptCount val="1"/>
                <c:pt idx="0">
                  <c:v>EAF with scrap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Shareweights!$E$43:$O$43</c15:sqref>
                  </c15:fullRef>
                </c:ext>
              </c:extLst>
              <c:f>Shareweights!$H$43:$O$43</c:f>
              <c:numCache>
                <c:formatCode>General</c:formatCode>
                <c:ptCount val="8"/>
                <c:pt idx="0">
                  <c:v>0.20197499999999999</c:v>
                </c:pt>
                <c:pt idx="1">
                  <c:v>0.176481</c:v>
                </c:pt>
                <c:pt idx="2">
                  <c:v>0.15098800000000001</c:v>
                </c:pt>
                <c:pt idx="3">
                  <c:v>0.12549399999999999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9F-4B3F-B8C9-7AA3D07BD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889775"/>
        <c:axId val="858875343"/>
      </c:lineChart>
      <c:catAx>
        <c:axId val="11758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58875343"/>
        <c:crosses val="autoZero"/>
        <c:auto val="1"/>
        <c:lblAlgn val="ctr"/>
        <c:lblOffset val="100"/>
        <c:noMultiLvlLbl val="0"/>
      </c:catAx>
      <c:valAx>
        <c:axId val="85887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758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technology share-weights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Shareweights!$D$36</c:f>
              <c:strCache>
                <c:ptCount val="1"/>
                <c:pt idx="0">
                  <c:v>BLASTFUR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Shareweights!$E$36:$O$36</c15:sqref>
                  </c15:fullRef>
                </c:ext>
              </c:extLst>
              <c:f>Shareweights!$H$36:$O$36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E-4E98-9B0B-F7E3BA409DD2}"/>
            </c:ext>
          </c:extLst>
        </c:ser>
        <c:ser>
          <c:idx val="2"/>
          <c:order val="1"/>
          <c:tx>
            <c:strRef>
              <c:f>Shareweights!$D$37</c:f>
              <c:strCache>
                <c:ptCount val="1"/>
                <c:pt idx="0">
                  <c:v>BLASTFUR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Shareweights!$E$37:$O$37</c15:sqref>
                  </c15:fullRef>
                </c:ext>
              </c:extLst>
              <c:f>Shareweights!$H$37:$O$37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4.9999999999999989E-2</c:v>
                </c:pt>
                <c:pt idx="3">
                  <c:v>0.1</c:v>
                </c:pt>
                <c:pt idx="4">
                  <c:v>0.15</c:v>
                </c:pt>
                <c:pt idx="5">
                  <c:v>0.19999999999999998</c:v>
                </c:pt>
                <c:pt idx="6">
                  <c:v>0.25</c:v>
                </c:pt>
                <c:pt idx="7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E-4E98-9B0B-F7E3BA409DD2}"/>
            </c:ext>
          </c:extLst>
        </c:ser>
        <c:ser>
          <c:idx val="3"/>
          <c:order val="2"/>
          <c:tx>
            <c:strRef>
              <c:f>Shareweights!$D$38</c:f>
              <c:strCache>
                <c:ptCount val="1"/>
                <c:pt idx="0">
                  <c:v>BLASTFUR with hydrogen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Shareweights!$E$38:$O$38</c15:sqref>
                  </c15:fullRef>
                </c:ext>
              </c:extLst>
              <c:f>Shareweights!$H$38:$O$38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0.04</c:v>
                </c:pt>
                <c:pt idx="4">
                  <c:v>0.125</c:v>
                </c:pt>
                <c:pt idx="5">
                  <c:v>0.33329999999999999</c:v>
                </c:pt>
                <c:pt idx="6">
                  <c:v>0.41666700000000001</c:v>
                </c:pt>
                <c:pt idx="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2E-4E98-9B0B-F7E3BA409DD2}"/>
            </c:ext>
          </c:extLst>
        </c:ser>
        <c:ser>
          <c:idx val="4"/>
          <c:order val="3"/>
          <c:tx>
            <c:strRef>
              <c:f>Shareweights!$D$40</c:f>
              <c:strCache>
                <c:ptCount val="1"/>
                <c:pt idx="0">
                  <c:v>EAF with DRI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Shareweights!$E$40:$O$40</c15:sqref>
                  </c15:fullRef>
                </c:ext>
              </c:extLst>
              <c:f>Shareweights!$H$40:$O$40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E-4E98-9B0B-F7E3BA409DD2}"/>
            </c:ext>
          </c:extLst>
        </c:ser>
        <c:ser>
          <c:idx val="5"/>
          <c:order val="4"/>
          <c:tx>
            <c:strRef>
              <c:f>Shareweights!$D$41</c:f>
              <c:strCache>
                <c:ptCount val="1"/>
                <c:pt idx="0">
                  <c:v>EAF with DRI CCS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Shareweights!$E$41:$O$41</c15:sqref>
                  </c15:fullRef>
                </c:ext>
              </c:extLst>
              <c:f>Shareweights!$H$41:$O$41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4.9999999999999989E-2</c:v>
                </c:pt>
                <c:pt idx="3">
                  <c:v>0.1</c:v>
                </c:pt>
                <c:pt idx="4">
                  <c:v>0.15</c:v>
                </c:pt>
                <c:pt idx="5">
                  <c:v>0.19999999999999998</c:v>
                </c:pt>
                <c:pt idx="6">
                  <c:v>0.25</c:v>
                </c:pt>
                <c:pt idx="7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E-4E98-9B0B-F7E3BA409DD2}"/>
            </c:ext>
          </c:extLst>
        </c:ser>
        <c:ser>
          <c:idx val="6"/>
          <c:order val="5"/>
          <c:tx>
            <c:strRef>
              <c:f>Shareweights!$D$42</c:f>
              <c:strCache>
                <c:ptCount val="1"/>
                <c:pt idx="0">
                  <c:v>Hydrogen-based DRI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Shareweights!$E$42:$O$42</c15:sqref>
                  </c15:fullRef>
                </c:ext>
              </c:extLst>
              <c:f>Shareweights!$H$42:$O$42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E-4E98-9B0B-F7E3BA409DD2}"/>
            </c:ext>
          </c:extLst>
        </c:ser>
        <c:ser>
          <c:idx val="7"/>
          <c:order val="6"/>
          <c:tx>
            <c:strRef>
              <c:f>Shareweights!$D$44</c:f>
              <c:strCache>
                <c:ptCount val="1"/>
                <c:pt idx="0">
                  <c:v>EAF with scrap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Shareweights!$E$44:$O$44</c15:sqref>
                  </c15:fullRef>
                </c:ext>
              </c:extLst>
              <c:f>Shareweights!$H$44:$O$44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2E-4E98-9B0B-F7E3BA40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03967"/>
        <c:axId val="881510255"/>
      </c:lineChart>
      <c:catAx>
        <c:axId val="13146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1510255"/>
        <c:crosses val="autoZero"/>
        <c:auto val="1"/>
        <c:lblAlgn val="ctr"/>
        <c:lblOffset val="100"/>
        <c:noMultiLvlLbl val="0"/>
      </c:catAx>
      <c:valAx>
        <c:axId val="8815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146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technology share-weights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Shareweights!$D$36</c:f>
              <c:strCache>
                <c:ptCount val="1"/>
                <c:pt idx="0">
                  <c:v>BLASTFUR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Shareweights!$E$36:$O$36</c15:sqref>
                  </c15:fullRef>
                </c:ext>
              </c:extLst>
              <c:f>Shareweights!$H$36:$O$36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63-4C85-A6C1-D4B7B9842005}"/>
            </c:ext>
          </c:extLst>
        </c:ser>
        <c:ser>
          <c:idx val="2"/>
          <c:order val="1"/>
          <c:tx>
            <c:strRef>
              <c:f>Shareweights!$D$37</c:f>
              <c:strCache>
                <c:ptCount val="1"/>
                <c:pt idx="0">
                  <c:v>BLASTFUR CCS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Shareweights!$E$37:$O$37</c15:sqref>
                  </c15:fullRef>
                </c:ext>
              </c:extLst>
              <c:f>Shareweights!$H$37:$O$37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4.9999999999999989E-2</c:v>
                </c:pt>
                <c:pt idx="3">
                  <c:v>0.1</c:v>
                </c:pt>
                <c:pt idx="4">
                  <c:v>0.15</c:v>
                </c:pt>
                <c:pt idx="5">
                  <c:v>0.19999999999999998</c:v>
                </c:pt>
                <c:pt idx="6">
                  <c:v>0.25</c:v>
                </c:pt>
                <c:pt idx="7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63-4C85-A6C1-D4B7B9842005}"/>
            </c:ext>
          </c:extLst>
        </c:ser>
        <c:ser>
          <c:idx val="3"/>
          <c:order val="2"/>
          <c:tx>
            <c:strRef>
              <c:f>Shareweights!$D$38</c:f>
              <c:strCache>
                <c:ptCount val="1"/>
                <c:pt idx="0">
                  <c:v>BLASTFUR with hydrogen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Shareweights!$E$38:$O$38</c15:sqref>
                  </c15:fullRef>
                </c:ext>
              </c:extLst>
              <c:f>Shareweights!$H$38:$O$38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0.04</c:v>
                </c:pt>
                <c:pt idx="4">
                  <c:v>0.125</c:v>
                </c:pt>
                <c:pt idx="5">
                  <c:v>0.33329999999999999</c:v>
                </c:pt>
                <c:pt idx="6">
                  <c:v>0.41666700000000001</c:v>
                </c:pt>
                <c:pt idx="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63-4C85-A6C1-D4B7B9842005}"/>
            </c:ext>
          </c:extLst>
        </c:ser>
        <c:ser>
          <c:idx val="4"/>
          <c:order val="3"/>
          <c:tx>
            <c:strRef>
              <c:f>Shareweights!$D$40</c:f>
              <c:strCache>
                <c:ptCount val="1"/>
                <c:pt idx="0">
                  <c:v>EAF with DRI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Shareweights!$E$40:$O$40</c15:sqref>
                  </c15:fullRef>
                </c:ext>
              </c:extLst>
              <c:f>Shareweights!$H$40:$O$40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63-4C85-A6C1-D4B7B9842005}"/>
            </c:ext>
          </c:extLst>
        </c:ser>
        <c:ser>
          <c:idx val="5"/>
          <c:order val="4"/>
          <c:tx>
            <c:strRef>
              <c:f>Shareweights!$D$41</c:f>
              <c:strCache>
                <c:ptCount val="1"/>
                <c:pt idx="0">
                  <c:v>EAF with DRI CCS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Shareweights!$E$41:$O$41</c15:sqref>
                  </c15:fullRef>
                </c:ext>
              </c:extLst>
              <c:f>Shareweights!$H$41:$O$41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4.9999999999999989E-2</c:v>
                </c:pt>
                <c:pt idx="3">
                  <c:v>0.1</c:v>
                </c:pt>
                <c:pt idx="4">
                  <c:v>0.15</c:v>
                </c:pt>
                <c:pt idx="5">
                  <c:v>0.19999999999999998</c:v>
                </c:pt>
                <c:pt idx="6">
                  <c:v>0.25</c:v>
                </c:pt>
                <c:pt idx="7">
                  <c:v>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63-4C85-A6C1-D4B7B9842005}"/>
            </c:ext>
          </c:extLst>
        </c:ser>
        <c:ser>
          <c:idx val="7"/>
          <c:order val="5"/>
          <c:tx>
            <c:strRef>
              <c:f>Shareweights!$D$44</c:f>
              <c:strCache>
                <c:ptCount val="1"/>
                <c:pt idx="0">
                  <c:v>EAF with scrap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Shareweights!$E$34:$O$34</c15:sqref>
                  </c15:fullRef>
                </c:ext>
              </c:extLst>
              <c:f>Shareweights!$H$34:$O$34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Shareweights!$E$44:$O$44</c15:sqref>
                  </c15:fullRef>
                </c:ext>
              </c:extLst>
              <c:f>Shareweights!$H$44:$O$44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63-4C85-A6C1-D4B7B9842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603967"/>
        <c:axId val="881510255"/>
      </c:lineChart>
      <c:catAx>
        <c:axId val="13146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1510255"/>
        <c:crosses val="autoZero"/>
        <c:auto val="1"/>
        <c:lblAlgn val="ctr"/>
        <c:lblOffset val="100"/>
        <c:noMultiLvlLbl val="0"/>
      </c:catAx>
      <c:valAx>
        <c:axId val="8815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1460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Costs by tech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Costs!$D$56</c:f>
              <c:strCache>
                <c:ptCount val="1"/>
                <c:pt idx="0">
                  <c:v>BLASTFUR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Costs!$E$56:$O$56</c15:sqref>
                  </c15:fullRef>
                </c:ext>
              </c:extLst>
              <c:f>Costs!$J$56:$O$56</c:f>
              <c:numCache>
                <c:formatCode>General</c:formatCode>
                <c:ptCount val="6"/>
                <c:pt idx="0">
                  <c:v>0.11892900000000001</c:v>
                </c:pt>
                <c:pt idx="1">
                  <c:v>0.14513100000000001</c:v>
                </c:pt>
                <c:pt idx="2">
                  <c:v>0.16248299999999999</c:v>
                </c:pt>
                <c:pt idx="3">
                  <c:v>0.182282</c:v>
                </c:pt>
                <c:pt idx="4">
                  <c:v>0.194991</c:v>
                </c:pt>
                <c:pt idx="5">
                  <c:v>0.190053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3-4DB4-9B9C-87DB2960874F}"/>
            </c:ext>
          </c:extLst>
        </c:ser>
        <c:ser>
          <c:idx val="1"/>
          <c:order val="1"/>
          <c:tx>
            <c:strRef>
              <c:f>Costs!$D$57</c:f>
              <c:strCache>
                <c:ptCount val="1"/>
                <c:pt idx="0">
                  <c:v>BLASTFUR CCS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Costs!$E$57:$O$57</c15:sqref>
                  </c15:fullRef>
                </c:ext>
              </c:extLst>
              <c:f>Costs!$J$57:$O$57</c:f>
              <c:numCache>
                <c:formatCode>General</c:formatCode>
                <c:ptCount val="6"/>
                <c:pt idx="0">
                  <c:v>0.110611</c:v>
                </c:pt>
                <c:pt idx="1">
                  <c:v>0.115011</c:v>
                </c:pt>
                <c:pt idx="2">
                  <c:v>0.116898</c:v>
                </c:pt>
                <c:pt idx="3">
                  <c:v>0.118006</c:v>
                </c:pt>
                <c:pt idx="4">
                  <c:v>0.119516</c:v>
                </c:pt>
                <c:pt idx="5">
                  <c:v>0.11895699999999999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3-4DB4-9B9C-87DB2960874F}"/>
            </c:ext>
          </c:extLst>
        </c:ser>
        <c:ser>
          <c:idx val="6"/>
          <c:order val="2"/>
          <c:tx>
            <c:strRef>
              <c:f>Costs!$D$64</c:f>
              <c:strCache>
                <c:ptCount val="1"/>
                <c:pt idx="0">
                  <c:v>EAF with scrap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Costs!$E$64:$O$64</c15:sqref>
                  </c15:fullRef>
                </c:ext>
              </c:extLst>
              <c:f>Costs!$J$64:$O$64</c:f>
              <c:numCache>
                <c:formatCode>General</c:formatCode>
                <c:ptCount val="6"/>
                <c:pt idx="0">
                  <c:v>8.6494100000000004E-2</c:v>
                </c:pt>
                <c:pt idx="1">
                  <c:v>9.2249200000000003E-2</c:v>
                </c:pt>
                <c:pt idx="2">
                  <c:v>9.4425899999999993E-2</c:v>
                </c:pt>
                <c:pt idx="3">
                  <c:v>9.4920699999999997E-2</c:v>
                </c:pt>
                <c:pt idx="4">
                  <c:v>9.2456200000000002E-2</c:v>
                </c:pt>
                <c:pt idx="5">
                  <c:v>8.8435100000000003E-2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E3-4DB4-9B9C-87DB2960874F}"/>
            </c:ext>
          </c:extLst>
        </c:ser>
        <c:ser>
          <c:idx val="3"/>
          <c:order val="3"/>
          <c:tx>
            <c:strRef>
              <c:f>Costs!$D$60</c:f>
              <c:strCache>
                <c:ptCount val="1"/>
                <c:pt idx="0">
                  <c:v>EAF with DRI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Costs!$E$60:$O$60</c15:sqref>
                  </c15:fullRef>
                </c:ext>
              </c:extLst>
              <c:f>Costs!$J$60:$O$60</c:f>
              <c:numCache>
                <c:formatCode>General</c:formatCode>
                <c:ptCount val="6"/>
                <c:pt idx="0">
                  <c:v>0.17775099999999999</c:v>
                </c:pt>
                <c:pt idx="1">
                  <c:v>0.189196</c:v>
                </c:pt>
                <c:pt idx="2">
                  <c:v>0.195299</c:v>
                </c:pt>
                <c:pt idx="3">
                  <c:v>0.20255500000000001</c:v>
                </c:pt>
                <c:pt idx="4">
                  <c:v>0.20364699999999999</c:v>
                </c:pt>
                <c:pt idx="5">
                  <c:v>0.19797699999999999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E3-4DB4-9B9C-87DB2960874F}"/>
            </c:ext>
          </c:extLst>
        </c:ser>
        <c:ser>
          <c:idx val="4"/>
          <c:order val="4"/>
          <c:tx>
            <c:strRef>
              <c:f>Costs!$D$61</c:f>
              <c:strCache>
                <c:ptCount val="1"/>
                <c:pt idx="0">
                  <c:v>EAF with DRI CCS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Costs!$E$61:$O$61</c15:sqref>
                  </c15:fullRef>
                </c:ext>
              </c:extLst>
              <c:f>Costs!$J$61:$O$61</c:f>
              <c:numCache>
                <c:formatCode>General</c:formatCode>
                <c:ptCount val="6"/>
                <c:pt idx="0">
                  <c:v>0.17912</c:v>
                </c:pt>
                <c:pt idx="1">
                  <c:v>0.18323999999999999</c:v>
                </c:pt>
                <c:pt idx="2">
                  <c:v>0.183947</c:v>
                </c:pt>
                <c:pt idx="3">
                  <c:v>0.184923</c:v>
                </c:pt>
                <c:pt idx="4">
                  <c:v>0.182086</c:v>
                </c:pt>
                <c:pt idx="5">
                  <c:v>0.17785400000000001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E3-4DB4-9B9C-87DB2960874F}"/>
            </c:ext>
          </c:extLst>
        </c:ser>
        <c:ser>
          <c:idx val="5"/>
          <c:order val="5"/>
          <c:tx>
            <c:strRef>
              <c:f>Costs!$D$62</c:f>
              <c:strCache>
                <c:ptCount val="1"/>
                <c:pt idx="0">
                  <c:v>Hydrogen-based DRI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Costs!$E$54:$O$54</c15:sqref>
                  </c15:fullRef>
                </c:ext>
              </c:extLst>
              <c:f>Costs!$J$54:$O$54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Costs!$E$62:$O$62</c15:sqref>
                  </c15:fullRef>
                </c:ext>
              </c:extLst>
              <c:f>Costs!$J$62:$O$62</c:f>
              <c:numCache>
                <c:formatCode>General</c:formatCode>
                <c:ptCount val="6"/>
                <c:pt idx="0">
                  <c:v>0.27346799999999999</c:v>
                </c:pt>
                <c:pt idx="1">
                  <c:v>0.27897899999999998</c:v>
                </c:pt>
                <c:pt idx="2">
                  <c:v>0.26877899999999999</c:v>
                </c:pt>
                <c:pt idx="3">
                  <c:v>0.264434</c:v>
                </c:pt>
                <c:pt idx="4">
                  <c:v>0.256936</c:v>
                </c:pt>
                <c:pt idx="5">
                  <c:v>0.25150899999999998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E3-4DB4-9B9C-87DB2960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653935"/>
        <c:axId val="1320213887"/>
      </c:lineChart>
      <c:catAx>
        <c:axId val="114365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20213887"/>
        <c:crosses val="autoZero"/>
        <c:auto val="1"/>
        <c:lblAlgn val="ctr"/>
        <c:lblOffset val="100"/>
        <c:noMultiLvlLbl val="0"/>
      </c:catAx>
      <c:valAx>
        <c:axId val="132021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365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non-energy costs by tech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Costs!$F$29</c:f>
              <c:strCache>
                <c:ptCount val="1"/>
                <c:pt idx="0">
                  <c:v>DRI-H2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Costs!$G$29:$Q$29</c15:sqref>
                  </c15:fullRef>
                </c:ext>
              </c:extLst>
              <c:f>Costs!$I$29:$Q$29</c:f>
              <c:numCache>
                <c:formatCode>General</c:formatCode>
                <c:ptCount val="9"/>
                <c:pt idx="3">
                  <c:v>288.91378847830464</c:v>
                </c:pt>
                <c:pt idx="4">
                  <c:v>274.87180604922537</c:v>
                </c:pt>
                <c:pt idx="5">
                  <c:v>260.82982362014621</c:v>
                </c:pt>
                <c:pt idx="6">
                  <c:v>247.13889075179401</c:v>
                </c:pt>
                <c:pt idx="7">
                  <c:v>233.0969083227148</c:v>
                </c:pt>
                <c:pt idx="8">
                  <c:v>219.40597545436256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A-4911-AF0E-C0D1DFCFA768}"/>
            </c:ext>
          </c:extLst>
        </c:ser>
        <c:ser>
          <c:idx val="5"/>
          <c:order val="1"/>
          <c:tx>
            <c:strRef>
              <c:f>Costs!$F$28</c:f>
              <c:strCache>
                <c:ptCount val="1"/>
                <c:pt idx="0">
                  <c:v>DRI-EAF-CCS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Costs!$G$28:$Q$28</c15:sqref>
                  </c15:fullRef>
                </c:ext>
              </c:extLst>
              <c:f>Costs!$I$28:$Q$28</c:f>
              <c:numCache>
                <c:formatCode>General</c:formatCode>
                <c:ptCount val="9"/>
                <c:pt idx="3">
                  <c:v>327.88028971899939</c:v>
                </c:pt>
                <c:pt idx="4">
                  <c:v>321.56139762591374</c:v>
                </c:pt>
                <c:pt idx="5">
                  <c:v>314.89145597210114</c:v>
                </c:pt>
                <c:pt idx="6">
                  <c:v>308.57256387901549</c:v>
                </c:pt>
                <c:pt idx="7">
                  <c:v>301.90262222520289</c:v>
                </c:pt>
                <c:pt idx="8">
                  <c:v>295.58373013211718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3AA-4911-AF0E-C0D1DFCFA768}"/>
            </c:ext>
          </c:extLst>
        </c:ser>
        <c:ser>
          <c:idx val="4"/>
          <c:order val="2"/>
          <c:tx>
            <c:strRef>
              <c:f>Costs!$F$27</c:f>
              <c:strCache>
                <c:ptCount val="1"/>
                <c:pt idx="0">
                  <c:v>DRI-EAF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Costs!$G$27:$Q$27</c15:sqref>
                  </c15:fullRef>
                </c:ext>
              </c:extLst>
              <c:f>Costs!$I$27:$Q$27</c:f>
              <c:numCache>
                <c:formatCode>General</c:formatCode>
                <c:ptCount val="9"/>
                <c:pt idx="0">
                  <c:v>330.68868620481521</c:v>
                </c:pt>
                <c:pt idx="1">
                  <c:v>324.36979411172962</c:v>
                </c:pt>
                <c:pt idx="2">
                  <c:v>318.05090201864397</c:v>
                </c:pt>
                <c:pt idx="3">
                  <c:v>312.08305948628526</c:v>
                </c:pt>
                <c:pt idx="4">
                  <c:v>305.76416739319967</c:v>
                </c:pt>
                <c:pt idx="5">
                  <c:v>299.79632486084103</c:v>
                </c:pt>
                <c:pt idx="6">
                  <c:v>293.47743276775532</c:v>
                </c:pt>
                <c:pt idx="7">
                  <c:v>287.50959023539667</c:v>
                </c:pt>
                <c:pt idx="8">
                  <c:v>281.19069814231108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A-4911-AF0E-C0D1DFCFA768}"/>
            </c:ext>
          </c:extLst>
        </c:ser>
        <c:ser>
          <c:idx val="8"/>
          <c:order val="3"/>
          <c:tx>
            <c:strRef>
              <c:f>Costs!$F$30</c:f>
              <c:strCache>
                <c:ptCount val="1"/>
                <c:pt idx="0">
                  <c:v>EAF-scrap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Costs!$G$30:$Q$30</c15:sqref>
                  </c15:fullRef>
                </c:ext>
              </c:extLst>
              <c:f>Costs!$I$30:$Q$30</c:f>
              <c:numCache>
                <c:formatCode>General</c:formatCode>
                <c:ptCount val="9"/>
                <c:pt idx="0">
                  <c:v>87.06029106029105</c:v>
                </c:pt>
                <c:pt idx="1">
                  <c:v>85.305043256656148</c:v>
                </c:pt>
                <c:pt idx="2">
                  <c:v>83.900845013748238</c:v>
                </c:pt>
                <c:pt idx="3">
                  <c:v>82.145597210113351</c:v>
                </c:pt>
                <c:pt idx="4">
                  <c:v>80.390349406478435</c:v>
                </c:pt>
                <c:pt idx="5">
                  <c:v>78.986151163570511</c:v>
                </c:pt>
                <c:pt idx="6">
                  <c:v>77.23090335993561</c:v>
                </c:pt>
                <c:pt idx="7">
                  <c:v>75.475655556300723</c:v>
                </c:pt>
                <c:pt idx="8">
                  <c:v>74.071457313392798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A-4911-AF0E-C0D1DFCFA768}"/>
            </c:ext>
          </c:extLst>
        </c:ser>
        <c:ser>
          <c:idx val="2"/>
          <c:order val="4"/>
          <c:tx>
            <c:strRef>
              <c:f>Costs!$F$25</c:f>
              <c:strCache>
                <c:ptCount val="1"/>
                <c:pt idx="0">
                  <c:v>BF-H2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Costs!$G$25:$Q$25</c15:sqref>
                  </c15:fullRef>
                </c:ext>
              </c:extLst>
              <c:f>Costs!$I$25:$Q$25</c:f>
              <c:numCache>
                <c:formatCode>General</c:formatCode>
                <c:ptCount val="9"/>
                <c:pt idx="0">
                  <c:v>119.70790020790021</c:v>
                </c:pt>
                <c:pt idx="1">
                  <c:v>117.60160284353833</c:v>
                </c:pt>
                <c:pt idx="2">
                  <c:v>115.49530547917644</c:v>
                </c:pt>
                <c:pt idx="3">
                  <c:v>113.0379585540876</c:v>
                </c:pt>
                <c:pt idx="4">
                  <c:v>110.93166118972572</c:v>
                </c:pt>
                <c:pt idx="5">
                  <c:v>108.47431426463685</c:v>
                </c:pt>
                <c:pt idx="6">
                  <c:v>106.36801690027497</c:v>
                </c:pt>
                <c:pt idx="7">
                  <c:v>104.26171953591309</c:v>
                </c:pt>
                <c:pt idx="8">
                  <c:v>101.80437261082423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A-4911-AF0E-C0D1DFCFA768}"/>
            </c:ext>
          </c:extLst>
        </c:ser>
        <c:ser>
          <c:idx val="1"/>
          <c:order val="5"/>
          <c:tx>
            <c:strRef>
              <c:f>Costs!$F$24</c:f>
              <c:strCache>
                <c:ptCount val="1"/>
                <c:pt idx="0">
                  <c:v>BF-CCS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Costs!$G$24:$Q$24</c15:sqref>
                  </c15:fullRef>
                </c:ext>
              </c:extLst>
              <c:f>Costs!$I$24:$Q$24</c:f>
              <c:numCache>
                <c:formatCode>General</c:formatCode>
                <c:ptCount val="9"/>
                <c:pt idx="3">
                  <c:v>116.5484541613574</c:v>
                </c:pt>
                <c:pt idx="4">
                  <c:v>114.4421567969955</c:v>
                </c:pt>
                <c:pt idx="5">
                  <c:v>111.98480987190663</c:v>
                </c:pt>
                <c:pt idx="6">
                  <c:v>109.87851250754478</c:v>
                </c:pt>
                <c:pt idx="7">
                  <c:v>107.4211655824559</c:v>
                </c:pt>
                <c:pt idx="8">
                  <c:v>105.31486821809402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3AA-4911-AF0E-C0D1DFCFA768}"/>
            </c:ext>
          </c:extLst>
        </c:ser>
        <c:ser>
          <c:idx val="0"/>
          <c:order val="6"/>
          <c:tx>
            <c:strRef>
              <c:f>Costs!$F$23</c:f>
              <c:strCache>
                <c:ptCount val="1"/>
                <c:pt idx="0">
                  <c:v>BF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Costs!$G$22:$Q$22</c15:sqref>
                  </c15:fullRef>
                </c:ext>
              </c:extLst>
              <c:f>Costs!$I$22:$Q$22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Costs!$G$23:$Q$23</c15:sqref>
                  </c15:fullRef>
                </c:ext>
              </c:extLst>
              <c:f>Costs!$I$23:$Q$23</c:f>
              <c:numCache>
                <c:formatCode>General</c:formatCode>
                <c:ptCount val="9"/>
                <c:pt idx="0">
                  <c:v>119.70790020790021</c:v>
                </c:pt>
                <c:pt idx="1">
                  <c:v>117.60160284353833</c:v>
                </c:pt>
                <c:pt idx="2">
                  <c:v>115.49530547917644</c:v>
                </c:pt>
                <c:pt idx="3">
                  <c:v>113.0379585540876</c:v>
                </c:pt>
                <c:pt idx="4">
                  <c:v>110.93166118972572</c:v>
                </c:pt>
                <c:pt idx="5">
                  <c:v>108.47431426463685</c:v>
                </c:pt>
                <c:pt idx="6">
                  <c:v>106.36801690027497</c:v>
                </c:pt>
                <c:pt idx="7">
                  <c:v>104.26171953591309</c:v>
                </c:pt>
                <c:pt idx="8">
                  <c:v>101.80437261082423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AA-4911-AF0E-C0D1DFCFA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344415"/>
        <c:axId val="237614719"/>
        <c:extLst/>
      </c:lineChart>
      <c:catAx>
        <c:axId val="41634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237614719"/>
        <c:crosses val="autoZero"/>
        <c:auto val="1"/>
        <c:lblAlgn val="ctr"/>
        <c:lblOffset val="100"/>
        <c:noMultiLvlLbl val="0"/>
      </c:catAx>
      <c:valAx>
        <c:axId val="2376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416344415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="0"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NZ-0p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'NZ-0p_iron_steel_production'!$C$27</c:f>
              <c:strCache>
                <c:ptCount val="1"/>
                <c:pt idx="0">
                  <c:v>BF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'NZ-0p_iron_steel_production'!$D$27:$K$27</c:f>
              <c:numCache>
                <c:formatCode>General</c:formatCode>
                <c:ptCount val="8"/>
                <c:pt idx="0">
                  <c:v>48.5</c:v>
                </c:pt>
                <c:pt idx="1">
                  <c:v>54.215699999999998</c:v>
                </c:pt>
                <c:pt idx="2">
                  <c:v>52.266800000000003</c:v>
                </c:pt>
                <c:pt idx="3">
                  <c:v>41.821979999999897</c:v>
                </c:pt>
                <c:pt idx="4">
                  <c:v>27.175550000000001</c:v>
                </c:pt>
                <c:pt idx="5">
                  <c:v>15.94389</c:v>
                </c:pt>
                <c:pt idx="6">
                  <c:v>6.9156180000000003</c:v>
                </c:pt>
                <c:pt idx="7">
                  <c:v>1.9714286999999999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B6-4A59-9F26-F53D6CEDE050}"/>
            </c:ext>
          </c:extLst>
        </c:ser>
        <c:ser>
          <c:idx val="7"/>
          <c:order val="1"/>
          <c:tx>
            <c:strRef>
              <c:f>'NZ-0p_iron_steel_production'!$C$26</c:f>
              <c:strCache>
                <c:ptCount val="1"/>
                <c:pt idx="0">
                  <c:v>BF-CCS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'NZ-0p_iron_steel_production'!$D$26:$K$26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7.2221199999999999E-2</c:v>
                </c:pt>
                <c:pt idx="3">
                  <c:v>0.67008699999999999</c:v>
                </c:pt>
                <c:pt idx="4">
                  <c:v>2.4764809999999899</c:v>
                </c:pt>
                <c:pt idx="5">
                  <c:v>4.7760791999999999</c:v>
                </c:pt>
                <c:pt idx="6">
                  <c:v>6.9654049999999996</c:v>
                </c:pt>
                <c:pt idx="7">
                  <c:v>6.5008080000000001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B6-4A59-9F26-F53D6CEDE050}"/>
            </c:ext>
          </c:extLst>
        </c:ser>
        <c:ser>
          <c:idx val="6"/>
          <c:order val="2"/>
          <c:tx>
            <c:strRef>
              <c:f>'NZ-0p_iron_steel_production'!$C$25</c:f>
              <c:strCache>
                <c:ptCount val="1"/>
                <c:pt idx="0">
                  <c:v>BF-H2</c:v>
                </c:pt>
              </c:strCache>
            </c:strRef>
          </c:tx>
          <c:spPr>
            <a:solidFill>
              <a:srgbClr val="E7E6E6">
                <a:lumMod val="75000"/>
              </a:srgbClr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'NZ-0p_iron_steel_production'!$D$25:$K$25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0.109558</c:v>
                </c:pt>
                <c:pt idx="3">
                  <c:v>0.55454550000000002</c:v>
                </c:pt>
                <c:pt idx="4">
                  <c:v>1.3739452000000001</c:v>
                </c:pt>
                <c:pt idx="5">
                  <c:v>1.9481085999999901</c:v>
                </c:pt>
                <c:pt idx="6">
                  <c:v>1.6554374000000001</c:v>
                </c:pt>
                <c:pt idx="7">
                  <c:v>0.93248430000000004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B6-4A59-9F26-F53D6CEDE050}"/>
            </c:ext>
          </c:extLst>
        </c:ser>
        <c:ser>
          <c:idx val="3"/>
          <c:order val="3"/>
          <c:tx>
            <c:strRef>
              <c:f>'NZ-0p_iron_steel_production'!$C$22</c:f>
              <c:strCache>
                <c:ptCount val="1"/>
                <c:pt idx="0">
                  <c:v>EAF-scrap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'NZ-0p_iron_steel_production'!$D$22:$K$22</c:f>
              <c:numCache>
                <c:formatCode>General</c:formatCode>
                <c:ptCount val="8"/>
                <c:pt idx="0">
                  <c:v>10.6</c:v>
                </c:pt>
                <c:pt idx="1">
                  <c:v>10.9221</c:v>
                </c:pt>
                <c:pt idx="2">
                  <c:v>12.58053</c:v>
                </c:pt>
                <c:pt idx="3">
                  <c:v>14.64537</c:v>
                </c:pt>
                <c:pt idx="4">
                  <c:v>14.591652</c:v>
                </c:pt>
                <c:pt idx="5">
                  <c:v>15.087057999999899</c:v>
                </c:pt>
                <c:pt idx="6">
                  <c:v>16.32508</c:v>
                </c:pt>
                <c:pt idx="7">
                  <c:v>18.075620000000001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6-4A59-9F26-F53D6CEDE050}"/>
            </c:ext>
          </c:extLst>
        </c:ser>
        <c:ser>
          <c:idx val="5"/>
          <c:order val="4"/>
          <c:tx>
            <c:strRef>
              <c:f>'NZ-0p_iron_steel_production'!$C$24</c:f>
              <c:strCache>
                <c:ptCount val="1"/>
                <c:pt idx="0">
                  <c:v>DRI-EAF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'NZ-0p_iron_steel_production'!$D$24:$K$24</c:f>
              <c:numCache>
                <c:formatCode>General</c:formatCode>
                <c:ptCount val="8"/>
                <c:pt idx="0">
                  <c:v>10.6</c:v>
                </c:pt>
                <c:pt idx="1">
                  <c:v>12.31157</c:v>
                </c:pt>
                <c:pt idx="2">
                  <c:v>16.49502</c:v>
                </c:pt>
                <c:pt idx="3">
                  <c:v>21.820529999999899</c:v>
                </c:pt>
                <c:pt idx="4">
                  <c:v>27.380091999999902</c:v>
                </c:pt>
                <c:pt idx="5">
                  <c:v>27.120059999999999</c:v>
                </c:pt>
                <c:pt idx="6">
                  <c:v>22.315199999999901</c:v>
                </c:pt>
                <c:pt idx="7">
                  <c:v>15.63565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B6-4A59-9F26-F53D6CEDE050}"/>
            </c:ext>
          </c:extLst>
        </c:ser>
        <c:ser>
          <c:idx val="4"/>
          <c:order val="5"/>
          <c:tx>
            <c:strRef>
              <c:f>'NZ-0p_iron_steel_production'!$C$23</c:f>
              <c:strCache>
                <c:ptCount val="1"/>
                <c:pt idx="0">
                  <c:v>DRI-EAF-CCS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'NZ-0p_iron_steel_production'!$D$23:$K$23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0.203345</c:v>
                </c:pt>
                <c:pt idx="3">
                  <c:v>0.99235600000000002</c:v>
                </c:pt>
                <c:pt idx="4">
                  <c:v>2.9587119999999998</c:v>
                </c:pt>
                <c:pt idx="5">
                  <c:v>5.3354479000000001</c:v>
                </c:pt>
                <c:pt idx="6">
                  <c:v>8.3867519999999995</c:v>
                </c:pt>
                <c:pt idx="7">
                  <c:v>11.099288999999899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B6-4A59-9F26-F53D6CEDE050}"/>
            </c:ext>
          </c:extLst>
        </c:ser>
        <c:ser>
          <c:idx val="1"/>
          <c:order val="6"/>
          <c:tx>
            <c:strRef>
              <c:f>'NZ-0p_iron_steel_production'!$C$20</c:f>
              <c:strCache>
                <c:ptCount val="1"/>
                <c:pt idx="0">
                  <c:v>DRI-EAF-H2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'NZ-0p_iron_steel_production'!$D$19:$K$19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'NZ-0p_iron_steel_production'!$D$20:$K$20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1.4922</c:v>
                </c:pt>
                <c:pt idx="3">
                  <c:v>5.5658099999999999</c:v>
                </c:pt>
                <c:pt idx="4">
                  <c:v>10.873927999999999</c:v>
                </c:pt>
                <c:pt idx="5">
                  <c:v>15.9733179999999</c:v>
                </c:pt>
                <c:pt idx="6">
                  <c:v>22.071542000000001</c:v>
                </c:pt>
                <c:pt idx="7">
                  <c:v>27.913399999999999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6-4A59-9F26-F53D6CED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07283615"/>
        <c:axId val="1406646223"/>
      </c:barChart>
      <c:catAx>
        <c:axId val="14072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6646223"/>
        <c:crosses val="autoZero"/>
        <c:auto val="1"/>
        <c:lblAlgn val="ctr"/>
        <c:lblOffset val="100"/>
        <c:noMultiLvlLbl val="0"/>
      </c:catAx>
      <c:valAx>
        <c:axId val="14066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ko-KR" altLang="en-US"/>
                  <a:t>제목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72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Iron and steel energy consumption by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7"/>
          <c:order val="0"/>
          <c:tx>
            <c:strRef>
              <c:f>'NZ-0p_iron_steel_energy'!$F$47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'NZ-0p_iron_steel_energy'!$G$38:$N$38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'NZ-0p_iron_steel_energy'!$G$47:$N$47</c:f>
              <c:numCache>
                <c:formatCode>General</c:formatCode>
                <c:ptCount val="8"/>
                <c:pt idx="0">
                  <c:v>4.18857E-3</c:v>
                </c:pt>
                <c:pt idx="1">
                  <c:v>4.7637663999999993E-3</c:v>
                </c:pt>
                <c:pt idx="2">
                  <c:v>6.2766001674999889E-3</c:v>
                </c:pt>
                <c:pt idx="3">
                  <c:v>8.3613009977000011E-3</c:v>
                </c:pt>
                <c:pt idx="4">
                  <c:v>1.0745236343699989E-2</c:v>
                </c:pt>
                <c:pt idx="5">
                  <c:v>1.144842214579999E-2</c:v>
                </c:pt>
                <c:pt idx="6">
                  <c:v>1.0965914187999991E-2</c:v>
                </c:pt>
                <c:pt idx="7">
                  <c:v>9.8124817490999987E-3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A7-43BB-9738-E8BE9EB613EE}"/>
            </c:ext>
          </c:extLst>
        </c:ser>
        <c:ser>
          <c:idx val="5"/>
          <c:order val="1"/>
          <c:tx>
            <c:strRef>
              <c:f>'NZ-0p_iron_steel_energy'!$F$45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ysClr val="windowText" lastClr="000000"/>
            </a:solidFill>
            <a:ln>
              <a:noFill/>
            </a:ln>
            <a:effectLst/>
          </c:spPr>
          <c:invertIfNegative val="0"/>
          <c:cat>
            <c:numRef>
              <c:f>'NZ-0p_iron_steel_energy'!$G$38:$N$38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'NZ-0p_iron_steel_energy'!$G$45:$N$45</c:f>
              <c:numCache>
                <c:formatCode>General</c:formatCode>
                <c:ptCount val="8"/>
                <c:pt idx="0">
                  <c:v>0.85360729999999996</c:v>
                </c:pt>
                <c:pt idx="1">
                  <c:v>0.95530556999999994</c:v>
                </c:pt>
                <c:pt idx="2">
                  <c:v>0.93347985</c:v>
                </c:pt>
                <c:pt idx="3">
                  <c:v>0.77385283999999999</c:v>
                </c:pt>
                <c:pt idx="4">
                  <c:v>0.54813415700000001</c:v>
                </c:pt>
                <c:pt idx="5">
                  <c:v>0.36352648600000004</c:v>
                </c:pt>
                <c:pt idx="6">
                  <c:v>0.19388435000000001</c:v>
                </c:pt>
                <c:pt idx="7">
                  <c:v>8.3653990000000011E-2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A7-43BB-9738-E8BE9EB613EE}"/>
            </c:ext>
          </c:extLst>
        </c:ser>
        <c:ser>
          <c:idx val="9"/>
          <c:order val="2"/>
          <c:tx>
            <c:strRef>
              <c:f>'NZ-0p_iron_steel_energy'!$F$44</c:f>
              <c:strCache>
                <c:ptCount val="1"/>
                <c:pt idx="0">
                  <c:v>Coal CCS</c:v>
                </c:pt>
              </c:strCache>
            </c:strRef>
          </c:tx>
          <c:spPr>
            <a:pattFill prst="wdUpDiag">
              <a:fgClr>
                <a:sysClr val="windowText" lastClr="00000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'NZ-0p_iron_steel_energy'!$G$44:$N$44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1.7179070000000001E-3</c:v>
                </c:pt>
                <c:pt idx="3">
                  <c:v>1.3808709000000001E-2</c:v>
                </c:pt>
                <c:pt idx="4">
                  <c:v>4.9345306999999998E-2</c:v>
                </c:pt>
                <c:pt idx="5">
                  <c:v>9.4283108699999993E-2</c:v>
                </c:pt>
                <c:pt idx="6">
                  <c:v>0.13894462199999999</c:v>
                </c:pt>
                <c:pt idx="7">
                  <c:v>0.13747124599999899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4F-4C7C-89DD-B1B11867573D}"/>
            </c:ext>
          </c:extLst>
        </c:ser>
        <c:ser>
          <c:idx val="4"/>
          <c:order val="3"/>
          <c:tx>
            <c:strRef>
              <c:f>'NZ-0p_iron_steel_energy'!$F$43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'NZ-0p_iron_steel_energy'!$G$38:$N$38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'NZ-0p_iron_steel_energy'!$G$43:$N$43</c:f>
              <c:numCache>
                <c:formatCode>General</c:formatCode>
                <c:ptCount val="8"/>
                <c:pt idx="0">
                  <c:v>6.3962699999999997E-2</c:v>
                </c:pt>
                <c:pt idx="1">
                  <c:v>7.4281705699999992E-2</c:v>
                </c:pt>
                <c:pt idx="2">
                  <c:v>9.9438216179999997E-2</c:v>
                </c:pt>
                <c:pt idx="3">
                  <c:v>0.13143169775499999</c:v>
                </c:pt>
                <c:pt idx="4">
                  <c:v>0.16481887665199899</c:v>
                </c:pt>
                <c:pt idx="5">
                  <c:v>0.16321373553600002</c:v>
                </c:pt>
                <c:pt idx="6">
                  <c:v>0.134271499914</c:v>
                </c:pt>
                <c:pt idx="7">
                  <c:v>9.4066004838999892E-2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A7-43BB-9738-E8BE9EB613EE}"/>
            </c:ext>
          </c:extLst>
        </c:ser>
        <c:ser>
          <c:idx val="0"/>
          <c:order val="4"/>
          <c:tx>
            <c:strRef>
              <c:f>'NZ-0p_iron_steel_energy'!$F$42</c:f>
              <c:strCache>
                <c:ptCount val="1"/>
                <c:pt idx="0">
                  <c:v>Gas CCS</c:v>
                </c:pt>
              </c:strCache>
            </c:strRef>
          </c:tx>
          <c:spPr>
            <a:pattFill prst="wdUpDiag">
              <a:fgClr>
                <a:srgbClr val="00B0F0"/>
              </a:fgClr>
              <a:bgClr>
                <a:sysClr val="window" lastClr="FFFFFF"/>
              </a:bgClr>
            </a:pattFill>
            <a:ln>
              <a:noFill/>
            </a:ln>
            <a:effectLst/>
          </c:spPr>
          <c:invertIfNegative val="0"/>
          <c:val>
            <c:numRef>
              <c:f>'NZ-0p_iron_steel_energy'!$G$42:$N$42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1.2234233290000002E-3</c:v>
                </c:pt>
                <c:pt idx="3">
                  <c:v>5.9718393619999999E-3</c:v>
                </c:pt>
                <c:pt idx="4">
                  <c:v>1.7807016209999998E-2</c:v>
                </c:pt>
                <c:pt idx="5">
                  <c:v>3.2112894481199999E-2</c:v>
                </c:pt>
                <c:pt idx="6">
                  <c:v>5.0475618738000001E-2</c:v>
                </c:pt>
                <c:pt idx="7">
                  <c:v>6.6789533370000001E-2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F-4C7C-89DD-B1B11867573D}"/>
            </c:ext>
          </c:extLst>
        </c:ser>
        <c:ser>
          <c:idx val="2"/>
          <c:order val="5"/>
          <c:tx>
            <c:strRef>
              <c:f>'NZ-0p_iron_steel_energy'!$F$40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'NZ-0p_iron_steel_energy'!$G$38:$N$38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'NZ-0p_iron_steel_energy'!$G$40:$N$40</c:f>
              <c:numCache>
                <c:formatCode>General</c:formatCode>
                <c:ptCount val="8"/>
                <c:pt idx="0">
                  <c:v>0.19544590000000001</c:v>
                </c:pt>
                <c:pt idx="1">
                  <c:v>0.2156413999999999</c:v>
                </c:pt>
                <c:pt idx="2">
                  <c:v>0.24752032559999998</c:v>
                </c:pt>
                <c:pt idx="3">
                  <c:v>0.28619461390000001</c:v>
                </c:pt>
                <c:pt idx="4">
                  <c:v>0.32013132769999886</c:v>
                </c:pt>
                <c:pt idx="5">
                  <c:v>0.33884387029999996</c:v>
                </c:pt>
                <c:pt idx="6">
                  <c:v>0.35200257230000004</c:v>
                </c:pt>
                <c:pt idx="7">
                  <c:v>0.35918974619999905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A7-43BB-9738-E8BE9EB613EE}"/>
            </c:ext>
          </c:extLst>
        </c:ser>
        <c:ser>
          <c:idx val="1"/>
          <c:order val="6"/>
          <c:tx>
            <c:strRef>
              <c:f>'NZ-0p_iron_steel_energy'!$F$39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numRef>
              <c:f>'NZ-0p_iron_steel_energy'!$G$38:$N$38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'NZ-0p_iron_steel_energy'!$G$39:$N$39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2.1803321000000001E-2</c:v>
                </c:pt>
                <c:pt idx="3">
                  <c:v>8.1806090999999997E-2</c:v>
                </c:pt>
                <c:pt idx="4">
                  <c:v>0.16078330599999999</c:v>
                </c:pt>
                <c:pt idx="5">
                  <c:v>0.23595169849999997</c:v>
                </c:pt>
                <c:pt idx="6">
                  <c:v>0.322613926</c:v>
                </c:pt>
                <c:pt idx="7">
                  <c:v>0.40417167300000001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A7-43BB-9738-E8BE9EB61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CP_iron_steel_energy_tech!$F$34</c:f>
              <c:strCache>
                <c:ptCount val="1"/>
                <c:pt idx="0">
                  <c:v>Blast Furnace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CP_iron_steel_energy_tech!$G$34:$N$34</c:f>
              <c:numCache>
                <c:formatCode>General</c:formatCode>
                <c:ptCount val="8"/>
                <c:pt idx="0">
                  <c:v>0.91990454999999993</c:v>
                </c:pt>
                <c:pt idx="1">
                  <c:v>1.0275571668000001</c:v>
                </c:pt>
                <c:pt idx="2">
                  <c:v>1.1046493214999999</c:v>
                </c:pt>
                <c:pt idx="3">
                  <c:v>1.1226942542499998</c:v>
                </c:pt>
                <c:pt idx="4">
                  <c:v>1.0944509544000001</c:v>
                </c:pt>
                <c:pt idx="5">
                  <c:v>1.023898355659999</c:v>
                </c:pt>
                <c:pt idx="6">
                  <c:v>0.88554622703999997</c:v>
                </c:pt>
                <c:pt idx="7">
                  <c:v>0.66049250703999995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B6-4A59-9F26-F53D6CEDE050}"/>
            </c:ext>
          </c:extLst>
        </c:ser>
        <c:ser>
          <c:idx val="7"/>
          <c:order val="1"/>
          <c:tx>
            <c:strRef>
              <c:f>CP_iron_steel_energy_tech!$F$33</c:f>
              <c:strCache>
                <c:ptCount val="1"/>
                <c:pt idx="0">
                  <c:v>Blast Furnace CCS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CP_iron_steel_energy_tech!$G$33:$N$33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B6-4A59-9F26-F53D6CEDE050}"/>
            </c:ext>
          </c:extLst>
        </c:ser>
        <c:ser>
          <c:idx val="6"/>
          <c:order val="2"/>
          <c:tx>
            <c:strRef>
              <c:f>CP_iron_steel_energy_tech!$F$32</c:f>
              <c:strCache>
                <c:ptCount val="1"/>
                <c:pt idx="0">
                  <c:v>Blast Furnace with hydrogen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CP_iron_steel_energy_tech!$G$32:$N$32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B6-4A59-9F26-F53D6CEDE050}"/>
            </c:ext>
          </c:extLst>
        </c:ser>
        <c:ser>
          <c:idx val="3"/>
          <c:order val="3"/>
          <c:tx>
            <c:strRef>
              <c:f>CP_iron_steel_energy_tech!$F$29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CP_iron_steel_energy_tech!$G$29:$N$29</c:f>
              <c:numCache>
                <c:formatCode>General</c:formatCode>
                <c:ptCount val="8"/>
                <c:pt idx="0">
                  <c:v>5.7060879999999994E-2</c:v>
                </c:pt>
                <c:pt idx="1">
                  <c:v>5.8845248000000003E-2</c:v>
                </c:pt>
                <c:pt idx="2">
                  <c:v>5.3818932E-2</c:v>
                </c:pt>
                <c:pt idx="3">
                  <c:v>4.4305092899999995E-2</c:v>
                </c:pt>
                <c:pt idx="4">
                  <c:v>3.2746845000000004E-2</c:v>
                </c:pt>
                <c:pt idx="5">
                  <c:v>2.9121087699999999E-2</c:v>
                </c:pt>
                <c:pt idx="6">
                  <c:v>2.9849417100000001E-2</c:v>
                </c:pt>
                <c:pt idx="7">
                  <c:v>3.5590182299999898E-2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6-4A59-9F26-F53D6CEDE050}"/>
            </c:ext>
          </c:extLst>
        </c:ser>
        <c:ser>
          <c:idx val="5"/>
          <c:order val="4"/>
          <c:tx>
            <c:strRef>
              <c:f>CP_iron_steel_energy_tech!$F$31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CP_iron_steel_energy_tech!$G$31:$N$31</c:f>
              <c:numCache>
                <c:formatCode>General</c:formatCode>
                <c:ptCount val="8"/>
                <c:pt idx="0">
                  <c:v>0.14023903999999998</c:v>
                </c:pt>
                <c:pt idx="1">
                  <c:v>0.16328733999999989</c:v>
                </c:pt>
                <c:pt idx="2">
                  <c:v>0.19820851299999992</c:v>
                </c:pt>
                <c:pt idx="3">
                  <c:v>0.24672258999999999</c:v>
                </c:pt>
                <c:pt idx="4">
                  <c:v>0.30488007500000003</c:v>
                </c:pt>
                <c:pt idx="5">
                  <c:v>0.35445342400000002</c:v>
                </c:pt>
                <c:pt idx="6">
                  <c:v>0.42867454400000005</c:v>
                </c:pt>
                <c:pt idx="7">
                  <c:v>0.53838607099999991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B6-4A59-9F26-F53D6CEDE050}"/>
            </c:ext>
          </c:extLst>
        </c:ser>
        <c:ser>
          <c:idx val="4"/>
          <c:order val="5"/>
          <c:tx>
            <c:strRef>
              <c:f>CP_iron_steel_energy_tech!$F$30</c:f>
              <c:strCache>
                <c:ptCount val="1"/>
                <c:pt idx="0">
                  <c:v>EAF with DRI CCS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CP_iron_steel_energy_tech!$G$30:$N$30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B6-4A59-9F26-F53D6CEDE050}"/>
            </c:ext>
          </c:extLst>
        </c:ser>
        <c:ser>
          <c:idx val="1"/>
          <c:order val="6"/>
          <c:tx>
            <c:strRef>
              <c:f>CP_iron_steel_energy_tech!$F$27</c:f>
              <c:strCache>
                <c:ptCount val="1"/>
                <c:pt idx="0">
                  <c:v>Hydrogen-based DRI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CP_iron_steel_energy_tech!$G$26:$N$26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CP_iron_steel_energy_tech!$G$27:$N$27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6-4A59-9F26-F53D6CED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07283615"/>
        <c:axId val="1406646223"/>
      </c:barChart>
      <c:catAx>
        <c:axId val="14072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6646223"/>
        <c:crosses val="autoZero"/>
        <c:auto val="1"/>
        <c:lblAlgn val="ctr"/>
        <c:lblOffset val="100"/>
        <c:noMultiLvlLbl val="0"/>
      </c:catAx>
      <c:valAx>
        <c:axId val="14066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ko-KR" altLang="en-US"/>
                  <a:t>제목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72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'NZ-0p_iron_steel_energy_tech'!$F$42</c:f>
              <c:strCache>
                <c:ptCount val="1"/>
                <c:pt idx="0">
                  <c:v>Blast Furnace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'NZ-0p_iron_steel_energy_tech'!$G$42:$N$42</c:f>
              <c:numCache>
                <c:formatCode>General</c:formatCode>
                <c:ptCount val="8"/>
                <c:pt idx="0">
                  <c:v>0.91990454999999993</c:v>
                </c:pt>
                <c:pt idx="1">
                  <c:v>1.0283144861</c:v>
                </c:pt>
                <c:pt idx="2">
                  <c:v>0.99134776739999997</c:v>
                </c:pt>
                <c:pt idx="3">
                  <c:v>0.79324112092999999</c:v>
                </c:pt>
                <c:pt idx="4">
                  <c:v>0.51544075536999989</c:v>
                </c:pt>
                <c:pt idx="5">
                  <c:v>0.30240965150999999</c:v>
                </c:pt>
                <c:pt idx="6">
                  <c:v>0.131169133824</c:v>
                </c:pt>
                <c:pt idx="7">
                  <c:v>3.7392232855099995E-2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B6-4A59-9F26-F53D6CEDE050}"/>
            </c:ext>
          </c:extLst>
        </c:ser>
        <c:ser>
          <c:idx val="7"/>
          <c:order val="1"/>
          <c:tx>
            <c:strRef>
              <c:f>'NZ-0p_iron_steel_energy_tech'!$F$41</c:f>
              <c:strCache>
                <c:ptCount val="1"/>
                <c:pt idx="0">
                  <c:v>Blast Furnace CCS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1.3698242165E-3</c:v>
                </c:pt>
                <c:pt idx="3">
                  <c:v>1.2709571474699999E-2</c:v>
                </c:pt>
                <c:pt idx="4">
                  <c:v>4.6971662031699994E-2</c:v>
                </c:pt>
                <c:pt idx="5">
                  <c:v>9.0588312880999999E-2</c:v>
                </c:pt>
                <c:pt idx="6">
                  <c:v>0.13211360276799999</c:v>
                </c:pt>
                <c:pt idx="7">
                  <c:v>0.12330138241699899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B6-4A59-9F26-F53D6CEDE050}"/>
            </c:ext>
          </c:extLst>
        </c:ser>
        <c:ser>
          <c:idx val="6"/>
          <c:order val="2"/>
          <c:tx>
            <c:strRef>
              <c:f>'NZ-0p_iron_steel_energy_tech'!$F$40</c:f>
              <c:strCache>
                <c:ptCount val="1"/>
                <c:pt idx="0">
                  <c:v>Blast Furnace with hydrogen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'NZ-0p_iron_steel_energy_tech'!$G$40:$N$40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1.9200017600000002E-3</c:v>
                </c:pt>
                <c:pt idx="3">
                  <c:v>9.7184138099999911E-3</c:v>
                </c:pt>
                <c:pt idx="4">
                  <c:v>2.4078359203999995E-2</c:v>
                </c:pt>
                <c:pt idx="5">
                  <c:v>3.4140559471999989E-2</c:v>
                </c:pt>
                <c:pt idx="6">
                  <c:v>2.9011586047999999E-2</c:v>
                </c:pt>
                <c:pt idx="7">
                  <c:v>1.6341790885999991E-2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B6-4A59-9F26-F53D6CEDE050}"/>
            </c:ext>
          </c:extLst>
        </c:ser>
        <c:ser>
          <c:idx val="3"/>
          <c:order val="3"/>
          <c:tx>
            <c:strRef>
              <c:f>'NZ-0p_iron_steel_energy_tech'!$F$37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'NZ-0p_iron_steel_energy_tech'!$G$37:$N$37</c:f>
              <c:numCache>
                <c:formatCode>General</c:formatCode>
                <c:ptCount val="8"/>
                <c:pt idx="0">
                  <c:v>5.7060879999999994E-2</c:v>
                </c:pt>
                <c:pt idx="1">
                  <c:v>5.8794785999999995E-2</c:v>
                </c:pt>
                <c:pt idx="2">
                  <c:v>6.7722291999999989E-2</c:v>
                </c:pt>
                <c:pt idx="3">
                  <c:v>7.883760279999999E-2</c:v>
                </c:pt>
                <c:pt idx="4">
                  <c:v>7.8548288399999888E-2</c:v>
                </c:pt>
                <c:pt idx="5">
                  <c:v>8.1215102900000002E-2</c:v>
                </c:pt>
                <c:pt idx="6">
                  <c:v>8.7879516399999996E-2</c:v>
                </c:pt>
                <c:pt idx="7">
                  <c:v>9.7302812999999988E-2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6-4A59-9F26-F53D6CEDE050}"/>
            </c:ext>
          </c:extLst>
        </c:ser>
        <c:ser>
          <c:idx val="5"/>
          <c:order val="4"/>
          <c:tx>
            <c:strRef>
              <c:f>'NZ-0p_iron_steel_energy_tech'!$F$39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'NZ-0p_iron_steel_energy_tech'!$G$39:$N$39</c:f>
              <c:numCache>
                <c:formatCode>General</c:formatCode>
                <c:ptCount val="8"/>
                <c:pt idx="0">
                  <c:v>0.14023903999999998</c:v>
                </c:pt>
                <c:pt idx="1">
                  <c:v>0.1628831699999998</c:v>
                </c:pt>
                <c:pt idx="2">
                  <c:v>0.21823103699999999</c:v>
                </c:pt>
                <c:pt idx="3">
                  <c:v>0.28868791699999996</c:v>
                </c:pt>
                <c:pt idx="4">
                  <c:v>0.362240906999998</c:v>
                </c:pt>
                <c:pt idx="5">
                  <c:v>0.35880143399999997</c:v>
                </c:pt>
                <c:pt idx="6">
                  <c:v>0.29523235700000006</c:v>
                </c:pt>
                <c:pt idx="7">
                  <c:v>0.2068611209999999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B6-4A59-9F26-F53D6CEDE050}"/>
            </c:ext>
          </c:extLst>
        </c:ser>
        <c:ser>
          <c:idx val="4"/>
          <c:order val="5"/>
          <c:tx>
            <c:strRef>
              <c:f>'NZ-0p_iron_steel_energy_tech'!$F$38</c:f>
              <c:strCache>
                <c:ptCount val="1"/>
                <c:pt idx="0">
                  <c:v>EAF with DRI CCS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'NZ-0p_iron_steel_energy_tech'!$G$38:$N$38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2.6902708999999997E-3</c:v>
                </c:pt>
                <c:pt idx="3">
                  <c:v>1.3128966000000001E-2</c:v>
                </c:pt>
                <c:pt idx="4">
                  <c:v>3.9144024899999998E-2</c:v>
                </c:pt>
                <c:pt idx="5">
                  <c:v>7.058860489999999E-2</c:v>
                </c:pt>
                <c:pt idx="6">
                  <c:v>0.1109575371</c:v>
                </c:pt>
                <c:pt idx="7">
                  <c:v>0.14684482500000001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B6-4A59-9F26-F53D6CEDE050}"/>
            </c:ext>
          </c:extLst>
        </c:ser>
        <c:ser>
          <c:idx val="1"/>
          <c:order val="6"/>
          <c:tx>
            <c:strRef>
              <c:f>'NZ-0p_iron_steel_energy_tech'!$F$35</c:f>
              <c:strCache>
                <c:ptCount val="1"/>
                <c:pt idx="0">
                  <c:v>Hydrogen-based DRI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'NZ-0p_iron_steel_energy_tech'!$G$35:$N$35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2.8178450000000001E-2</c:v>
                </c:pt>
                <c:pt idx="3">
                  <c:v>0.1051035</c:v>
                </c:pt>
                <c:pt idx="4">
                  <c:v>0.20534122999999999</c:v>
                </c:pt>
                <c:pt idx="5">
                  <c:v>0.30163655</c:v>
                </c:pt>
                <c:pt idx="6">
                  <c:v>0.41679476999999998</c:v>
                </c:pt>
                <c:pt idx="7">
                  <c:v>0.52711050999999898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6-4A59-9F26-F53D6CED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07283615"/>
        <c:axId val="1406646223"/>
      </c:barChart>
      <c:catAx>
        <c:axId val="14072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6646223"/>
        <c:crosses val="autoZero"/>
        <c:auto val="1"/>
        <c:lblAlgn val="ctr"/>
        <c:lblOffset val="100"/>
        <c:noMultiLvlLbl val="0"/>
      </c:catAx>
      <c:valAx>
        <c:axId val="14066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ko-KR" altLang="en-US"/>
                  <a:t>제목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72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ko-KR" altLang="en-US"/>
              <a:t>차트 제목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'NZ-22p_iron_steel_energy_tech'!$F$42</c:f>
              <c:strCache>
                <c:ptCount val="1"/>
                <c:pt idx="0">
                  <c:v>Blast Furnace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'NZ-22p_iron_steel_energy_tech'!$G$42:$N$42</c:f>
              <c:numCache>
                <c:formatCode>General</c:formatCode>
                <c:ptCount val="8"/>
                <c:pt idx="0">
                  <c:v>0.91990454999999993</c:v>
                </c:pt>
                <c:pt idx="1">
                  <c:v>1.0283144861</c:v>
                </c:pt>
                <c:pt idx="2">
                  <c:v>0.9919749484999999</c:v>
                </c:pt>
                <c:pt idx="3">
                  <c:v>0.77224343171999998</c:v>
                </c:pt>
                <c:pt idx="4">
                  <c:v>0.48835195011999899</c:v>
                </c:pt>
                <c:pt idx="5">
                  <c:v>0.27969343431999999</c:v>
                </c:pt>
                <c:pt idx="6">
                  <c:v>0.11875687963400001</c:v>
                </c:pt>
                <c:pt idx="7">
                  <c:v>3.29917757953E-2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B6-4A59-9F26-F53D6CEDE050}"/>
            </c:ext>
          </c:extLst>
        </c:ser>
        <c:ser>
          <c:idx val="7"/>
          <c:order val="1"/>
          <c:tx>
            <c:strRef>
              <c:f>'NZ-22p_iron_steel_energy_tech'!$F$41</c:f>
              <c:strCache>
                <c:ptCount val="1"/>
                <c:pt idx="0">
                  <c:v>Blast Furnace CCS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1.3586859871999998E-3</c:v>
                </c:pt>
                <c:pt idx="3">
                  <c:v>1.1028278932799999E-2</c:v>
                </c:pt>
                <c:pt idx="4">
                  <c:v>3.8828070995599991E-2</c:v>
                </c:pt>
                <c:pt idx="5">
                  <c:v>7.1853236773299994E-2</c:v>
                </c:pt>
                <c:pt idx="6">
                  <c:v>0.10235491545399988</c:v>
                </c:pt>
                <c:pt idx="7">
                  <c:v>9.3873624097999986E-2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B6-4A59-9F26-F53D6CEDE050}"/>
            </c:ext>
          </c:extLst>
        </c:ser>
        <c:ser>
          <c:idx val="6"/>
          <c:order val="2"/>
          <c:tx>
            <c:strRef>
              <c:f>'NZ-22p_iron_steel_energy_tech'!$F$40</c:f>
              <c:strCache>
                <c:ptCount val="1"/>
                <c:pt idx="0">
                  <c:v>Blast Furnace with hydrogen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'NZ-22p_iron_steel_energy_tech'!$G$40:$N$40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1.9206673200000003E-3</c:v>
                </c:pt>
                <c:pt idx="3">
                  <c:v>8.9014193379999881E-3</c:v>
                </c:pt>
                <c:pt idx="4">
                  <c:v>2.1731912182000001E-2</c:v>
                </c:pt>
                <c:pt idx="5">
                  <c:v>2.9933303215999889E-2</c:v>
                </c:pt>
                <c:pt idx="6">
                  <c:v>2.5061049240000001E-2</c:v>
                </c:pt>
                <c:pt idx="7">
                  <c:v>1.37925290019999E-2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B6-4A59-9F26-F53D6CEDE050}"/>
            </c:ext>
          </c:extLst>
        </c:ser>
        <c:ser>
          <c:idx val="3"/>
          <c:order val="3"/>
          <c:tx>
            <c:strRef>
              <c:f>'NZ-22p_iron_steel_energy_tech'!$F$37</c:f>
              <c:strCache>
                <c:ptCount val="1"/>
                <c:pt idx="0">
                  <c:v>EAF with scrap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'NZ-22p_iron_steel_energy_tech'!$G$37:$N$37</c:f>
              <c:numCache>
                <c:formatCode>General</c:formatCode>
                <c:ptCount val="8"/>
                <c:pt idx="0">
                  <c:v>5.7060879999999994E-2</c:v>
                </c:pt>
                <c:pt idx="1">
                  <c:v>5.8794785999999995E-2</c:v>
                </c:pt>
                <c:pt idx="2">
                  <c:v>6.7659152E-2</c:v>
                </c:pt>
                <c:pt idx="3">
                  <c:v>7.4500450700000012E-2</c:v>
                </c:pt>
                <c:pt idx="4">
                  <c:v>7.092026139999999E-2</c:v>
                </c:pt>
                <c:pt idx="5">
                  <c:v>6.96698964E-2</c:v>
                </c:pt>
                <c:pt idx="6">
                  <c:v>7.1439328699999999E-2</c:v>
                </c:pt>
                <c:pt idx="7">
                  <c:v>7.5184070800000002E-2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B6-4A59-9F26-F53D6CEDE050}"/>
            </c:ext>
          </c:extLst>
        </c:ser>
        <c:ser>
          <c:idx val="5"/>
          <c:order val="4"/>
          <c:tx>
            <c:strRef>
              <c:f>'NZ-22p_iron_steel_energy_tech'!$F$39</c:f>
              <c:strCache>
                <c:ptCount val="1"/>
                <c:pt idx="0">
                  <c:v>EAF with DRI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'NZ-22p_iron_steel_energy_tech'!$G$39:$N$39</c:f>
              <c:numCache>
                <c:formatCode>General</c:formatCode>
                <c:ptCount val="8"/>
                <c:pt idx="0">
                  <c:v>0.14023903999999998</c:v>
                </c:pt>
                <c:pt idx="1">
                  <c:v>0.1628831699999998</c:v>
                </c:pt>
                <c:pt idx="2">
                  <c:v>0.2180038659999998</c:v>
                </c:pt>
                <c:pt idx="3">
                  <c:v>0.27186754200000002</c:v>
                </c:pt>
                <c:pt idx="4">
                  <c:v>0.327133381</c:v>
                </c:pt>
                <c:pt idx="5">
                  <c:v>0.31343223099999995</c:v>
                </c:pt>
                <c:pt idx="6">
                  <c:v>0.25013426299999897</c:v>
                </c:pt>
                <c:pt idx="7">
                  <c:v>0.168058718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B6-4A59-9F26-F53D6CEDE050}"/>
            </c:ext>
          </c:extLst>
        </c:ser>
        <c:ser>
          <c:idx val="4"/>
          <c:order val="5"/>
          <c:tx>
            <c:strRef>
              <c:f>'NZ-22p_iron_steel_energy_tech'!$F$38</c:f>
              <c:strCache>
                <c:ptCount val="1"/>
                <c:pt idx="0">
                  <c:v>EAF with DRI CCS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'NZ-22p_iron_steel_energy_tech'!$G$38:$N$38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2.6790623E-3</c:v>
                </c:pt>
                <c:pt idx="3">
                  <c:v>1.17597525E-2</c:v>
                </c:pt>
                <c:pt idx="4">
                  <c:v>3.3659017700000002E-2</c:v>
                </c:pt>
                <c:pt idx="5">
                  <c:v>5.8251106500000004E-2</c:v>
                </c:pt>
                <c:pt idx="6">
                  <c:v>8.8280586600000002E-2</c:v>
                </c:pt>
                <c:pt idx="7">
                  <c:v>0.1121328699999999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B6-4A59-9F26-F53D6CEDE050}"/>
            </c:ext>
          </c:extLst>
        </c:ser>
        <c:ser>
          <c:idx val="1"/>
          <c:order val="6"/>
          <c:tx>
            <c:strRef>
              <c:f>'NZ-22p_iron_steel_energy_tech'!$F$35</c:f>
              <c:strCache>
                <c:ptCount val="1"/>
                <c:pt idx="0">
                  <c:v>Hydrogen-based DRI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'NZ-22p_iron_steel_energy_tech'!$G$34:$N$34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'NZ-22p_iron_steel_energy_tech'!$G$35:$N$35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2.812655E-2</c:v>
                </c:pt>
                <c:pt idx="3">
                  <c:v>9.5512300000000008E-2</c:v>
                </c:pt>
                <c:pt idx="4">
                  <c:v>0.18004631999999998</c:v>
                </c:pt>
                <c:pt idx="5">
                  <c:v>0.25220907999999986</c:v>
                </c:pt>
                <c:pt idx="6">
                  <c:v>0.33402465000000003</c:v>
                </c:pt>
                <c:pt idx="7">
                  <c:v>0.40486062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B6-4A59-9F26-F53D6CEDE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07283615"/>
        <c:axId val="1406646223"/>
      </c:barChart>
      <c:catAx>
        <c:axId val="140728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6646223"/>
        <c:crosses val="autoZero"/>
        <c:auto val="1"/>
        <c:lblAlgn val="ctr"/>
        <c:lblOffset val="100"/>
        <c:noMultiLvlLbl val="0"/>
      </c:catAx>
      <c:valAx>
        <c:axId val="140664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Cambria" panose="02040503050406030204" pitchFamily="18" charset="0"/>
                    <a:ea typeface="Cambria" panose="02040503050406030204" pitchFamily="18" charset="0"/>
                    <a:cs typeface="+mn-cs"/>
                  </a:defRPr>
                </a:pPr>
                <a:r>
                  <a:rPr lang="ko-KR" altLang="en-US"/>
                  <a:t>제목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Cambria" panose="02040503050406030204" pitchFamily="18" charset="0"/>
                  <a:ea typeface="Cambria" panose="02040503050406030204" pitchFamily="18" charset="0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40728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CP_chemical_CO2!$C$6</c:f>
              <c:strCache>
                <c:ptCount val="1"/>
                <c:pt idx="0">
                  <c:v>chemicals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CP_chemical_CO2!$G$2:$N$2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CP_chemical_CO2!$G$6:$N$6</c:f>
              <c:numCache>
                <c:formatCode>General</c:formatCode>
                <c:ptCount val="8"/>
                <c:pt idx="0">
                  <c:v>19.946891238359743</c:v>
                </c:pt>
                <c:pt idx="1">
                  <c:v>18.895635357853372</c:v>
                </c:pt>
                <c:pt idx="2">
                  <c:v>18.887655592638559</c:v>
                </c:pt>
                <c:pt idx="3">
                  <c:v>19.175247783568778</c:v>
                </c:pt>
                <c:pt idx="4">
                  <c:v>19.903094241560733</c:v>
                </c:pt>
                <c:pt idx="5">
                  <c:v>19.201735762029607</c:v>
                </c:pt>
                <c:pt idx="6">
                  <c:v>16.613742773251815</c:v>
                </c:pt>
                <c:pt idx="7">
                  <c:v>13.92741343144926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3-4EE7-AE26-F27E0E91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560927"/>
        <c:axId val="1118247999"/>
      </c:barChart>
      <c:catAx>
        <c:axId val="11125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8247999"/>
        <c:crosses val="autoZero"/>
        <c:auto val="1"/>
        <c:lblAlgn val="ctr"/>
        <c:lblOffset val="100"/>
        <c:noMultiLvlLbl val="0"/>
      </c:catAx>
      <c:valAx>
        <c:axId val="111824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5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NZ_chemical_CO2!$C$6</c:f>
              <c:strCache>
                <c:ptCount val="1"/>
                <c:pt idx="0">
                  <c:v>chemicals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NZ_chemical_CO2!$G$2:$N$2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NZ_chemical_CO2!$G$6:$N$6</c:f>
              <c:numCache>
                <c:formatCode>General</c:formatCode>
                <c:ptCount val="8"/>
                <c:pt idx="0">
                  <c:v>19.946891238359743</c:v>
                </c:pt>
                <c:pt idx="1">
                  <c:v>19.053293773805517</c:v>
                </c:pt>
                <c:pt idx="2">
                  <c:v>16.998816079521372</c:v>
                </c:pt>
                <c:pt idx="3">
                  <c:v>16.940548079246419</c:v>
                </c:pt>
                <c:pt idx="4">
                  <c:v>15.995935324013384</c:v>
                </c:pt>
                <c:pt idx="5">
                  <c:v>10.363794213675623</c:v>
                </c:pt>
                <c:pt idx="6">
                  <c:v>-6.5289818486791127</c:v>
                </c:pt>
                <c:pt idx="7">
                  <c:v>-21.833136015158619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D-4188-B17E-817892A3E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560927"/>
        <c:axId val="1118247999"/>
      </c:barChart>
      <c:catAx>
        <c:axId val="11125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8247999"/>
        <c:crosses val="autoZero"/>
        <c:auto val="1"/>
        <c:lblAlgn val="ctr"/>
        <c:lblOffset val="100"/>
        <c:noMultiLvlLbl val="0"/>
      </c:catAx>
      <c:valAx>
        <c:axId val="111824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5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NZ_cement_CO2!$C$6</c:f>
              <c:strCache>
                <c:ptCount val="1"/>
                <c:pt idx="0">
                  <c:v>chemicals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NZ_cement_CO2!$G$2:$N$2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NZ_cement_CO2!$G$6:$N$6</c:f>
              <c:numCache>
                <c:formatCode>General</c:formatCode>
                <c:ptCount val="8"/>
                <c:pt idx="0">
                  <c:v>38.1278938315345</c:v>
                </c:pt>
                <c:pt idx="1">
                  <c:v>35.297636218350583</c:v>
                </c:pt>
                <c:pt idx="2">
                  <c:v>27.080348595568097</c:v>
                </c:pt>
                <c:pt idx="3">
                  <c:v>23.504339435358784</c:v>
                </c:pt>
                <c:pt idx="4">
                  <c:v>19.861178120903258</c:v>
                </c:pt>
                <c:pt idx="5">
                  <c:v>11.291350220851371</c:v>
                </c:pt>
                <c:pt idx="6">
                  <c:v>6.7881380414724131</c:v>
                </c:pt>
                <c:pt idx="7">
                  <c:v>4.9215796779268945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0-499B-8CF2-BF689E71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560927"/>
        <c:axId val="1118247999"/>
      </c:barChart>
      <c:catAx>
        <c:axId val="11125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8247999"/>
        <c:crosses val="autoZero"/>
        <c:auto val="1"/>
        <c:lblAlgn val="ctr"/>
        <c:lblOffset val="100"/>
        <c:noMultiLvlLbl val="0"/>
      </c:catAx>
      <c:valAx>
        <c:axId val="111824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1256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r>
              <a:rPr lang="en-US"/>
              <a:t>Cement final energy consumption by fuel</a:t>
            </a:r>
            <a:endParaRPr 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'NZ-22p_cement_energy'!$F$48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'NZ-22p_cement_energy'!$G$48:$N$48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E4AA-4AA7-933B-C3AD9002C88A}"/>
            </c:ext>
          </c:extLst>
        </c:ser>
        <c:ser>
          <c:idx val="7"/>
          <c:order val="1"/>
          <c:tx>
            <c:strRef>
              <c:f>'NZ-22p_cement_energy'!$F$47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'NZ-22p_cement_energy'!$G$47:$N$47</c:f>
              <c:numCache>
                <c:formatCode>General</c:formatCode>
                <c:ptCount val="8"/>
                <c:pt idx="0">
                  <c:v>2.1070200000000001E-2</c:v>
                </c:pt>
                <c:pt idx="1">
                  <c:v>7.9271370000000008E-3</c:v>
                </c:pt>
                <c:pt idx="2">
                  <c:v>1.0946404999999999E-2</c:v>
                </c:pt>
                <c:pt idx="3">
                  <c:v>9.8253569999999998E-3</c:v>
                </c:pt>
                <c:pt idx="4">
                  <c:v>1.0233611E-2</c:v>
                </c:pt>
                <c:pt idx="5">
                  <c:v>2.1307013E-2</c:v>
                </c:pt>
                <c:pt idx="6">
                  <c:v>2.6172939100000001E-2</c:v>
                </c:pt>
                <c:pt idx="7">
                  <c:v>2.53633297999999E-2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A-4AA7-933B-C3AD9002C88A}"/>
            </c:ext>
          </c:extLst>
        </c:ser>
        <c:ser>
          <c:idx val="6"/>
          <c:order val="2"/>
          <c:tx>
            <c:strRef>
              <c:f>'NZ-22p_cement_energy'!$F$46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'NZ-22p_cement_energy'!$G$46:$N$46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E4AA-4AA7-933B-C3AD9002C88A}"/>
            </c:ext>
          </c:extLst>
        </c:ser>
        <c:ser>
          <c:idx val="5"/>
          <c:order val="3"/>
          <c:tx>
            <c:strRef>
              <c:f>'NZ-22p_cement_energy'!$F$45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'NZ-22p_cement_energy'!$G$45:$N$45</c:f>
              <c:numCache>
                <c:formatCode>General</c:formatCode>
                <c:ptCount val="8"/>
                <c:pt idx="0">
                  <c:v>0.114653</c:v>
                </c:pt>
                <c:pt idx="1">
                  <c:v>0.11497084</c:v>
                </c:pt>
                <c:pt idx="2">
                  <c:v>8.4476269999999895E-2</c:v>
                </c:pt>
                <c:pt idx="3">
                  <c:v>7.3008989999999996E-2</c:v>
                </c:pt>
                <c:pt idx="4">
                  <c:v>5.7592184999999997E-2</c:v>
                </c:pt>
                <c:pt idx="5">
                  <c:v>2.5222562E-2</c:v>
                </c:pt>
                <c:pt idx="6">
                  <c:v>1.0680794999999899E-2</c:v>
                </c:pt>
                <c:pt idx="7">
                  <c:v>6.2023180999999997E-3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AA-4AA7-933B-C3AD9002C88A}"/>
            </c:ext>
          </c:extLst>
        </c:ser>
        <c:ser>
          <c:idx val="4"/>
          <c:order val="4"/>
          <c:tx>
            <c:strRef>
              <c:f>'NZ-22p_cement_energy'!$F$44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AA-4AA7-933B-C3AD9002C88A}"/>
            </c:ext>
          </c:extLst>
        </c:ser>
        <c:ser>
          <c:idx val="3"/>
          <c:order val="5"/>
          <c:tx>
            <c:strRef>
              <c:f>'NZ-22p_cement_energy'!$F$43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'NZ-22p_cement_energy'!$G$43:$N$43</c:f>
              <c:numCache>
                <c:formatCode>General</c:formatCode>
                <c:ptCount val="8"/>
                <c:pt idx="0">
                  <c:v>3.9861500000000001E-2</c:v>
                </c:pt>
                <c:pt idx="1">
                  <c:v>3.9866477999999997E-2</c:v>
                </c:pt>
                <c:pt idx="2">
                  <c:v>2.9405052000000001E-2</c:v>
                </c:pt>
                <c:pt idx="3">
                  <c:v>2.5551847999999999E-2</c:v>
                </c:pt>
                <c:pt idx="4">
                  <c:v>2.9753926E-2</c:v>
                </c:pt>
                <c:pt idx="5">
                  <c:v>4.3879310999999997E-2</c:v>
                </c:pt>
                <c:pt idx="6">
                  <c:v>4.4919292E-2</c:v>
                </c:pt>
                <c:pt idx="7">
                  <c:v>4.1515054400000001E-2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AA-4AA7-933B-C3AD9002C88A}"/>
            </c:ext>
          </c:extLst>
        </c:ser>
        <c:ser>
          <c:idx val="2"/>
          <c:order val="6"/>
          <c:tx>
            <c:strRef>
              <c:f>'NZ-22p_cement_energy'!$F$42</c:f>
              <c:strCache>
                <c:ptCount val="1"/>
                <c:pt idx="0">
                  <c:v>Electricity(Cement)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'NZ-22p_cement_energy'!$G$42:$N$42</c:f>
              <c:numCache>
                <c:formatCode>General</c:formatCode>
                <c:ptCount val="8"/>
                <c:pt idx="0">
                  <c:v>1.9656400000000001E-2</c:v>
                </c:pt>
                <c:pt idx="1">
                  <c:v>1.82212E-2</c:v>
                </c:pt>
                <c:pt idx="2">
                  <c:v>1.39743E-2</c:v>
                </c:pt>
                <c:pt idx="3">
                  <c:v>1.2133700000000001E-2</c:v>
                </c:pt>
                <c:pt idx="4">
                  <c:v>1.072937E-2</c:v>
                </c:pt>
                <c:pt idx="5">
                  <c:v>5.9958880000000004E-3</c:v>
                </c:pt>
                <c:pt idx="6">
                  <c:v>3.3418530000000001E-3</c:v>
                </c:pt>
                <c:pt idx="7">
                  <c:v>2.37054628E-3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AA-4AA7-933B-C3AD9002C88A}"/>
            </c:ext>
          </c:extLst>
        </c:ser>
        <c:ser>
          <c:idx val="0"/>
          <c:order val="7"/>
          <c:tx>
            <c:strRef>
              <c:f>'NZ-22p_cement_energy'!$F$41</c:f>
              <c:strCache>
                <c:ptCount val="1"/>
                <c:pt idx="0">
                  <c:v>Electricity(Cement CCS)</c:v>
                </c:pt>
              </c:strCache>
            </c:strRef>
          </c:tx>
          <c:spPr>
            <a:solidFill>
              <a:srgbClr val="5B9BD5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val>
            <c:numRef>
              <c:f>'NZ-22p_cement_energy'!$G$41:$N$41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4.2907600000000002E-4</c:v>
                </c:pt>
                <c:pt idx="5">
                  <c:v>5.5439560000000001E-3</c:v>
                </c:pt>
                <c:pt idx="6">
                  <c:v>7.6307520000000002E-3</c:v>
                </c:pt>
                <c:pt idx="7">
                  <c:v>7.5775759999999904E-3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AA-4AA7-933B-C3AD9002C88A}"/>
            </c:ext>
          </c:extLst>
        </c:ser>
        <c:ser>
          <c:idx val="1"/>
          <c:order val="8"/>
          <c:tx>
            <c:strRef>
              <c:f>'NZ-22p_cement_energy'!$F$40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'NZ-22p_cement_energy'!$G$39:$N$39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'NZ-22p_cement_energy'!$G$40:$N$40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AA-4AA7-933B-C3AD9002C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+mn-lt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Fertiizer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'NZ-0p_fertilizer_energy'!$F$49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'NZ-0p_fertilizer_energy'!$G$49:$N$49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0-4E3D-9FF2-A424BBDFEDCD}"/>
            </c:ext>
          </c:extLst>
        </c:ser>
        <c:ser>
          <c:idx val="7"/>
          <c:order val="1"/>
          <c:tx>
            <c:strRef>
              <c:f>'NZ-0p_fertilizer_energy'!$F$48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'NZ-0p_fertilizer_energy'!$G$48:$N$48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30-4E3D-9FF2-A424BBDFEDCD}"/>
            </c:ext>
          </c:extLst>
        </c:ser>
        <c:ser>
          <c:idx val="6"/>
          <c:order val="2"/>
          <c:tx>
            <c:strRef>
              <c:f>'NZ-0p_fertilizer_energy'!$F$47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'NZ-0p_fertilizer_energy'!$G$47:$N$47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30-4E3D-9FF2-A424BBDFEDCD}"/>
            </c:ext>
          </c:extLst>
        </c:ser>
        <c:ser>
          <c:idx val="5"/>
          <c:order val="3"/>
          <c:tx>
            <c:strRef>
              <c:f>'NZ-0p_fertilizer_energy'!$F$46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30-4E3D-9FF2-A424BBDFEDCD}"/>
            </c:ext>
          </c:extLst>
        </c:ser>
        <c:ser>
          <c:idx val="4"/>
          <c:order val="4"/>
          <c:tx>
            <c:strRef>
              <c:f>'NZ-0p_fertilizer_energy'!$F$45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'NZ-0p_fertilizer_energy'!$G$45:$N$45</c:f>
              <c:numCache>
                <c:formatCode>General</c:formatCode>
                <c:ptCount val="8"/>
                <c:pt idx="0">
                  <c:v>6.4959199999999996E-3</c:v>
                </c:pt>
                <c:pt idx="1">
                  <c:v>6.7932269999999998E-3</c:v>
                </c:pt>
                <c:pt idx="2">
                  <c:v>6.9594540000000003E-3</c:v>
                </c:pt>
                <c:pt idx="3">
                  <c:v>6.6532919999999999E-3</c:v>
                </c:pt>
                <c:pt idx="4">
                  <c:v>5.3121440000000004E-3</c:v>
                </c:pt>
                <c:pt idx="5">
                  <c:v>3.460622E-3</c:v>
                </c:pt>
                <c:pt idx="6">
                  <c:v>2.2941649999999999E-3</c:v>
                </c:pt>
                <c:pt idx="7">
                  <c:v>1.54410294E-3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30-4E3D-9FF2-A424BBDFEDCD}"/>
            </c:ext>
          </c:extLst>
        </c:ser>
        <c:ser>
          <c:idx val="0"/>
          <c:order val="5"/>
          <c:tx>
            <c:strRef>
              <c:f>'NZ-0p_fertilizer_energy'!$F$44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'NZ-0p_fertilizer_energy'!$G$44:$N$44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3.8185700000000003E-5</c:v>
                </c:pt>
                <c:pt idx="3">
                  <c:v>2.7628860000000001E-4</c:v>
                </c:pt>
                <c:pt idx="4">
                  <c:v>1.2425890999999999E-3</c:v>
                </c:pt>
                <c:pt idx="5">
                  <c:v>2.79795889999999E-3</c:v>
                </c:pt>
                <c:pt idx="6">
                  <c:v>3.9096440999999999E-3</c:v>
                </c:pt>
                <c:pt idx="7">
                  <c:v>4.5526205299999999E-3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30-4E3D-9FF2-A424BBDFEDCD}"/>
            </c:ext>
          </c:extLst>
        </c:ser>
        <c:ser>
          <c:idx val="3"/>
          <c:order val="6"/>
          <c:tx>
            <c:strRef>
              <c:f>'NZ-0p_fertilizer_energy'!$F$43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'NZ-0p_fertilizer_energy'!$G$43:$N$43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30-4E3D-9FF2-A424BBDFEDCD}"/>
            </c:ext>
          </c:extLst>
        </c:ser>
        <c:ser>
          <c:idx val="2"/>
          <c:order val="7"/>
          <c:tx>
            <c:strRef>
              <c:f>'NZ-0p_fertilizer_energy'!$F$42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30-4E3D-9FF2-A424BBDFEDCD}"/>
            </c:ext>
          </c:extLst>
        </c:ser>
        <c:ser>
          <c:idx val="1"/>
          <c:order val="8"/>
          <c:tx>
            <c:strRef>
              <c:f>'NZ-0p_fertilizer_energy'!$F$41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'NZ-0p_fertilizer_energy'!$G$41:$N$41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30-4E3D-9FF2-A424BBDF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Fertiizer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'NZ-10p_fertilizer_energy'!$F$49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'NZ-10p_fertilizer_energy'!$G$49:$N$49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F0-A7A8-463451AB01CE}"/>
            </c:ext>
          </c:extLst>
        </c:ser>
        <c:ser>
          <c:idx val="7"/>
          <c:order val="1"/>
          <c:tx>
            <c:strRef>
              <c:f>'NZ-10p_fertilizer_energy'!$F$48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'NZ-10p_fertilizer_energy'!$G$48:$N$48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F0-A7A8-463451AB01CE}"/>
            </c:ext>
          </c:extLst>
        </c:ser>
        <c:ser>
          <c:idx val="6"/>
          <c:order val="2"/>
          <c:tx>
            <c:strRef>
              <c:f>'NZ-10p_fertilizer_energy'!$F$47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'NZ-10p_fertilizer_energy'!$G$47:$N$47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F0-A7A8-463451AB01CE}"/>
            </c:ext>
          </c:extLst>
        </c:ser>
        <c:ser>
          <c:idx val="5"/>
          <c:order val="3"/>
          <c:tx>
            <c:strRef>
              <c:f>'NZ-10p_fertilizer_energy'!$F$46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F0-A7A8-463451AB01CE}"/>
            </c:ext>
          </c:extLst>
        </c:ser>
        <c:ser>
          <c:idx val="4"/>
          <c:order val="4"/>
          <c:tx>
            <c:strRef>
              <c:f>'NZ-10p_fertilizer_energy'!$F$45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'NZ-10p_fertilizer_energy'!$G$45:$N$45</c:f>
              <c:numCache>
                <c:formatCode>General</c:formatCode>
                <c:ptCount val="8"/>
                <c:pt idx="0">
                  <c:v>6.4959199999999996E-3</c:v>
                </c:pt>
                <c:pt idx="1">
                  <c:v>6.7930480000000003E-3</c:v>
                </c:pt>
                <c:pt idx="2">
                  <c:v>6.9597119999999998E-3</c:v>
                </c:pt>
                <c:pt idx="3">
                  <c:v>6.655528E-3</c:v>
                </c:pt>
                <c:pt idx="4">
                  <c:v>5.3329149999999997E-3</c:v>
                </c:pt>
                <c:pt idx="5">
                  <c:v>3.4984730000000002E-3</c:v>
                </c:pt>
                <c:pt idx="6">
                  <c:v>2.3343828000000001E-3</c:v>
                </c:pt>
                <c:pt idx="7">
                  <c:v>1.5812101399999899E-3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4E-48F0-A7A8-463451AB01CE}"/>
            </c:ext>
          </c:extLst>
        </c:ser>
        <c:ser>
          <c:idx val="0"/>
          <c:order val="5"/>
          <c:tx>
            <c:strRef>
              <c:f>'NZ-10p_fertilizer_energy'!$F$44</c:f>
              <c:strCache>
                <c:ptCount val="1"/>
                <c:pt idx="0">
                  <c:v>Gas CCS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'NZ-10p_fertilizer_energy'!$G$44:$N$44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3.7916300000000002E-5</c:v>
                </c:pt>
                <c:pt idx="3">
                  <c:v>2.7212710000000003E-4</c:v>
                </c:pt>
                <c:pt idx="4">
                  <c:v>1.2190644000000001E-3</c:v>
                </c:pt>
                <c:pt idx="5">
                  <c:v>2.7550127000000001E-3</c:v>
                </c:pt>
                <c:pt idx="6">
                  <c:v>3.8639083999999998E-3</c:v>
                </c:pt>
                <c:pt idx="7">
                  <c:v>4.5104204300000002E-3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4E-48F0-A7A8-463451AB01CE}"/>
            </c:ext>
          </c:extLst>
        </c:ser>
        <c:ser>
          <c:idx val="3"/>
          <c:order val="6"/>
          <c:tx>
            <c:strRef>
              <c:f>'NZ-10p_fertilizer_energy'!$F$43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'NZ-10p_fertilizer_energy'!$G$43:$N$43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4E-48F0-A7A8-463451AB01CE}"/>
            </c:ext>
          </c:extLst>
        </c:ser>
        <c:ser>
          <c:idx val="2"/>
          <c:order val="7"/>
          <c:tx>
            <c:strRef>
              <c:f>'NZ-10p_fertilizer_energy'!$F$42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4E-48F0-A7A8-463451AB01CE}"/>
            </c:ext>
          </c:extLst>
        </c:ser>
        <c:ser>
          <c:idx val="1"/>
          <c:order val="8"/>
          <c:tx>
            <c:strRef>
              <c:f>'NZ-10p_fertilizer_energy'!$F$41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'NZ-10p_fertilizer_energy'!$G$40:$N$40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'NZ-10p_fertilizer_energy'!$G$41:$N$41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4E-48F0-A7A8-463451AB0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Agriculture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'NZ-0p_agriculture_energy'!$F$48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'NZ-0p_agriculture_energy'!$G$48:$N$48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F796-4A50-8A02-3FC657095475}"/>
            </c:ext>
          </c:extLst>
        </c:ser>
        <c:ser>
          <c:idx val="7"/>
          <c:order val="1"/>
          <c:tx>
            <c:strRef>
              <c:f>'NZ-0p_agriculture_energy'!$F$47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'NZ-0p_agriculture_energy'!$G$47:$N$47</c:f>
              <c:numCache>
                <c:formatCode>General</c:formatCode>
                <c:ptCount val="8"/>
                <c:pt idx="0">
                  <c:v>1.9422999999999999E-2</c:v>
                </c:pt>
                <c:pt idx="1">
                  <c:v>1.950081E-2</c:v>
                </c:pt>
                <c:pt idx="2">
                  <c:v>1.8499910000000001E-2</c:v>
                </c:pt>
                <c:pt idx="3">
                  <c:v>1.9607909999999999E-2</c:v>
                </c:pt>
                <c:pt idx="4">
                  <c:v>1.9557010999999999E-2</c:v>
                </c:pt>
                <c:pt idx="5">
                  <c:v>1.7833950000000001E-2</c:v>
                </c:pt>
                <c:pt idx="6">
                  <c:v>1.4670030000000001E-2</c:v>
                </c:pt>
                <c:pt idx="7">
                  <c:v>1.033331E-2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6-4A50-8A02-3FC657095475}"/>
            </c:ext>
          </c:extLst>
        </c:ser>
        <c:ser>
          <c:idx val="6"/>
          <c:order val="2"/>
          <c:tx>
            <c:strRef>
              <c:f>'NZ-0p_agriculture_energy'!$F$46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'NZ-0p_agriculture_energy'!$G$46:$N$46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F796-4A50-8A02-3FC657095475}"/>
            </c:ext>
          </c:extLst>
        </c:ser>
        <c:ser>
          <c:idx val="5"/>
          <c:order val="3"/>
          <c:tx>
            <c:strRef>
              <c:f>'NZ-0p_agriculture_energy'!$F$45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96-4A50-8A02-3FC657095475}"/>
            </c:ext>
          </c:extLst>
        </c:ser>
        <c:ser>
          <c:idx val="4"/>
          <c:order val="4"/>
          <c:tx>
            <c:strRef>
              <c:f>'NZ-0p_agriculture_energy'!$F$44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'NZ-0p_agriculture_energy'!$G$44:$N$44</c:f>
              <c:numCache>
                <c:formatCode>General</c:formatCode>
                <c:ptCount val="8"/>
                <c:pt idx="0">
                  <c:v>1.2559999999999999E-4</c:v>
                </c:pt>
                <c:pt idx="1">
                  <c:v>1.2483009999999999E-4</c:v>
                </c:pt>
                <c:pt idx="2">
                  <c:v>1.12297599999999E-4</c:v>
                </c:pt>
                <c:pt idx="3">
                  <c:v>1.0763710000000001E-4</c:v>
                </c:pt>
                <c:pt idx="4">
                  <c:v>9.8598429999999996E-5</c:v>
                </c:pt>
                <c:pt idx="5">
                  <c:v>8.4682729999999997E-5</c:v>
                </c:pt>
                <c:pt idx="6">
                  <c:v>6.5244729999999998E-5</c:v>
                </c:pt>
                <c:pt idx="7">
                  <c:v>4.3207020000000003E-5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796-4A50-8A02-3FC657095475}"/>
            </c:ext>
          </c:extLst>
        </c:ser>
        <c:ser>
          <c:idx val="3"/>
          <c:order val="5"/>
          <c:tx>
            <c:strRef>
              <c:f>'NZ-0p_agriculture_energy'!$F$43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'NZ-0p_agriculture_energy'!$G$43:$N$43</c:f>
              <c:numCache>
                <c:formatCode>General</c:formatCode>
                <c:ptCount val="8"/>
                <c:pt idx="0">
                  <c:v>2.7628000000000002E-3</c:v>
                </c:pt>
                <c:pt idx="1">
                  <c:v>2.9377449999999999E-3</c:v>
                </c:pt>
                <c:pt idx="2">
                  <c:v>4.1114899999999998E-3</c:v>
                </c:pt>
                <c:pt idx="3">
                  <c:v>6.6950849999999999E-3</c:v>
                </c:pt>
                <c:pt idx="4">
                  <c:v>8.0368699999999998E-3</c:v>
                </c:pt>
                <c:pt idx="5">
                  <c:v>7.1484490000000003E-3</c:v>
                </c:pt>
                <c:pt idx="6">
                  <c:v>5.2409549999999899E-3</c:v>
                </c:pt>
                <c:pt idx="7">
                  <c:v>3.1060749999999998E-3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796-4A50-8A02-3FC657095475}"/>
            </c:ext>
          </c:extLst>
        </c:ser>
        <c:ser>
          <c:idx val="2"/>
          <c:order val="6"/>
          <c:tx>
            <c:strRef>
              <c:f>'NZ-0p_agriculture_energy'!$F$42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'NZ-0p_agriculture_energy'!$G$42:$N$42</c:f>
              <c:numCache>
                <c:formatCode>General</c:formatCode>
                <c:ptCount val="8"/>
                <c:pt idx="0">
                  <c:v>4.1901800000000003E-2</c:v>
                </c:pt>
                <c:pt idx="1">
                  <c:v>4.2242120000000001E-2</c:v>
                </c:pt>
                <c:pt idx="2">
                  <c:v>3.4566430000000002E-2</c:v>
                </c:pt>
                <c:pt idx="3">
                  <c:v>2.9359030000000001E-2</c:v>
                </c:pt>
                <c:pt idx="4">
                  <c:v>2.6093249999999998E-2</c:v>
                </c:pt>
                <c:pt idx="5">
                  <c:v>2.588619E-2</c:v>
                </c:pt>
                <c:pt idx="6">
                  <c:v>2.77656599999999E-2</c:v>
                </c:pt>
                <c:pt idx="7">
                  <c:v>3.1022379999999999E-2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96-4A50-8A02-3FC657095475}"/>
            </c:ext>
          </c:extLst>
        </c:ser>
        <c:ser>
          <c:idx val="1"/>
          <c:order val="7"/>
          <c:tx>
            <c:strRef>
              <c:f>'NZ-0p_agriculture_energy'!$F$41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'NZ-0p_agriculture_energy'!$G$41:$N$41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4.0914799999999997E-5</c:v>
                </c:pt>
                <c:pt idx="2">
                  <c:v>1.6099229999999999E-4</c:v>
                </c:pt>
                <c:pt idx="3">
                  <c:v>4.9291449999999996E-4</c:v>
                </c:pt>
                <c:pt idx="4">
                  <c:v>9.5532159999999996E-4</c:v>
                </c:pt>
                <c:pt idx="5">
                  <c:v>1.3235605999999899E-3</c:v>
                </c:pt>
                <c:pt idx="6">
                  <c:v>1.8660062E-3</c:v>
                </c:pt>
                <c:pt idx="7">
                  <c:v>2.5491250000000002E-3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96-4A50-8A02-3FC65709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Agriculture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'NZ-10p_agriculture_energy'!$F$48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'NZ-10p_agriculture_energy'!$G$48:$N$48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EB20-4815-B60B-064EC82D67F7}"/>
            </c:ext>
          </c:extLst>
        </c:ser>
        <c:ser>
          <c:idx val="7"/>
          <c:order val="1"/>
          <c:tx>
            <c:strRef>
              <c:f>'NZ-10p_agriculture_energy'!$F$47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'NZ-10p_agriculture_energy'!$G$47:$N$47</c:f>
              <c:numCache>
                <c:formatCode>General</c:formatCode>
                <c:ptCount val="8"/>
                <c:pt idx="0">
                  <c:v>1.9422999999999999E-2</c:v>
                </c:pt>
                <c:pt idx="1">
                  <c:v>1.9501399999999999E-2</c:v>
                </c:pt>
                <c:pt idx="2">
                  <c:v>1.8506379999999999E-2</c:v>
                </c:pt>
                <c:pt idx="3">
                  <c:v>1.9622469999999999E-2</c:v>
                </c:pt>
                <c:pt idx="4">
                  <c:v>1.9631889E-2</c:v>
                </c:pt>
                <c:pt idx="5">
                  <c:v>1.793285E-2</c:v>
                </c:pt>
                <c:pt idx="6">
                  <c:v>1.4780949999999999E-2</c:v>
                </c:pt>
                <c:pt idx="7">
                  <c:v>1.04403999999999E-2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20-4815-B60B-064EC82D67F7}"/>
            </c:ext>
          </c:extLst>
        </c:ser>
        <c:ser>
          <c:idx val="6"/>
          <c:order val="2"/>
          <c:tx>
            <c:strRef>
              <c:f>'NZ-10p_agriculture_energy'!$F$46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'NZ-10p_agriculture_energy'!$G$46:$N$46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EB20-4815-B60B-064EC82D67F7}"/>
            </c:ext>
          </c:extLst>
        </c:ser>
        <c:ser>
          <c:idx val="5"/>
          <c:order val="3"/>
          <c:tx>
            <c:strRef>
              <c:f>'NZ-10p_agriculture_energy'!$F$45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20-4815-B60B-064EC82D67F7}"/>
            </c:ext>
          </c:extLst>
        </c:ser>
        <c:ser>
          <c:idx val="4"/>
          <c:order val="4"/>
          <c:tx>
            <c:strRef>
              <c:f>'NZ-10p_agriculture_energy'!$F$44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'NZ-10p_agriculture_energy'!$G$44:$N$44</c:f>
              <c:numCache>
                <c:formatCode>General</c:formatCode>
                <c:ptCount val="8"/>
                <c:pt idx="0">
                  <c:v>1.2559999999999999E-4</c:v>
                </c:pt>
                <c:pt idx="1">
                  <c:v>1.2482840000000001E-4</c:v>
                </c:pt>
                <c:pt idx="2">
                  <c:v>1.123495E-4</c:v>
                </c:pt>
                <c:pt idx="3">
                  <c:v>1.078344E-4</c:v>
                </c:pt>
                <c:pt idx="4">
                  <c:v>9.8945619999999998E-5</c:v>
                </c:pt>
                <c:pt idx="5">
                  <c:v>8.5093659999999999E-5</c:v>
                </c:pt>
                <c:pt idx="6">
                  <c:v>6.5693759999999995E-5</c:v>
                </c:pt>
                <c:pt idx="7">
                  <c:v>4.3614790000000001E-5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20-4815-B60B-064EC82D67F7}"/>
            </c:ext>
          </c:extLst>
        </c:ser>
        <c:ser>
          <c:idx val="3"/>
          <c:order val="5"/>
          <c:tx>
            <c:strRef>
              <c:f>'NZ-10p_agriculture_energy'!$F$43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'NZ-10p_agriculture_energy'!$G$43:$N$43</c:f>
              <c:numCache>
                <c:formatCode>General</c:formatCode>
                <c:ptCount val="8"/>
                <c:pt idx="0">
                  <c:v>2.7628000000000002E-3</c:v>
                </c:pt>
                <c:pt idx="1">
                  <c:v>2.9378259999999902E-3</c:v>
                </c:pt>
                <c:pt idx="2">
                  <c:v>4.1086159999999998E-3</c:v>
                </c:pt>
                <c:pt idx="3">
                  <c:v>6.6852749999999897E-3</c:v>
                </c:pt>
                <c:pt idx="4">
                  <c:v>8.1160450000000006E-3</c:v>
                </c:pt>
                <c:pt idx="5">
                  <c:v>7.2586359999999997E-3</c:v>
                </c:pt>
                <c:pt idx="6">
                  <c:v>5.3444429999999999E-3</c:v>
                </c:pt>
                <c:pt idx="7">
                  <c:v>3.1776809999999999E-3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20-4815-B60B-064EC82D67F7}"/>
            </c:ext>
          </c:extLst>
        </c:ser>
        <c:ser>
          <c:idx val="2"/>
          <c:order val="6"/>
          <c:tx>
            <c:strRef>
              <c:f>'NZ-10p_agriculture_energy'!$F$42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'NZ-10p_agriculture_energy'!$G$42:$N$42</c:f>
              <c:numCache>
                <c:formatCode>General</c:formatCode>
                <c:ptCount val="8"/>
                <c:pt idx="0">
                  <c:v>4.1901800000000003E-2</c:v>
                </c:pt>
                <c:pt idx="1">
                  <c:v>4.2241840000000003E-2</c:v>
                </c:pt>
                <c:pt idx="2">
                  <c:v>3.4575519999999998E-2</c:v>
                </c:pt>
                <c:pt idx="3">
                  <c:v>2.9385390000000001E-2</c:v>
                </c:pt>
                <c:pt idx="4">
                  <c:v>2.6065829999999901E-2</c:v>
                </c:pt>
                <c:pt idx="5">
                  <c:v>2.5780979999999998E-2</c:v>
                </c:pt>
                <c:pt idx="6">
                  <c:v>2.7618179999999999E-2</c:v>
                </c:pt>
                <c:pt idx="7">
                  <c:v>3.088018E-2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20-4815-B60B-064EC82D67F7}"/>
            </c:ext>
          </c:extLst>
        </c:ser>
        <c:ser>
          <c:idx val="1"/>
          <c:order val="7"/>
          <c:tx>
            <c:strRef>
              <c:f>'NZ-10p_agriculture_energy'!$F$41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'NZ-10p_agriculture_energy'!$G$40:$N$40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'NZ-10p_agriculture_energy'!$G$41:$N$41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4.0911899999999997E-5</c:v>
                </c:pt>
                <c:pt idx="2">
                  <c:v>1.6106310000000001E-4</c:v>
                </c:pt>
                <c:pt idx="3">
                  <c:v>4.9069930000000003E-4</c:v>
                </c:pt>
                <c:pt idx="4">
                  <c:v>9.5311116999999995E-4</c:v>
                </c:pt>
                <c:pt idx="5">
                  <c:v>1.3186535000000001E-3</c:v>
                </c:pt>
                <c:pt idx="6">
                  <c:v>1.8590166E-3</c:v>
                </c:pt>
                <c:pt idx="7">
                  <c:v>2.5442249999999998E-3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20-4815-B60B-064EC82D6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Mining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'NZ-0p_mining_energy'!$F$48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'NZ-0p_mining_energy'!$G$48:$N$48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B85A-40B0-ADF2-B023DB0D00CD}"/>
            </c:ext>
          </c:extLst>
        </c:ser>
        <c:ser>
          <c:idx val="7"/>
          <c:order val="1"/>
          <c:tx>
            <c:strRef>
              <c:f>'NZ-0p_mining_energy'!$F$47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'NZ-0p_mining_energy'!$G$47:$N$47</c:f>
              <c:numCache>
                <c:formatCode>General</c:formatCode>
                <c:ptCount val="8"/>
                <c:pt idx="0">
                  <c:v>2.679E-3</c:v>
                </c:pt>
                <c:pt idx="1">
                  <c:v>2.6916039999999998E-3</c:v>
                </c:pt>
                <c:pt idx="2">
                  <c:v>2.5693370000000001E-3</c:v>
                </c:pt>
                <c:pt idx="3">
                  <c:v>2.8445440000000001E-3</c:v>
                </c:pt>
                <c:pt idx="4">
                  <c:v>2.9120118999999998E-3</c:v>
                </c:pt>
                <c:pt idx="5">
                  <c:v>2.6551679999999999E-3</c:v>
                </c:pt>
                <c:pt idx="6">
                  <c:v>2.1482269999999999E-3</c:v>
                </c:pt>
                <c:pt idx="7">
                  <c:v>1.473366E-3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A-40B0-ADF2-B023DB0D00CD}"/>
            </c:ext>
          </c:extLst>
        </c:ser>
        <c:ser>
          <c:idx val="6"/>
          <c:order val="2"/>
          <c:tx>
            <c:strRef>
              <c:f>'NZ-0p_mining_energy'!$F$46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'NZ-0p_mining_energy'!$G$46:$N$46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B85A-40B0-ADF2-B023DB0D00CD}"/>
            </c:ext>
          </c:extLst>
        </c:ser>
        <c:ser>
          <c:idx val="5"/>
          <c:order val="3"/>
          <c:tx>
            <c:strRef>
              <c:f>'NZ-0p_mining_energy'!$F$45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5A-40B0-ADF2-B023DB0D00CD}"/>
            </c:ext>
          </c:extLst>
        </c:ser>
        <c:ser>
          <c:idx val="4"/>
          <c:order val="4"/>
          <c:tx>
            <c:strRef>
              <c:f>'NZ-0p_mining_energy'!$F$44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5A-40B0-ADF2-B023DB0D00CD}"/>
            </c:ext>
          </c:extLst>
        </c:ser>
        <c:ser>
          <c:idx val="3"/>
          <c:order val="5"/>
          <c:tx>
            <c:strRef>
              <c:f>'NZ-0p_mining_energy'!$F$43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'NZ-0p_mining_energy'!$G$43:$N$43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5A-40B0-ADF2-B023DB0D00CD}"/>
            </c:ext>
          </c:extLst>
        </c:ser>
        <c:ser>
          <c:idx val="2"/>
          <c:order val="6"/>
          <c:tx>
            <c:strRef>
              <c:f>'NZ-0p_mining_energy'!$F$42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'NZ-0p_mining_energy'!$G$42:$N$42</c:f>
              <c:numCache>
                <c:formatCode>General</c:formatCode>
                <c:ptCount val="8"/>
                <c:pt idx="0">
                  <c:v>5.86039E-3</c:v>
                </c:pt>
                <c:pt idx="1">
                  <c:v>5.9121999999999899E-3</c:v>
                </c:pt>
                <c:pt idx="2">
                  <c:v>4.8666669999999999E-3</c:v>
                </c:pt>
                <c:pt idx="3">
                  <c:v>4.2917099999999998E-3</c:v>
                </c:pt>
                <c:pt idx="4">
                  <c:v>3.9388619999999996E-3</c:v>
                </c:pt>
                <c:pt idx="5">
                  <c:v>3.903686E-3</c:v>
                </c:pt>
                <c:pt idx="6">
                  <c:v>4.0883739999999997E-3</c:v>
                </c:pt>
                <c:pt idx="7">
                  <c:v>4.4234169999999998E-3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5A-40B0-ADF2-B023DB0D00CD}"/>
            </c:ext>
          </c:extLst>
        </c:ser>
        <c:ser>
          <c:idx val="1"/>
          <c:order val="7"/>
          <c:tx>
            <c:strRef>
              <c:f>'NZ-0p_mining_energy'!$F$41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'NZ-0p_mining_energy'!$G$41:$N$41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5.7407300000000003E-6</c:v>
                </c:pt>
                <c:pt idx="2">
                  <c:v>2.287727E-5</c:v>
                </c:pt>
                <c:pt idx="3">
                  <c:v>7.4184310000000001E-5</c:v>
                </c:pt>
                <c:pt idx="4">
                  <c:v>1.4522444000000001E-4</c:v>
                </c:pt>
                <c:pt idx="5">
                  <c:v>1.9917485000000001E-4</c:v>
                </c:pt>
                <c:pt idx="6">
                  <c:v>2.7311999999999898E-4</c:v>
                </c:pt>
                <c:pt idx="7">
                  <c:v>3.619405E-4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5A-40B0-ADF2-B023DB0D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Mining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'NZ-10p_mining_energy'!$F$48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'NZ-10p_mining_energy'!$G$48:$N$48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0-0FAF-49E8-8B62-931299A535D4}"/>
            </c:ext>
          </c:extLst>
        </c:ser>
        <c:ser>
          <c:idx val="7"/>
          <c:order val="1"/>
          <c:tx>
            <c:strRef>
              <c:f>'NZ-10p_mining_energy'!$F$47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'NZ-10p_mining_energy'!$G$47:$N$47</c:f>
              <c:numCache>
                <c:formatCode>General</c:formatCode>
                <c:ptCount val="8"/>
                <c:pt idx="0">
                  <c:v>2.679E-3</c:v>
                </c:pt>
                <c:pt idx="1">
                  <c:v>2.6916850000000001E-3</c:v>
                </c:pt>
                <c:pt idx="2">
                  <c:v>2.5702889999999999E-3</c:v>
                </c:pt>
                <c:pt idx="3">
                  <c:v>2.8462840000000001E-3</c:v>
                </c:pt>
                <c:pt idx="4">
                  <c:v>2.9243007000000001E-3</c:v>
                </c:pt>
                <c:pt idx="5">
                  <c:v>2.6729249999999901E-3</c:v>
                </c:pt>
                <c:pt idx="6">
                  <c:v>2.1676619999999999E-3</c:v>
                </c:pt>
                <c:pt idx="7">
                  <c:v>1.4908040000000001E-3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F-49E8-8B62-931299A535D4}"/>
            </c:ext>
          </c:extLst>
        </c:ser>
        <c:ser>
          <c:idx val="6"/>
          <c:order val="2"/>
          <c:tx>
            <c:strRef>
              <c:f>'NZ-10p_mining_energy'!$F$46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'NZ-10p_mining_energy'!$G$46:$N$46</c:f>
              <c:numCache>
                <c:formatCode>General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0FAF-49E8-8B62-931299A535D4}"/>
            </c:ext>
          </c:extLst>
        </c:ser>
        <c:ser>
          <c:idx val="5"/>
          <c:order val="3"/>
          <c:tx>
            <c:strRef>
              <c:f>'NZ-10p_mining_energy'!$F$45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F-49E8-8B62-931299A535D4}"/>
            </c:ext>
          </c:extLst>
        </c:ser>
        <c:ser>
          <c:idx val="4"/>
          <c:order val="4"/>
          <c:tx>
            <c:strRef>
              <c:f>'NZ-10p_mining_energy'!$F$44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'NZ-10p_mining_energy'!$G$44:$N$44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AF-49E8-8B62-931299A535D4}"/>
            </c:ext>
          </c:extLst>
        </c:ser>
        <c:ser>
          <c:idx val="3"/>
          <c:order val="5"/>
          <c:tx>
            <c:strRef>
              <c:f>'NZ-10p_mining_energy'!$F$43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'NZ-10p_mining_energy'!$G$43:$N$43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AF-49E8-8B62-931299A535D4}"/>
            </c:ext>
          </c:extLst>
        </c:ser>
        <c:ser>
          <c:idx val="2"/>
          <c:order val="6"/>
          <c:tx>
            <c:strRef>
              <c:f>'NZ-10p_mining_energy'!$F$42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'NZ-10p_mining_energy'!$G$42:$N$42</c:f>
              <c:numCache>
                <c:formatCode>General</c:formatCode>
                <c:ptCount val="8"/>
                <c:pt idx="0">
                  <c:v>5.86039E-3</c:v>
                </c:pt>
                <c:pt idx="1">
                  <c:v>5.9121599999999996E-3</c:v>
                </c:pt>
                <c:pt idx="2">
                  <c:v>4.8679929999999897E-3</c:v>
                </c:pt>
                <c:pt idx="3">
                  <c:v>4.2950849999999997E-3</c:v>
                </c:pt>
                <c:pt idx="4">
                  <c:v>3.9363999999999996E-3</c:v>
                </c:pt>
                <c:pt idx="5">
                  <c:v>3.893133E-3</c:v>
                </c:pt>
                <c:pt idx="6">
                  <c:v>4.0732420000000004E-3</c:v>
                </c:pt>
                <c:pt idx="7">
                  <c:v>4.4081629999999997E-3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AF-49E8-8B62-931299A535D4}"/>
            </c:ext>
          </c:extLst>
        </c:ser>
        <c:ser>
          <c:idx val="1"/>
          <c:order val="7"/>
          <c:tx>
            <c:strRef>
              <c:f>'NZ-10p_mining_energy'!$F$41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'NZ-10p_mining_energy'!$G$40:$N$40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'NZ-10p_mining_energy'!$G$41:$N$41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5.7403300000000003E-6</c:v>
                </c:pt>
                <c:pt idx="2">
                  <c:v>2.2888349999999999E-5</c:v>
                </c:pt>
                <c:pt idx="3">
                  <c:v>7.3828030000000001E-5</c:v>
                </c:pt>
                <c:pt idx="4">
                  <c:v>1.449698E-4</c:v>
                </c:pt>
                <c:pt idx="5">
                  <c:v>1.9876674000000001E-4</c:v>
                </c:pt>
                <c:pt idx="6">
                  <c:v>2.7255889999999998E-4</c:v>
                </c:pt>
                <c:pt idx="7">
                  <c:v>3.6162649999999999E-4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AF-49E8-8B62-931299A53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Construction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'NZ-0p_construction_energy'!$F$48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'NZ-0p_construction_energy'!$G$48:$N$48</c:f>
              <c:numCache>
                <c:formatCode>General</c:formatCode>
                <c:ptCount val="8"/>
                <c:pt idx="0">
                  <c:v>4.94367E-2</c:v>
                </c:pt>
                <c:pt idx="1">
                  <c:v>5.16847E-2</c:v>
                </c:pt>
                <c:pt idx="2">
                  <c:v>5.0143600000000003E-2</c:v>
                </c:pt>
                <c:pt idx="3">
                  <c:v>5.0363400000000003E-2</c:v>
                </c:pt>
                <c:pt idx="4">
                  <c:v>5.0219300000000001E-2</c:v>
                </c:pt>
                <c:pt idx="5">
                  <c:v>4.9207599999999997E-2</c:v>
                </c:pt>
                <c:pt idx="6">
                  <c:v>4.7676799999999998E-2</c:v>
                </c:pt>
                <c:pt idx="7">
                  <c:v>4.5770699999999997E-2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F2-4FB9-8235-5E9D92A1FC4B}"/>
            </c:ext>
          </c:extLst>
        </c:ser>
        <c:ser>
          <c:idx val="7"/>
          <c:order val="1"/>
          <c:tx>
            <c:strRef>
              <c:f>'NZ-0p_construction_energy'!$F$47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'NZ-0p_construction_energy'!$G$47:$N$47</c:f>
              <c:numCache>
                <c:formatCode>General</c:formatCode>
                <c:ptCount val="8"/>
                <c:pt idx="0">
                  <c:v>3.4408800000000003E-2</c:v>
                </c:pt>
                <c:pt idx="1">
                  <c:v>3.2287780000000002E-2</c:v>
                </c:pt>
                <c:pt idx="2">
                  <c:v>2.6075519999999998E-2</c:v>
                </c:pt>
                <c:pt idx="3">
                  <c:v>1.9313819999999995E-2</c:v>
                </c:pt>
                <c:pt idx="4">
                  <c:v>1.4091724999999992E-2</c:v>
                </c:pt>
                <c:pt idx="5">
                  <c:v>1.2185396999999897E-2</c:v>
                </c:pt>
                <c:pt idx="6">
                  <c:v>1.0185470000000002E-2</c:v>
                </c:pt>
                <c:pt idx="7">
                  <c:v>7.8699649999999996E-3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2-4FB9-8235-5E9D92A1FC4B}"/>
            </c:ext>
          </c:extLst>
        </c:ser>
        <c:ser>
          <c:idx val="6"/>
          <c:order val="2"/>
          <c:tx>
            <c:strRef>
              <c:f>'NZ-0p_construction_energy'!$F$46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F2-4FB9-8235-5E9D92A1FC4B}"/>
            </c:ext>
          </c:extLst>
        </c:ser>
        <c:ser>
          <c:idx val="5"/>
          <c:order val="3"/>
          <c:tx>
            <c:strRef>
              <c:f>'NZ-0p_construction_energy'!$F$45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1.81066E-3</c:v>
                </c:pt>
                <c:pt idx="2">
                  <c:v>3.0881099999999998E-3</c:v>
                </c:pt>
                <c:pt idx="3">
                  <c:v>4.2500699999999999E-3</c:v>
                </c:pt>
                <c:pt idx="4">
                  <c:v>4.5667980000000004E-3</c:v>
                </c:pt>
                <c:pt idx="5">
                  <c:v>3.9714169999999997E-3</c:v>
                </c:pt>
                <c:pt idx="6">
                  <c:v>3.2617789999999998E-3</c:v>
                </c:pt>
                <c:pt idx="7">
                  <c:v>2.308554E-3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F2-4FB9-8235-5E9D92A1FC4B}"/>
            </c:ext>
          </c:extLst>
        </c:ser>
        <c:ser>
          <c:idx val="4"/>
          <c:order val="4"/>
          <c:tx>
            <c:strRef>
              <c:f>'NZ-0p_construction_energy'!$F$44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'NZ-0p_construction_energy'!$G$44:$N$44</c:f>
              <c:numCache>
                <c:formatCode>General</c:formatCode>
                <c:ptCount val="8"/>
                <c:pt idx="0">
                  <c:v>3.3489899999999999E-4</c:v>
                </c:pt>
                <c:pt idx="1">
                  <c:v>9.1913200000000002E-4</c:v>
                </c:pt>
                <c:pt idx="2">
                  <c:v>2.1662699999999901E-3</c:v>
                </c:pt>
                <c:pt idx="3">
                  <c:v>4.075057E-3</c:v>
                </c:pt>
                <c:pt idx="4">
                  <c:v>5.5463200000000004E-3</c:v>
                </c:pt>
                <c:pt idx="5">
                  <c:v>5.7614099999999998E-3</c:v>
                </c:pt>
                <c:pt idx="6">
                  <c:v>5.7686809999999899E-3</c:v>
                </c:pt>
                <c:pt idx="7">
                  <c:v>5.17456899999999E-3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F2-4FB9-8235-5E9D92A1FC4B}"/>
            </c:ext>
          </c:extLst>
        </c:ser>
        <c:ser>
          <c:idx val="3"/>
          <c:order val="5"/>
          <c:tx>
            <c:strRef>
              <c:f>'NZ-0p_construction_energy'!$F$43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'NZ-0p_construction_energy'!$G$43:$N$43</c:f>
              <c:numCache>
                <c:formatCode>General</c:formatCode>
                <c:ptCount val="8"/>
                <c:pt idx="0">
                  <c:v>1.0884E-3</c:v>
                </c:pt>
                <c:pt idx="1">
                  <c:v>1.4458369999999999E-3</c:v>
                </c:pt>
                <c:pt idx="2">
                  <c:v>3.1589690000000002E-3</c:v>
                </c:pt>
                <c:pt idx="3">
                  <c:v>5.9551359999999998E-3</c:v>
                </c:pt>
                <c:pt idx="4">
                  <c:v>7.7676739999999996E-3</c:v>
                </c:pt>
                <c:pt idx="5">
                  <c:v>7.4338019999999998E-3</c:v>
                </c:pt>
                <c:pt idx="6">
                  <c:v>6.1648889999999998E-3</c:v>
                </c:pt>
                <c:pt idx="7">
                  <c:v>4.3603349999999999E-3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1F2-4FB9-8235-5E9D92A1FC4B}"/>
            </c:ext>
          </c:extLst>
        </c:ser>
        <c:ser>
          <c:idx val="2"/>
          <c:order val="6"/>
          <c:tx>
            <c:strRef>
              <c:f>'NZ-0p_construction_energy'!$F$42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1.2425700000000001E-4</c:v>
                </c:pt>
                <c:pt idx="2">
                  <c:v>2.851118E-4</c:v>
                </c:pt>
                <c:pt idx="3">
                  <c:v>5.4835759999999996E-4</c:v>
                </c:pt>
                <c:pt idx="4">
                  <c:v>8.0673180000000004E-4</c:v>
                </c:pt>
                <c:pt idx="5">
                  <c:v>1.0250526E-3</c:v>
                </c:pt>
                <c:pt idx="6">
                  <c:v>1.5267614999999999E-3</c:v>
                </c:pt>
                <c:pt idx="7">
                  <c:v>2.4678189E-3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F2-4FB9-8235-5E9D92A1FC4B}"/>
            </c:ext>
          </c:extLst>
        </c:ser>
        <c:ser>
          <c:idx val="1"/>
          <c:order val="7"/>
          <c:tx>
            <c:strRef>
              <c:f>'NZ-0p_construction_energy'!$F$41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'NZ-0p_construction_energy'!$G$41:$N$41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1.0746100000000001E-4</c:v>
                </c:pt>
                <c:pt idx="2">
                  <c:v>3.6498640000000001E-4</c:v>
                </c:pt>
                <c:pt idx="3">
                  <c:v>8.7734670000000001E-4</c:v>
                </c:pt>
                <c:pt idx="4">
                  <c:v>1.5704987999999899E-3</c:v>
                </c:pt>
                <c:pt idx="5">
                  <c:v>2.2210266999999999E-3</c:v>
                </c:pt>
                <c:pt idx="6">
                  <c:v>3.442367E-3</c:v>
                </c:pt>
                <c:pt idx="7">
                  <c:v>5.5773619999999998E-3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F2-4FB9-8235-5E9D92A1F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Construction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'NZ-10p_construction_energy'!$F$48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'NZ-10p_construction_energy'!$G$48:$N$48</c:f>
              <c:numCache>
                <c:formatCode>General</c:formatCode>
                <c:ptCount val="8"/>
                <c:pt idx="0">
                  <c:v>4.94367E-2</c:v>
                </c:pt>
                <c:pt idx="1">
                  <c:v>5.16847E-2</c:v>
                </c:pt>
                <c:pt idx="2">
                  <c:v>5.0143600000000003E-2</c:v>
                </c:pt>
                <c:pt idx="3">
                  <c:v>5.0363400000000003E-2</c:v>
                </c:pt>
                <c:pt idx="4">
                  <c:v>5.0219300000000001E-2</c:v>
                </c:pt>
                <c:pt idx="5">
                  <c:v>4.9207599999999997E-2</c:v>
                </c:pt>
                <c:pt idx="6">
                  <c:v>4.7676799999999998E-2</c:v>
                </c:pt>
                <c:pt idx="7">
                  <c:v>4.5770699999999997E-2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3-43E3-B523-119539599D32}"/>
            </c:ext>
          </c:extLst>
        </c:ser>
        <c:ser>
          <c:idx val="7"/>
          <c:order val="1"/>
          <c:tx>
            <c:strRef>
              <c:f>'NZ-10p_construction_energy'!$F$47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'NZ-10p_construction_energy'!$G$47:$N$47</c:f>
              <c:numCache>
                <c:formatCode>General</c:formatCode>
                <c:ptCount val="8"/>
                <c:pt idx="0">
                  <c:v>3.4408800000000003E-2</c:v>
                </c:pt>
                <c:pt idx="1">
                  <c:v>3.2289159999999997E-2</c:v>
                </c:pt>
                <c:pt idx="2">
                  <c:v>2.6083309999999992E-2</c:v>
                </c:pt>
                <c:pt idx="3">
                  <c:v>1.9324910000000001E-2</c:v>
                </c:pt>
                <c:pt idx="4">
                  <c:v>1.4167341999999992E-2</c:v>
                </c:pt>
                <c:pt idx="5">
                  <c:v>1.2242229999999903E-2</c:v>
                </c:pt>
                <c:pt idx="6">
                  <c:v>1.0227799999999905E-2</c:v>
                </c:pt>
                <c:pt idx="7">
                  <c:v>7.9173560000000004E-3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63-43E3-B523-119539599D32}"/>
            </c:ext>
          </c:extLst>
        </c:ser>
        <c:ser>
          <c:idx val="6"/>
          <c:order val="2"/>
          <c:tx>
            <c:strRef>
              <c:f>'NZ-10p_construction_energy'!$F$46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63-43E3-B523-119539599D32}"/>
            </c:ext>
          </c:extLst>
        </c:ser>
        <c:ser>
          <c:idx val="5"/>
          <c:order val="3"/>
          <c:tx>
            <c:strRef>
              <c:f>'NZ-10p_construction_energy'!$F$45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1.8106000000000001E-3</c:v>
                </c:pt>
                <c:pt idx="2">
                  <c:v>3.0937299999999998E-3</c:v>
                </c:pt>
                <c:pt idx="3">
                  <c:v>4.2698320000000003E-3</c:v>
                </c:pt>
                <c:pt idx="4">
                  <c:v>4.5978379999999999E-3</c:v>
                </c:pt>
                <c:pt idx="5">
                  <c:v>4.0059240000000001E-3</c:v>
                </c:pt>
                <c:pt idx="6">
                  <c:v>3.2945539999999999E-3</c:v>
                </c:pt>
                <c:pt idx="7">
                  <c:v>2.3363589999999901E-3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63-43E3-B523-119539599D32}"/>
            </c:ext>
          </c:extLst>
        </c:ser>
        <c:ser>
          <c:idx val="4"/>
          <c:order val="4"/>
          <c:tx>
            <c:strRef>
              <c:f>'NZ-10p_construction_energy'!$F$44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'NZ-10p_construction_energy'!$G$44:$N$44</c:f>
              <c:numCache>
                <c:formatCode>General</c:formatCode>
                <c:ptCount val="8"/>
                <c:pt idx="0">
                  <c:v>3.3489899999999999E-4</c:v>
                </c:pt>
                <c:pt idx="1">
                  <c:v>9.1906599999999996E-4</c:v>
                </c:pt>
                <c:pt idx="2">
                  <c:v>2.1675069999999999E-3</c:v>
                </c:pt>
                <c:pt idx="3">
                  <c:v>4.0812052000000001E-3</c:v>
                </c:pt>
                <c:pt idx="4">
                  <c:v>5.5438299999999996E-3</c:v>
                </c:pt>
                <c:pt idx="5">
                  <c:v>5.7539459999999898E-3</c:v>
                </c:pt>
                <c:pt idx="6">
                  <c:v>5.7670199999999899E-3</c:v>
                </c:pt>
                <c:pt idx="7">
                  <c:v>5.1858059999999899E-3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63-43E3-B523-119539599D32}"/>
            </c:ext>
          </c:extLst>
        </c:ser>
        <c:ser>
          <c:idx val="3"/>
          <c:order val="5"/>
          <c:tx>
            <c:strRef>
              <c:f>'NZ-10p_construction_energy'!$F$43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'NZ-10p_construction_energy'!$G$43:$N$43</c:f>
              <c:numCache>
                <c:formatCode>General</c:formatCode>
                <c:ptCount val="8"/>
                <c:pt idx="0">
                  <c:v>1.0884E-3</c:v>
                </c:pt>
                <c:pt idx="1">
                  <c:v>1.4458889999999999E-3</c:v>
                </c:pt>
                <c:pt idx="2">
                  <c:v>3.1543219999999898E-3</c:v>
                </c:pt>
                <c:pt idx="3">
                  <c:v>5.9402420000000001E-3</c:v>
                </c:pt>
                <c:pt idx="4">
                  <c:v>7.8166739999999992E-3</c:v>
                </c:pt>
                <c:pt idx="5">
                  <c:v>7.5085759999999899E-3</c:v>
                </c:pt>
                <c:pt idx="6">
                  <c:v>6.2422689999999999E-3</c:v>
                </c:pt>
                <c:pt idx="7">
                  <c:v>4.4226379999999996E-3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63-43E3-B523-119539599D32}"/>
            </c:ext>
          </c:extLst>
        </c:ser>
        <c:ser>
          <c:idx val="2"/>
          <c:order val="6"/>
          <c:tx>
            <c:strRef>
              <c:f>'NZ-10p_construction_energy'!$F$42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1.24249E-4</c:v>
                </c:pt>
                <c:pt idx="2">
                  <c:v>2.8518210000000002E-4</c:v>
                </c:pt>
                <c:pt idx="3">
                  <c:v>5.4856179999999998E-4</c:v>
                </c:pt>
                <c:pt idx="4">
                  <c:v>8.0159079999999998E-4</c:v>
                </c:pt>
                <c:pt idx="5">
                  <c:v>1.0123732999999899E-3</c:v>
                </c:pt>
                <c:pt idx="6">
                  <c:v>1.5057454999999999E-3</c:v>
                </c:pt>
                <c:pt idx="7">
                  <c:v>2.4382548999999998E-3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63-43E3-B523-119539599D32}"/>
            </c:ext>
          </c:extLst>
        </c:ser>
        <c:ser>
          <c:idx val="1"/>
          <c:order val="7"/>
          <c:tx>
            <c:strRef>
              <c:f>'NZ-10p_construction_energy'!$F$41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'NZ-10p_construction_energy'!$G$40:$N$40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'NZ-10p_construction_energy'!$G$41:$N$41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1.07451E-4</c:v>
                </c:pt>
                <c:pt idx="2">
                  <c:v>3.64908E-4</c:v>
                </c:pt>
                <c:pt idx="3">
                  <c:v>8.7285699999999999E-4</c:v>
                </c:pt>
                <c:pt idx="4">
                  <c:v>1.5591685999999899E-3</c:v>
                </c:pt>
                <c:pt idx="5">
                  <c:v>2.1961261999999902E-3</c:v>
                </c:pt>
                <c:pt idx="6">
                  <c:v>3.4011739999999999E-3</c:v>
                </c:pt>
                <c:pt idx="7">
                  <c:v>5.5243979999999998E-3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063-43E3-B523-119539599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Construction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'NZ-22p_construction_energy'!$F$48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'NZ-22p_construction_energy'!$G$48:$N$48</c:f>
              <c:numCache>
                <c:formatCode>General</c:formatCode>
                <c:ptCount val="8"/>
                <c:pt idx="0">
                  <c:v>4.94367E-2</c:v>
                </c:pt>
                <c:pt idx="1">
                  <c:v>5.16847E-2</c:v>
                </c:pt>
                <c:pt idx="2">
                  <c:v>5.0143600000000003E-2</c:v>
                </c:pt>
                <c:pt idx="3">
                  <c:v>5.0363400000000003E-2</c:v>
                </c:pt>
                <c:pt idx="4">
                  <c:v>5.0219300000000001E-2</c:v>
                </c:pt>
                <c:pt idx="5">
                  <c:v>4.9207599999999997E-2</c:v>
                </c:pt>
                <c:pt idx="6">
                  <c:v>4.7676799999999998E-2</c:v>
                </c:pt>
                <c:pt idx="7">
                  <c:v>4.5770699999999997E-2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F-44C4-8B34-954DF7CEDDCC}"/>
            </c:ext>
          </c:extLst>
        </c:ser>
        <c:ser>
          <c:idx val="7"/>
          <c:order val="1"/>
          <c:tx>
            <c:strRef>
              <c:f>'NZ-22p_construction_energy'!$F$47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'NZ-22p_construction_energy'!$G$47:$N$47</c:f>
              <c:numCache>
                <c:formatCode>General</c:formatCode>
                <c:ptCount val="8"/>
                <c:pt idx="0">
                  <c:v>3.4408800000000003E-2</c:v>
                </c:pt>
                <c:pt idx="1">
                  <c:v>3.2287800000000005E-2</c:v>
                </c:pt>
                <c:pt idx="2">
                  <c:v>2.6079539999999991E-2</c:v>
                </c:pt>
                <c:pt idx="3">
                  <c:v>1.9329869999999999E-2</c:v>
                </c:pt>
                <c:pt idx="4">
                  <c:v>1.4217264E-2</c:v>
                </c:pt>
                <c:pt idx="5">
                  <c:v>1.2295107999999999E-2</c:v>
                </c:pt>
                <c:pt idx="6">
                  <c:v>1.0280650000000002E-2</c:v>
                </c:pt>
                <c:pt idx="7">
                  <c:v>7.9884850000000035E-3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F-44C4-8B34-954DF7CEDDCC}"/>
            </c:ext>
          </c:extLst>
        </c:ser>
        <c:ser>
          <c:idx val="6"/>
          <c:order val="2"/>
          <c:tx>
            <c:strRef>
              <c:f>'NZ-22p_construction_energy'!$F$46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F-44C4-8B34-954DF7CEDDCC}"/>
            </c:ext>
          </c:extLst>
        </c:ser>
        <c:ser>
          <c:idx val="5"/>
          <c:order val="3"/>
          <c:tx>
            <c:strRef>
              <c:f>'NZ-22p_construction_energy'!$F$45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'NZ-22p_construction_energy'!$G$45:$N$45</c:f>
              <c:numCache>
                <c:formatCode>General</c:formatCode>
                <c:ptCount val="8"/>
                <c:pt idx="0">
                  <c:v>0</c:v>
                </c:pt>
                <c:pt idx="1">
                  <c:v>1.81065E-3</c:v>
                </c:pt>
                <c:pt idx="2">
                  <c:v>3.0912399999999999E-3</c:v>
                </c:pt>
                <c:pt idx="3">
                  <c:v>4.2770120000000002E-3</c:v>
                </c:pt>
                <c:pt idx="4">
                  <c:v>4.6150879999999998E-3</c:v>
                </c:pt>
                <c:pt idx="5">
                  <c:v>4.0308399999999999E-3</c:v>
                </c:pt>
                <c:pt idx="6">
                  <c:v>3.3243779999999998E-3</c:v>
                </c:pt>
                <c:pt idx="7">
                  <c:v>2.368191E-3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F-44C4-8B34-954DF7CEDDCC}"/>
            </c:ext>
          </c:extLst>
        </c:ser>
        <c:ser>
          <c:idx val="4"/>
          <c:order val="4"/>
          <c:tx>
            <c:strRef>
              <c:f>'NZ-22p_construction_energy'!$F$44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'NZ-22p_construction_energy'!$G$44:$N$44</c:f>
              <c:numCache>
                <c:formatCode>General</c:formatCode>
                <c:ptCount val="8"/>
                <c:pt idx="0">
                  <c:v>3.3489899999999999E-4</c:v>
                </c:pt>
                <c:pt idx="1">
                  <c:v>9.1913499999999996E-4</c:v>
                </c:pt>
                <c:pt idx="2">
                  <c:v>2.1670029999999998E-3</c:v>
                </c:pt>
                <c:pt idx="3">
                  <c:v>4.0842203000000001E-3</c:v>
                </c:pt>
                <c:pt idx="4">
                  <c:v>5.5415429999999899E-3</c:v>
                </c:pt>
                <c:pt idx="5">
                  <c:v>5.7486450000000001E-3</c:v>
                </c:pt>
                <c:pt idx="6">
                  <c:v>5.7681620000000003E-3</c:v>
                </c:pt>
                <c:pt idx="7">
                  <c:v>5.2033380000000001E-3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6F-44C4-8B34-954DF7CEDDCC}"/>
            </c:ext>
          </c:extLst>
        </c:ser>
        <c:ser>
          <c:idx val="3"/>
          <c:order val="5"/>
          <c:tx>
            <c:strRef>
              <c:f>'NZ-22p_construction_energy'!$F$43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'NZ-22p_construction_energy'!$G$43:$N$43</c:f>
              <c:numCache>
                <c:formatCode>General</c:formatCode>
                <c:ptCount val="8"/>
                <c:pt idx="0">
                  <c:v>1.0884E-3</c:v>
                </c:pt>
                <c:pt idx="1">
                  <c:v>1.4458219999999901E-3</c:v>
                </c:pt>
                <c:pt idx="2">
                  <c:v>3.1567570000000001E-3</c:v>
                </c:pt>
                <c:pt idx="3">
                  <c:v>5.9379389999999997E-3</c:v>
                </c:pt>
                <c:pt idx="4">
                  <c:v>7.8553319999999996E-3</c:v>
                </c:pt>
                <c:pt idx="5">
                  <c:v>7.5710859999999899E-3</c:v>
                </c:pt>
                <c:pt idx="6">
                  <c:v>6.3146799999999996E-3</c:v>
                </c:pt>
                <c:pt idx="7">
                  <c:v>4.4920300000000002E-3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6F-44C4-8B34-954DF7CEDDCC}"/>
            </c:ext>
          </c:extLst>
        </c:ser>
        <c:ser>
          <c:idx val="2"/>
          <c:order val="6"/>
          <c:tx>
            <c:strRef>
              <c:f>'NZ-22p_construction_energy'!$F$42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'NZ-22p_construction_energy'!$G$42:$N$42</c:f>
              <c:numCache>
                <c:formatCode>General</c:formatCode>
                <c:ptCount val="8"/>
                <c:pt idx="0">
                  <c:v>0</c:v>
                </c:pt>
                <c:pt idx="1">
                  <c:v>1.24256E-4</c:v>
                </c:pt>
                <c:pt idx="2">
                  <c:v>2.8515410000000001E-4</c:v>
                </c:pt>
                <c:pt idx="3">
                  <c:v>5.4865619999999997E-4</c:v>
                </c:pt>
                <c:pt idx="4">
                  <c:v>7.981145E-4</c:v>
                </c:pt>
                <c:pt idx="5">
                  <c:v>1.0024133999999899E-3</c:v>
                </c:pt>
                <c:pt idx="6">
                  <c:v>1.4854454999999999E-3</c:v>
                </c:pt>
                <c:pt idx="7">
                  <c:v>2.4022639999999999E-3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6F-44C4-8B34-954DF7CEDDCC}"/>
            </c:ext>
          </c:extLst>
        </c:ser>
        <c:ser>
          <c:idx val="1"/>
          <c:order val="7"/>
          <c:tx>
            <c:strRef>
              <c:f>'NZ-22p_construction_energy'!$F$41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'NZ-22p_construction_energy'!$G$40:$N$40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'NZ-22p_construction_energy'!$G$41:$N$41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1.0746100000000001E-4</c:v>
                </c:pt>
                <c:pt idx="2">
                  <c:v>3.6495750000000002E-4</c:v>
                </c:pt>
                <c:pt idx="3">
                  <c:v>8.7057659999999995E-4</c:v>
                </c:pt>
                <c:pt idx="4">
                  <c:v>1.5518228000000001E-3</c:v>
                </c:pt>
                <c:pt idx="5">
                  <c:v>2.1780304999999998E-3</c:v>
                </c:pt>
                <c:pt idx="6">
                  <c:v>3.3637129999999999E-3</c:v>
                </c:pt>
                <c:pt idx="7">
                  <c:v>5.4620199999999997E-3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46F-44C4-8B34-954DF7CED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Other industry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'NZ-0p_other_industry_energy'!$F$48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'NZ-0p_other_industry_energy'!$G$48:$N$48</c:f>
              <c:numCache>
                <c:formatCode>General</c:formatCode>
                <c:ptCount val="8"/>
                <c:pt idx="0">
                  <c:v>2.9218299999999999E-2</c:v>
                </c:pt>
                <c:pt idx="1">
                  <c:v>3.3101499999999999E-2</c:v>
                </c:pt>
                <c:pt idx="2">
                  <c:v>3.9242300000000001E-2</c:v>
                </c:pt>
                <c:pt idx="3">
                  <c:v>5.1965600000000001E-2</c:v>
                </c:pt>
                <c:pt idx="4">
                  <c:v>8.1377500000000005E-2</c:v>
                </c:pt>
                <c:pt idx="5">
                  <c:v>0.11777</c:v>
                </c:pt>
                <c:pt idx="6">
                  <c:v>0.14177500000000001</c:v>
                </c:pt>
                <c:pt idx="7">
                  <c:v>0.157805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F-4E59-AD00-354378367AB8}"/>
            </c:ext>
          </c:extLst>
        </c:ser>
        <c:ser>
          <c:idx val="7"/>
          <c:order val="1"/>
          <c:tx>
            <c:strRef>
              <c:f>'NZ-0p_other_industry_energy'!$F$47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'NZ-0p_other_industry_energy'!$G$47:$N$47</c:f>
              <c:numCache>
                <c:formatCode>General</c:formatCode>
                <c:ptCount val="8"/>
                <c:pt idx="0">
                  <c:v>0.1744762</c:v>
                </c:pt>
                <c:pt idx="1">
                  <c:v>0.18626352999999998</c:v>
                </c:pt>
                <c:pt idx="2">
                  <c:v>0.17945162999999997</c:v>
                </c:pt>
                <c:pt idx="3">
                  <c:v>0.18764513999999999</c:v>
                </c:pt>
                <c:pt idx="4">
                  <c:v>0.20019096000000003</c:v>
                </c:pt>
                <c:pt idx="5">
                  <c:v>0.20176478999999886</c:v>
                </c:pt>
                <c:pt idx="6">
                  <c:v>0.18801643299999996</c:v>
                </c:pt>
                <c:pt idx="7">
                  <c:v>0.15841972859999906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F-4E59-AD00-354378367AB8}"/>
            </c:ext>
          </c:extLst>
        </c:ser>
        <c:ser>
          <c:idx val="6"/>
          <c:order val="2"/>
          <c:tx>
            <c:strRef>
              <c:f>'NZ-0p_other_industry_energy'!$F$46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F-4E59-AD00-354378367AB8}"/>
            </c:ext>
          </c:extLst>
        </c:ser>
        <c:ser>
          <c:idx val="5"/>
          <c:order val="3"/>
          <c:tx>
            <c:strRef>
              <c:f>'NZ-0p_other_industry_energy'!$F$45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'NZ-0p_other_industry_energy'!$G$45:$N$45</c:f>
              <c:numCache>
                <c:formatCode>General</c:formatCode>
                <c:ptCount val="8"/>
                <c:pt idx="0">
                  <c:v>0.31868060000000004</c:v>
                </c:pt>
                <c:pt idx="1">
                  <c:v>0.34392588000000002</c:v>
                </c:pt>
                <c:pt idx="2">
                  <c:v>0.33629653300000001</c:v>
                </c:pt>
                <c:pt idx="3">
                  <c:v>0.30766083899999902</c:v>
                </c:pt>
                <c:pt idx="4">
                  <c:v>0.22425453100000001</c:v>
                </c:pt>
                <c:pt idx="5">
                  <c:v>0.12607173500000002</c:v>
                </c:pt>
                <c:pt idx="6">
                  <c:v>7.2751195000000005E-2</c:v>
                </c:pt>
                <c:pt idx="7">
                  <c:v>4.53555956E-2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F-4E59-AD00-354378367AB8}"/>
            </c:ext>
          </c:extLst>
        </c:ser>
        <c:ser>
          <c:idx val="4"/>
          <c:order val="4"/>
          <c:tx>
            <c:strRef>
              <c:f>'NZ-0p_other_industry_energy'!$F$44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'NZ-0p_other_industry_energy'!$G$44:$N$44</c:f>
              <c:numCache>
                <c:formatCode>General</c:formatCode>
                <c:ptCount val="8"/>
                <c:pt idx="0">
                  <c:v>0.22577360000000002</c:v>
                </c:pt>
                <c:pt idx="1">
                  <c:v>0.24140592999999999</c:v>
                </c:pt>
                <c:pt idx="2">
                  <c:v>0.24030704</c:v>
                </c:pt>
                <c:pt idx="3">
                  <c:v>0.25049917999999988</c:v>
                </c:pt>
                <c:pt idx="4">
                  <c:v>0.25594923999999902</c:v>
                </c:pt>
                <c:pt idx="5">
                  <c:v>0.23725372</c:v>
                </c:pt>
                <c:pt idx="6">
                  <c:v>0.21432947199999999</c:v>
                </c:pt>
                <c:pt idx="7">
                  <c:v>0.18473545699999999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CF-4E59-AD00-354378367AB8}"/>
            </c:ext>
          </c:extLst>
        </c:ser>
        <c:ser>
          <c:idx val="3"/>
          <c:order val="5"/>
          <c:tx>
            <c:strRef>
              <c:f>'NZ-0p_other_industry_energy'!$F$43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'NZ-0p_other_industry_energy'!$G$43:$N$43</c:f>
              <c:numCache>
                <c:formatCode>General</c:formatCode>
                <c:ptCount val="8"/>
                <c:pt idx="0">
                  <c:v>0.109571</c:v>
                </c:pt>
                <c:pt idx="1">
                  <c:v>0.11840091899999999</c:v>
                </c:pt>
                <c:pt idx="2">
                  <c:v>0.121228189</c:v>
                </c:pt>
                <c:pt idx="3">
                  <c:v>0.14615164399999991</c:v>
                </c:pt>
                <c:pt idx="4">
                  <c:v>0.17709624900000001</c:v>
                </c:pt>
                <c:pt idx="5">
                  <c:v>0.17808081799999989</c:v>
                </c:pt>
                <c:pt idx="6">
                  <c:v>0.1616094005999999</c:v>
                </c:pt>
                <c:pt idx="7">
                  <c:v>0.1327663026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CF-4E59-AD00-354378367AB8}"/>
            </c:ext>
          </c:extLst>
        </c:ser>
        <c:ser>
          <c:idx val="2"/>
          <c:order val="6"/>
          <c:tx>
            <c:strRef>
              <c:f>'NZ-0p_other_industry_energy'!$F$42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'NZ-0p_other_industry_energy'!$G$42:$N$42</c:f>
              <c:numCache>
                <c:formatCode>General</c:formatCode>
                <c:ptCount val="8"/>
                <c:pt idx="0">
                  <c:v>0.54062200000000005</c:v>
                </c:pt>
                <c:pt idx="1">
                  <c:v>0.57920570000000005</c:v>
                </c:pt>
                <c:pt idx="2">
                  <c:v>0.55749389999999999</c:v>
                </c:pt>
                <c:pt idx="3">
                  <c:v>0.54686411999999995</c:v>
                </c:pt>
                <c:pt idx="4">
                  <c:v>0.51559308999999998</c:v>
                </c:pt>
                <c:pt idx="5">
                  <c:v>0.50021808000000001</c:v>
                </c:pt>
                <c:pt idx="6">
                  <c:v>0.51324771000000002</c:v>
                </c:pt>
                <c:pt idx="7">
                  <c:v>0.55090640999999996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CF-4E59-AD00-354378367AB8}"/>
            </c:ext>
          </c:extLst>
        </c:ser>
        <c:ser>
          <c:idx val="1"/>
          <c:order val="7"/>
          <c:tx>
            <c:strRef>
              <c:f>'NZ-0p_other_industry_energy'!$F$41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'NZ-0p_other_industry_energy'!$G$41:$N$41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6.0020400000000002E-4</c:v>
                </c:pt>
                <c:pt idx="2">
                  <c:v>1.124402E-3</c:v>
                </c:pt>
                <c:pt idx="3">
                  <c:v>7.5107599999999896E-3</c:v>
                </c:pt>
                <c:pt idx="4">
                  <c:v>3.7974994999999998E-2</c:v>
                </c:pt>
                <c:pt idx="5">
                  <c:v>9.1062919699999995E-2</c:v>
                </c:pt>
                <c:pt idx="6">
                  <c:v>0.13161023760000001</c:v>
                </c:pt>
                <c:pt idx="7">
                  <c:v>0.16984659226999999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CF-4E59-AD00-3543783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Other industry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'NZ-10p_other_industry_energy'!$F$48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'NZ-10p_other_industry_energy'!$G$48:$N$48</c:f>
              <c:numCache>
                <c:formatCode>General</c:formatCode>
                <c:ptCount val="8"/>
                <c:pt idx="0">
                  <c:v>2.9218299999999999E-2</c:v>
                </c:pt>
                <c:pt idx="1">
                  <c:v>3.3101499999999999E-2</c:v>
                </c:pt>
                <c:pt idx="2">
                  <c:v>3.9242300000000001E-2</c:v>
                </c:pt>
                <c:pt idx="3">
                  <c:v>5.1965600000000001E-2</c:v>
                </c:pt>
                <c:pt idx="4">
                  <c:v>8.1377500000000005E-2</c:v>
                </c:pt>
                <c:pt idx="5">
                  <c:v>0.11777</c:v>
                </c:pt>
                <c:pt idx="6">
                  <c:v>0.14177500000000001</c:v>
                </c:pt>
                <c:pt idx="7">
                  <c:v>0.157805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8-4E8F-B8E3-7B1FA7C07CBD}"/>
            </c:ext>
          </c:extLst>
        </c:ser>
        <c:ser>
          <c:idx val="7"/>
          <c:order val="1"/>
          <c:tx>
            <c:strRef>
              <c:f>'NZ-10p_other_industry_energy'!$F$47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'NZ-10p_other_industry_energy'!$G$47:$N$47</c:f>
              <c:numCache>
                <c:formatCode>General</c:formatCode>
                <c:ptCount val="8"/>
                <c:pt idx="0">
                  <c:v>0.1744762</c:v>
                </c:pt>
                <c:pt idx="1">
                  <c:v>0.18626729999999997</c:v>
                </c:pt>
                <c:pt idx="2">
                  <c:v>0.179513809999999</c:v>
                </c:pt>
                <c:pt idx="3">
                  <c:v>0.18779683</c:v>
                </c:pt>
                <c:pt idx="4">
                  <c:v>0.20108437000000001</c:v>
                </c:pt>
                <c:pt idx="5">
                  <c:v>0.20289582</c:v>
                </c:pt>
                <c:pt idx="6">
                  <c:v>0.18918710099999889</c:v>
                </c:pt>
                <c:pt idx="7">
                  <c:v>0.15976747249999998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8-4E8F-B8E3-7B1FA7C07CBD}"/>
            </c:ext>
          </c:extLst>
        </c:ser>
        <c:ser>
          <c:idx val="6"/>
          <c:order val="2"/>
          <c:tx>
            <c:strRef>
              <c:f>'NZ-10p_other_industry_energy'!$F$46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8-4E8F-B8E3-7B1FA7C07CBD}"/>
            </c:ext>
          </c:extLst>
        </c:ser>
        <c:ser>
          <c:idx val="5"/>
          <c:order val="3"/>
          <c:tx>
            <c:strRef>
              <c:f>'NZ-10p_other_industry_energy'!$F$45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'NZ-10p_other_industry_energy'!$G$45:$N$45</c:f>
              <c:numCache>
                <c:formatCode>General</c:formatCode>
                <c:ptCount val="8"/>
                <c:pt idx="0">
                  <c:v>0.31868060000000004</c:v>
                </c:pt>
                <c:pt idx="1">
                  <c:v>0.343926439999999</c:v>
                </c:pt>
                <c:pt idx="2">
                  <c:v>0.33634985099999998</c:v>
                </c:pt>
                <c:pt idx="3">
                  <c:v>0.30789945399999991</c:v>
                </c:pt>
                <c:pt idx="4">
                  <c:v>0.22501923699999901</c:v>
                </c:pt>
                <c:pt idx="5">
                  <c:v>0.12716555599999999</c:v>
                </c:pt>
                <c:pt idx="6">
                  <c:v>7.3864692999999995E-2</c:v>
                </c:pt>
                <c:pt idx="7">
                  <c:v>4.6404920499999995E-2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E8-4E8F-B8E3-7B1FA7C07CBD}"/>
            </c:ext>
          </c:extLst>
        </c:ser>
        <c:ser>
          <c:idx val="4"/>
          <c:order val="4"/>
          <c:tx>
            <c:strRef>
              <c:f>'NZ-10p_other_industry_energy'!$F$44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'NZ-10p_other_industry_energy'!$G$44:$N$44</c:f>
              <c:numCache>
                <c:formatCode>General</c:formatCode>
                <c:ptCount val="8"/>
                <c:pt idx="0">
                  <c:v>0.22577360000000002</c:v>
                </c:pt>
                <c:pt idx="1">
                  <c:v>0.24140464</c:v>
                </c:pt>
                <c:pt idx="2">
                  <c:v>0.24036398</c:v>
                </c:pt>
                <c:pt idx="3">
                  <c:v>0.25072040000000001</c:v>
                </c:pt>
                <c:pt idx="4">
                  <c:v>0.25666926000000001</c:v>
                </c:pt>
                <c:pt idx="5">
                  <c:v>0.23835329</c:v>
                </c:pt>
                <c:pt idx="6">
                  <c:v>0.21555033800000001</c:v>
                </c:pt>
                <c:pt idx="7">
                  <c:v>0.18594778299999998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E8-4E8F-B8E3-7B1FA7C07CBD}"/>
            </c:ext>
          </c:extLst>
        </c:ser>
        <c:ser>
          <c:idx val="3"/>
          <c:order val="5"/>
          <c:tx>
            <c:strRef>
              <c:f>'NZ-10p_other_industry_energy'!$F$43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'NZ-10p_other_industry_energy'!$G$43:$N$43</c:f>
              <c:numCache>
                <c:formatCode>General</c:formatCode>
                <c:ptCount val="8"/>
                <c:pt idx="0">
                  <c:v>0.109571</c:v>
                </c:pt>
                <c:pt idx="1">
                  <c:v>0.11840242199999999</c:v>
                </c:pt>
                <c:pt idx="2">
                  <c:v>0.12125974099999999</c:v>
                </c:pt>
                <c:pt idx="3">
                  <c:v>0.14611254099999998</c:v>
                </c:pt>
                <c:pt idx="4">
                  <c:v>0.179275833999999</c:v>
                </c:pt>
                <c:pt idx="5">
                  <c:v>0.181293287</c:v>
                </c:pt>
                <c:pt idx="6">
                  <c:v>0.16496732959999899</c:v>
                </c:pt>
                <c:pt idx="7">
                  <c:v>0.13592574879999891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E8-4E8F-B8E3-7B1FA7C07CBD}"/>
            </c:ext>
          </c:extLst>
        </c:ser>
        <c:ser>
          <c:idx val="2"/>
          <c:order val="6"/>
          <c:tx>
            <c:strRef>
              <c:f>'NZ-10p_other_industry_energy'!$F$42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'NZ-10p_other_industry_energy'!$G$42:$N$42</c:f>
              <c:numCache>
                <c:formatCode>General</c:formatCode>
                <c:ptCount val="8"/>
                <c:pt idx="0">
                  <c:v>0.54062200000000005</c:v>
                </c:pt>
                <c:pt idx="1">
                  <c:v>0.57920439999999995</c:v>
                </c:pt>
                <c:pt idx="2">
                  <c:v>0.55759360000000002</c:v>
                </c:pt>
                <c:pt idx="3">
                  <c:v>0.54711710000000002</c:v>
                </c:pt>
                <c:pt idx="4">
                  <c:v>0.51494909</c:v>
                </c:pt>
                <c:pt idx="5">
                  <c:v>0.49766075999999998</c:v>
                </c:pt>
                <c:pt idx="6">
                  <c:v>0.50962803999999995</c:v>
                </c:pt>
                <c:pt idx="7">
                  <c:v>0.54684215999999997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E8-4E8F-B8E3-7B1FA7C07CBD}"/>
            </c:ext>
          </c:extLst>
        </c:ser>
        <c:ser>
          <c:idx val="1"/>
          <c:order val="7"/>
          <c:tx>
            <c:strRef>
              <c:f>'NZ-10p_other_industry_energy'!$F$41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'NZ-10p_other_industry_energy'!$G$40:$N$40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'NZ-10p_other_industry_energy'!$G$41:$N$41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6.0016400000000004E-4</c:v>
                </c:pt>
                <c:pt idx="2">
                  <c:v>1.12784E-3</c:v>
                </c:pt>
                <c:pt idx="3">
                  <c:v>7.441802E-3</c:v>
                </c:pt>
                <c:pt idx="4">
                  <c:v>3.7957530000000003E-2</c:v>
                </c:pt>
                <c:pt idx="5">
                  <c:v>9.0759511299999998E-2</c:v>
                </c:pt>
                <c:pt idx="6">
                  <c:v>0.13106123369999989</c:v>
                </c:pt>
                <c:pt idx="7">
                  <c:v>0.16938430463000001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E8-4E8F-B8E3-7B1FA7C07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r>
              <a:rPr lang="en-US" altLang="ko-KR"/>
              <a:t>Other industry energy consumption by fuel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8"/>
          <c:order val="0"/>
          <c:tx>
            <c:strRef>
              <c:f>'NZ-22p_other_industry_energy'!$F$48</c:f>
              <c:strCache>
                <c:ptCount val="1"/>
                <c:pt idx="0">
                  <c:v>Refined liquid feedstocks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'NZ-22p_other_industry_energy'!$G$48:$N$48</c:f>
              <c:numCache>
                <c:formatCode>General</c:formatCode>
                <c:ptCount val="8"/>
                <c:pt idx="0">
                  <c:v>2.9218299999999999E-2</c:v>
                </c:pt>
                <c:pt idx="1">
                  <c:v>3.3101499999999999E-2</c:v>
                </c:pt>
                <c:pt idx="2">
                  <c:v>3.9242300000000001E-2</c:v>
                </c:pt>
                <c:pt idx="3">
                  <c:v>5.1965600000000001E-2</c:v>
                </c:pt>
                <c:pt idx="4">
                  <c:v>8.1377500000000005E-2</c:v>
                </c:pt>
                <c:pt idx="5">
                  <c:v>0.11777</c:v>
                </c:pt>
                <c:pt idx="6">
                  <c:v>0.14177500000000001</c:v>
                </c:pt>
                <c:pt idx="7">
                  <c:v>0.157805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9-42F1-85A1-91700EF0FF41}"/>
            </c:ext>
          </c:extLst>
        </c:ser>
        <c:ser>
          <c:idx val="7"/>
          <c:order val="1"/>
          <c:tx>
            <c:strRef>
              <c:f>'NZ-22p_other_industry_energy'!$F$47</c:f>
              <c:strCache>
                <c:ptCount val="1"/>
                <c:pt idx="0">
                  <c:v>Refined liquids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'NZ-22p_other_industry_energy'!$G$47:$N$47</c:f>
              <c:numCache>
                <c:formatCode>General</c:formatCode>
                <c:ptCount val="8"/>
                <c:pt idx="0">
                  <c:v>0.1744762</c:v>
                </c:pt>
                <c:pt idx="1">
                  <c:v>0.18626355999999997</c:v>
                </c:pt>
                <c:pt idx="2">
                  <c:v>0.17948685</c:v>
                </c:pt>
                <c:pt idx="3">
                  <c:v>0.18788691999999901</c:v>
                </c:pt>
                <c:pt idx="4">
                  <c:v>0.20168503000000004</c:v>
                </c:pt>
                <c:pt idx="5">
                  <c:v>0.20385843999999892</c:v>
                </c:pt>
                <c:pt idx="6">
                  <c:v>0.19032619599999998</c:v>
                </c:pt>
                <c:pt idx="7">
                  <c:v>0.1612901024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89-42F1-85A1-91700EF0FF41}"/>
            </c:ext>
          </c:extLst>
        </c:ser>
        <c:ser>
          <c:idx val="6"/>
          <c:order val="2"/>
          <c:tx>
            <c:strRef>
              <c:f>'NZ-22p_other_industry_energy'!$F$46</c:f>
              <c:strCache>
                <c:ptCount val="1"/>
                <c:pt idx="0">
                  <c:v>Coal feedstocks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'NZ-22p_other_industry_energy'!$G$46:$N$46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89-42F1-85A1-91700EF0FF41}"/>
            </c:ext>
          </c:extLst>
        </c:ser>
        <c:ser>
          <c:idx val="5"/>
          <c:order val="3"/>
          <c:tx>
            <c:strRef>
              <c:f>'NZ-22p_other_industry_energy'!$F$45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'NZ-22p_other_industry_energy'!$G$45:$N$45</c:f>
              <c:numCache>
                <c:formatCode>General</c:formatCode>
                <c:ptCount val="8"/>
                <c:pt idx="0">
                  <c:v>0.31868060000000004</c:v>
                </c:pt>
                <c:pt idx="1">
                  <c:v>0.34392575999999997</c:v>
                </c:pt>
                <c:pt idx="2">
                  <c:v>0.33632775299999895</c:v>
                </c:pt>
                <c:pt idx="3">
                  <c:v>0.30800927699999997</c:v>
                </c:pt>
                <c:pt idx="4">
                  <c:v>0.22549796799999999</c:v>
                </c:pt>
                <c:pt idx="5">
                  <c:v>0.127966048</c:v>
                </c:pt>
                <c:pt idx="6">
                  <c:v>7.4742529000000002E-2</c:v>
                </c:pt>
                <c:pt idx="7">
                  <c:v>4.7368190800000001E-2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89-42F1-85A1-91700EF0FF41}"/>
            </c:ext>
          </c:extLst>
        </c:ser>
        <c:ser>
          <c:idx val="4"/>
          <c:order val="4"/>
          <c:tx>
            <c:strRef>
              <c:f>'NZ-22p_other_industry_energy'!$F$44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'NZ-22p_other_industry_energy'!$G$44:$N$44</c:f>
              <c:numCache>
                <c:formatCode>General</c:formatCode>
                <c:ptCount val="8"/>
                <c:pt idx="0">
                  <c:v>0.22577360000000002</c:v>
                </c:pt>
                <c:pt idx="1">
                  <c:v>0.24140608999999999</c:v>
                </c:pt>
                <c:pt idx="2">
                  <c:v>0.24034230000000001</c:v>
                </c:pt>
                <c:pt idx="3">
                  <c:v>0.25085177999999897</c:v>
                </c:pt>
                <c:pt idx="4">
                  <c:v>0.25715182999999897</c:v>
                </c:pt>
                <c:pt idx="5">
                  <c:v>0.23923929999999999</c:v>
                </c:pt>
                <c:pt idx="6">
                  <c:v>0.21664747299999998</c:v>
                </c:pt>
                <c:pt idx="7">
                  <c:v>0.18714462499999898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89-42F1-85A1-91700EF0FF41}"/>
            </c:ext>
          </c:extLst>
        </c:ser>
        <c:ser>
          <c:idx val="3"/>
          <c:order val="5"/>
          <c:tx>
            <c:strRef>
              <c:f>'NZ-22p_other_industry_energy'!$F$43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'NZ-22p_other_industry_energy'!$G$43:$N$43</c:f>
              <c:numCache>
                <c:formatCode>General</c:formatCode>
                <c:ptCount val="8"/>
                <c:pt idx="0">
                  <c:v>0.109571</c:v>
                </c:pt>
                <c:pt idx="1">
                  <c:v>0.11840060300000001</c:v>
                </c:pt>
                <c:pt idx="2">
                  <c:v>0.121248904</c:v>
                </c:pt>
                <c:pt idx="3">
                  <c:v>0.14613759800000001</c:v>
                </c:pt>
                <c:pt idx="4">
                  <c:v>0.18084746899999998</c:v>
                </c:pt>
                <c:pt idx="5">
                  <c:v>0.18387837000000001</c:v>
                </c:pt>
                <c:pt idx="6">
                  <c:v>0.16778143899999901</c:v>
                </c:pt>
                <c:pt idx="7">
                  <c:v>0.13869021379999999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89-42F1-85A1-91700EF0FF41}"/>
            </c:ext>
          </c:extLst>
        </c:ser>
        <c:ser>
          <c:idx val="2"/>
          <c:order val="6"/>
          <c:tx>
            <c:strRef>
              <c:f>'NZ-22p_other_industry_energy'!$F$42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'NZ-22p_other_industry_energy'!$G$42:$N$42</c:f>
              <c:numCache>
                <c:formatCode>General</c:formatCode>
                <c:ptCount val="8"/>
                <c:pt idx="0">
                  <c:v>0.54062200000000005</c:v>
                </c:pt>
                <c:pt idx="1">
                  <c:v>0.57920539999999998</c:v>
                </c:pt>
                <c:pt idx="2">
                  <c:v>0.55755180000000004</c:v>
                </c:pt>
                <c:pt idx="3">
                  <c:v>0.54726330000000001</c:v>
                </c:pt>
                <c:pt idx="4">
                  <c:v>0.51450302000000003</c:v>
                </c:pt>
                <c:pt idx="5">
                  <c:v>0.49571015000000002</c:v>
                </c:pt>
                <c:pt idx="6">
                  <c:v>0.50663322</c:v>
                </c:pt>
                <c:pt idx="7">
                  <c:v>0.54304651999999998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889-42F1-85A1-91700EF0FF41}"/>
            </c:ext>
          </c:extLst>
        </c:ser>
        <c:ser>
          <c:idx val="1"/>
          <c:order val="7"/>
          <c:tx>
            <c:strRef>
              <c:f>'NZ-22p_other_industry_energy'!$F$41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'NZ-22p_other_industry_energy'!$G$40:$N$40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'NZ-22p_other_industry_energy'!$G$41:$N$41</c:f>
              <c:numCache>
                <c:formatCode>General</c:formatCode>
                <c:ptCount val="8"/>
                <c:pt idx="0">
                  <c:v>0</c:v>
                </c:pt>
                <c:pt idx="1">
                  <c:v>6.0020799999999997E-4</c:v>
                </c:pt>
                <c:pt idx="2">
                  <c:v>1.1265579999999989E-3</c:v>
                </c:pt>
                <c:pt idx="3">
                  <c:v>7.4104169999999903E-3</c:v>
                </c:pt>
                <c:pt idx="4">
                  <c:v>3.7940567000000001E-2</c:v>
                </c:pt>
                <c:pt idx="5">
                  <c:v>9.0677943400000002E-2</c:v>
                </c:pt>
                <c:pt idx="6">
                  <c:v>0.13082934000000002</c:v>
                </c:pt>
                <c:pt idx="7">
                  <c:v>0.16919877644999992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89-42F1-85A1-91700EF0F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561947471"/>
        <c:axId val="1398022239"/>
      </c:barChart>
      <c:catAx>
        <c:axId val="15619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398022239"/>
        <c:crosses val="autoZero"/>
        <c:auto val="1"/>
        <c:lblAlgn val="ctr"/>
        <c:lblOffset val="100"/>
        <c:noMultiLvlLbl val="0"/>
      </c:catAx>
      <c:valAx>
        <c:axId val="13980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Cambria" panose="02040503050406030204" pitchFamily="18" charset="0"/>
                <a:ea typeface="Cambria" panose="02040503050406030204" pitchFamily="18" charset="0"/>
                <a:cs typeface="+mn-cs"/>
              </a:defRPr>
            </a:pPr>
            <a:endParaRPr lang="ko-KR"/>
          </a:p>
        </c:txPr>
        <c:crossAx val="15619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Cambria" panose="02040503050406030204" pitchFamily="18" charset="0"/>
              <a:ea typeface="Cambria" panose="02040503050406030204" pitchFamily="18" charset="0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Cambria" panose="02040503050406030204" pitchFamily="18" charset="0"/>
          <a:ea typeface="Cambria" panose="020405030504060302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1.png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.xml"/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10" Type="http://schemas.openxmlformats.org/officeDocument/2006/relationships/chart" Target="../charts/chart53.xml"/><Relationship Id="rId4" Type="http://schemas.openxmlformats.org/officeDocument/2006/relationships/chart" Target="../charts/chart47.xml"/><Relationship Id="rId9" Type="http://schemas.openxmlformats.org/officeDocument/2006/relationships/chart" Target="../charts/chart52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3" Type="http://schemas.openxmlformats.org/officeDocument/2006/relationships/chart" Target="../charts/chart65.xml"/><Relationship Id="rId7" Type="http://schemas.openxmlformats.org/officeDocument/2006/relationships/chart" Target="../charts/chart69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10" Type="http://schemas.openxmlformats.org/officeDocument/2006/relationships/chart" Target="../charts/chart72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chart" Target="../charts/chart76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5.xml"/><Relationship Id="rId1" Type="http://schemas.openxmlformats.org/officeDocument/2006/relationships/chart" Target="../charts/chart84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7.xml"/><Relationship Id="rId1" Type="http://schemas.openxmlformats.org/officeDocument/2006/relationships/chart" Target="../charts/chart86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Relationship Id="rId4" Type="http://schemas.openxmlformats.org/officeDocument/2006/relationships/chart" Target="../charts/chart9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chart" Target="../charts/chart9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5.xml"/><Relationship Id="rId1" Type="http://schemas.openxmlformats.org/officeDocument/2006/relationships/chart" Target="../charts/chart104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06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7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0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63500</xdr:colOff>
      <xdr:row>476</xdr:row>
      <xdr:rowOff>31173</xdr:rowOff>
    </xdr:from>
    <xdr:to>
      <xdr:col>28</xdr:col>
      <xdr:colOff>80819</xdr:colOff>
      <xdr:row>492</xdr:row>
      <xdr:rowOff>184727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38FB1F3-36B8-4E48-AB1D-6B8BD4428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155864</xdr:colOff>
      <xdr:row>506</xdr:row>
      <xdr:rowOff>146627</xdr:rowOff>
    </xdr:from>
    <xdr:to>
      <xdr:col>27</xdr:col>
      <xdr:colOff>635000</xdr:colOff>
      <xdr:row>521</xdr:row>
      <xdr:rowOff>196272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00CA3D0-0556-4B8A-AD61-F6897D852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11205</xdr:colOff>
      <xdr:row>491</xdr:row>
      <xdr:rowOff>31172</xdr:rowOff>
    </xdr:from>
    <xdr:to>
      <xdr:col>25</xdr:col>
      <xdr:colOff>300133</xdr:colOff>
      <xdr:row>514</xdr:row>
      <xdr:rowOff>63743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67ECABF-15EC-4E30-A500-DC171D5F4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35218</xdr:colOff>
      <xdr:row>495</xdr:row>
      <xdr:rowOff>206731</xdr:rowOff>
    </xdr:from>
    <xdr:to>
      <xdr:col>25</xdr:col>
      <xdr:colOff>348160</xdr:colOff>
      <xdr:row>519</xdr:row>
      <xdr:rowOff>47202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8B7862F-A245-4405-B00A-49A20622F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545310</xdr:colOff>
      <xdr:row>532</xdr:row>
      <xdr:rowOff>164522</xdr:rowOff>
    </xdr:from>
    <xdr:to>
      <xdr:col>25</xdr:col>
      <xdr:colOff>79670</xdr:colOff>
      <xdr:row>555</xdr:row>
      <xdr:rowOff>122044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B97A629-00D8-4E9D-B048-AA725121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266246</xdr:colOff>
      <xdr:row>38</xdr:row>
      <xdr:rowOff>21317</xdr:rowOff>
    </xdr:from>
    <xdr:to>
      <xdr:col>21</xdr:col>
      <xdr:colOff>567871</xdr:colOff>
      <xdr:row>58</xdr:row>
      <xdr:rowOff>24492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B7CF99D-6515-44B1-B5E7-316CB4746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</xdr:colOff>
      <xdr:row>38</xdr:row>
      <xdr:rowOff>66675</xdr:rowOff>
    </xdr:from>
    <xdr:to>
      <xdr:col>18</xdr:col>
      <xdr:colOff>15875</xdr:colOff>
      <xdr:row>51</xdr:row>
      <xdr:rowOff>3175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63A83F2-19C7-46B0-B139-CFF9DD5E3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</xdr:colOff>
      <xdr:row>121</xdr:row>
      <xdr:rowOff>26760</xdr:rowOff>
    </xdr:from>
    <xdr:to>
      <xdr:col>15</xdr:col>
      <xdr:colOff>45357</xdr:colOff>
      <xdr:row>142</xdr:row>
      <xdr:rowOff>127000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D416228-658D-4141-BEE8-0AF317CFC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621393</xdr:colOff>
      <xdr:row>61</xdr:row>
      <xdr:rowOff>211364</xdr:rowOff>
    </xdr:from>
    <xdr:to>
      <xdr:col>28</xdr:col>
      <xdr:colOff>9071</xdr:colOff>
      <xdr:row>81</xdr:row>
      <xdr:rowOff>18142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21B8ECA-434A-4758-BF06-D32859DF5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41275</xdr:colOff>
      <xdr:row>119</xdr:row>
      <xdr:rowOff>26760</xdr:rowOff>
    </xdr:from>
    <xdr:to>
      <xdr:col>15</xdr:col>
      <xdr:colOff>45357</xdr:colOff>
      <xdr:row>140</xdr:row>
      <xdr:rowOff>127000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799CA3E-7526-4CAC-9063-E2B27A8B2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621393</xdr:colOff>
      <xdr:row>59</xdr:row>
      <xdr:rowOff>211364</xdr:rowOff>
    </xdr:from>
    <xdr:to>
      <xdr:col>28</xdr:col>
      <xdr:colOff>9071</xdr:colOff>
      <xdr:row>79</xdr:row>
      <xdr:rowOff>18142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64D67EA-2B8B-4883-8593-006BEE8BB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55929</xdr:colOff>
      <xdr:row>119</xdr:row>
      <xdr:rowOff>65837</xdr:rowOff>
    </xdr:from>
    <xdr:to>
      <xdr:col>15</xdr:col>
      <xdr:colOff>60011</xdr:colOff>
      <xdr:row>140</xdr:row>
      <xdr:rowOff>166077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CAAE3CA-DD6D-4B5B-967B-40BC4261B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0</xdr:colOff>
      <xdr:row>126</xdr:row>
      <xdr:rowOff>0</xdr:rowOff>
    </xdr:from>
    <xdr:to>
      <xdr:col>16</xdr:col>
      <xdr:colOff>142895</xdr:colOff>
      <xdr:row>127</xdr:row>
      <xdr:rowOff>108972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2569F83-B1AB-4040-8436-8CB39285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7231" y="27080308"/>
          <a:ext cx="142895" cy="323895"/>
        </a:xfrm>
        <a:prstGeom prst="rect">
          <a:avLst/>
        </a:prstGeom>
      </xdr:spPr>
    </xdr:pic>
    <xdr:clientData/>
  </xdr:twoCellAnchor>
  <xdr:twoCellAnchor>
    <xdr:from>
      <xdr:col>16</xdr:col>
      <xdr:colOff>95250</xdr:colOff>
      <xdr:row>60</xdr:row>
      <xdr:rowOff>39008</xdr:rowOff>
    </xdr:from>
    <xdr:to>
      <xdr:col>23</xdr:col>
      <xdr:colOff>31750</xdr:colOff>
      <xdr:row>72</xdr:row>
      <xdr:rowOff>169636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53BE425-73B6-401B-9019-23FB4CD5E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</xdr:colOff>
      <xdr:row>19</xdr:row>
      <xdr:rowOff>206375</xdr:rowOff>
    </xdr:from>
    <xdr:to>
      <xdr:col>11</xdr:col>
      <xdr:colOff>631825</xdr:colOff>
      <xdr:row>32</xdr:row>
      <xdr:rowOff>142875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B99CDFB-EA5E-4BD2-94FB-CC0307B67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678295</xdr:colOff>
      <xdr:row>25</xdr:row>
      <xdr:rowOff>18392</xdr:rowOff>
    </xdr:from>
    <xdr:to>
      <xdr:col>20</xdr:col>
      <xdr:colOff>392545</xdr:colOff>
      <xdr:row>60</xdr:row>
      <xdr:rowOff>207819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37B8A26-D8F8-474D-BBB0-D700E13F69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0</xdr:colOff>
      <xdr:row>34</xdr:row>
      <xdr:rowOff>0</xdr:rowOff>
    </xdr:from>
    <xdr:to>
      <xdr:col>24</xdr:col>
      <xdr:colOff>117141</xdr:colOff>
      <xdr:row>46</xdr:row>
      <xdr:rowOff>182784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66F3166-130B-4803-A607-877EDC27C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51700" y="7340600"/>
          <a:ext cx="1437941" cy="277358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678295</xdr:colOff>
      <xdr:row>25</xdr:row>
      <xdr:rowOff>18392</xdr:rowOff>
    </xdr:from>
    <xdr:to>
      <xdr:col>20</xdr:col>
      <xdr:colOff>392545</xdr:colOff>
      <xdr:row>60</xdr:row>
      <xdr:rowOff>207819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8044265-F769-4EED-A4F5-43D301C14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22</xdr:col>
      <xdr:colOff>0</xdr:colOff>
      <xdr:row>34</xdr:row>
      <xdr:rowOff>0</xdr:rowOff>
    </xdr:from>
    <xdr:to>
      <xdr:col>24</xdr:col>
      <xdr:colOff>117141</xdr:colOff>
      <xdr:row>46</xdr:row>
      <xdr:rowOff>182784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2A0679D-2531-4734-A4E1-B84AF607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27455" y="7458364"/>
          <a:ext cx="1433322" cy="28151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678295</xdr:colOff>
      <xdr:row>25</xdr:row>
      <xdr:rowOff>18392</xdr:rowOff>
    </xdr:from>
    <xdr:to>
      <xdr:col>20</xdr:col>
      <xdr:colOff>392545</xdr:colOff>
      <xdr:row>60</xdr:row>
      <xdr:rowOff>207819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4F70F8-931B-445D-B588-FA0D013AE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102961</xdr:colOff>
      <xdr:row>0</xdr:row>
      <xdr:rowOff>147412</xdr:rowOff>
    </xdr:from>
    <xdr:to>
      <xdr:col>21</xdr:col>
      <xdr:colOff>82177</xdr:colOff>
      <xdr:row>15</xdr:row>
      <xdr:rowOff>179294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B3630D0-572F-447D-96A4-0A4997A7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364581</xdr:colOff>
      <xdr:row>26</xdr:row>
      <xdr:rowOff>189473</xdr:rowOff>
    </xdr:from>
    <xdr:to>
      <xdr:col>32</xdr:col>
      <xdr:colOff>526505</xdr:colOff>
      <xdr:row>51</xdr:row>
      <xdr:rowOff>141848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5099353-04B1-42AA-BAA8-3D6149463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306294</xdr:colOff>
      <xdr:row>1</xdr:row>
      <xdr:rowOff>84977</xdr:rowOff>
    </xdr:from>
    <xdr:to>
      <xdr:col>25</xdr:col>
      <xdr:colOff>244929</xdr:colOff>
      <xdr:row>20</xdr:row>
      <xdr:rowOff>181428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ADB4A-816B-40EB-9DF4-628AF3103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375567</xdr:colOff>
      <xdr:row>1</xdr:row>
      <xdr:rowOff>154250</xdr:rowOff>
    </xdr:from>
    <xdr:to>
      <xdr:col>26</xdr:col>
      <xdr:colOff>314202</xdr:colOff>
      <xdr:row>41</xdr:row>
      <xdr:rowOff>141845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351814E-6DC2-449C-81FB-E9D3FA240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339437</xdr:colOff>
      <xdr:row>64</xdr:row>
      <xdr:rowOff>76201</xdr:rowOff>
    </xdr:from>
    <xdr:to>
      <xdr:col>32</xdr:col>
      <xdr:colOff>408709</xdr:colOff>
      <xdr:row>76</xdr:row>
      <xdr:rowOff>159329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BD68D28-5851-4C00-9C03-5FA5D1C20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149224</xdr:colOff>
      <xdr:row>4</xdr:row>
      <xdr:rowOff>53974</xdr:rowOff>
    </xdr:from>
    <xdr:to>
      <xdr:col>24</xdr:col>
      <xdr:colOff>44449</xdr:colOff>
      <xdr:row>20</xdr:row>
      <xdr:rowOff>182334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9795AB8-4D7D-4A24-A3C7-A2DC043AA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131534</xdr:colOff>
      <xdr:row>28</xdr:row>
      <xdr:rowOff>202293</xdr:rowOff>
    </xdr:from>
    <xdr:to>
      <xdr:col>23</xdr:col>
      <xdr:colOff>507999</xdr:colOff>
      <xdr:row>47</xdr:row>
      <xdr:rowOff>9072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7799575-C43E-4686-B8F5-03F4FDC3F9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172810</xdr:colOff>
      <xdr:row>56</xdr:row>
      <xdr:rowOff>13152</xdr:rowOff>
    </xdr:from>
    <xdr:to>
      <xdr:col>23</xdr:col>
      <xdr:colOff>514350</xdr:colOff>
      <xdr:row>74</xdr:row>
      <xdr:rowOff>133349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F51C3E7-1306-45F3-9D4D-CD72328C7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65521</xdr:colOff>
      <xdr:row>28</xdr:row>
      <xdr:rowOff>202911</xdr:rowOff>
    </xdr:from>
    <xdr:to>
      <xdr:col>32</xdr:col>
      <xdr:colOff>285750</xdr:colOff>
      <xdr:row>47</xdr:row>
      <xdr:rowOff>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CB08AE-E1DE-400F-9F0B-3DFD0E179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419100</xdr:colOff>
      <xdr:row>69</xdr:row>
      <xdr:rowOff>171450</xdr:rowOff>
    </xdr:from>
    <xdr:to>
      <xdr:col>34</xdr:col>
      <xdr:colOff>304800</xdr:colOff>
      <xdr:row>85</xdr:row>
      <xdr:rowOff>209550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D887FFF9-9E10-475E-BE66-D9C7669C9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114300</xdr:colOff>
      <xdr:row>12</xdr:row>
      <xdr:rowOff>190500</xdr:rowOff>
    </xdr:from>
    <xdr:to>
      <xdr:col>34</xdr:col>
      <xdr:colOff>457200</xdr:colOff>
      <xdr:row>27</xdr:row>
      <xdr:rowOff>152400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36EDA665-2AFF-4F4D-9BB0-67F25749E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323850</xdr:colOff>
      <xdr:row>127</xdr:row>
      <xdr:rowOff>152400</xdr:rowOff>
    </xdr:from>
    <xdr:to>
      <xdr:col>33</xdr:col>
      <xdr:colOff>209550</xdr:colOff>
      <xdr:row>143</xdr:row>
      <xdr:rowOff>190500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47D9E8B-F53E-4D1E-8CAA-1757CA7AE4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237054</xdr:colOff>
      <xdr:row>218</xdr:row>
      <xdr:rowOff>141364</xdr:rowOff>
    </xdr:from>
    <xdr:to>
      <xdr:col>33</xdr:col>
      <xdr:colOff>96982</xdr:colOff>
      <xdr:row>235</xdr:row>
      <xdr:rowOff>169778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54287383-4B16-4BC2-B831-AA17BBC4C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154132</xdr:colOff>
      <xdr:row>172</xdr:row>
      <xdr:rowOff>93517</xdr:rowOff>
    </xdr:from>
    <xdr:to>
      <xdr:col>26</xdr:col>
      <xdr:colOff>266184</xdr:colOff>
      <xdr:row>187</xdr:row>
      <xdr:rowOff>164633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55F08A05-3766-4816-A799-8C7EB6392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198</xdr:row>
      <xdr:rowOff>0</xdr:rowOff>
    </xdr:from>
    <xdr:to>
      <xdr:col>26</xdr:col>
      <xdr:colOff>112052</xdr:colOff>
      <xdr:row>213</xdr:row>
      <xdr:rowOff>71116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3E055EA6-6F2B-45FA-BF73-4C4A23850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290946</xdr:colOff>
      <xdr:row>237</xdr:row>
      <xdr:rowOff>0</xdr:rowOff>
    </xdr:from>
    <xdr:to>
      <xdr:col>33</xdr:col>
      <xdr:colOff>150874</xdr:colOff>
      <xdr:row>254</xdr:row>
      <xdr:rowOff>28413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F0D17401-839E-4040-8C24-78842F7D1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209095</xdr:colOff>
      <xdr:row>21</xdr:row>
      <xdr:rowOff>43994</xdr:rowOff>
    </xdr:from>
    <xdr:to>
      <xdr:col>24</xdr:col>
      <xdr:colOff>108855</xdr:colOff>
      <xdr:row>37</xdr:row>
      <xdr:rowOff>172355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23777B4-F2BC-4503-97A3-3A011C61C7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267605</xdr:colOff>
      <xdr:row>40</xdr:row>
      <xdr:rowOff>211364</xdr:rowOff>
    </xdr:from>
    <xdr:to>
      <xdr:col>23</xdr:col>
      <xdr:colOff>644070</xdr:colOff>
      <xdr:row>57</xdr:row>
      <xdr:rowOff>18143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DCF44EC-4712-4851-B934-D320E8386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25</xdr:col>
      <xdr:colOff>199571</xdr:colOff>
      <xdr:row>41</xdr:row>
      <xdr:rowOff>36285</xdr:rowOff>
    </xdr:from>
    <xdr:to>
      <xdr:col>34</xdr:col>
      <xdr:colOff>336171</xdr:colOff>
      <xdr:row>56</xdr:row>
      <xdr:rowOff>199868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6F7C0AB-5AB8-4C2E-A249-69C54AC2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07214" y="8744856"/>
          <a:ext cx="6096528" cy="3429297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136071</xdr:colOff>
      <xdr:row>21</xdr:row>
      <xdr:rowOff>9070</xdr:rowOff>
    </xdr:from>
    <xdr:to>
      <xdr:col>34</xdr:col>
      <xdr:colOff>272671</xdr:colOff>
      <xdr:row>36</xdr:row>
      <xdr:rowOff>172653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AB2547D-A30C-46BF-857E-2D142F637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743714" y="4363356"/>
          <a:ext cx="6096528" cy="3429297"/>
        </a:xfrm>
        <a:prstGeom prst="rect">
          <a:avLst/>
        </a:prstGeom>
      </xdr:spPr>
    </xdr:pic>
    <xdr:clientData/>
  </xdr:twoCellAnchor>
  <xdr:twoCellAnchor>
    <xdr:from>
      <xdr:col>12</xdr:col>
      <xdr:colOff>62211</xdr:colOff>
      <xdr:row>42</xdr:row>
      <xdr:rowOff>4881</xdr:rowOff>
    </xdr:from>
    <xdr:to>
      <xdr:col>14</xdr:col>
      <xdr:colOff>287182</xdr:colOff>
      <xdr:row>43</xdr:row>
      <xdr:rowOff>130067</xdr:rowOff>
    </xdr:to>
    <xdr:sp macro="" textlink="">
      <xdr:nvSpPr>
        <xdr:cNvPr id="6" name="Rectangle: Rounded Corners 140">
          <a:extLst>
            <a:ext uri="{FF2B5EF4-FFF2-40B4-BE49-F238E27FC236}">
              <a16:creationId xmlns:a16="http://schemas.microsoft.com/office/drawing/2014/main" id="{E4EFA9F5-04C2-484F-9EAC-A2A1C9910BCA}"/>
            </a:ext>
          </a:extLst>
        </xdr:cNvPr>
        <xdr:cNvSpPr/>
      </xdr:nvSpPr>
      <xdr:spPr>
        <a:xfrm>
          <a:off x="9061068" y="8931167"/>
          <a:ext cx="1549400" cy="342900"/>
        </a:xfrm>
        <a:prstGeom prst="round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atin typeface="Cambria" panose="02040503050406030204" pitchFamily="18" charset="0"/>
              <a:ea typeface="Cambria" panose="02040503050406030204" pitchFamily="18" charset="0"/>
            </a:rPr>
            <a:t>Oil</a:t>
          </a:r>
        </a:p>
      </xdr:txBody>
    </xdr:sp>
    <xdr:clientData/>
  </xdr:twoCellAnchor>
  <xdr:twoCellAnchor>
    <xdr:from>
      <xdr:col>9</xdr:col>
      <xdr:colOff>0</xdr:colOff>
      <xdr:row>42</xdr:row>
      <xdr:rowOff>14643</xdr:rowOff>
    </xdr:from>
    <xdr:to>
      <xdr:col>11</xdr:col>
      <xdr:colOff>224971</xdr:colOff>
      <xdr:row>43</xdr:row>
      <xdr:rowOff>139829</xdr:rowOff>
    </xdr:to>
    <xdr:sp macro="" textlink="">
      <xdr:nvSpPr>
        <xdr:cNvPr id="7" name="Rectangle: Rounded Corners 141">
          <a:extLst>
            <a:ext uri="{FF2B5EF4-FFF2-40B4-BE49-F238E27FC236}">
              <a16:creationId xmlns:a16="http://schemas.microsoft.com/office/drawing/2014/main" id="{B493CE60-6BB9-4A9E-BF75-8782CBDCED4E}"/>
            </a:ext>
          </a:extLst>
        </xdr:cNvPr>
        <xdr:cNvSpPr/>
      </xdr:nvSpPr>
      <xdr:spPr>
        <a:xfrm>
          <a:off x="7012214" y="8940929"/>
          <a:ext cx="1549400" cy="342900"/>
        </a:xfrm>
        <a:prstGeom prst="round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atin typeface="Cambria" panose="02040503050406030204" pitchFamily="18" charset="0"/>
              <a:ea typeface="Cambria" panose="02040503050406030204" pitchFamily="18" charset="0"/>
            </a:rPr>
            <a:t>Coal</a:t>
          </a:r>
        </a:p>
      </xdr:txBody>
    </xdr:sp>
    <xdr:clientData/>
  </xdr:twoCellAnchor>
  <xdr:twoCellAnchor>
    <xdr:from>
      <xdr:col>15</xdr:col>
      <xdr:colOff>124422</xdr:colOff>
      <xdr:row>42</xdr:row>
      <xdr:rowOff>4881</xdr:rowOff>
    </xdr:from>
    <xdr:to>
      <xdr:col>17</xdr:col>
      <xdr:colOff>349393</xdr:colOff>
      <xdr:row>43</xdr:row>
      <xdr:rowOff>130067</xdr:rowOff>
    </xdr:to>
    <xdr:sp macro="" textlink="">
      <xdr:nvSpPr>
        <xdr:cNvPr id="8" name="Rectangle: Rounded Corners 142">
          <a:extLst>
            <a:ext uri="{FF2B5EF4-FFF2-40B4-BE49-F238E27FC236}">
              <a16:creationId xmlns:a16="http://schemas.microsoft.com/office/drawing/2014/main" id="{FE407567-62C1-4CCF-8B7E-A9DFDC9A89B4}"/>
            </a:ext>
          </a:extLst>
        </xdr:cNvPr>
        <xdr:cNvSpPr/>
      </xdr:nvSpPr>
      <xdr:spPr>
        <a:xfrm>
          <a:off x="11109922" y="8931167"/>
          <a:ext cx="1549400" cy="342900"/>
        </a:xfrm>
        <a:prstGeom prst="roundRect">
          <a:avLst/>
        </a:prstGeom>
        <a:solidFill>
          <a:srgbClr val="00B0F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solidFill>
                <a:schemeClr val="bg1"/>
              </a:solidFill>
              <a:latin typeface="Cambria" panose="02040503050406030204" pitchFamily="18" charset="0"/>
              <a:ea typeface="Cambria" panose="02040503050406030204" pitchFamily="18" charset="0"/>
            </a:rPr>
            <a:t>Natural Gas</a:t>
          </a:r>
        </a:p>
      </xdr:txBody>
    </xdr:sp>
    <xdr:clientData/>
  </xdr:twoCellAnchor>
  <xdr:twoCellAnchor>
    <xdr:from>
      <xdr:col>18</xdr:col>
      <xdr:colOff>186633</xdr:colOff>
      <xdr:row>42</xdr:row>
      <xdr:rowOff>0</xdr:rowOff>
    </xdr:from>
    <xdr:to>
      <xdr:col>20</xdr:col>
      <xdr:colOff>411605</xdr:colOff>
      <xdr:row>43</xdr:row>
      <xdr:rowOff>125186</xdr:rowOff>
    </xdr:to>
    <xdr:sp macro="" textlink="">
      <xdr:nvSpPr>
        <xdr:cNvPr id="9" name="Rectangle: Rounded Corners 143">
          <a:extLst>
            <a:ext uri="{FF2B5EF4-FFF2-40B4-BE49-F238E27FC236}">
              <a16:creationId xmlns:a16="http://schemas.microsoft.com/office/drawing/2014/main" id="{BE4B2E0D-A916-4BBE-A7E7-E2BD676C7507}"/>
            </a:ext>
          </a:extLst>
        </xdr:cNvPr>
        <xdr:cNvSpPr/>
      </xdr:nvSpPr>
      <xdr:spPr>
        <a:xfrm>
          <a:off x="13158776" y="8926286"/>
          <a:ext cx="1549400" cy="342900"/>
        </a:xfrm>
        <a:prstGeom prst="round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atin typeface="Cambria" panose="02040503050406030204" pitchFamily="18" charset="0"/>
              <a:ea typeface="Cambria" panose="02040503050406030204" pitchFamily="18" charset="0"/>
            </a:rPr>
            <a:t>Electricity </a:t>
          </a:r>
        </a:p>
      </xdr:txBody>
    </xdr:sp>
    <xdr:clientData/>
  </xdr:twoCellAnchor>
  <xdr:twoCellAnchor>
    <xdr:from>
      <xdr:col>21</xdr:col>
      <xdr:colOff>248844</xdr:colOff>
      <xdr:row>42</xdr:row>
      <xdr:rowOff>0</xdr:rowOff>
    </xdr:from>
    <xdr:to>
      <xdr:col>23</xdr:col>
      <xdr:colOff>473816</xdr:colOff>
      <xdr:row>43</xdr:row>
      <xdr:rowOff>125186</xdr:rowOff>
    </xdr:to>
    <xdr:sp macro="" textlink="">
      <xdr:nvSpPr>
        <xdr:cNvPr id="10" name="Rectangle: Rounded Corners 145">
          <a:extLst>
            <a:ext uri="{FF2B5EF4-FFF2-40B4-BE49-F238E27FC236}">
              <a16:creationId xmlns:a16="http://schemas.microsoft.com/office/drawing/2014/main" id="{E8598089-3319-49CA-A102-0D8BA605E3E8}"/>
            </a:ext>
          </a:extLst>
        </xdr:cNvPr>
        <xdr:cNvSpPr/>
      </xdr:nvSpPr>
      <xdr:spPr>
        <a:xfrm>
          <a:off x="15207630" y="8926286"/>
          <a:ext cx="1549400" cy="342900"/>
        </a:xfrm>
        <a:prstGeom prst="roundRect">
          <a:avLst/>
        </a:prstGeom>
        <a:solidFill>
          <a:schemeClr val="accent1">
            <a:lumMod val="60000"/>
            <a:lumOff val="40000"/>
            <a:alpha val="9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atin typeface="Cambria" panose="02040503050406030204" pitchFamily="18" charset="0"/>
              <a:ea typeface="Cambria" panose="02040503050406030204" pitchFamily="18" charset="0"/>
            </a:rPr>
            <a:t>Hydrogen</a:t>
          </a:r>
        </a:p>
      </xdr:txBody>
    </xdr:sp>
    <xdr:clientData/>
  </xdr:twoCellAnchor>
  <xdr:twoCellAnchor>
    <xdr:from>
      <xdr:col>24</xdr:col>
      <xdr:colOff>311057</xdr:colOff>
      <xdr:row>42</xdr:row>
      <xdr:rowOff>0</xdr:rowOff>
    </xdr:from>
    <xdr:to>
      <xdr:col>26</xdr:col>
      <xdr:colOff>536029</xdr:colOff>
      <xdr:row>43</xdr:row>
      <xdr:rowOff>125186</xdr:rowOff>
    </xdr:to>
    <xdr:sp macro="" textlink="">
      <xdr:nvSpPr>
        <xdr:cNvPr id="11" name="Rectangle: Rounded Corners 145">
          <a:extLst>
            <a:ext uri="{FF2B5EF4-FFF2-40B4-BE49-F238E27FC236}">
              <a16:creationId xmlns:a16="http://schemas.microsoft.com/office/drawing/2014/main" id="{E7C285B3-3D8B-4B16-AC64-BA92A269CC0F}"/>
            </a:ext>
          </a:extLst>
        </xdr:cNvPr>
        <xdr:cNvSpPr/>
      </xdr:nvSpPr>
      <xdr:spPr>
        <a:xfrm>
          <a:off x="17256486" y="8926286"/>
          <a:ext cx="1549400" cy="342900"/>
        </a:xfrm>
        <a:prstGeom prst="round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1400" b="1">
              <a:latin typeface="Cambria" panose="02040503050406030204" pitchFamily="18" charset="0"/>
              <a:ea typeface="Cambria" panose="02040503050406030204" pitchFamily="18" charset="0"/>
            </a:rPr>
            <a:t>Scrap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41356</xdr:colOff>
      <xdr:row>5</xdr:row>
      <xdr:rowOff>61642</xdr:rowOff>
    </xdr:from>
    <xdr:to>
      <xdr:col>22</xdr:col>
      <xdr:colOff>610259</xdr:colOff>
      <xdr:row>22</xdr:row>
      <xdr:rowOff>199239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A0D5CA0-E1B7-49B3-9FC0-807CE881D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590548</xdr:colOff>
      <xdr:row>33</xdr:row>
      <xdr:rowOff>212272</xdr:rowOff>
    </xdr:from>
    <xdr:to>
      <xdr:col>27</xdr:col>
      <xdr:colOff>300263</xdr:colOff>
      <xdr:row>50</xdr:row>
      <xdr:rowOff>19051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3CEA4E6-9515-4D9A-AEBF-B5AF84E30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265339</xdr:colOff>
      <xdr:row>76</xdr:row>
      <xdr:rowOff>166007</xdr:rowOff>
    </xdr:from>
    <xdr:to>
      <xdr:col>21</xdr:col>
      <xdr:colOff>265339</xdr:colOff>
      <xdr:row>89</xdr:row>
      <xdr:rowOff>78922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23DD0E86-7387-477A-B9E3-4D8F8794A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363683</xdr:colOff>
      <xdr:row>50</xdr:row>
      <xdr:rowOff>171451</xdr:rowOff>
    </xdr:from>
    <xdr:to>
      <xdr:col>20</xdr:col>
      <xdr:colOff>242455</xdr:colOff>
      <xdr:row>63</xdr:row>
      <xdr:rowOff>25978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A2F3F8A-73A6-4068-B5FA-75CED552A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564862</xdr:colOff>
      <xdr:row>114</xdr:row>
      <xdr:rowOff>86878</xdr:rowOff>
    </xdr:from>
    <xdr:to>
      <xdr:col>18</xdr:col>
      <xdr:colOff>133062</xdr:colOff>
      <xdr:row>128</xdr:row>
      <xdr:rowOff>173470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7A040A3-A42C-4E6B-9CA4-0CA7E7B79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133350</xdr:colOff>
      <xdr:row>4</xdr:row>
      <xdr:rowOff>190500</xdr:rowOff>
    </xdr:from>
    <xdr:to>
      <xdr:col>32</xdr:col>
      <xdr:colOff>628650</xdr:colOff>
      <xdr:row>20</xdr:row>
      <xdr:rowOff>57150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1128643E-4965-4E97-964E-5AA571FE6F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172</xdr:row>
      <xdr:rowOff>0</xdr:rowOff>
    </xdr:from>
    <xdr:to>
      <xdr:col>28</xdr:col>
      <xdr:colOff>884717</xdr:colOff>
      <xdr:row>190</xdr:row>
      <xdr:rowOff>80631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6DD69C45-CE43-4084-B4E6-D077A57848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69273</xdr:colOff>
      <xdr:row>206</xdr:row>
      <xdr:rowOff>207818</xdr:rowOff>
    </xdr:from>
    <xdr:to>
      <xdr:col>38</xdr:col>
      <xdr:colOff>592040</xdr:colOff>
      <xdr:row>225</xdr:row>
      <xdr:rowOff>66776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F04E31C8-63D8-47AD-BDA6-A6E9838DB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163286</xdr:colOff>
      <xdr:row>89</xdr:row>
      <xdr:rowOff>166456</xdr:rowOff>
    </xdr:from>
    <xdr:to>
      <xdr:col>6</xdr:col>
      <xdr:colOff>781050</xdr:colOff>
      <xdr:row>109</xdr:row>
      <xdr:rowOff>106318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E697502-ACDF-4345-BCDF-35AD4E90E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451757</xdr:colOff>
      <xdr:row>85</xdr:row>
      <xdr:rowOff>92529</xdr:rowOff>
    </xdr:from>
    <xdr:to>
      <xdr:col>18</xdr:col>
      <xdr:colOff>810985</xdr:colOff>
      <xdr:row>98</xdr:row>
      <xdr:rowOff>5443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1D78C0B-4EA5-492F-BD8F-F82F5F467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200025</xdr:colOff>
      <xdr:row>150</xdr:row>
      <xdr:rowOff>131444</xdr:rowOff>
    </xdr:from>
    <xdr:to>
      <xdr:col>53</xdr:col>
      <xdr:colOff>0</xdr:colOff>
      <xdr:row>179</xdr:row>
      <xdr:rowOff>198119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6266740-6AEB-4F62-8E20-280E17AF9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733424</xdr:colOff>
      <xdr:row>150</xdr:row>
      <xdr:rowOff>142875</xdr:rowOff>
    </xdr:from>
    <xdr:to>
      <xdr:col>36</xdr:col>
      <xdr:colOff>457199</xdr:colOff>
      <xdr:row>179</xdr:row>
      <xdr:rowOff>190501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40BB0E1-3C78-4B7F-8CC4-633A01CDE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200024</xdr:colOff>
      <xdr:row>150</xdr:row>
      <xdr:rowOff>161924</xdr:rowOff>
    </xdr:from>
    <xdr:to>
      <xdr:col>70</xdr:col>
      <xdr:colOff>114299</xdr:colOff>
      <xdr:row>180</xdr:row>
      <xdr:rowOff>19050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90772425-D038-42CE-B507-3D8BD32EE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408709</xdr:colOff>
      <xdr:row>71</xdr:row>
      <xdr:rowOff>34636</xdr:rowOff>
    </xdr:from>
    <xdr:to>
      <xdr:col>64</xdr:col>
      <xdr:colOff>325581</xdr:colOff>
      <xdr:row>83</xdr:row>
      <xdr:rowOff>117764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754BA4B-3339-4AFC-B2A9-B4C642A93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429491</xdr:colOff>
      <xdr:row>83</xdr:row>
      <xdr:rowOff>180110</xdr:rowOff>
    </xdr:from>
    <xdr:to>
      <xdr:col>64</xdr:col>
      <xdr:colOff>346363</xdr:colOff>
      <xdr:row>96</xdr:row>
      <xdr:rowOff>41564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170800F9-7D08-4FEF-B6C8-3CE9B389F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471055</xdr:colOff>
      <xdr:row>96</xdr:row>
      <xdr:rowOff>152400</xdr:rowOff>
    </xdr:from>
    <xdr:to>
      <xdr:col>64</xdr:col>
      <xdr:colOff>387927</xdr:colOff>
      <xdr:row>109</xdr:row>
      <xdr:rowOff>13855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D4E5F11A-B499-41C0-A1A5-2DF1A2B2A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484909</xdr:colOff>
      <xdr:row>109</xdr:row>
      <xdr:rowOff>83128</xdr:rowOff>
    </xdr:from>
    <xdr:to>
      <xdr:col>64</xdr:col>
      <xdr:colOff>401781</xdr:colOff>
      <xdr:row>121</xdr:row>
      <xdr:rowOff>166255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9CDFADCF-4042-424C-96F7-55F38E1E3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64</xdr:col>
      <xdr:colOff>533400</xdr:colOff>
      <xdr:row>96</xdr:row>
      <xdr:rowOff>114300</xdr:rowOff>
    </xdr:from>
    <xdr:to>
      <xdr:col>71</xdr:col>
      <xdr:colOff>450272</xdr:colOff>
      <xdr:row>108</xdr:row>
      <xdr:rowOff>197427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A08D7F9-7871-4F6F-AA98-1E10CE0D4C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115455</xdr:colOff>
      <xdr:row>125</xdr:row>
      <xdr:rowOff>3172</xdr:rowOff>
    </xdr:from>
    <xdr:to>
      <xdr:col>5</xdr:col>
      <xdr:colOff>213360</xdr:colOff>
      <xdr:row>158</xdr:row>
      <xdr:rowOff>57728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5DA2B6F-2EF8-41AE-9A88-DEB97196A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266700</xdr:colOff>
      <xdr:row>114</xdr:row>
      <xdr:rowOff>71004</xdr:rowOff>
    </xdr:from>
    <xdr:to>
      <xdr:col>24</xdr:col>
      <xdr:colOff>552450</xdr:colOff>
      <xdr:row>132</xdr:row>
      <xdr:rowOff>38099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D4A7D92-0516-4081-A617-11556F45F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90054</xdr:colOff>
      <xdr:row>137</xdr:row>
      <xdr:rowOff>6927</xdr:rowOff>
    </xdr:from>
    <xdr:to>
      <xdr:col>53</xdr:col>
      <xdr:colOff>6927</xdr:colOff>
      <xdr:row>149</xdr:row>
      <xdr:rowOff>90055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B4495AE2-272F-47B1-8604-591F27AFA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69273</xdr:colOff>
      <xdr:row>150</xdr:row>
      <xdr:rowOff>55419</xdr:rowOff>
    </xdr:from>
    <xdr:to>
      <xdr:col>52</xdr:col>
      <xdr:colOff>651164</xdr:colOff>
      <xdr:row>162</xdr:row>
      <xdr:rowOff>138546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9F9423E9-C9BF-4CE8-8B32-93A79A606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0</xdr:colOff>
      <xdr:row>164</xdr:row>
      <xdr:rowOff>0</xdr:rowOff>
    </xdr:from>
    <xdr:to>
      <xdr:col>52</xdr:col>
      <xdr:colOff>581891</xdr:colOff>
      <xdr:row>176</xdr:row>
      <xdr:rowOff>83127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A07CC12-DDA2-4332-B716-9355777D0C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178</xdr:row>
      <xdr:rowOff>0</xdr:rowOff>
    </xdr:from>
    <xdr:to>
      <xdr:col>52</xdr:col>
      <xdr:colOff>581891</xdr:colOff>
      <xdr:row>190</xdr:row>
      <xdr:rowOff>83127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206E12EB-C482-46FC-A17B-16D41435D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0</xdr:colOff>
      <xdr:row>164</xdr:row>
      <xdr:rowOff>0</xdr:rowOff>
    </xdr:from>
    <xdr:to>
      <xdr:col>59</xdr:col>
      <xdr:colOff>581891</xdr:colOff>
      <xdr:row>176</xdr:row>
      <xdr:rowOff>83127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421023B-47DA-4938-99FC-596A55D43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519546</xdr:colOff>
      <xdr:row>5</xdr:row>
      <xdr:rowOff>187036</xdr:rowOff>
    </xdr:from>
    <xdr:to>
      <xdr:col>24</xdr:col>
      <xdr:colOff>436419</xdr:colOff>
      <xdr:row>18</xdr:row>
      <xdr:rowOff>48491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18BB765-CBE1-49D5-AC7A-978F67FEE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76200</xdr:colOff>
      <xdr:row>5</xdr:row>
      <xdr:rowOff>159327</xdr:rowOff>
    </xdr:from>
    <xdr:to>
      <xdr:col>31</xdr:col>
      <xdr:colOff>658091</xdr:colOff>
      <xdr:row>18</xdr:row>
      <xdr:rowOff>20782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8CF9BAE-F7B9-4B4F-A6C7-D82783B3F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</xdr:row>
      <xdr:rowOff>0</xdr:rowOff>
    </xdr:from>
    <xdr:to>
      <xdr:col>36</xdr:col>
      <xdr:colOff>176645</xdr:colOff>
      <xdr:row>16</xdr:row>
      <xdr:rowOff>45027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50C0766-E8C6-449A-A3AC-D78598109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2</xdr:row>
      <xdr:rowOff>0</xdr:rowOff>
    </xdr:from>
    <xdr:to>
      <xdr:col>47</xdr:col>
      <xdr:colOff>218209</xdr:colOff>
      <xdr:row>16</xdr:row>
      <xdr:rowOff>21821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C8E94B3-0109-4453-A8DB-000916195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34</xdr:col>
      <xdr:colOff>437399</xdr:colOff>
      <xdr:row>35</xdr:row>
      <xdr:rowOff>193329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78FEB42-AC21-49FF-97F9-041EE765E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0</xdr:colOff>
      <xdr:row>19</xdr:row>
      <xdr:rowOff>0</xdr:rowOff>
    </xdr:from>
    <xdr:to>
      <xdr:col>45</xdr:col>
      <xdr:colOff>488372</xdr:colOff>
      <xdr:row>30</xdr:row>
      <xdr:rowOff>113607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F27AAAC7-595B-454A-B9D8-0668EDB29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37</xdr:row>
      <xdr:rowOff>0</xdr:rowOff>
    </xdr:from>
    <xdr:to>
      <xdr:col>33</xdr:col>
      <xdr:colOff>664028</xdr:colOff>
      <xdr:row>49</xdr:row>
      <xdr:rowOff>141514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0CD92DD3-16A9-40DE-B1E2-3CA715421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37</xdr:row>
      <xdr:rowOff>0</xdr:rowOff>
    </xdr:from>
    <xdr:to>
      <xdr:col>51</xdr:col>
      <xdr:colOff>0</xdr:colOff>
      <xdr:row>62</xdr:row>
      <xdr:rowOff>195695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FF7B10C6-3684-41AD-9C5C-6F91E5F85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34</xdr:col>
      <xdr:colOff>312420</xdr:colOff>
      <xdr:row>81</xdr:row>
      <xdr:rowOff>38100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8266FCA5-6A40-40B3-AFC7-A1FC5F897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65</xdr:row>
      <xdr:rowOff>0</xdr:rowOff>
    </xdr:from>
    <xdr:to>
      <xdr:col>45</xdr:col>
      <xdr:colOff>238760</xdr:colOff>
      <xdr:row>79</xdr:row>
      <xdr:rowOff>86592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1A3B31FA-3877-4F44-B5BB-FD3298BA60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477983</xdr:colOff>
      <xdr:row>5</xdr:row>
      <xdr:rowOff>214745</xdr:rowOff>
    </xdr:from>
    <xdr:to>
      <xdr:col>24</xdr:col>
      <xdr:colOff>394856</xdr:colOff>
      <xdr:row>18</xdr:row>
      <xdr:rowOff>76200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777D925-0D74-4E8D-9956-B264EFAFD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6928</xdr:colOff>
      <xdr:row>19</xdr:row>
      <xdr:rowOff>48491</xdr:rowOff>
    </xdr:from>
    <xdr:to>
      <xdr:col>24</xdr:col>
      <xdr:colOff>588819</xdr:colOff>
      <xdr:row>31</xdr:row>
      <xdr:rowOff>131618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4B9715A-6904-42DA-A50F-EF8C46DB3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25</xdr:row>
      <xdr:rowOff>0</xdr:rowOff>
    </xdr:from>
    <xdr:to>
      <xdr:col>19</xdr:col>
      <xdr:colOff>233666</xdr:colOff>
      <xdr:row>34</xdr:row>
      <xdr:rowOff>74891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9DBF6B3-0C14-498F-BC1F-032FD58C7763}"/>
            </a:ext>
          </a:extLst>
        </xdr:cNvPr>
        <xdr:cNvSpPr/>
      </xdr:nvSpPr>
      <xdr:spPr>
        <a:xfrm>
          <a:off x="12893040" y="5524500"/>
          <a:ext cx="2915906" cy="206371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ko-Kore-KR" sz="1400" b="1"/>
            <a:t>Hydrogen (</a:t>
          </a:r>
          <a:r>
            <a:rPr kumimoji="1" lang="ko-KR" altLang="en-US" sz="1400" b="1"/>
            <a:t>연노랑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Electricity (</a:t>
          </a:r>
          <a:r>
            <a:rPr kumimoji="1" lang="ko-KR" altLang="en-US" sz="1400" b="1"/>
            <a:t>파랑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Natural Gas (</a:t>
          </a:r>
          <a:r>
            <a:rPr kumimoji="1" lang="ko-KR" altLang="en-US" sz="1400" b="1"/>
            <a:t>하늘색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Coal (</a:t>
          </a:r>
          <a:r>
            <a:rPr kumimoji="1" lang="ko-KR" altLang="en-US" sz="1400" b="1"/>
            <a:t>검정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Oil (</a:t>
          </a:r>
          <a:r>
            <a:rPr kumimoji="1" lang="ko-KR" altLang="en-US" sz="1400" b="1"/>
            <a:t>빨강</a:t>
          </a:r>
          <a:r>
            <a:rPr kumimoji="1" lang="en-US" altLang="ko-KR" sz="1400" b="1"/>
            <a:t>)</a:t>
          </a:r>
        </a:p>
        <a:p>
          <a:endParaRPr kumimoji="1" lang="en-US" altLang="ko-Kore-KR" sz="1400" b="1"/>
        </a:p>
        <a:p>
          <a:r>
            <a:rPr kumimoji="1" lang="en-US" altLang="ko-Kore-KR" sz="1400" b="1"/>
            <a:t>Coal w/ CCS</a:t>
          </a:r>
          <a:r>
            <a:rPr kumimoji="1" lang="ko-KR" altLang="en-US" sz="1400" b="1"/>
            <a:t>를 따로 구분할것</a:t>
          </a:r>
          <a:r>
            <a:rPr kumimoji="1" lang="en-US" altLang="ko-KR" sz="1400" b="1"/>
            <a:t>(</a:t>
          </a:r>
          <a:r>
            <a:rPr kumimoji="1" lang="ko-KR" altLang="en-US" sz="1400" b="1"/>
            <a:t>빗금</a:t>
          </a:r>
          <a:r>
            <a:rPr kumimoji="1" lang="en-US" altLang="ko-KR" sz="1400" b="1"/>
            <a:t>)</a:t>
          </a:r>
          <a:endParaRPr kumimoji="1" lang="ko-Kore-KR" altLang="en-US" sz="1400" b="1"/>
        </a:p>
      </xdr:txBody>
    </xdr:sp>
    <xdr:clientData/>
  </xdr:twoCellAnchor>
  <xdr:twoCellAnchor>
    <xdr:from>
      <xdr:col>5</xdr:col>
      <xdr:colOff>733136</xdr:colOff>
      <xdr:row>64</xdr:row>
      <xdr:rowOff>77354</xdr:rowOff>
    </xdr:from>
    <xdr:to>
      <xdr:col>11</xdr:col>
      <xdr:colOff>144317</xdr:colOff>
      <xdr:row>76</xdr:row>
      <xdr:rowOff>15009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7E14AAB-34C3-4362-B907-B1B3DC99D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581890</xdr:colOff>
      <xdr:row>10</xdr:row>
      <xdr:rowOff>213013</xdr:rowOff>
    </xdr:from>
    <xdr:to>
      <xdr:col>32</xdr:col>
      <xdr:colOff>323849</xdr:colOff>
      <xdr:row>27</xdr:row>
      <xdr:rowOff>206086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6CFBE8-695C-46AB-8139-087AFE9CC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104774</xdr:colOff>
      <xdr:row>12</xdr:row>
      <xdr:rowOff>9524</xdr:rowOff>
    </xdr:from>
    <xdr:to>
      <xdr:col>43</xdr:col>
      <xdr:colOff>323849</xdr:colOff>
      <xdr:row>27</xdr:row>
      <xdr:rowOff>152399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E83BF69-AC1B-4723-90F8-3C4449AB55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466724</xdr:colOff>
      <xdr:row>38</xdr:row>
      <xdr:rowOff>36738</xdr:rowOff>
    </xdr:from>
    <xdr:to>
      <xdr:col>19</xdr:col>
      <xdr:colOff>571500</xdr:colOff>
      <xdr:row>58</xdr:row>
      <xdr:rowOff>27214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772C727D-164A-4ACE-8CB8-084B1AD1F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497772</xdr:colOff>
      <xdr:row>11</xdr:row>
      <xdr:rowOff>71252</xdr:rowOff>
    </xdr:from>
    <xdr:to>
      <xdr:col>28</xdr:col>
      <xdr:colOff>631372</xdr:colOff>
      <xdr:row>28</xdr:row>
      <xdr:rowOff>133596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E0DA858-437A-4608-91CE-D0E60ED5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9525</xdr:colOff>
      <xdr:row>20</xdr:row>
      <xdr:rowOff>219075</xdr:rowOff>
    </xdr:from>
    <xdr:to>
      <xdr:col>41</xdr:col>
      <xdr:colOff>323851</xdr:colOff>
      <xdr:row>37</xdr:row>
      <xdr:rowOff>190501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1F6EF54E-2C96-4273-A98F-856E1F95A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779689</xdr:colOff>
      <xdr:row>50</xdr:row>
      <xdr:rowOff>186417</xdr:rowOff>
    </xdr:from>
    <xdr:to>
      <xdr:col>7</xdr:col>
      <xdr:colOff>536121</xdr:colOff>
      <xdr:row>67</xdr:row>
      <xdr:rowOff>62591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E8A87F9-5BBC-42E6-AADB-DD110C136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104321</xdr:colOff>
      <xdr:row>54</xdr:row>
      <xdr:rowOff>29936</xdr:rowOff>
    </xdr:from>
    <xdr:to>
      <xdr:col>13</xdr:col>
      <xdr:colOff>40821</xdr:colOff>
      <xdr:row>66</xdr:row>
      <xdr:rowOff>78922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CD08283-106F-4645-AAB8-E6B822100B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394852</xdr:colOff>
      <xdr:row>32</xdr:row>
      <xdr:rowOff>74220</xdr:rowOff>
    </xdr:from>
    <xdr:to>
      <xdr:col>22</xdr:col>
      <xdr:colOff>360218</xdr:colOff>
      <xdr:row>50</xdr:row>
      <xdr:rowOff>11876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2F312C-4577-4C1C-AD08-50E5B2145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182913</xdr:colOff>
      <xdr:row>39</xdr:row>
      <xdr:rowOff>124691</xdr:rowOff>
    </xdr:from>
    <xdr:to>
      <xdr:col>5</xdr:col>
      <xdr:colOff>900545</xdr:colOff>
      <xdr:row>55</xdr:row>
      <xdr:rowOff>42442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7A03670-4E29-4DDB-A8F0-67FEA2523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1129145</xdr:colOff>
      <xdr:row>39</xdr:row>
      <xdr:rowOff>76199</xdr:rowOff>
    </xdr:from>
    <xdr:to>
      <xdr:col>13</xdr:col>
      <xdr:colOff>152400</xdr:colOff>
      <xdr:row>54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0450557-5A6F-4BA3-97B8-07E2F82D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270163</xdr:colOff>
      <xdr:row>15</xdr:row>
      <xdr:rowOff>117764</xdr:rowOff>
    </xdr:from>
    <xdr:to>
      <xdr:col>21</xdr:col>
      <xdr:colOff>187036</xdr:colOff>
      <xdr:row>27</xdr:row>
      <xdr:rowOff>200891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05A33F7-BA32-4DEA-8992-D80FAA0C1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270163</xdr:colOff>
      <xdr:row>51</xdr:row>
      <xdr:rowOff>117764</xdr:rowOff>
    </xdr:from>
    <xdr:to>
      <xdr:col>21</xdr:col>
      <xdr:colOff>187036</xdr:colOff>
      <xdr:row>63</xdr:row>
      <xdr:rowOff>200891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6114A096-F973-430E-8992-1F1B4D2E5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657224</xdr:colOff>
      <xdr:row>67</xdr:row>
      <xdr:rowOff>219074</xdr:rowOff>
    </xdr:from>
    <xdr:to>
      <xdr:col>35</xdr:col>
      <xdr:colOff>76199</xdr:colOff>
      <xdr:row>86</xdr:row>
      <xdr:rowOff>152399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2572B6D-9289-4550-8049-0E0516ADA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294736</xdr:colOff>
      <xdr:row>68</xdr:row>
      <xdr:rowOff>201283</xdr:rowOff>
    </xdr:from>
    <xdr:to>
      <xdr:col>24</xdr:col>
      <xdr:colOff>776378</xdr:colOff>
      <xdr:row>84</xdr:row>
      <xdr:rowOff>127958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AC37814-EE20-4761-9C74-769282013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1657350</xdr:colOff>
      <xdr:row>68</xdr:row>
      <xdr:rowOff>47624</xdr:rowOff>
    </xdr:from>
    <xdr:to>
      <xdr:col>26</xdr:col>
      <xdr:colOff>561975</xdr:colOff>
      <xdr:row>86</xdr:row>
      <xdr:rowOff>171449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F505B7F-FB67-462A-8218-CB92DA3DD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657224</xdr:colOff>
      <xdr:row>67</xdr:row>
      <xdr:rowOff>219074</xdr:rowOff>
    </xdr:from>
    <xdr:to>
      <xdr:col>35</xdr:col>
      <xdr:colOff>76199</xdr:colOff>
      <xdr:row>86</xdr:row>
      <xdr:rowOff>152399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2B4ADBC-0B3D-4D3C-A928-ABDC8AB34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604157</xdr:colOff>
      <xdr:row>40</xdr:row>
      <xdr:rowOff>114300</xdr:rowOff>
    </xdr:from>
    <xdr:to>
      <xdr:col>5</xdr:col>
      <xdr:colOff>48985</xdr:colOff>
      <xdr:row>53</xdr:row>
      <xdr:rowOff>27214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A7873AF-2F2F-4C8E-85D1-D1BF0C4AD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489857</xdr:colOff>
      <xdr:row>40</xdr:row>
      <xdr:rowOff>76200</xdr:rowOff>
    </xdr:from>
    <xdr:to>
      <xdr:col>12</xdr:col>
      <xdr:colOff>337457</xdr:colOff>
      <xdr:row>52</xdr:row>
      <xdr:rowOff>206828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7BED6DF-6E21-49ED-979A-425EA02EE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358486</xdr:colOff>
      <xdr:row>40</xdr:row>
      <xdr:rowOff>155864</xdr:rowOff>
    </xdr:from>
    <xdr:to>
      <xdr:col>23</xdr:col>
      <xdr:colOff>72736</xdr:colOff>
      <xdr:row>53</xdr:row>
      <xdr:rowOff>68778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C72984C-C2ED-41DC-9FE3-55DAFB74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152399</xdr:colOff>
      <xdr:row>40</xdr:row>
      <xdr:rowOff>76200</xdr:rowOff>
    </xdr:from>
    <xdr:to>
      <xdr:col>30</xdr:col>
      <xdr:colOff>337456</xdr:colOff>
      <xdr:row>52</xdr:row>
      <xdr:rowOff>206828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AD79EB36-0018-40A6-A768-E7E695ADF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29</xdr:row>
      <xdr:rowOff>28575</xdr:rowOff>
    </xdr:from>
    <xdr:to>
      <xdr:col>17</xdr:col>
      <xdr:colOff>47625</xdr:colOff>
      <xdr:row>41</xdr:row>
      <xdr:rowOff>28575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FB5DA36-6C6E-4DF6-B4EF-D39928BAD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200025</xdr:colOff>
      <xdr:row>42</xdr:row>
      <xdr:rowOff>161925</xdr:rowOff>
    </xdr:from>
    <xdr:to>
      <xdr:col>17</xdr:col>
      <xdr:colOff>104775</xdr:colOff>
      <xdr:row>54</xdr:row>
      <xdr:rowOff>161925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EAF8D8C-F9E2-444D-B3D4-4138A4626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409574</xdr:colOff>
      <xdr:row>28</xdr:row>
      <xdr:rowOff>152400</xdr:rowOff>
    </xdr:from>
    <xdr:to>
      <xdr:col>37</xdr:col>
      <xdr:colOff>133349</xdr:colOff>
      <xdr:row>41</xdr:row>
      <xdr:rowOff>190499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83FA6D7-0627-4A1B-910E-63A325B4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219075</xdr:colOff>
      <xdr:row>43</xdr:row>
      <xdr:rowOff>85725</xdr:rowOff>
    </xdr:from>
    <xdr:to>
      <xdr:col>37</xdr:col>
      <xdr:colOff>123825</xdr:colOff>
      <xdr:row>55</xdr:row>
      <xdr:rowOff>85725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4A48C4D-50E9-47E1-AC59-98E87F5B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</xdr:row>
      <xdr:rowOff>3172</xdr:rowOff>
    </xdr:from>
    <xdr:to>
      <xdr:col>10</xdr:col>
      <xdr:colOff>627750</xdr:colOff>
      <xdr:row>125</xdr:row>
      <xdr:rowOff>160747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087EDB6-4128-42D5-AB90-2F5E0F1069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3172</xdr:rowOff>
    </xdr:from>
    <xdr:to>
      <xdr:col>10</xdr:col>
      <xdr:colOff>627750</xdr:colOff>
      <xdr:row>48</xdr:row>
      <xdr:rowOff>160747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46B4BE5-E9A5-4A2D-B7C9-9DBD67EA3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3172</xdr:rowOff>
    </xdr:from>
    <xdr:to>
      <xdr:col>10</xdr:col>
      <xdr:colOff>627750</xdr:colOff>
      <xdr:row>48</xdr:row>
      <xdr:rowOff>160747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D75B6F3-5CA3-465C-9EE7-0B74E1350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19</xdr:row>
      <xdr:rowOff>79375</xdr:rowOff>
    </xdr:from>
    <xdr:to>
      <xdr:col>6</xdr:col>
      <xdr:colOff>600075</xdr:colOff>
      <xdr:row>32</xdr:row>
      <xdr:rowOff>15875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CA0EBD0-1F4E-4E5D-99A2-2089840FE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301625</xdr:colOff>
      <xdr:row>19</xdr:row>
      <xdr:rowOff>66675</xdr:rowOff>
    </xdr:from>
    <xdr:to>
      <xdr:col>14</xdr:col>
      <xdr:colOff>250825</xdr:colOff>
      <xdr:row>32</xdr:row>
      <xdr:rowOff>3175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A4217B2-0F8C-40F3-9BDA-E2CA94E6E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19</xdr:row>
      <xdr:rowOff>0</xdr:rowOff>
    </xdr:from>
    <xdr:to>
      <xdr:col>21</xdr:col>
      <xdr:colOff>609600</xdr:colOff>
      <xdr:row>31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F4434FE-15D1-4626-8B32-F4E6B2A13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556203</xdr:colOff>
      <xdr:row>32</xdr:row>
      <xdr:rowOff>90632</xdr:rowOff>
    </xdr:from>
    <xdr:to>
      <xdr:col>24</xdr:col>
      <xdr:colOff>619580</xdr:colOff>
      <xdr:row>52</xdr:row>
      <xdr:rowOff>56345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CF58226-B1C5-4514-B3DE-68BF31F8E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16782</xdr:colOff>
      <xdr:row>32</xdr:row>
      <xdr:rowOff>31749</xdr:rowOff>
    </xdr:from>
    <xdr:to>
      <xdr:col>11</xdr:col>
      <xdr:colOff>217715</xdr:colOff>
      <xdr:row>51</xdr:row>
      <xdr:rowOff>99784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D1D4BD9-6B4A-4EE5-94B4-62508E37F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301007</xdr:colOff>
      <xdr:row>30</xdr:row>
      <xdr:rowOff>215899</xdr:rowOff>
    </xdr:from>
    <xdr:to>
      <xdr:col>8</xdr:col>
      <xdr:colOff>251616</xdr:colOff>
      <xdr:row>50</xdr:row>
      <xdr:rowOff>155761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EDAEE74-BAEC-4F9B-ABA3-4E0F09DA6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32</xdr:row>
      <xdr:rowOff>0</xdr:rowOff>
    </xdr:from>
    <xdr:to>
      <xdr:col>18</xdr:col>
      <xdr:colOff>798814</xdr:colOff>
      <xdr:row>47</xdr:row>
      <xdr:rowOff>163583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38FF6B6-655C-42B4-B389-64A547BF4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1929" y="6966857"/>
          <a:ext cx="6096528" cy="342929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390072</xdr:colOff>
      <xdr:row>50</xdr:row>
      <xdr:rowOff>211044</xdr:rowOff>
    </xdr:from>
    <xdr:to>
      <xdr:col>7</xdr:col>
      <xdr:colOff>209557</xdr:colOff>
      <xdr:row>70</xdr:row>
      <xdr:rowOff>142447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D15AF8C-FA4B-4D57-A4A3-78B4C247D1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208641</xdr:colOff>
      <xdr:row>56</xdr:row>
      <xdr:rowOff>81643</xdr:rowOff>
    </xdr:from>
    <xdr:to>
      <xdr:col>14</xdr:col>
      <xdr:colOff>425814</xdr:colOff>
      <xdr:row>65</xdr:row>
      <xdr:rowOff>171378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E832A9F-E36C-41EA-A2B7-D6EB4A8DD237}"/>
            </a:ext>
          </a:extLst>
        </xdr:cNvPr>
        <xdr:cNvSpPr/>
      </xdr:nvSpPr>
      <xdr:spPr>
        <a:xfrm>
          <a:off x="9597570" y="12273643"/>
          <a:ext cx="2866030" cy="2049164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ore-K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en-US" altLang="ko-Kore-KR" sz="1400" b="1"/>
            <a:t>Hydrogen (</a:t>
          </a:r>
          <a:r>
            <a:rPr kumimoji="1" lang="ko-KR" altLang="en-US" sz="1400" b="1"/>
            <a:t>연노랑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Electricity (</a:t>
          </a:r>
          <a:r>
            <a:rPr kumimoji="1" lang="ko-KR" altLang="en-US" sz="1400" b="1"/>
            <a:t>파랑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Natural Gas (</a:t>
          </a:r>
          <a:r>
            <a:rPr kumimoji="1" lang="ko-KR" altLang="en-US" sz="1400" b="1"/>
            <a:t>하늘색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Coal (</a:t>
          </a:r>
          <a:r>
            <a:rPr kumimoji="1" lang="ko-KR" altLang="en-US" sz="1400" b="1"/>
            <a:t>검정</a:t>
          </a:r>
          <a:r>
            <a:rPr kumimoji="1" lang="en-US" altLang="ko-KR" sz="1400" b="1"/>
            <a:t>)</a:t>
          </a:r>
        </a:p>
        <a:p>
          <a:r>
            <a:rPr kumimoji="1" lang="en-US" altLang="ko-Kore-KR" sz="1400" b="1"/>
            <a:t>Oil (</a:t>
          </a:r>
          <a:r>
            <a:rPr kumimoji="1" lang="ko-KR" altLang="en-US" sz="1400" b="1"/>
            <a:t>빨강</a:t>
          </a:r>
          <a:r>
            <a:rPr kumimoji="1" lang="en-US" altLang="ko-KR" sz="1400" b="1"/>
            <a:t>)</a:t>
          </a:r>
        </a:p>
        <a:p>
          <a:endParaRPr kumimoji="1" lang="en-US" altLang="ko-Kore-KR" sz="1400" b="1"/>
        </a:p>
        <a:p>
          <a:r>
            <a:rPr kumimoji="1" lang="en-US" altLang="ko-Kore-KR" sz="1400" b="1"/>
            <a:t>Coal w/ CCS</a:t>
          </a:r>
          <a:r>
            <a:rPr kumimoji="1" lang="ko-KR" altLang="en-US" sz="1400" b="1"/>
            <a:t>를 따로 구분할것</a:t>
          </a:r>
          <a:r>
            <a:rPr kumimoji="1" lang="en-US" altLang="ko-KR" sz="1400" b="1"/>
            <a:t>(</a:t>
          </a:r>
          <a:r>
            <a:rPr kumimoji="1" lang="ko-KR" altLang="en-US" sz="1400" b="1"/>
            <a:t>빗금</a:t>
          </a:r>
          <a:r>
            <a:rPr kumimoji="1" lang="en-US" altLang="ko-KR" sz="1400" b="1"/>
            <a:t>)</a:t>
          </a:r>
          <a:endParaRPr kumimoji="1" lang="ko-Kore-KR" altLang="en-US" sz="1400" b="1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123825</xdr:rowOff>
    </xdr:from>
    <xdr:to>
      <xdr:col>4</xdr:col>
      <xdr:colOff>1504950</xdr:colOff>
      <xdr:row>50</xdr:row>
      <xdr:rowOff>60325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3C510F95-B34B-46B9-89AD-D44E83D31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43</xdr:row>
      <xdr:rowOff>155575</xdr:rowOff>
    </xdr:from>
    <xdr:to>
      <xdr:col>4</xdr:col>
      <xdr:colOff>1647825</xdr:colOff>
      <xdr:row>56</xdr:row>
      <xdr:rowOff>92075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FE268FD-F8BB-49E7-82E9-9D1DA1CD0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53975</xdr:colOff>
      <xdr:row>43</xdr:row>
      <xdr:rowOff>155575</xdr:rowOff>
    </xdr:from>
    <xdr:to>
      <xdr:col>4</xdr:col>
      <xdr:colOff>1558925</xdr:colOff>
      <xdr:row>56</xdr:row>
      <xdr:rowOff>92075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9D209B9-199E-42CA-BD7F-64E043FA0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632732</xdr:colOff>
      <xdr:row>8</xdr:row>
      <xdr:rowOff>216354</xdr:rowOff>
    </xdr:from>
    <xdr:to>
      <xdr:col>9</xdr:col>
      <xdr:colOff>632732</xdr:colOff>
      <xdr:row>21</xdr:row>
      <xdr:rowOff>113393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AFEE107-5FE0-4C42-9395-6659A6F43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632732</xdr:colOff>
      <xdr:row>8</xdr:row>
      <xdr:rowOff>216354</xdr:rowOff>
    </xdr:from>
    <xdr:to>
      <xdr:col>9</xdr:col>
      <xdr:colOff>632732</xdr:colOff>
      <xdr:row>21</xdr:row>
      <xdr:rowOff>113393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4A3E840-4BB6-486C-99C4-8B1735A99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632732</xdr:colOff>
      <xdr:row>8</xdr:row>
      <xdr:rowOff>216354</xdr:rowOff>
    </xdr:from>
    <xdr:to>
      <xdr:col>9</xdr:col>
      <xdr:colOff>632732</xdr:colOff>
      <xdr:row>21</xdr:row>
      <xdr:rowOff>113393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C4A7BE1-AC32-44F0-B6CC-9762CA855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21104</xdr:rowOff>
    </xdr:from>
    <xdr:to>
      <xdr:col>10</xdr:col>
      <xdr:colOff>588529</xdr:colOff>
      <xdr:row>69</xdr:row>
      <xdr:rowOff>86044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74E2DA9-A40A-4BFC-B532-E9965AD570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19049</xdr:rowOff>
    </xdr:from>
    <xdr:to>
      <xdr:col>10</xdr:col>
      <xdr:colOff>627750</xdr:colOff>
      <xdr:row>70</xdr:row>
      <xdr:rowOff>182974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8B05DD0-2928-47D5-B08E-8D0F53849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51</xdr:row>
      <xdr:rowOff>19049</xdr:rowOff>
    </xdr:from>
    <xdr:to>
      <xdr:col>10</xdr:col>
      <xdr:colOff>627750</xdr:colOff>
      <xdr:row>70</xdr:row>
      <xdr:rowOff>182974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C977F3A-83FD-4CF5-A4B7-513F9E0D4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3174</xdr:rowOff>
    </xdr:from>
    <xdr:to>
      <xdr:col>10</xdr:col>
      <xdr:colOff>627750</xdr:colOff>
      <xdr:row>69</xdr:row>
      <xdr:rowOff>160749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BD4A9E8-0049-4254-B10B-D739A95A5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3174</xdr:rowOff>
    </xdr:from>
    <xdr:to>
      <xdr:col>10</xdr:col>
      <xdr:colOff>627750</xdr:colOff>
      <xdr:row>69</xdr:row>
      <xdr:rowOff>160749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92FCAC8-A82A-4374-8AEA-21FFD35A1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34925</xdr:rowOff>
    </xdr:from>
    <xdr:to>
      <xdr:col>10</xdr:col>
      <xdr:colOff>627750</xdr:colOff>
      <xdr:row>69</xdr:row>
      <xdr:rowOff>192500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349B093-C29C-46C6-95A9-8C6037B0B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34925</xdr:rowOff>
    </xdr:from>
    <xdr:to>
      <xdr:col>10</xdr:col>
      <xdr:colOff>627750</xdr:colOff>
      <xdr:row>69</xdr:row>
      <xdr:rowOff>192500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CDF323C-197C-4FB4-A6E6-968AD5A83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44450</xdr:rowOff>
    </xdr:from>
    <xdr:to>
      <xdr:col>10</xdr:col>
      <xdr:colOff>627750</xdr:colOff>
      <xdr:row>69</xdr:row>
      <xdr:rowOff>202025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C57A56E-1ACD-4830-869C-8815493F5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44450</xdr:rowOff>
    </xdr:from>
    <xdr:to>
      <xdr:col>10</xdr:col>
      <xdr:colOff>627750</xdr:colOff>
      <xdr:row>69</xdr:row>
      <xdr:rowOff>202025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CFFB6D3-FB55-4540-93B4-16AFF5B6F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44450</xdr:rowOff>
    </xdr:from>
    <xdr:to>
      <xdr:col>10</xdr:col>
      <xdr:colOff>627750</xdr:colOff>
      <xdr:row>69</xdr:row>
      <xdr:rowOff>202025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AEE723F-E550-40F2-B1F4-CB2A6B933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15875</xdr:rowOff>
    </xdr:from>
    <xdr:to>
      <xdr:col>10</xdr:col>
      <xdr:colOff>627750</xdr:colOff>
      <xdr:row>69</xdr:row>
      <xdr:rowOff>173450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1D23695-71C4-48D0-9848-D659E25B2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15875</xdr:rowOff>
    </xdr:from>
    <xdr:to>
      <xdr:col>10</xdr:col>
      <xdr:colOff>627750</xdr:colOff>
      <xdr:row>69</xdr:row>
      <xdr:rowOff>173450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D87ED74C-5E52-4781-ACEF-18270B3B9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50</xdr:row>
      <xdr:rowOff>15875</xdr:rowOff>
    </xdr:from>
    <xdr:to>
      <xdr:col>10</xdr:col>
      <xdr:colOff>627750</xdr:colOff>
      <xdr:row>69</xdr:row>
      <xdr:rowOff>173450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A63D519-A8C2-4510-9280-8D96E9FE5A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9328;&#50629;&#48324;&#50640;&#45320;&#51648;en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g_sort"/>
      <sheetName val="CurPol_GHG_by_sector"/>
      <sheetName val="NZ-0p_GHG_by_sector"/>
      <sheetName val="NZ2050_GHG_by_sector"/>
      <sheetName val="NZ2050_NoCCS_GHG_by_sector"/>
      <sheetName val="NZ-0p_CCS"/>
      <sheetName val="NZ-22p_CCS"/>
      <sheetName val="CP_CO2_by_sector"/>
      <sheetName val="NZ-0p_CO2_by_sector"/>
      <sheetName val="NZ-22p_CO2_by_sector"/>
      <sheetName val="CurPol_Hydrogen"/>
      <sheetName val="NZ-0p_Hydrogen production"/>
      <sheetName val="N2050_Hydrogen"/>
      <sheetName val="NZ2050_NoCCS_Hydrogen"/>
      <sheetName val="CP_iron_steel_tech_cost"/>
      <sheetName val="NZ-0p_iron_steel_tech_cost"/>
      <sheetName val="NZ-22p_iron_steel_tech_cost"/>
      <sheetName val="CurPol_primary"/>
      <sheetName val="NZ-0p_primary"/>
      <sheetName val="NZ2050_primary"/>
      <sheetName val="CurPol_electricity"/>
      <sheetName val="NZ-0p_electricity"/>
      <sheetName val="NZ2050_electricity"/>
      <sheetName val="CurPol_final_energy"/>
      <sheetName val="NZ-0p_building_final_energy"/>
      <sheetName val="NZ2050_final_energy"/>
      <sheetName val="CurPol_industry_final_energy"/>
      <sheetName val="NZ2050_industry_final_energy"/>
      <sheetName val="NZ2050EF_industry_final_energy"/>
      <sheetName val="NZ-0p_industry_final_energy"/>
      <sheetName val="NZ-22p_industry_final_energy"/>
      <sheetName val="Shareweights"/>
      <sheetName val="Costs"/>
      <sheetName val="CurPol_iron_steel_production"/>
      <sheetName val="NZ-0p_iron_steel_production"/>
      <sheetName val="NZ2050_iron_steel_production"/>
      <sheetName val="CurPol_iron_steel_energy"/>
      <sheetName val="NZ-0p_iron_steel_energy"/>
      <sheetName val="NZ2050_iron_steel_energy"/>
      <sheetName val="CP_iron_steel_energy_tech"/>
      <sheetName val="NZ-0p_iron_steel_energy_tech"/>
      <sheetName val="NZ-22p_iron_steel_energy_tech"/>
      <sheetName val="CurPol_iron and steel_GHG"/>
      <sheetName val="NZ2050_iron and steel_GHG"/>
      <sheetName val="CurPol_chemical_energy"/>
      <sheetName val="NZ2050_chemical_energy"/>
      <sheetName val="CurPol_chemical_GHG"/>
      <sheetName val="CP_chemical_CO2"/>
      <sheetName val="NZ2050_chemical_GHG"/>
      <sheetName val="NZ_chemical_CO2"/>
      <sheetName val="CurPol_cement_energy"/>
      <sheetName val="NZ2050_cement_energy"/>
      <sheetName val="CurPol_cement_GHG"/>
      <sheetName val="NZ2050_cement_GHG"/>
      <sheetName val="NZ_cement_CO2"/>
      <sheetName val="NZ-22p_cement_energy"/>
      <sheetName val="CurPol_semiconductor_energy"/>
      <sheetName val="NZ2050_semiconductor_energy"/>
      <sheetName val="CurPol_semiconductor_GHG"/>
      <sheetName val="NZ2050_semiconductor_GHG"/>
      <sheetName val="CurPol_display_energy"/>
      <sheetName val="NZ2050_display_energy"/>
      <sheetName val="CurPol_display_GHG"/>
      <sheetName val="NZ2050_display_GHG"/>
      <sheetName val="CurPol_fertilizer_energy"/>
      <sheetName val="NZ-0p_fertilizer_energy"/>
      <sheetName val="NZ-10p_fertilizer_energy"/>
      <sheetName val="NZ2050_fertilizer_energy"/>
      <sheetName val="CurPol_ferilizer_GHG"/>
      <sheetName val="NZ2050_ferilizer_GHG"/>
      <sheetName val="CurPol_agriculture_energy"/>
      <sheetName val="NZ-0p_agriculture_energy"/>
      <sheetName val="NZ-10p_agriculture_energy"/>
      <sheetName val="NZ2050_agriculture_energy"/>
      <sheetName val="CurPol_agriculture_GHG"/>
      <sheetName val="NZ2050_agriculture_GHG"/>
      <sheetName val="CurPol_mining_energy"/>
      <sheetName val="NZ-0p_mining_energy"/>
      <sheetName val="NZ-10p_mining_energy"/>
      <sheetName val="NZ2050_mining_energy"/>
      <sheetName val="CurPol_mining_GHG"/>
      <sheetName val="NZ2050_mining_GHG"/>
      <sheetName val="CurPol_construction_energy"/>
      <sheetName val="NZ2050_construction_energy"/>
      <sheetName val="NZ-0p_construction_energy"/>
      <sheetName val="NZ-10p_construction_energy"/>
      <sheetName val="NZ-22p_construction_energy"/>
      <sheetName val="CurPol_construction_GHG"/>
      <sheetName val="NZ2050_construction_GHG"/>
      <sheetName val="CurPol_other_industry_energy"/>
      <sheetName val="NZ2050_other_industry_energy"/>
      <sheetName val="CurPol_other_industry_GHG"/>
      <sheetName val="NZ2050_other_industry_GHG"/>
      <sheetName val="NZ-0p_other_industry_energy"/>
      <sheetName val="NZ-10p_other_industry_energy"/>
      <sheetName val="NZ-22p_other_industry_energ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2">
          <cell r="W2">
            <v>2015</v>
          </cell>
          <cell r="X2">
            <v>2020</v>
          </cell>
          <cell r="Y2">
            <v>2025</v>
          </cell>
          <cell r="Z2">
            <v>2030</v>
          </cell>
          <cell r="AA2">
            <v>2035</v>
          </cell>
          <cell r="AB2">
            <v>2040</v>
          </cell>
          <cell r="AC2">
            <v>2045</v>
          </cell>
          <cell r="AD2">
            <v>2050</v>
          </cell>
        </row>
        <row r="3">
          <cell r="V3" t="str">
            <v>BLASTFUR</v>
          </cell>
          <cell r="W3">
            <v>0.91990454999999993</v>
          </cell>
          <cell r="X3">
            <v>0.87270986492999991</v>
          </cell>
          <cell r="Y3">
            <v>0.93426518437000006</v>
          </cell>
          <cell r="Z3">
            <v>0.89484316282999898</v>
          </cell>
          <cell r="AA3">
            <v>0.82614047066999996</v>
          </cell>
          <cell r="AB3">
            <v>0.76131405265999996</v>
          </cell>
          <cell r="AC3">
            <v>0.65008162779000001</v>
          </cell>
          <cell r="AD3">
            <v>0.48674713495999999</v>
          </cell>
        </row>
        <row r="4">
          <cell r="V4" t="str">
            <v>EAF with DRI</v>
          </cell>
          <cell r="W4">
            <v>0.14023903999999998</v>
          </cell>
          <cell r="X4">
            <v>0.13556497799999978</v>
          </cell>
          <cell r="Y4">
            <v>0.16434978399999992</v>
          </cell>
          <cell r="Z4">
            <v>0.190084896</v>
          </cell>
          <cell r="AA4">
            <v>0.21992177539999991</v>
          </cell>
          <cell r="AB4">
            <v>0.2491414039999999</v>
          </cell>
          <cell r="AC4">
            <v>0.29857396400000003</v>
          </cell>
          <cell r="AD4">
            <v>0.37410318599999992</v>
          </cell>
        </row>
        <row r="5">
          <cell r="V5" t="str">
            <v>EAF with scrap</v>
          </cell>
          <cell r="W5">
            <v>5.7060879999999994E-2</v>
          </cell>
          <cell r="X5">
            <v>5.23617155999999E-2</v>
          </cell>
          <cell r="Y5">
            <v>4.9441528800000002E-2</v>
          </cell>
          <cell r="Z5">
            <v>3.9061467699999998E-2</v>
          </cell>
          <cell r="AA5">
            <v>2.7550704400000001E-2</v>
          </cell>
          <cell r="AB5">
            <v>2.39948161E-2</v>
          </cell>
          <cell r="AC5">
            <v>2.4138059899999998E-2</v>
          </cell>
          <cell r="AD5">
            <v>2.9060238200000001E-2</v>
          </cell>
        </row>
        <row r="65">
          <cell r="B65" t="str">
            <v>2015_KEEI</v>
          </cell>
          <cell r="C65" t="str">
            <v>2015_GCAM</v>
          </cell>
          <cell r="D65" t="str">
            <v>2020_KEEI</v>
          </cell>
          <cell r="E65" t="str">
            <v>2020_GCAM</v>
          </cell>
        </row>
        <row r="66">
          <cell r="A66" t="str">
            <v>Hydrogen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 t="str">
            <v>Electricity</v>
          </cell>
          <cell r="B67">
            <v>0.1308375</v>
          </cell>
          <cell r="C67">
            <v>0.19544590000000001</v>
          </cell>
          <cell r="D67">
            <v>0.11545938359999999</v>
          </cell>
          <cell r="E67">
            <v>0.2157539</v>
          </cell>
        </row>
        <row r="68">
          <cell r="A68" t="str">
            <v>Biomass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 t="str">
            <v>Gas</v>
          </cell>
          <cell r="B69">
            <v>9.1896073199999997E-2</v>
          </cell>
          <cell r="C69">
            <v>6.3962699999999997E-2</v>
          </cell>
          <cell r="D69">
            <v>9.5320875599999993E-2</v>
          </cell>
          <cell r="E69">
            <v>7.4465338299999892E-2</v>
          </cell>
        </row>
        <row r="70">
          <cell r="A70" t="str">
            <v>Coal</v>
          </cell>
          <cell r="B70">
            <v>1.0072017288000001</v>
          </cell>
          <cell r="C70">
            <v>0.85360729999999996</v>
          </cell>
          <cell r="D70">
            <v>1.5740483940000001</v>
          </cell>
          <cell r="E70">
            <v>0.95469640999999994</v>
          </cell>
        </row>
        <row r="71">
          <cell r="A71" t="str">
            <v>Oil</v>
          </cell>
          <cell r="B71">
            <v>2.1478284000000002E-3</v>
          </cell>
          <cell r="C71">
            <v>4.18857E-3</v>
          </cell>
          <cell r="D71">
            <v>4.6222271999999997E-3</v>
          </cell>
          <cell r="E71">
            <v>4.7741064999999999E-3</v>
          </cell>
        </row>
      </sheetData>
      <sheetData sheetId="37"/>
      <sheetData sheetId="38">
        <row r="2">
          <cell r="V2">
            <v>2015</v>
          </cell>
          <cell r="W2">
            <v>2020</v>
          </cell>
          <cell r="X2">
            <v>2025</v>
          </cell>
          <cell r="Y2">
            <v>2030</v>
          </cell>
          <cell r="Z2">
            <v>2035</v>
          </cell>
          <cell r="AA2">
            <v>2040</v>
          </cell>
          <cell r="AB2">
            <v>2045</v>
          </cell>
          <cell r="AC2">
            <v>2050</v>
          </cell>
        </row>
        <row r="3">
          <cell r="U3" t="str">
            <v>BLASTFUR with hydrogen</v>
          </cell>
          <cell r="V3">
            <v>0</v>
          </cell>
          <cell r="W3">
            <v>0</v>
          </cell>
          <cell r="X3">
            <v>1.2247056660000001E-3</v>
          </cell>
          <cell r="Y3">
            <v>5.1403214739999988E-3</v>
          </cell>
          <cell r="Z3">
            <v>1.2655160116E-2</v>
          </cell>
          <cell r="AA3">
            <v>1.8715707586E-2</v>
          </cell>
          <cell r="AB3">
            <v>1.6922626765999985E-2</v>
          </cell>
          <cell r="AC3">
            <v>3.4488469913999996E-3</v>
          </cell>
        </row>
        <row r="4">
          <cell r="U4" t="str">
            <v>BLASTFUR</v>
          </cell>
          <cell r="V4">
            <v>0.91990454999999993</v>
          </cell>
          <cell r="W4">
            <v>0.87304736219000001</v>
          </cell>
          <cell r="X4">
            <v>0.71975320097999995</v>
          </cell>
          <cell r="Y4">
            <v>0.47052278044999996</v>
          </cell>
          <cell r="Z4">
            <v>0.25250289966999995</v>
          </cell>
          <cell r="AA4">
            <v>0.15115100014999999</v>
          </cell>
          <cell r="AB4">
            <v>6.7803021222999998E-2</v>
          </cell>
          <cell r="AC4">
            <v>3.6622744704799901E-3</v>
          </cell>
        </row>
        <row r="5">
          <cell r="U5" t="str">
            <v>BLASTFUR CCS</v>
          </cell>
          <cell r="V5">
            <v>0</v>
          </cell>
          <cell r="W5">
            <v>0</v>
          </cell>
          <cell r="X5">
            <v>2.037001679E-3</v>
          </cell>
          <cell r="Y5">
            <v>9.826922565E-3</v>
          </cell>
          <cell r="Z5">
            <v>3.0409436992300001E-2</v>
          </cell>
          <cell r="AA5">
            <v>5.4663066457800003E-2</v>
          </cell>
          <cell r="AB5">
            <v>7.9165787152999989E-2</v>
          </cell>
          <cell r="AC5">
            <v>7.5426456892000004E-2</v>
          </cell>
        </row>
        <row r="6">
          <cell r="U6" t="str">
            <v>Hydrogen-based DRI</v>
          </cell>
          <cell r="V6">
            <v>0</v>
          </cell>
          <cell r="W6">
            <v>0</v>
          </cell>
          <cell r="X6">
            <v>0</v>
          </cell>
          <cell r="Y6">
            <v>3.4257309999999999E-2</v>
          </cell>
          <cell r="Z6">
            <v>0.10220779999999981</v>
          </cell>
          <cell r="AA6">
            <v>0.17050340000000003</v>
          </cell>
          <cell r="AB6">
            <v>0.25730261999999998</v>
          </cell>
          <cell r="AC6">
            <v>0.3810468199999999</v>
          </cell>
        </row>
        <row r="7">
          <cell r="U7" t="str">
            <v>EAF with DRI</v>
          </cell>
          <cell r="V7">
            <v>0.14023903999999998</v>
          </cell>
          <cell r="W7">
            <v>0.13537120399999999</v>
          </cell>
          <cell r="X7">
            <v>0.208727318</v>
          </cell>
          <cell r="Y7">
            <v>0.239774449</v>
          </cell>
          <cell r="Z7">
            <v>0.23623118249999897</v>
          </cell>
          <cell r="AA7">
            <v>0.2062959389999999</v>
          </cell>
          <cell r="AB7">
            <v>0.158555363</v>
          </cell>
          <cell r="AC7">
            <v>8.7965823999999998E-2</v>
          </cell>
        </row>
        <row r="8">
          <cell r="U8" t="str">
            <v>EAF with DRI CCS</v>
          </cell>
          <cell r="V8">
            <v>0</v>
          </cell>
          <cell r="W8">
            <v>0</v>
          </cell>
          <cell r="X8">
            <v>3.7734325999999999E-3</v>
          </cell>
          <cell r="Y8">
            <v>1.1475832E-2</v>
          </cell>
          <cell r="Z8">
            <v>2.3586661799999999E-2</v>
          </cell>
          <cell r="AA8">
            <v>3.7672531799999992E-2</v>
          </cell>
          <cell r="AB8">
            <v>5.6742337899999898E-2</v>
          </cell>
          <cell r="AC8">
            <v>7.378228249999999E-2</v>
          </cell>
        </row>
        <row r="9">
          <cell r="U9" t="str">
            <v>EAF with scrap</v>
          </cell>
          <cell r="V9">
            <v>5.7060879999999994E-2</v>
          </cell>
          <cell r="W9">
            <v>5.2345056099999995E-2</v>
          </cell>
          <cell r="X9">
            <v>5.6831930200000005E-2</v>
          </cell>
          <cell r="Y9">
            <v>5.52587878E-2</v>
          </cell>
          <cell r="Z9">
            <v>4.93028758E-2</v>
          </cell>
          <cell r="AA9">
            <v>4.9787963899999996E-2</v>
          </cell>
          <cell r="AB9">
            <v>5.4891183599999997E-2</v>
          </cell>
          <cell r="AC9">
            <v>6.4957155000000003E-2</v>
          </cell>
        </row>
      </sheetData>
      <sheetData sheetId="39"/>
      <sheetData sheetId="40"/>
      <sheetData sheetId="41"/>
      <sheetData sheetId="42"/>
      <sheetData sheetId="43"/>
      <sheetData sheetId="44">
        <row r="22">
          <cell r="G22">
            <v>2015</v>
          </cell>
        </row>
        <row r="55">
          <cell r="B55" t="str">
            <v>2015_KEEI</v>
          </cell>
          <cell r="C55" t="str">
            <v>2015_GCAM</v>
          </cell>
          <cell r="D55" t="str">
            <v>2020_KEEI</v>
          </cell>
          <cell r="E55" t="str">
            <v>2020_GCAM</v>
          </cell>
        </row>
        <row r="56">
          <cell r="A56" t="str">
            <v>Hydrogen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 t="str">
            <v>Electricity</v>
          </cell>
          <cell r="B57">
            <v>0.2069</v>
          </cell>
          <cell r="C57">
            <v>0.17627200000000001</v>
          </cell>
          <cell r="D57">
            <v>0.22589999999999999</v>
          </cell>
          <cell r="E57">
            <v>0.17776900000000001</v>
          </cell>
        </row>
        <row r="58">
          <cell r="A58" t="str">
            <v>Biomass</v>
          </cell>
          <cell r="B58">
            <v>0</v>
          </cell>
          <cell r="C58">
            <v>1.1344E-2</v>
          </cell>
          <cell r="D58">
            <v>0</v>
          </cell>
          <cell r="E58">
            <v>1.166E-2</v>
          </cell>
        </row>
        <row r="59">
          <cell r="A59" t="str">
            <v>Gas</v>
          </cell>
          <cell r="B59">
            <v>6.2300000000000001E-2</v>
          </cell>
          <cell r="C59">
            <v>5.4362000000000001E-2</v>
          </cell>
          <cell r="D59">
            <v>9.3299999999999994E-2</v>
          </cell>
          <cell r="E59">
            <v>5.5620000000000003E-2</v>
          </cell>
        </row>
        <row r="60">
          <cell r="A60" t="str">
            <v>Coal</v>
          </cell>
          <cell r="B60">
            <v>1.6400000000000001E-2</v>
          </cell>
          <cell r="C60">
            <v>5.0860000000000002E-2</v>
          </cell>
          <cell r="D60">
            <v>1.5599999999999999E-2</v>
          </cell>
          <cell r="E60">
            <v>4.9732999999999999E-2</v>
          </cell>
        </row>
        <row r="61">
          <cell r="A61" t="str">
            <v>Oil</v>
          </cell>
          <cell r="B61">
            <v>4.9000000000000002E-2</v>
          </cell>
          <cell r="C61">
            <v>2.2311000000000001E-2</v>
          </cell>
          <cell r="D61">
            <v>6.1199999999999997E-2</v>
          </cell>
          <cell r="E61">
            <v>2.2860999999999999E-2</v>
          </cell>
        </row>
        <row r="62">
          <cell r="A62" t="str">
            <v>Oil Feedstocks</v>
          </cell>
          <cell r="B62">
            <v>1.2201</v>
          </cell>
          <cell r="C62">
            <v>1.8793899999999999</v>
          </cell>
          <cell r="D62">
            <v>1.3808</v>
          </cell>
          <cell r="E62">
            <v>1.90008</v>
          </cell>
        </row>
      </sheetData>
      <sheetData sheetId="45">
        <row r="25">
          <cell r="G25">
            <v>2015</v>
          </cell>
          <cell r="H25">
            <v>2020</v>
          </cell>
          <cell r="I25">
            <v>2025</v>
          </cell>
          <cell r="J25">
            <v>2030</v>
          </cell>
          <cell r="K25">
            <v>2035</v>
          </cell>
          <cell r="L25">
            <v>2040</v>
          </cell>
          <cell r="M25">
            <v>2045</v>
          </cell>
          <cell r="N25">
            <v>2050</v>
          </cell>
        </row>
        <row r="26">
          <cell r="F26" t="str">
            <v>Hydrogen</v>
          </cell>
          <cell r="G26">
            <v>0</v>
          </cell>
          <cell r="H26">
            <v>4.46203E-4</v>
          </cell>
          <cell r="I26">
            <v>2.578561E-3</v>
          </cell>
          <cell r="J26">
            <v>8.2950860000000001E-3</v>
          </cell>
          <cell r="K26">
            <v>2.3320778E-2</v>
          </cell>
          <cell r="L26">
            <v>4.7643640000000001E-2</v>
          </cell>
          <cell r="M26">
            <v>7.2101510199999996E-2</v>
          </cell>
          <cell r="N26">
            <v>0.10369668510000001</v>
          </cell>
        </row>
        <row r="27">
          <cell r="F27" t="str">
            <v>Electricity</v>
          </cell>
          <cell r="G27">
            <v>0.17627200000000001</v>
          </cell>
          <cell r="H27">
            <v>0.18617639999999999</v>
          </cell>
          <cell r="I27">
            <v>0.20603679999999999</v>
          </cell>
          <cell r="J27">
            <v>0.22784380000000001</v>
          </cell>
          <cell r="K27">
            <v>0.25663710000000001</v>
          </cell>
          <cell r="L27">
            <v>0.29562955999999901</v>
          </cell>
          <cell r="M27">
            <v>0.33886674999999999</v>
          </cell>
          <cell r="N27">
            <v>0.39745477899999998</v>
          </cell>
        </row>
        <row r="28">
          <cell r="F28" t="str">
            <v>Biomass CCS</v>
          </cell>
          <cell r="G28">
            <v>0</v>
          </cell>
          <cell r="H28">
            <v>0</v>
          </cell>
          <cell r="I28">
            <v>1.1662099999999999E-4</v>
          </cell>
          <cell r="J28">
            <v>1.0715810000000001E-3</v>
          </cell>
          <cell r="K28">
            <v>8.4339949999999997E-3</v>
          </cell>
          <cell r="L28">
            <v>2.41824463E-2</v>
          </cell>
          <cell r="M28">
            <v>3.7974687399999998E-2</v>
          </cell>
          <cell r="N28">
            <v>4.6528344100000001E-2</v>
          </cell>
        </row>
        <row r="29">
          <cell r="F29" t="str">
            <v>Biomass</v>
          </cell>
          <cell r="G29">
            <v>1.1344099999999999E-2</v>
          </cell>
          <cell r="H29">
            <v>1.2337839999999999E-2</v>
          </cell>
          <cell r="I29">
            <v>1.6138159999999999E-2</v>
          </cell>
          <cell r="J29">
            <v>2.062429E-2</v>
          </cell>
          <cell r="K29">
            <v>2.2565156999999999E-2</v>
          </cell>
          <cell r="L29">
            <v>1.9602164999999901E-2</v>
          </cell>
          <cell r="M29">
            <v>1.5557235000000001E-2</v>
          </cell>
          <cell r="N29">
            <v>4.5643626599999997E-3</v>
          </cell>
        </row>
        <row r="30">
          <cell r="F30" t="str">
            <v>Gas CCS</v>
          </cell>
          <cell r="G30">
            <v>0</v>
          </cell>
          <cell r="H30">
            <v>0</v>
          </cell>
          <cell r="I30">
            <v>5.9531700000000005E-4</v>
          </cell>
          <cell r="J30">
            <v>3.3469729999999901E-3</v>
          </cell>
          <cell r="K30">
            <v>1.3853508E-2</v>
          </cell>
          <cell r="L30">
            <v>3.1378973999999997E-2</v>
          </cell>
          <cell r="M30">
            <v>4.8539214999999997E-2</v>
          </cell>
          <cell r="N30">
            <v>6.5330029999999997E-2</v>
          </cell>
        </row>
        <row r="31">
          <cell r="F31" t="str">
            <v>Gas</v>
          </cell>
          <cell r="G31">
            <v>5.4361800000000002E-2</v>
          </cell>
          <cell r="H31">
            <v>5.851025E-2</v>
          </cell>
          <cell r="I31">
            <v>6.5896109999999994E-2</v>
          </cell>
          <cell r="J31">
            <v>7.1619299999999997E-2</v>
          </cell>
          <cell r="K31">
            <v>6.9446529999999895E-2</v>
          </cell>
          <cell r="L31">
            <v>5.8250629999999998E-2</v>
          </cell>
          <cell r="M31">
            <v>4.7249248000000001E-2</v>
          </cell>
          <cell r="N31">
            <v>3.0071471999999998E-2</v>
          </cell>
        </row>
        <row r="32">
          <cell r="F32" t="str">
            <v>Coal CCS</v>
          </cell>
          <cell r="G32">
            <v>0</v>
          </cell>
          <cell r="H32">
            <v>0</v>
          </cell>
          <cell r="I32">
            <v>1.10938E-5</v>
          </cell>
          <cell r="J32">
            <v>7.2771100000000005E-5</v>
          </cell>
          <cell r="K32">
            <v>3.4588879999999998E-4</v>
          </cell>
          <cell r="L32">
            <v>8.5795932999999905E-4</v>
          </cell>
          <cell r="M32">
            <v>1.3158493499999999E-3</v>
          </cell>
          <cell r="N32">
            <v>1.6124632899999899E-3</v>
          </cell>
        </row>
        <row r="33">
          <cell r="F33" t="str">
            <v>Coal</v>
          </cell>
          <cell r="G33">
            <v>2.7753199999999999E-2</v>
          </cell>
          <cell r="H33">
            <v>2.4972570999999999E-2</v>
          </cell>
          <cell r="I33">
            <v>5.4831300000000001E-3</v>
          </cell>
          <cell r="J33">
            <v>4.9877079999999996E-3</v>
          </cell>
          <cell r="K33">
            <v>3.6380513999999999E-3</v>
          </cell>
          <cell r="L33">
            <v>2.0439946999999902E-3</v>
          </cell>
          <cell r="M33">
            <v>1.1000828100000001E-3</v>
          </cell>
          <cell r="N33">
            <v>1.1238505600000001E-4</v>
          </cell>
        </row>
        <row r="34">
          <cell r="F34" t="str">
            <v>Coal feedstocks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F35" t="str">
            <v>Oil CCS</v>
          </cell>
          <cell r="G35">
            <v>0</v>
          </cell>
          <cell r="H35">
            <v>0</v>
          </cell>
          <cell r="I35">
            <v>4.1681200000000002E-4</v>
          </cell>
          <cell r="J35">
            <v>2.240864E-3</v>
          </cell>
          <cell r="K35">
            <v>8.8508600000000003E-3</v>
          </cell>
          <cell r="L35">
            <v>1.9932136E-2</v>
          </cell>
          <cell r="M35">
            <v>3.0069901E-2</v>
          </cell>
          <cell r="N35">
            <v>3.9111199499999999E-2</v>
          </cell>
        </row>
        <row r="36">
          <cell r="F36" t="str">
            <v>Oil</v>
          </cell>
          <cell r="G36">
            <v>2.2311399999999981E-2</v>
          </cell>
          <cell r="H36">
            <v>2.4373600000000106E-2</v>
          </cell>
          <cell r="I36">
            <v>2.8761450000000188E-2</v>
          </cell>
          <cell r="J36">
            <v>3.3301180000000041E-2</v>
          </cell>
          <cell r="K36">
            <v>3.5531929999999878E-2</v>
          </cell>
          <cell r="L36">
            <v>3.2899819999999913E-2</v>
          </cell>
          <cell r="M36">
            <v>2.7833329999999989E-2</v>
          </cell>
          <cell r="N36">
            <v>9.6310950000000339E-3</v>
          </cell>
        </row>
        <row r="37">
          <cell r="F37" t="str">
            <v>Oil feedstocks</v>
          </cell>
          <cell r="G37">
            <v>1.8793899999999999</v>
          </cell>
          <cell r="H37">
            <v>1.8975200000000001</v>
          </cell>
          <cell r="I37">
            <v>2.02013</v>
          </cell>
          <cell r="J37">
            <v>2.1383399999999999</v>
          </cell>
          <cell r="K37">
            <v>2.2134800000000001</v>
          </cell>
          <cell r="L37">
            <v>2.2984399999999998</v>
          </cell>
          <cell r="M37">
            <v>2.41533</v>
          </cell>
          <cell r="N37">
            <v>2.5104500000000001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1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8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9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0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2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2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8212-E25F-42E7-AA6E-10BE1E83B505}">
  <sheetPr codeName="Sheet1"/>
  <dimension ref="A3:G512"/>
  <sheetViews>
    <sheetView zoomScale="70" zoomScaleNormal="70" workbookViewId="0">
      <selection activeCell="O69" sqref="O69"/>
    </sheetView>
  </sheetViews>
  <sheetFormatPr defaultRowHeight="17.399999999999999"/>
  <cols>
    <col min="1" max="1" width="24.8984375" bestFit="1" customWidth="1"/>
  </cols>
  <sheetData>
    <row r="3" spans="1:2">
      <c r="A3" s="15" t="s">
        <v>95</v>
      </c>
      <c r="B3" s="15">
        <v>12.2</v>
      </c>
    </row>
    <row r="4" spans="1:2">
      <c r="A4" s="15" t="s">
        <v>96</v>
      </c>
      <c r="B4" s="15">
        <v>7.39</v>
      </c>
    </row>
    <row r="5" spans="1:2">
      <c r="A5" s="16" t="s">
        <v>84</v>
      </c>
      <c r="B5" s="21">
        <v>25</v>
      </c>
    </row>
    <row r="6" spans="1:2">
      <c r="A6" s="17" t="s">
        <v>86</v>
      </c>
      <c r="B6" s="17">
        <v>3.6666666666666701</v>
      </c>
    </row>
    <row r="7" spans="1:2">
      <c r="A7" s="20" t="s">
        <v>97</v>
      </c>
      <c r="B7" s="20">
        <v>1.4300000000000002</v>
      </c>
    </row>
    <row r="8" spans="1:2">
      <c r="A8" s="20" t="s">
        <v>98</v>
      </c>
      <c r="B8" s="20">
        <v>4.47</v>
      </c>
    </row>
    <row r="9" spans="1:2">
      <c r="A9" s="20" t="s">
        <v>99</v>
      </c>
      <c r="B9" s="20">
        <v>14.8</v>
      </c>
    </row>
    <row r="10" spans="1:2">
      <c r="A10" s="20" t="s">
        <v>100</v>
      </c>
      <c r="B10" s="20">
        <v>0.67500000000000004</v>
      </c>
    </row>
    <row r="11" spans="1:2" s="13" customFormat="1">
      <c r="A11" s="32" t="s">
        <v>251</v>
      </c>
      <c r="B11" s="20">
        <v>3.5</v>
      </c>
    </row>
    <row r="12" spans="1:2" s="13" customFormat="1">
      <c r="A12" s="32" t="s">
        <v>252</v>
      </c>
      <c r="B12" s="20">
        <v>0.124</v>
      </c>
    </row>
    <row r="13" spans="1:2" s="13" customFormat="1">
      <c r="A13" s="32" t="s">
        <v>233</v>
      </c>
      <c r="B13" s="20">
        <v>3.22</v>
      </c>
    </row>
    <row r="14" spans="1:2" s="13" customFormat="1">
      <c r="A14" s="32" t="s">
        <v>234</v>
      </c>
      <c r="B14" s="20">
        <v>9.81</v>
      </c>
    </row>
    <row r="15" spans="1:2" s="13" customFormat="1">
      <c r="A15" s="32" t="s">
        <v>253</v>
      </c>
      <c r="B15" s="20">
        <v>0.79400000000000004</v>
      </c>
    </row>
    <row r="16" spans="1:2">
      <c r="A16" s="18" t="s">
        <v>87</v>
      </c>
      <c r="B16" s="18">
        <v>298</v>
      </c>
    </row>
    <row r="17" spans="1:7">
      <c r="A17" s="18" t="s">
        <v>101</v>
      </c>
      <c r="B17" s="18">
        <v>298</v>
      </c>
    </row>
    <row r="18" spans="1:7">
      <c r="A18" s="18" t="s">
        <v>102</v>
      </c>
      <c r="B18" s="18">
        <v>298</v>
      </c>
    </row>
    <row r="19" spans="1:7">
      <c r="A19" s="22" t="s">
        <v>103</v>
      </c>
      <c r="B19" s="19">
        <v>22.8</v>
      </c>
    </row>
    <row r="20" spans="1:7">
      <c r="A20" s="16" t="s">
        <v>104</v>
      </c>
      <c r="B20" s="21">
        <v>25</v>
      </c>
    </row>
    <row r="21" spans="1:7">
      <c r="A21" s="16" t="s">
        <v>105</v>
      </c>
      <c r="B21" s="21">
        <v>25</v>
      </c>
    </row>
    <row r="24" spans="1:7" s="13" customFormat="1">
      <c r="E24" s="1"/>
    </row>
    <row r="25" spans="1:7" s="13" customFormat="1">
      <c r="E25" s="1"/>
    </row>
    <row r="26" spans="1:7" s="13" customFormat="1">
      <c r="E26" s="1"/>
      <c r="F26" s="13" t="s">
        <v>249</v>
      </c>
      <c r="G26" s="13" t="s">
        <v>250</v>
      </c>
    </row>
    <row r="27" spans="1:7" s="13" customFormat="1">
      <c r="E27" s="1"/>
      <c r="F27" s="1" t="s">
        <v>251</v>
      </c>
      <c r="G27" s="13">
        <v>3.5</v>
      </c>
    </row>
    <row r="28" spans="1:7" s="13" customFormat="1">
      <c r="E28" s="1"/>
      <c r="F28" s="1" t="s">
        <v>252</v>
      </c>
      <c r="G28" s="13">
        <v>0.124</v>
      </c>
    </row>
    <row r="29" spans="1:7" s="13" customFormat="1">
      <c r="E29" s="1"/>
      <c r="F29" s="1" t="s">
        <v>233</v>
      </c>
      <c r="G29" s="13">
        <v>3.22</v>
      </c>
    </row>
    <row r="30" spans="1:7" s="13" customFormat="1">
      <c r="E30" s="1"/>
      <c r="F30" s="1" t="s">
        <v>234</v>
      </c>
      <c r="G30" s="13">
        <v>9.81</v>
      </c>
    </row>
    <row r="31" spans="1:7" s="13" customFormat="1">
      <c r="E31" s="1"/>
      <c r="F31" s="1" t="s">
        <v>253</v>
      </c>
      <c r="G31" s="13">
        <v>0.79400000000000004</v>
      </c>
    </row>
    <row r="32" spans="1:7" s="13" customFormat="1">
      <c r="E32" s="1"/>
    </row>
    <row r="33" spans="1:5" s="13" customFormat="1">
      <c r="E33" s="1"/>
    </row>
    <row r="35" spans="1:5">
      <c r="A35" s="13" t="s">
        <v>140</v>
      </c>
      <c r="B35" s="13" t="s">
        <v>172</v>
      </c>
      <c r="D35" s="13" t="s">
        <v>172</v>
      </c>
    </row>
    <row r="36" spans="1:5">
      <c r="A36" s="13" t="s">
        <v>141</v>
      </c>
      <c r="B36" s="13" t="s">
        <v>172</v>
      </c>
      <c r="D36" s="13" t="s">
        <v>173</v>
      </c>
    </row>
    <row r="37" spans="1:5">
      <c r="A37" s="13" t="s">
        <v>63</v>
      </c>
      <c r="B37" s="13" t="s">
        <v>172</v>
      </c>
      <c r="D37" s="13" t="s">
        <v>17</v>
      </c>
    </row>
    <row r="38" spans="1:5">
      <c r="A38" s="13" t="s">
        <v>64</v>
      </c>
      <c r="B38" s="13" t="s">
        <v>172</v>
      </c>
      <c r="D38" s="13" t="s">
        <v>174</v>
      </c>
    </row>
    <row r="39" spans="1:5">
      <c r="A39" s="13" t="s">
        <v>142</v>
      </c>
      <c r="B39" s="13" t="s">
        <v>17</v>
      </c>
      <c r="D39" s="13" t="s">
        <v>175</v>
      </c>
    </row>
    <row r="40" spans="1:5">
      <c r="A40" s="13" t="s">
        <v>61</v>
      </c>
      <c r="B40" s="13" t="s">
        <v>172</v>
      </c>
      <c r="D40" s="13" t="s">
        <v>176</v>
      </c>
    </row>
    <row r="41" spans="1:5">
      <c r="A41" s="13" t="s">
        <v>56</v>
      </c>
      <c r="B41" s="13" t="s">
        <v>172</v>
      </c>
      <c r="D41" s="13" t="s">
        <v>177</v>
      </c>
    </row>
    <row r="42" spans="1:5">
      <c r="A42" s="13" t="s">
        <v>20</v>
      </c>
      <c r="B42" s="13" t="s">
        <v>172</v>
      </c>
    </row>
    <row r="43" spans="1:5">
      <c r="A43" s="13" t="s">
        <v>143</v>
      </c>
      <c r="B43" s="13" t="s">
        <v>173</v>
      </c>
    </row>
    <row r="44" spans="1:5">
      <c r="A44" s="13" t="s">
        <v>144</v>
      </c>
      <c r="B44" s="13" t="s">
        <v>173</v>
      </c>
    </row>
    <row r="45" spans="1:5">
      <c r="A45" s="13" t="s">
        <v>145</v>
      </c>
      <c r="B45" s="13" t="s">
        <v>173</v>
      </c>
    </row>
    <row r="46" spans="1:5">
      <c r="A46" s="13" t="s">
        <v>67</v>
      </c>
      <c r="B46" s="13" t="s">
        <v>172</v>
      </c>
    </row>
    <row r="47" spans="1:5">
      <c r="A47" s="13" t="s">
        <v>21</v>
      </c>
      <c r="B47" s="13" t="s">
        <v>172</v>
      </c>
    </row>
    <row r="48" spans="1:5">
      <c r="A48" s="13" t="s">
        <v>179</v>
      </c>
    </row>
    <row r="49" spans="1:2">
      <c r="A49" s="13" t="s">
        <v>162</v>
      </c>
    </row>
    <row r="50" spans="1:2">
      <c r="A50" s="13" t="s">
        <v>146</v>
      </c>
      <c r="B50" s="13" t="s">
        <v>17</v>
      </c>
    </row>
    <row r="51" spans="1:2" s="13" customFormat="1">
      <c r="A51" s="13" t="s">
        <v>406</v>
      </c>
      <c r="B51" s="13" t="s">
        <v>172</v>
      </c>
    </row>
    <row r="52" spans="1:2">
      <c r="A52" s="13" t="s">
        <v>59</v>
      </c>
      <c r="B52" s="13" t="s">
        <v>17</v>
      </c>
    </row>
    <row r="53" spans="1:2">
      <c r="A53" s="13" t="s">
        <v>163</v>
      </c>
      <c r="B53" s="13" t="s">
        <v>172</v>
      </c>
    </row>
    <row r="54" spans="1:2">
      <c r="A54" s="13" t="s">
        <v>147</v>
      </c>
      <c r="B54" s="13" t="s">
        <v>172</v>
      </c>
    </row>
    <row r="55" spans="1:2">
      <c r="A55" s="13" t="s">
        <v>32</v>
      </c>
      <c r="B55" s="13" t="s">
        <v>172</v>
      </c>
    </row>
    <row r="56" spans="1:2">
      <c r="A56" s="13" t="s">
        <v>66</v>
      </c>
      <c r="B56" s="13" t="s">
        <v>172</v>
      </c>
    </row>
    <row r="57" spans="1:2">
      <c r="A57" s="13" t="s">
        <v>68</v>
      </c>
      <c r="B57" s="13" t="s">
        <v>172</v>
      </c>
    </row>
    <row r="58" spans="1:2">
      <c r="A58" s="13" t="s">
        <v>22</v>
      </c>
      <c r="B58" s="13" t="s">
        <v>172</v>
      </c>
    </row>
    <row r="59" spans="1:2">
      <c r="A59" s="13" t="s">
        <v>62</v>
      </c>
      <c r="B59" s="13" t="s">
        <v>172</v>
      </c>
    </row>
    <row r="60" spans="1:2">
      <c r="A60" s="13" t="s">
        <v>164</v>
      </c>
    </row>
    <row r="61" spans="1:2">
      <c r="A61" s="13" t="s">
        <v>6</v>
      </c>
      <c r="B61" s="13" t="s">
        <v>172</v>
      </c>
    </row>
    <row r="62" spans="1:2">
      <c r="A62" s="13" t="s">
        <v>148</v>
      </c>
      <c r="B62" s="13" t="s">
        <v>172</v>
      </c>
    </row>
    <row r="63" spans="1:2">
      <c r="A63" s="13" t="s">
        <v>152</v>
      </c>
      <c r="B63" s="13" t="s">
        <v>173</v>
      </c>
    </row>
    <row r="64" spans="1:2">
      <c r="A64" s="13" t="s">
        <v>153</v>
      </c>
      <c r="B64" s="13" t="s">
        <v>173</v>
      </c>
    </row>
    <row r="65" spans="1:2" s="13" customFormat="1">
      <c r="A65" s="13" t="s">
        <v>407</v>
      </c>
      <c r="B65" s="13" t="s">
        <v>172</v>
      </c>
    </row>
    <row r="66" spans="1:2">
      <c r="A66" s="13" t="s">
        <v>154</v>
      </c>
      <c r="B66" s="13" t="s">
        <v>178</v>
      </c>
    </row>
    <row r="67" spans="1:2">
      <c r="A67" s="13" t="s">
        <v>155</v>
      </c>
      <c r="B67" s="13" t="s">
        <v>175</v>
      </c>
    </row>
    <row r="68" spans="1:2">
      <c r="A68" s="13" t="s">
        <v>156</v>
      </c>
      <c r="B68" s="13" t="s">
        <v>175</v>
      </c>
    </row>
    <row r="69" spans="1:2">
      <c r="A69" s="13" t="s">
        <v>157</v>
      </c>
      <c r="B69" s="13" t="s">
        <v>175</v>
      </c>
    </row>
    <row r="70" spans="1:2">
      <c r="A70" s="13" t="s">
        <v>158</v>
      </c>
      <c r="B70" s="13" t="s">
        <v>175</v>
      </c>
    </row>
    <row r="71" spans="1:2">
      <c r="A71" s="13" t="s">
        <v>159</v>
      </c>
      <c r="B71" s="13" t="s">
        <v>175</v>
      </c>
    </row>
    <row r="72" spans="1:2">
      <c r="A72" s="13" t="s">
        <v>160</v>
      </c>
      <c r="B72" s="13" t="s">
        <v>175</v>
      </c>
    </row>
    <row r="73" spans="1:2">
      <c r="A73" s="13" t="s">
        <v>161</v>
      </c>
      <c r="B73" s="13" t="s">
        <v>178</v>
      </c>
    </row>
    <row r="74" spans="1:2">
      <c r="A74" s="13" t="s">
        <v>189</v>
      </c>
      <c r="B74" s="13" t="s">
        <v>174</v>
      </c>
    </row>
    <row r="75" spans="1:2">
      <c r="A75" s="13" t="s">
        <v>132</v>
      </c>
      <c r="B75" s="13" t="s">
        <v>17</v>
      </c>
    </row>
    <row r="76" spans="1:2">
      <c r="A76" s="13" t="s">
        <v>133</v>
      </c>
      <c r="B76" s="13" t="s">
        <v>17</v>
      </c>
    </row>
    <row r="77" spans="1:2">
      <c r="A77" s="13" t="s">
        <v>134</v>
      </c>
      <c r="B77" s="13" t="s">
        <v>17</v>
      </c>
    </row>
    <row r="78" spans="1:2">
      <c r="A78" s="13" t="s">
        <v>135</v>
      </c>
      <c r="B78" s="13" t="s">
        <v>17</v>
      </c>
    </row>
    <row r="79" spans="1:2">
      <c r="A79" s="13" t="s">
        <v>136</v>
      </c>
      <c r="B79" s="13" t="s">
        <v>17</v>
      </c>
    </row>
    <row r="80" spans="1:2">
      <c r="A80" s="13" t="s">
        <v>137</v>
      </c>
      <c r="B80" s="13" t="s">
        <v>17</v>
      </c>
    </row>
    <row r="81" spans="1:4">
      <c r="A81" s="13" t="s">
        <v>190</v>
      </c>
      <c r="B81" s="13" t="s">
        <v>174</v>
      </c>
    </row>
    <row r="82" spans="1:4">
      <c r="A82" s="13" t="s">
        <v>7</v>
      </c>
    </row>
    <row r="86" spans="1:4">
      <c r="A86" s="13" t="s">
        <v>201</v>
      </c>
      <c r="B86" s="13" t="s">
        <v>177</v>
      </c>
      <c r="D86" s="13" t="s">
        <v>172</v>
      </c>
    </row>
    <row r="87" spans="1:4">
      <c r="A87" s="13" t="s">
        <v>201</v>
      </c>
      <c r="B87" s="13" t="s">
        <v>177</v>
      </c>
      <c r="D87" s="13" t="s">
        <v>173</v>
      </c>
    </row>
    <row r="88" spans="1:4">
      <c r="A88" s="13" t="s">
        <v>201</v>
      </c>
      <c r="B88" s="13" t="s">
        <v>177</v>
      </c>
      <c r="D88" s="13" t="s">
        <v>17</v>
      </c>
    </row>
    <row r="89" spans="1:4">
      <c r="A89" s="13" t="s">
        <v>201</v>
      </c>
      <c r="B89" s="13" t="s">
        <v>177</v>
      </c>
      <c r="D89" s="13" t="s">
        <v>174</v>
      </c>
    </row>
    <row r="90" spans="1:4">
      <c r="A90" s="13" t="s">
        <v>201</v>
      </c>
      <c r="B90" s="13" t="s">
        <v>177</v>
      </c>
      <c r="D90" s="13" t="s">
        <v>175</v>
      </c>
    </row>
    <row r="91" spans="1:4">
      <c r="A91" s="13" t="s">
        <v>205</v>
      </c>
      <c r="B91" s="13" t="s">
        <v>177</v>
      </c>
      <c r="D91" s="13" t="s">
        <v>176</v>
      </c>
    </row>
    <row r="92" spans="1:4">
      <c r="A92" s="13" t="s">
        <v>205</v>
      </c>
      <c r="B92" s="13" t="s">
        <v>177</v>
      </c>
      <c r="D92" s="13" t="s">
        <v>177</v>
      </c>
    </row>
    <row r="93" spans="1:4">
      <c r="A93" s="13" t="s">
        <v>205</v>
      </c>
      <c r="B93" s="13" t="s">
        <v>177</v>
      </c>
    </row>
    <row r="94" spans="1:4">
      <c r="A94" s="13" t="s">
        <v>205</v>
      </c>
      <c r="B94" s="13" t="s">
        <v>177</v>
      </c>
    </row>
    <row r="95" spans="1:4">
      <c r="A95" s="13" t="s">
        <v>205</v>
      </c>
      <c r="B95" s="13" t="s">
        <v>177</v>
      </c>
    </row>
    <row r="96" spans="1:4">
      <c r="A96" s="13" t="s">
        <v>205</v>
      </c>
      <c r="B96" s="13" t="s">
        <v>177</v>
      </c>
    </row>
    <row r="97" spans="1:2">
      <c r="A97" s="13" t="s">
        <v>205</v>
      </c>
      <c r="B97" s="13" t="s">
        <v>177</v>
      </c>
    </row>
    <row r="98" spans="1:2">
      <c r="A98" s="13" t="s">
        <v>205</v>
      </c>
      <c r="B98" s="13" t="s">
        <v>177</v>
      </c>
    </row>
    <row r="99" spans="1:2">
      <c r="A99" s="13" t="s">
        <v>205</v>
      </c>
      <c r="B99" s="13" t="s">
        <v>177</v>
      </c>
    </row>
    <row r="100" spans="1:2">
      <c r="A100" s="13" t="s">
        <v>205</v>
      </c>
      <c r="B100" s="13" t="s">
        <v>177</v>
      </c>
    </row>
    <row r="101" spans="1:2">
      <c r="A101" s="13" t="s">
        <v>205</v>
      </c>
      <c r="B101" s="13" t="s">
        <v>177</v>
      </c>
    </row>
    <row r="102" spans="1:2">
      <c r="A102" s="13" t="s">
        <v>205</v>
      </c>
      <c r="B102" s="13" t="s">
        <v>177</v>
      </c>
    </row>
    <row r="103" spans="1:2">
      <c r="A103" s="13" t="s">
        <v>205</v>
      </c>
      <c r="B103" s="13" t="s">
        <v>177</v>
      </c>
    </row>
    <row r="104" spans="1:2">
      <c r="A104" s="13" t="s">
        <v>214</v>
      </c>
      <c r="B104" s="13" t="s">
        <v>177</v>
      </c>
    </row>
    <row r="105" spans="1:2">
      <c r="A105" s="13" t="s">
        <v>214</v>
      </c>
      <c r="B105" s="13" t="s">
        <v>177</v>
      </c>
    </row>
    <row r="106" spans="1:2">
      <c r="A106" s="13" t="s">
        <v>214</v>
      </c>
      <c r="B106" s="13" t="s">
        <v>177</v>
      </c>
    </row>
    <row r="107" spans="1:2">
      <c r="A107" s="13" t="s">
        <v>214</v>
      </c>
      <c r="B107" s="13" t="s">
        <v>177</v>
      </c>
    </row>
    <row r="108" spans="1:2">
      <c r="A108" s="13" t="s">
        <v>214</v>
      </c>
      <c r="B108" s="13" t="s">
        <v>177</v>
      </c>
    </row>
    <row r="109" spans="1:2">
      <c r="A109" s="13" t="s">
        <v>215</v>
      </c>
      <c r="B109" s="13" t="s">
        <v>177</v>
      </c>
    </row>
    <row r="110" spans="1:2">
      <c r="A110" s="13" t="s">
        <v>215</v>
      </c>
      <c r="B110" s="13" t="s">
        <v>177</v>
      </c>
    </row>
    <row r="111" spans="1:2">
      <c r="A111" s="13" t="s">
        <v>215</v>
      </c>
      <c r="B111" s="13" t="s">
        <v>177</v>
      </c>
    </row>
    <row r="112" spans="1:2">
      <c r="A112" s="13" t="s">
        <v>216</v>
      </c>
      <c r="B112" s="13" t="s">
        <v>177</v>
      </c>
    </row>
    <row r="113" spans="1:2">
      <c r="A113" s="13" t="s">
        <v>216</v>
      </c>
      <c r="B113" s="13" t="s">
        <v>177</v>
      </c>
    </row>
    <row r="114" spans="1:2">
      <c r="A114" s="13" t="s">
        <v>216</v>
      </c>
      <c r="B114" s="13" t="s">
        <v>177</v>
      </c>
    </row>
    <row r="115" spans="1:2">
      <c r="A115" s="13" t="s">
        <v>140</v>
      </c>
      <c r="B115" s="13" t="s">
        <v>172</v>
      </c>
    </row>
    <row r="116" spans="1:2">
      <c r="A116" s="13" t="s">
        <v>140</v>
      </c>
      <c r="B116" s="13" t="s">
        <v>172</v>
      </c>
    </row>
    <row r="117" spans="1:2">
      <c r="A117" s="13" t="s">
        <v>140</v>
      </c>
      <c r="B117" s="13" t="s">
        <v>172</v>
      </c>
    </row>
    <row r="118" spans="1:2">
      <c r="A118" s="13" t="s">
        <v>140</v>
      </c>
      <c r="B118" s="13" t="s">
        <v>172</v>
      </c>
    </row>
    <row r="119" spans="1:2">
      <c r="A119" s="13" t="s">
        <v>140</v>
      </c>
      <c r="B119" s="13" t="s">
        <v>172</v>
      </c>
    </row>
    <row r="120" spans="1:2">
      <c r="A120" s="13" t="s">
        <v>140</v>
      </c>
      <c r="B120" s="13" t="s">
        <v>172</v>
      </c>
    </row>
    <row r="121" spans="1:2">
      <c r="A121" s="13" t="s">
        <v>141</v>
      </c>
      <c r="B121" s="13" t="s">
        <v>172</v>
      </c>
    </row>
    <row r="122" spans="1:2">
      <c r="A122" s="13" t="s">
        <v>141</v>
      </c>
      <c r="B122" s="13" t="s">
        <v>172</v>
      </c>
    </row>
    <row r="123" spans="1:2">
      <c r="A123" s="13" t="s">
        <v>141</v>
      </c>
      <c r="B123" s="13" t="s">
        <v>172</v>
      </c>
    </row>
    <row r="124" spans="1:2">
      <c r="A124" s="13" t="s">
        <v>217</v>
      </c>
      <c r="B124" s="13" t="s">
        <v>177</v>
      </c>
    </row>
    <row r="125" spans="1:2">
      <c r="A125" s="13" t="s">
        <v>217</v>
      </c>
      <c r="B125" s="13" t="s">
        <v>177</v>
      </c>
    </row>
    <row r="126" spans="1:2">
      <c r="A126" s="13" t="s">
        <v>217</v>
      </c>
      <c r="B126" s="13" t="s">
        <v>177</v>
      </c>
    </row>
    <row r="127" spans="1:2">
      <c r="A127" s="13" t="s">
        <v>217</v>
      </c>
      <c r="B127" s="13" t="s">
        <v>177</v>
      </c>
    </row>
    <row r="128" spans="1:2">
      <c r="A128" s="13" t="s">
        <v>217</v>
      </c>
      <c r="B128" s="13" t="s">
        <v>177</v>
      </c>
    </row>
    <row r="129" spans="1:2">
      <c r="A129" s="13" t="s">
        <v>217</v>
      </c>
      <c r="B129" s="13" t="s">
        <v>177</v>
      </c>
    </row>
    <row r="130" spans="1:2">
      <c r="A130" s="13" t="s">
        <v>217</v>
      </c>
      <c r="B130" s="13" t="s">
        <v>177</v>
      </c>
    </row>
    <row r="131" spans="1:2">
      <c r="A131" s="13" t="s">
        <v>217</v>
      </c>
      <c r="B131" s="13" t="s">
        <v>177</v>
      </c>
    </row>
    <row r="132" spans="1:2">
      <c r="A132" s="13" t="s">
        <v>217</v>
      </c>
      <c r="B132" s="13" t="s">
        <v>177</v>
      </c>
    </row>
    <row r="133" spans="1:2">
      <c r="A133" s="13" t="s">
        <v>217</v>
      </c>
      <c r="B133" s="13" t="s">
        <v>177</v>
      </c>
    </row>
    <row r="134" spans="1:2">
      <c r="A134" s="13" t="s">
        <v>217</v>
      </c>
      <c r="B134" s="13" t="s">
        <v>177</v>
      </c>
    </row>
    <row r="135" spans="1:2">
      <c r="A135" s="13" t="s">
        <v>217</v>
      </c>
      <c r="B135" s="13" t="s">
        <v>177</v>
      </c>
    </row>
    <row r="136" spans="1:2">
      <c r="A136" s="13" t="s">
        <v>217</v>
      </c>
      <c r="B136" s="13" t="s">
        <v>177</v>
      </c>
    </row>
    <row r="137" spans="1:2">
      <c r="A137" s="13" t="s">
        <v>63</v>
      </c>
      <c r="B137" s="13" t="s">
        <v>177</v>
      </c>
    </row>
    <row r="138" spans="1:2">
      <c r="A138" s="13" t="s">
        <v>63</v>
      </c>
      <c r="B138" s="13" t="s">
        <v>177</v>
      </c>
    </row>
    <row r="139" spans="1:2">
      <c r="A139" s="13" t="s">
        <v>63</v>
      </c>
      <c r="B139" s="13" t="s">
        <v>177</v>
      </c>
    </row>
    <row r="140" spans="1:2">
      <c r="A140" s="13" t="s">
        <v>63</v>
      </c>
      <c r="B140" s="13" t="s">
        <v>177</v>
      </c>
    </row>
    <row r="141" spans="1:2">
      <c r="A141" s="13" t="s">
        <v>63</v>
      </c>
      <c r="B141" s="13" t="s">
        <v>177</v>
      </c>
    </row>
    <row r="142" spans="1:2">
      <c r="A142" s="13" t="s">
        <v>63</v>
      </c>
      <c r="B142" s="13" t="s">
        <v>177</v>
      </c>
    </row>
    <row r="143" spans="1:2">
      <c r="A143" s="13" t="s">
        <v>63</v>
      </c>
      <c r="B143" s="13" t="s">
        <v>177</v>
      </c>
    </row>
    <row r="144" spans="1:2">
      <c r="A144" s="13" t="s">
        <v>63</v>
      </c>
      <c r="B144" s="13" t="s">
        <v>177</v>
      </c>
    </row>
    <row r="145" spans="1:2">
      <c r="A145" s="13" t="s">
        <v>63</v>
      </c>
      <c r="B145" s="13" t="s">
        <v>177</v>
      </c>
    </row>
    <row r="146" spans="1:2">
      <c r="A146" s="13" t="s">
        <v>63</v>
      </c>
      <c r="B146" s="13" t="s">
        <v>177</v>
      </c>
    </row>
    <row r="147" spans="1:2">
      <c r="A147" s="13" t="s">
        <v>218</v>
      </c>
      <c r="B147" s="13" t="s">
        <v>177</v>
      </c>
    </row>
    <row r="148" spans="1:2">
      <c r="A148" s="13" t="s">
        <v>218</v>
      </c>
      <c r="B148" s="13" t="s">
        <v>177</v>
      </c>
    </row>
    <row r="149" spans="1:2">
      <c r="A149" s="13" t="s">
        <v>218</v>
      </c>
      <c r="B149" s="13" t="s">
        <v>177</v>
      </c>
    </row>
    <row r="150" spans="1:2">
      <c r="A150" s="13" t="s">
        <v>218</v>
      </c>
      <c r="B150" s="13" t="s">
        <v>177</v>
      </c>
    </row>
    <row r="151" spans="1:2">
      <c r="A151" s="13" t="s">
        <v>218</v>
      </c>
      <c r="B151" s="13" t="s">
        <v>177</v>
      </c>
    </row>
    <row r="152" spans="1:2">
      <c r="A152" s="13" t="s">
        <v>218</v>
      </c>
      <c r="B152" s="13" t="s">
        <v>177</v>
      </c>
    </row>
    <row r="153" spans="1:2">
      <c r="A153" s="13" t="s">
        <v>218</v>
      </c>
      <c r="B153" s="13" t="s">
        <v>177</v>
      </c>
    </row>
    <row r="154" spans="1:2">
      <c r="A154" s="13" t="s">
        <v>218</v>
      </c>
      <c r="B154" s="13" t="s">
        <v>177</v>
      </c>
    </row>
    <row r="155" spans="1:2">
      <c r="A155" s="13" t="s">
        <v>218</v>
      </c>
      <c r="B155" s="13" t="s">
        <v>177</v>
      </c>
    </row>
    <row r="156" spans="1:2">
      <c r="A156" s="13" t="s">
        <v>218</v>
      </c>
      <c r="B156" s="13" t="s">
        <v>177</v>
      </c>
    </row>
    <row r="157" spans="1:2">
      <c r="A157" s="13" t="s">
        <v>218</v>
      </c>
      <c r="B157" s="13" t="s">
        <v>177</v>
      </c>
    </row>
    <row r="158" spans="1:2">
      <c r="A158" s="13" t="s">
        <v>218</v>
      </c>
      <c r="B158" s="13" t="s">
        <v>177</v>
      </c>
    </row>
    <row r="159" spans="1:2">
      <c r="A159" s="13" t="s">
        <v>218</v>
      </c>
      <c r="B159" s="13" t="s">
        <v>177</v>
      </c>
    </row>
    <row r="160" spans="1:2">
      <c r="A160" s="13" t="s">
        <v>219</v>
      </c>
      <c r="B160" s="13" t="s">
        <v>177</v>
      </c>
    </row>
    <row r="161" spans="1:2">
      <c r="A161" s="13" t="s">
        <v>219</v>
      </c>
      <c r="B161" s="13" t="s">
        <v>177</v>
      </c>
    </row>
    <row r="162" spans="1:2">
      <c r="A162" s="13" t="s">
        <v>219</v>
      </c>
      <c r="B162" s="13" t="s">
        <v>177</v>
      </c>
    </row>
    <row r="163" spans="1:2">
      <c r="A163" s="13" t="s">
        <v>219</v>
      </c>
      <c r="B163" s="13" t="s">
        <v>177</v>
      </c>
    </row>
    <row r="164" spans="1:2">
      <c r="A164" s="13" t="s">
        <v>219</v>
      </c>
      <c r="B164" s="13" t="s">
        <v>177</v>
      </c>
    </row>
    <row r="165" spans="1:2">
      <c r="A165" s="13" t="s">
        <v>219</v>
      </c>
      <c r="B165" s="13" t="s">
        <v>177</v>
      </c>
    </row>
    <row r="166" spans="1:2">
      <c r="A166" s="13" t="s">
        <v>219</v>
      </c>
      <c r="B166" s="13" t="s">
        <v>177</v>
      </c>
    </row>
    <row r="167" spans="1:2">
      <c r="A167" s="13" t="s">
        <v>219</v>
      </c>
      <c r="B167" s="13" t="s">
        <v>177</v>
      </c>
    </row>
    <row r="168" spans="1:2">
      <c r="A168" s="13" t="s">
        <v>219</v>
      </c>
      <c r="B168" s="13" t="s">
        <v>177</v>
      </c>
    </row>
    <row r="169" spans="1:2">
      <c r="A169" s="13" t="s">
        <v>219</v>
      </c>
      <c r="B169" s="13" t="s">
        <v>177</v>
      </c>
    </row>
    <row r="170" spans="1:2">
      <c r="A170" s="13" t="s">
        <v>219</v>
      </c>
      <c r="B170" s="13" t="s">
        <v>177</v>
      </c>
    </row>
    <row r="171" spans="1:2">
      <c r="A171" s="13" t="s">
        <v>219</v>
      </c>
      <c r="B171" s="13" t="s">
        <v>177</v>
      </c>
    </row>
    <row r="172" spans="1:2">
      <c r="A172" s="13" t="s">
        <v>219</v>
      </c>
      <c r="B172" s="13" t="s">
        <v>177</v>
      </c>
    </row>
    <row r="173" spans="1:2">
      <c r="A173" s="13" t="s">
        <v>220</v>
      </c>
      <c r="B173" s="13" t="s">
        <v>177</v>
      </c>
    </row>
    <row r="174" spans="1:2">
      <c r="A174" s="13" t="s">
        <v>220</v>
      </c>
      <c r="B174" s="13" t="s">
        <v>177</v>
      </c>
    </row>
    <row r="175" spans="1:2">
      <c r="A175" s="13" t="s">
        <v>220</v>
      </c>
      <c r="B175" s="13" t="s">
        <v>177</v>
      </c>
    </row>
    <row r="176" spans="1:2">
      <c r="A176" s="13" t="s">
        <v>220</v>
      </c>
      <c r="B176" s="13" t="s">
        <v>177</v>
      </c>
    </row>
    <row r="177" spans="1:2">
      <c r="A177" s="13" t="s">
        <v>220</v>
      </c>
      <c r="B177" s="13" t="s">
        <v>177</v>
      </c>
    </row>
    <row r="178" spans="1:2">
      <c r="A178" s="13" t="s">
        <v>221</v>
      </c>
      <c r="B178" s="13" t="s">
        <v>177</v>
      </c>
    </row>
    <row r="179" spans="1:2">
      <c r="A179" s="13" t="s">
        <v>221</v>
      </c>
      <c r="B179" s="13" t="s">
        <v>177</v>
      </c>
    </row>
    <row r="180" spans="1:2">
      <c r="A180" s="13" t="s">
        <v>221</v>
      </c>
      <c r="B180" s="13" t="s">
        <v>177</v>
      </c>
    </row>
    <row r="181" spans="1:2">
      <c r="A181" s="13" t="s">
        <v>221</v>
      </c>
      <c r="B181" s="13" t="s">
        <v>177</v>
      </c>
    </row>
    <row r="182" spans="1:2">
      <c r="A182" s="13" t="s">
        <v>221</v>
      </c>
      <c r="B182" s="13" t="s">
        <v>177</v>
      </c>
    </row>
    <row r="183" spans="1:2">
      <c r="A183" s="13" t="s">
        <v>222</v>
      </c>
      <c r="B183" s="13" t="s">
        <v>177</v>
      </c>
    </row>
    <row r="184" spans="1:2">
      <c r="A184" s="13" t="s">
        <v>222</v>
      </c>
      <c r="B184" s="13" t="s">
        <v>177</v>
      </c>
    </row>
    <row r="185" spans="1:2">
      <c r="A185" s="13" t="s">
        <v>222</v>
      </c>
      <c r="B185" s="13" t="s">
        <v>177</v>
      </c>
    </row>
    <row r="186" spans="1:2">
      <c r="A186" s="13" t="s">
        <v>222</v>
      </c>
      <c r="B186" s="13" t="s">
        <v>177</v>
      </c>
    </row>
    <row r="187" spans="1:2">
      <c r="A187" s="13" t="s">
        <v>222</v>
      </c>
      <c r="B187" s="13" t="s">
        <v>177</v>
      </c>
    </row>
    <row r="188" spans="1:2">
      <c r="A188" s="13" t="s">
        <v>222</v>
      </c>
      <c r="B188" s="13" t="s">
        <v>177</v>
      </c>
    </row>
    <row r="189" spans="1:2">
      <c r="A189" s="13" t="s">
        <v>222</v>
      </c>
      <c r="B189" s="13" t="s">
        <v>177</v>
      </c>
    </row>
    <row r="190" spans="1:2">
      <c r="A190" s="13" t="s">
        <v>222</v>
      </c>
      <c r="B190" s="13" t="s">
        <v>177</v>
      </c>
    </row>
    <row r="191" spans="1:2">
      <c r="A191" s="13" t="s">
        <v>222</v>
      </c>
      <c r="B191" s="13" t="s">
        <v>177</v>
      </c>
    </row>
    <row r="192" spans="1:2">
      <c r="A192" s="13" t="s">
        <v>222</v>
      </c>
      <c r="B192" s="13" t="s">
        <v>177</v>
      </c>
    </row>
    <row r="193" spans="1:2">
      <c r="A193" s="13" t="s">
        <v>222</v>
      </c>
      <c r="B193" s="13" t="s">
        <v>177</v>
      </c>
    </row>
    <row r="194" spans="1:2">
      <c r="A194" s="13" t="s">
        <v>222</v>
      </c>
      <c r="B194" s="13" t="s">
        <v>177</v>
      </c>
    </row>
    <row r="195" spans="1:2">
      <c r="A195" s="13" t="s">
        <v>222</v>
      </c>
      <c r="B195" s="13" t="s">
        <v>177</v>
      </c>
    </row>
    <row r="196" spans="1:2">
      <c r="A196" s="13" t="s">
        <v>222</v>
      </c>
      <c r="B196" s="13" t="s">
        <v>177</v>
      </c>
    </row>
    <row r="197" spans="1:2">
      <c r="A197" s="13" t="s">
        <v>223</v>
      </c>
      <c r="B197" s="13" t="s">
        <v>177</v>
      </c>
    </row>
    <row r="198" spans="1:2">
      <c r="A198" s="13" t="s">
        <v>223</v>
      </c>
      <c r="B198" s="13" t="s">
        <v>177</v>
      </c>
    </row>
    <row r="199" spans="1:2">
      <c r="A199" s="13" t="s">
        <v>223</v>
      </c>
      <c r="B199" s="13" t="s">
        <v>177</v>
      </c>
    </row>
    <row r="200" spans="1:2">
      <c r="A200" s="13" t="s">
        <v>223</v>
      </c>
      <c r="B200" s="13" t="s">
        <v>177</v>
      </c>
    </row>
    <row r="201" spans="1:2">
      <c r="A201" s="13" t="s">
        <v>223</v>
      </c>
      <c r="B201" s="13" t="s">
        <v>177</v>
      </c>
    </row>
    <row r="202" spans="1:2">
      <c r="A202" s="13" t="s">
        <v>223</v>
      </c>
      <c r="B202" s="13" t="s">
        <v>177</v>
      </c>
    </row>
    <row r="203" spans="1:2">
      <c r="A203" s="13" t="s">
        <v>223</v>
      </c>
      <c r="B203" s="13" t="s">
        <v>177</v>
      </c>
    </row>
    <row r="204" spans="1:2">
      <c r="A204" s="13" t="s">
        <v>223</v>
      </c>
      <c r="B204" s="13" t="s">
        <v>177</v>
      </c>
    </row>
    <row r="205" spans="1:2">
      <c r="A205" s="13" t="s">
        <v>223</v>
      </c>
      <c r="B205" s="13" t="s">
        <v>177</v>
      </c>
    </row>
    <row r="206" spans="1:2">
      <c r="A206" s="13" t="s">
        <v>223</v>
      </c>
      <c r="B206" s="13" t="s">
        <v>177</v>
      </c>
    </row>
    <row r="207" spans="1:2">
      <c r="A207" s="13" t="s">
        <v>223</v>
      </c>
      <c r="B207" s="13" t="s">
        <v>177</v>
      </c>
    </row>
    <row r="208" spans="1:2">
      <c r="A208" s="13" t="s">
        <v>223</v>
      </c>
      <c r="B208" s="13" t="s">
        <v>177</v>
      </c>
    </row>
    <row r="209" spans="1:2">
      <c r="A209" s="13" t="s">
        <v>223</v>
      </c>
      <c r="B209" s="13" t="s">
        <v>177</v>
      </c>
    </row>
    <row r="210" spans="1:2">
      <c r="A210" s="13" t="s">
        <v>224</v>
      </c>
      <c r="B210" s="13" t="s">
        <v>177</v>
      </c>
    </row>
    <row r="211" spans="1:2">
      <c r="A211" s="13" t="s">
        <v>224</v>
      </c>
      <c r="B211" s="13" t="s">
        <v>177</v>
      </c>
    </row>
    <row r="212" spans="1:2">
      <c r="A212" s="13" t="s">
        <v>224</v>
      </c>
      <c r="B212" s="13" t="s">
        <v>177</v>
      </c>
    </row>
    <row r="213" spans="1:2">
      <c r="A213" s="13" t="s">
        <v>224</v>
      </c>
      <c r="B213" s="13" t="s">
        <v>177</v>
      </c>
    </row>
    <row r="214" spans="1:2">
      <c r="A214" s="13" t="s">
        <v>224</v>
      </c>
      <c r="B214" s="13" t="s">
        <v>177</v>
      </c>
    </row>
    <row r="215" spans="1:2">
      <c r="A215" s="13" t="s">
        <v>225</v>
      </c>
      <c r="B215" s="13" t="s">
        <v>177</v>
      </c>
    </row>
    <row r="216" spans="1:2">
      <c r="A216" s="13" t="s">
        <v>225</v>
      </c>
      <c r="B216" s="13" t="s">
        <v>177</v>
      </c>
    </row>
    <row r="217" spans="1:2">
      <c r="A217" s="13" t="s">
        <v>225</v>
      </c>
      <c r="B217" s="13" t="s">
        <v>177</v>
      </c>
    </row>
    <row r="218" spans="1:2">
      <c r="A218" s="13" t="s">
        <v>225</v>
      </c>
      <c r="B218" s="13" t="s">
        <v>177</v>
      </c>
    </row>
    <row r="219" spans="1:2">
      <c r="A219" s="13" t="s">
        <v>225</v>
      </c>
      <c r="B219" s="13" t="s">
        <v>177</v>
      </c>
    </row>
    <row r="220" spans="1:2">
      <c r="A220" s="13" t="s">
        <v>225</v>
      </c>
      <c r="B220" s="13" t="s">
        <v>177</v>
      </c>
    </row>
    <row r="221" spans="1:2">
      <c r="A221" s="13" t="s">
        <v>225</v>
      </c>
      <c r="B221" s="13" t="s">
        <v>177</v>
      </c>
    </row>
    <row r="222" spans="1:2">
      <c r="A222" s="13" t="s">
        <v>225</v>
      </c>
      <c r="B222" s="13" t="s">
        <v>177</v>
      </c>
    </row>
    <row r="223" spans="1:2">
      <c r="A223" s="13" t="s">
        <v>225</v>
      </c>
      <c r="B223" s="13" t="s">
        <v>177</v>
      </c>
    </row>
    <row r="224" spans="1:2">
      <c r="A224" s="13" t="s">
        <v>225</v>
      </c>
      <c r="B224" s="13" t="s">
        <v>177</v>
      </c>
    </row>
    <row r="225" spans="1:2">
      <c r="A225" s="13" t="s">
        <v>227</v>
      </c>
      <c r="B225" s="13" t="s">
        <v>177</v>
      </c>
    </row>
    <row r="226" spans="1:2">
      <c r="A226" s="13" t="s">
        <v>227</v>
      </c>
      <c r="B226" s="13" t="s">
        <v>177</v>
      </c>
    </row>
    <row r="227" spans="1:2">
      <c r="A227" s="13" t="s">
        <v>227</v>
      </c>
      <c r="B227" s="13" t="s">
        <v>177</v>
      </c>
    </row>
    <row r="228" spans="1:2">
      <c r="A228" s="13" t="s">
        <v>227</v>
      </c>
      <c r="B228" s="13" t="s">
        <v>177</v>
      </c>
    </row>
    <row r="229" spans="1:2">
      <c r="A229" s="13" t="s">
        <v>227</v>
      </c>
      <c r="B229" s="13" t="s">
        <v>177</v>
      </c>
    </row>
    <row r="230" spans="1:2">
      <c r="A230" s="13" t="s">
        <v>227</v>
      </c>
      <c r="B230" s="13" t="s">
        <v>177</v>
      </c>
    </row>
    <row r="231" spans="1:2">
      <c r="A231" s="13" t="s">
        <v>227</v>
      </c>
      <c r="B231" s="13" t="s">
        <v>177</v>
      </c>
    </row>
    <row r="232" spans="1:2">
      <c r="A232" s="13" t="s">
        <v>227</v>
      </c>
      <c r="B232" s="13" t="s">
        <v>177</v>
      </c>
    </row>
    <row r="233" spans="1:2">
      <c r="A233" s="13" t="s">
        <v>227</v>
      </c>
      <c r="B233" s="13" t="s">
        <v>177</v>
      </c>
    </row>
    <row r="234" spans="1:2">
      <c r="A234" s="13" t="s">
        <v>227</v>
      </c>
      <c r="B234" s="13" t="s">
        <v>177</v>
      </c>
    </row>
    <row r="235" spans="1:2">
      <c r="A235" s="13" t="s">
        <v>227</v>
      </c>
      <c r="B235" s="13" t="s">
        <v>177</v>
      </c>
    </row>
    <row r="236" spans="1:2">
      <c r="A236" s="13" t="s">
        <v>227</v>
      </c>
      <c r="B236" s="13" t="s">
        <v>177</v>
      </c>
    </row>
    <row r="237" spans="1:2">
      <c r="A237" s="13" t="s">
        <v>227</v>
      </c>
      <c r="B237" s="13" t="s">
        <v>177</v>
      </c>
    </row>
    <row r="238" spans="1:2">
      <c r="A238" s="13" t="s">
        <v>64</v>
      </c>
      <c r="B238" t="s">
        <v>235</v>
      </c>
    </row>
    <row r="239" spans="1:2">
      <c r="A239" s="13" t="s">
        <v>64</v>
      </c>
      <c r="B239" s="13" t="s">
        <v>235</v>
      </c>
    </row>
    <row r="240" spans="1:2">
      <c r="A240" s="13" t="s">
        <v>64</v>
      </c>
      <c r="B240" s="13" t="s">
        <v>235</v>
      </c>
    </row>
    <row r="241" spans="1:2">
      <c r="A241" s="13" t="s">
        <v>64</v>
      </c>
      <c r="B241" s="13" t="s">
        <v>235</v>
      </c>
    </row>
    <row r="242" spans="1:2">
      <c r="A242" s="13" t="s">
        <v>64</v>
      </c>
      <c r="B242" s="13" t="s">
        <v>235</v>
      </c>
    </row>
    <row r="243" spans="1:2">
      <c r="A243" s="13" t="s">
        <v>64</v>
      </c>
      <c r="B243" s="13" t="s">
        <v>235</v>
      </c>
    </row>
    <row r="244" spans="1:2">
      <c r="A244" s="13" t="s">
        <v>64</v>
      </c>
      <c r="B244" s="13" t="s">
        <v>235</v>
      </c>
    </row>
    <row r="245" spans="1:2">
      <c r="A245" s="13" t="s">
        <v>64</v>
      </c>
      <c r="B245" s="13" t="s">
        <v>235</v>
      </c>
    </row>
    <row r="246" spans="1:2">
      <c r="A246" s="13" t="s">
        <v>64</v>
      </c>
      <c r="B246" s="13" t="s">
        <v>235</v>
      </c>
    </row>
    <row r="247" spans="1:2">
      <c r="A247" s="13" t="s">
        <v>64</v>
      </c>
      <c r="B247" s="13" t="s">
        <v>235</v>
      </c>
    </row>
    <row r="248" spans="1:2" s="13" customFormat="1">
      <c r="A248" s="13" t="s">
        <v>254</v>
      </c>
      <c r="B248" s="13" t="s">
        <v>255</v>
      </c>
    </row>
    <row r="249" spans="1:2">
      <c r="A249" s="13" t="s">
        <v>142</v>
      </c>
      <c r="B249" t="s">
        <v>236</v>
      </c>
    </row>
    <row r="250" spans="1:2">
      <c r="A250" s="13" t="s">
        <v>57</v>
      </c>
      <c r="B250" s="13" t="s">
        <v>177</v>
      </c>
    </row>
    <row r="251" spans="1:2">
      <c r="A251" s="13" t="s">
        <v>61</v>
      </c>
      <c r="B251" s="13" t="s">
        <v>235</v>
      </c>
    </row>
    <row r="252" spans="1:2">
      <c r="A252" s="13" t="s">
        <v>56</v>
      </c>
      <c r="B252" s="13" t="s">
        <v>235</v>
      </c>
    </row>
    <row r="253" spans="1:2">
      <c r="A253" s="13" t="s">
        <v>56</v>
      </c>
      <c r="B253" s="13" t="s">
        <v>235</v>
      </c>
    </row>
    <row r="254" spans="1:2">
      <c r="A254" s="13" t="s">
        <v>56</v>
      </c>
      <c r="B254" s="13" t="s">
        <v>235</v>
      </c>
    </row>
    <row r="255" spans="1:2">
      <c r="A255" s="13" t="s">
        <v>56</v>
      </c>
      <c r="B255" s="13" t="s">
        <v>235</v>
      </c>
    </row>
    <row r="256" spans="1:2">
      <c r="A256" s="13" t="s">
        <v>56</v>
      </c>
      <c r="B256" s="13" t="s">
        <v>235</v>
      </c>
    </row>
    <row r="257" spans="1:2">
      <c r="A257" s="13" t="s">
        <v>56</v>
      </c>
      <c r="B257" s="13" t="s">
        <v>235</v>
      </c>
    </row>
    <row r="258" spans="1:2">
      <c r="A258" s="13" t="s">
        <v>56</v>
      </c>
      <c r="B258" s="13" t="s">
        <v>235</v>
      </c>
    </row>
    <row r="259" spans="1:2">
      <c r="A259" s="13" t="s">
        <v>56</v>
      </c>
      <c r="B259" s="13" t="s">
        <v>235</v>
      </c>
    </row>
    <row r="260" spans="1:2">
      <c r="A260" s="13" t="s">
        <v>56</v>
      </c>
      <c r="B260" s="13" t="s">
        <v>235</v>
      </c>
    </row>
    <row r="261" spans="1:2">
      <c r="A261" s="13" t="s">
        <v>56</v>
      </c>
      <c r="B261" s="13" t="s">
        <v>235</v>
      </c>
    </row>
    <row r="262" spans="1:2">
      <c r="A262" s="13" t="s">
        <v>20</v>
      </c>
      <c r="B262" s="13" t="s">
        <v>235</v>
      </c>
    </row>
    <row r="263" spans="1:2">
      <c r="A263" s="13" t="s">
        <v>143</v>
      </c>
      <c r="B263" s="13" t="s">
        <v>173</v>
      </c>
    </row>
    <row r="264" spans="1:2">
      <c r="A264" s="13" t="s">
        <v>143</v>
      </c>
      <c r="B264" s="13" t="s">
        <v>173</v>
      </c>
    </row>
    <row r="265" spans="1:2">
      <c r="A265" s="13" t="s">
        <v>143</v>
      </c>
      <c r="B265" s="13" t="s">
        <v>173</v>
      </c>
    </row>
    <row r="266" spans="1:2">
      <c r="A266" s="13" t="s">
        <v>143</v>
      </c>
      <c r="B266" s="13" t="s">
        <v>173</v>
      </c>
    </row>
    <row r="267" spans="1:2">
      <c r="A267" s="13" t="s">
        <v>143</v>
      </c>
      <c r="B267" s="13" t="s">
        <v>173</v>
      </c>
    </row>
    <row r="268" spans="1:2">
      <c r="A268" s="13" t="s">
        <v>143</v>
      </c>
      <c r="B268" s="13" t="s">
        <v>173</v>
      </c>
    </row>
    <row r="269" spans="1:2">
      <c r="A269" s="13" t="s">
        <v>143</v>
      </c>
      <c r="B269" s="13" t="s">
        <v>173</v>
      </c>
    </row>
    <row r="270" spans="1:2">
      <c r="A270" s="13" t="s">
        <v>143</v>
      </c>
      <c r="B270" s="13" t="s">
        <v>173</v>
      </c>
    </row>
    <row r="271" spans="1:2">
      <c r="A271" s="13" t="s">
        <v>143</v>
      </c>
      <c r="B271" s="13" t="s">
        <v>173</v>
      </c>
    </row>
    <row r="272" spans="1:2">
      <c r="A272" s="13" t="s">
        <v>143</v>
      </c>
      <c r="B272" s="13" t="s">
        <v>173</v>
      </c>
    </row>
    <row r="273" spans="1:2">
      <c r="A273" s="13" t="s">
        <v>143</v>
      </c>
      <c r="B273" s="13" t="s">
        <v>173</v>
      </c>
    </row>
    <row r="274" spans="1:2">
      <c r="A274" s="13" t="s">
        <v>143</v>
      </c>
      <c r="B274" s="13" t="s">
        <v>173</v>
      </c>
    </row>
    <row r="275" spans="1:2">
      <c r="A275" s="13" t="s">
        <v>143</v>
      </c>
      <c r="B275" s="13" t="s">
        <v>173</v>
      </c>
    </row>
    <row r="276" spans="1:2">
      <c r="A276" s="13" t="s">
        <v>144</v>
      </c>
      <c r="B276" s="13" t="s">
        <v>173</v>
      </c>
    </row>
    <row r="277" spans="1:2">
      <c r="A277" s="13" t="s">
        <v>144</v>
      </c>
      <c r="B277" s="13" t="s">
        <v>173</v>
      </c>
    </row>
    <row r="278" spans="1:2">
      <c r="A278" s="13" t="s">
        <v>144</v>
      </c>
      <c r="B278" s="13" t="s">
        <v>173</v>
      </c>
    </row>
    <row r="279" spans="1:2">
      <c r="A279" s="13" t="s">
        <v>144</v>
      </c>
      <c r="B279" s="13" t="s">
        <v>173</v>
      </c>
    </row>
    <row r="280" spans="1:2">
      <c r="A280" s="13" t="s">
        <v>144</v>
      </c>
      <c r="B280" s="13" t="s">
        <v>173</v>
      </c>
    </row>
    <row r="281" spans="1:2">
      <c r="A281" s="13" t="s">
        <v>144</v>
      </c>
      <c r="B281" s="13" t="s">
        <v>173</v>
      </c>
    </row>
    <row r="282" spans="1:2">
      <c r="A282" s="13" t="s">
        <v>144</v>
      </c>
      <c r="B282" s="13" t="s">
        <v>173</v>
      </c>
    </row>
    <row r="283" spans="1:2">
      <c r="A283" s="13" t="s">
        <v>144</v>
      </c>
      <c r="B283" s="13" t="s">
        <v>173</v>
      </c>
    </row>
    <row r="284" spans="1:2">
      <c r="A284" s="13" t="s">
        <v>144</v>
      </c>
      <c r="B284" s="13" t="s">
        <v>173</v>
      </c>
    </row>
    <row r="285" spans="1:2">
      <c r="A285" s="13" t="s">
        <v>144</v>
      </c>
      <c r="B285" s="13" t="s">
        <v>173</v>
      </c>
    </row>
    <row r="286" spans="1:2">
      <c r="A286" s="13" t="s">
        <v>145</v>
      </c>
      <c r="B286" s="13" t="s">
        <v>173</v>
      </c>
    </row>
    <row r="287" spans="1:2">
      <c r="A287" s="13" t="s">
        <v>145</v>
      </c>
      <c r="B287" s="13" t="s">
        <v>173</v>
      </c>
    </row>
    <row r="288" spans="1:2">
      <c r="A288" s="13" t="s">
        <v>145</v>
      </c>
      <c r="B288" s="13" t="s">
        <v>173</v>
      </c>
    </row>
    <row r="289" spans="1:2">
      <c r="A289" s="13" t="s">
        <v>145</v>
      </c>
      <c r="B289" s="13" t="s">
        <v>173</v>
      </c>
    </row>
    <row r="290" spans="1:2">
      <c r="A290" s="13" t="s">
        <v>145</v>
      </c>
      <c r="B290" s="13" t="s">
        <v>173</v>
      </c>
    </row>
    <row r="291" spans="1:2">
      <c r="A291" s="13" t="s">
        <v>145</v>
      </c>
      <c r="B291" s="13" t="s">
        <v>173</v>
      </c>
    </row>
    <row r="292" spans="1:2">
      <c r="A292" s="13" t="s">
        <v>145</v>
      </c>
      <c r="B292" s="13" t="s">
        <v>173</v>
      </c>
    </row>
    <row r="293" spans="1:2">
      <c r="A293" s="13" t="s">
        <v>145</v>
      </c>
      <c r="B293" s="13" t="s">
        <v>173</v>
      </c>
    </row>
    <row r="294" spans="1:2">
      <c r="A294" s="13" t="s">
        <v>145</v>
      </c>
      <c r="B294" s="13" t="s">
        <v>173</v>
      </c>
    </row>
    <row r="295" spans="1:2">
      <c r="A295" s="13" t="s">
        <v>145</v>
      </c>
      <c r="B295" s="13" t="s">
        <v>173</v>
      </c>
    </row>
    <row r="296" spans="1:2">
      <c r="A296" s="13" t="s">
        <v>67</v>
      </c>
      <c r="B296" s="13" t="s">
        <v>235</v>
      </c>
    </row>
    <row r="297" spans="1:2">
      <c r="A297" s="13" t="s">
        <v>67</v>
      </c>
      <c r="B297" s="13" t="s">
        <v>235</v>
      </c>
    </row>
    <row r="298" spans="1:2">
      <c r="A298" s="13" t="s">
        <v>67</v>
      </c>
      <c r="B298" s="13" t="s">
        <v>235</v>
      </c>
    </row>
    <row r="299" spans="1:2">
      <c r="A299" s="13" t="s">
        <v>67</v>
      </c>
      <c r="B299" s="13" t="s">
        <v>235</v>
      </c>
    </row>
    <row r="300" spans="1:2">
      <c r="A300" s="13" t="s">
        <v>67</v>
      </c>
      <c r="B300" s="13" t="s">
        <v>235</v>
      </c>
    </row>
    <row r="301" spans="1:2">
      <c r="A301" s="13" t="s">
        <v>67</v>
      </c>
      <c r="B301" s="13" t="s">
        <v>235</v>
      </c>
    </row>
    <row r="302" spans="1:2">
      <c r="A302" s="13" t="s">
        <v>67</v>
      </c>
      <c r="B302" s="13" t="s">
        <v>235</v>
      </c>
    </row>
    <row r="303" spans="1:2">
      <c r="A303" s="13" t="s">
        <v>67</v>
      </c>
      <c r="B303" s="13" t="s">
        <v>235</v>
      </c>
    </row>
    <row r="304" spans="1:2">
      <c r="A304" s="13" t="s">
        <v>67</v>
      </c>
      <c r="B304" s="13" t="s">
        <v>235</v>
      </c>
    </row>
    <row r="305" spans="1:2">
      <c r="A305" s="13" t="s">
        <v>67</v>
      </c>
      <c r="B305" s="13" t="s">
        <v>235</v>
      </c>
    </row>
    <row r="306" spans="1:2" s="13" customFormat="1">
      <c r="A306" s="13" t="s">
        <v>21</v>
      </c>
      <c r="B306" s="13" t="s">
        <v>172</v>
      </c>
    </row>
    <row r="307" spans="1:2">
      <c r="A307" s="13" t="s">
        <v>146</v>
      </c>
      <c r="B307" t="s">
        <v>236</v>
      </c>
    </row>
    <row r="308" spans="1:2" s="13" customFormat="1">
      <c r="A308" s="13" t="s">
        <v>406</v>
      </c>
      <c r="B308" s="13" t="s">
        <v>172</v>
      </c>
    </row>
    <row r="309" spans="1:2" s="13" customFormat="1">
      <c r="A309" s="13" t="s">
        <v>132</v>
      </c>
      <c r="B309" s="13" t="s">
        <v>17</v>
      </c>
    </row>
    <row r="310" spans="1:2" s="13" customFormat="1">
      <c r="A310" s="13" t="s">
        <v>133</v>
      </c>
      <c r="B310" s="13" t="s">
        <v>17</v>
      </c>
    </row>
    <row r="311" spans="1:2" s="13" customFormat="1">
      <c r="A311" s="13" t="s">
        <v>134</v>
      </c>
      <c r="B311" s="13" t="s">
        <v>17</v>
      </c>
    </row>
    <row r="312" spans="1:2" s="13" customFormat="1">
      <c r="A312" s="13" t="s">
        <v>135</v>
      </c>
      <c r="B312" s="13" t="s">
        <v>17</v>
      </c>
    </row>
    <row r="313" spans="1:2" s="13" customFormat="1">
      <c r="A313" s="13" t="s">
        <v>136</v>
      </c>
      <c r="B313" s="13" t="s">
        <v>17</v>
      </c>
    </row>
    <row r="314" spans="1:2" s="13" customFormat="1">
      <c r="A314" s="13" t="s">
        <v>137</v>
      </c>
      <c r="B314" s="13" t="s">
        <v>17</v>
      </c>
    </row>
    <row r="315" spans="1:2">
      <c r="A315" s="13" t="s">
        <v>122</v>
      </c>
      <c r="B315" s="13" t="s">
        <v>17</v>
      </c>
    </row>
    <row r="316" spans="1:2">
      <c r="A316" s="13" t="s">
        <v>123</v>
      </c>
      <c r="B316" s="13" t="s">
        <v>236</v>
      </c>
    </row>
    <row r="317" spans="1:2">
      <c r="A317" s="13" t="s">
        <v>124</v>
      </c>
      <c r="B317" s="13" t="s">
        <v>236</v>
      </c>
    </row>
    <row r="318" spans="1:2">
      <c r="A318" s="13" t="s">
        <v>125</v>
      </c>
      <c r="B318" s="13" t="s">
        <v>236</v>
      </c>
    </row>
    <row r="319" spans="1:2">
      <c r="A319" s="13" t="s">
        <v>126</v>
      </c>
      <c r="B319" s="13" t="s">
        <v>236</v>
      </c>
    </row>
    <row r="320" spans="1:2">
      <c r="A320" s="13" t="s">
        <v>127</v>
      </c>
      <c r="B320" s="13" t="s">
        <v>236</v>
      </c>
    </row>
    <row r="321" spans="1:2">
      <c r="A321" s="13" t="s">
        <v>128</v>
      </c>
      <c r="B321" s="13" t="s">
        <v>236</v>
      </c>
    </row>
    <row r="322" spans="1:2">
      <c r="A322" s="13" t="s">
        <v>129</v>
      </c>
      <c r="B322" s="13" t="s">
        <v>236</v>
      </c>
    </row>
    <row r="323" spans="1:2">
      <c r="A323" s="13" t="s">
        <v>59</v>
      </c>
      <c r="B323" s="13" t="s">
        <v>236</v>
      </c>
    </row>
    <row r="324" spans="1:2">
      <c r="A324" s="13" t="s">
        <v>59</v>
      </c>
      <c r="B324" s="13" t="s">
        <v>236</v>
      </c>
    </row>
    <row r="325" spans="1:2">
      <c r="A325" s="13" t="s">
        <v>59</v>
      </c>
      <c r="B325" s="13" t="s">
        <v>236</v>
      </c>
    </row>
    <row r="326" spans="1:2">
      <c r="A326" s="13" t="s">
        <v>59</v>
      </c>
      <c r="B326" s="13" t="s">
        <v>236</v>
      </c>
    </row>
    <row r="327" spans="1:2">
      <c r="A327" s="13" t="s">
        <v>59</v>
      </c>
      <c r="B327" s="13" t="s">
        <v>236</v>
      </c>
    </row>
    <row r="328" spans="1:2">
      <c r="A328" s="13" t="s">
        <v>59</v>
      </c>
      <c r="B328" s="13" t="s">
        <v>236</v>
      </c>
    </row>
    <row r="329" spans="1:2">
      <c r="A329" s="13" t="s">
        <v>59</v>
      </c>
      <c r="B329" s="13" t="s">
        <v>236</v>
      </c>
    </row>
    <row r="330" spans="1:2">
      <c r="A330" s="13" t="s">
        <v>59</v>
      </c>
      <c r="B330" s="13" t="s">
        <v>236</v>
      </c>
    </row>
    <row r="331" spans="1:2">
      <c r="A331" s="13" t="s">
        <v>59</v>
      </c>
      <c r="B331" s="13" t="s">
        <v>236</v>
      </c>
    </row>
    <row r="332" spans="1:2">
      <c r="A332" s="13" t="s">
        <v>130</v>
      </c>
      <c r="B332" s="13" t="s">
        <v>236</v>
      </c>
    </row>
    <row r="333" spans="1:2" s="13" customFormat="1">
      <c r="A333" s="13" t="s">
        <v>246</v>
      </c>
      <c r="B333" s="13" t="s">
        <v>172</v>
      </c>
    </row>
    <row r="334" spans="1:2">
      <c r="A334" s="13" t="s">
        <v>147</v>
      </c>
      <c r="B334" t="s">
        <v>235</v>
      </c>
    </row>
    <row r="335" spans="1:2">
      <c r="A335" s="13" t="s">
        <v>229</v>
      </c>
      <c r="B335" s="13" t="s">
        <v>235</v>
      </c>
    </row>
    <row r="336" spans="1:2">
      <c r="A336" s="13" t="s">
        <v>229</v>
      </c>
      <c r="B336" s="13" t="s">
        <v>235</v>
      </c>
    </row>
    <row r="337" spans="1:2">
      <c r="A337" s="13" t="s">
        <v>229</v>
      </c>
      <c r="B337" s="13" t="s">
        <v>235</v>
      </c>
    </row>
    <row r="338" spans="1:2">
      <c r="A338" s="13" t="s">
        <v>229</v>
      </c>
      <c r="B338" s="13" t="s">
        <v>235</v>
      </c>
    </row>
    <row r="339" spans="1:2">
      <c r="A339" s="13" t="s">
        <v>229</v>
      </c>
      <c r="B339" s="13" t="s">
        <v>235</v>
      </c>
    </row>
    <row r="340" spans="1:2">
      <c r="A340" s="13" t="s">
        <v>229</v>
      </c>
      <c r="B340" s="13" t="s">
        <v>235</v>
      </c>
    </row>
    <row r="341" spans="1:2">
      <c r="A341" s="13" t="s">
        <v>229</v>
      </c>
      <c r="B341" s="13" t="s">
        <v>235</v>
      </c>
    </row>
    <row r="342" spans="1:2">
      <c r="A342" s="13" t="s">
        <v>229</v>
      </c>
      <c r="B342" s="13" t="s">
        <v>235</v>
      </c>
    </row>
    <row r="343" spans="1:2">
      <c r="A343" s="13" t="s">
        <v>229</v>
      </c>
      <c r="B343" s="13" t="s">
        <v>235</v>
      </c>
    </row>
    <row r="344" spans="1:2">
      <c r="A344" s="13" t="s">
        <v>229</v>
      </c>
      <c r="B344" s="13" t="s">
        <v>235</v>
      </c>
    </row>
    <row r="345" spans="1:2">
      <c r="A345" s="13" t="s">
        <v>229</v>
      </c>
      <c r="B345" s="13" t="s">
        <v>235</v>
      </c>
    </row>
    <row r="346" spans="1:2">
      <c r="A346" s="13" t="s">
        <v>229</v>
      </c>
      <c r="B346" s="13" t="s">
        <v>235</v>
      </c>
    </row>
    <row r="347" spans="1:2">
      <c r="A347" s="13" t="s">
        <v>32</v>
      </c>
      <c r="B347" s="13" t="s">
        <v>235</v>
      </c>
    </row>
    <row r="348" spans="1:2">
      <c r="A348" s="13" t="s">
        <v>32</v>
      </c>
      <c r="B348" s="13" t="s">
        <v>235</v>
      </c>
    </row>
    <row r="349" spans="1:2">
      <c r="A349" s="13" t="s">
        <v>32</v>
      </c>
      <c r="B349" s="13" t="s">
        <v>235</v>
      </c>
    </row>
    <row r="350" spans="1:2">
      <c r="A350" s="13" t="s">
        <v>32</v>
      </c>
      <c r="B350" s="13" t="s">
        <v>235</v>
      </c>
    </row>
    <row r="351" spans="1:2">
      <c r="A351" s="13" t="s">
        <v>32</v>
      </c>
      <c r="B351" s="13" t="s">
        <v>235</v>
      </c>
    </row>
    <row r="352" spans="1:2">
      <c r="A352" s="13" t="s">
        <v>32</v>
      </c>
      <c r="B352" s="13" t="s">
        <v>235</v>
      </c>
    </row>
    <row r="353" spans="1:2">
      <c r="A353" s="13" t="s">
        <v>32</v>
      </c>
      <c r="B353" s="13" t="s">
        <v>235</v>
      </c>
    </row>
    <row r="354" spans="1:2">
      <c r="A354" s="13" t="s">
        <v>32</v>
      </c>
      <c r="B354" s="13" t="s">
        <v>235</v>
      </c>
    </row>
    <row r="355" spans="1:2">
      <c r="A355" s="13" t="s">
        <v>32</v>
      </c>
      <c r="B355" s="13" t="s">
        <v>235</v>
      </c>
    </row>
    <row r="356" spans="1:2">
      <c r="A356" s="13" t="s">
        <v>32</v>
      </c>
      <c r="B356" s="13" t="s">
        <v>235</v>
      </c>
    </row>
    <row r="357" spans="1:2">
      <c r="A357" s="13" t="s">
        <v>66</v>
      </c>
      <c r="B357" s="13" t="s">
        <v>235</v>
      </c>
    </row>
    <row r="358" spans="1:2">
      <c r="A358" s="13" t="s">
        <v>66</v>
      </c>
      <c r="B358" s="13" t="s">
        <v>235</v>
      </c>
    </row>
    <row r="359" spans="1:2">
      <c r="A359" s="13" t="s">
        <v>66</v>
      </c>
      <c r="B359" s="13" t="s">
        <v>235</v>
      </c>
    </row>
    <row r="360" spans="1:2">
      <c r="A360" s="13" t="s">
        <v>66</v>
      </c>
      <c r="B360" s="13" t="s">
        <v>235</v>
      </c>
    </row>
    <row r="361" spans="1:2">
      <c r="A361" s="13" t="s">
        <v>66</v>
      </c>
      <c r="B361" s="13" t="s">
        <v>235</v>
      </c>
    </row>
    <row r="362" spans="1:2">
      <c r="A362" s="13" t="s">
        <v>66</v>
      </c>
      <c r="B362" s="13" t="s">
        <v>235</v>
      </c>
    </row>
    <row r="363" spans="1:2">
      <c r="A363" s="13" t="s">
        <v>66</v>
      </c>
      <c r="B363" s="13" t="s">
        <v>235</v>
      </c>
    </row>
    <row r="364" spans="1:2">
      <c r="A364" s="13" t="s">
        <v>68</v>
      </c>
      <c r="B364" s="13" t="s">
        <v>235</v>
      </c>
    </row>
    <row r="365" spans="1:2">
      <c r="A365" s="13" t="s">
        <v>68</v>
      </c>
      <c r="B365" s="13" t="s">
        <v>235</v>
      </c>
    </row>
    <row r="366" spans="1:2">
      <c r="A366" s="13" t="s">
        <v>68</v>
      </c>
      <c r="B366" s="13" t="s">
        <v>235</v>
      </c>
    </row>
    <row r="367" spans="1:2">
      <c r="A367" s="13" t="s">
        <v>68</v>
      </c>
      <c r="B367" s="13" t="s">
        <v>235</v>
      </c>
    </row>
    <row r="368" spans="1:2">
      <c r="A368" s="13" t="s">
        <v>68</v>
      </c>
      <c r="B368" s="13" t="s">
        <v>235</v>
      </c>
    </row>
    <row r="369" spans="1:2">
      <c r="A369" s="13" t="s">
        <v>68</v>
      </c>
      <c r="B369" s="13" t="s">
        <v>235</v>
      </c>
    </row>
    <row r="370" spans="1:2">
      <c r="A370" s="13" t="s">
        <v>68</v>
      </c>
      <c r="B370" s="13" t="s">
        <v>235</v>
      </c>
    </row>
    <row r="371" spans="1:2">
      <c r="A371" s="13" t="s">
        <v>68</v>
      </c>
      <c r="B371" s="13" t="s">
        <v>235</v>
      </c>
    </row>
    <row r="372" spans="1:2">
      <c r="A372" s="13" t="s">
        <v>68</v>
      </c>
      <c r="B372" s="13" t="s">
        <v>235</v>
      </c>
    </row>
    <row r="373" spans="1:2">
      <c r="A373" s="13" t="s">
        <v>68</v>
      </c>
      <c r="B373" s="13" t="s">
        <v>235</v>
      </c>
    </row>
    <row r="374" spans="1:2" s="13" customFormat="1">
      <c r="A374" s="13" t="s">
        <v>22</v>
      </c>
      <c r="B374" s="13" t="s">
        <v>172</v>
      </c>
    </row>
    <row r="375" spans="1:2">
      <c r="A375" s="13" t="s">
        <v>62</v>
      </c>
      <c r="B375" s="13" t="s">
        <v>235</v>
      </c>
    </row>
    <row r="376" spans="1:2">
      <c r="A376" s="13" t="s">
        <v>62</v>
      </c>
      <c r="B376" s="13" t="s">
        <v>235</v>
      </c>
    </row>
    <row r="377" spans="1:2">
      <c r="A377" s="13" t="s">
        <v>62</v>
      </c>
      <c r="B377" s="13" t="s">
        <v>235</v>
      </c>
    </row>
    <row r="378" spans="1:2">
      <c r="A378" s="13" t="s">
        <v>62</v>
      </c>
      <c r="B378" s="13" t="s">
        <v>235</v>
      </c>
    </row>
    <row r="379" spans="1:2">
      <c r="A379" s="13" t="s">
        <v>62</v>
      </c>
      <c r="B379" s="13" t="s">
        <v>235</v>
      </c>
    </row>
    <row r="380" spans="1:2">
      <c r="A380" s="13" t="s">
        <v>62</v>
      </c>
      <c r="B380" s="13" t="s">
        <v>235</v>
      </c>
    </row>
    <row r="381" spans="1:2">
      <c r="A381" s="13" t="s">
        <v>62</v>
      </c>
      <c r="B381" s="13" t="s">
        <v>235</v>
      </c>
    </row>
    <row r="382" spans="1:2">
      <c r="A382" s="13" t="s">
        <v>62</v>
      </c>
      <c r="B382" s="13" t="s">
        <v>235</v>
      </c>
    </row>
    <row r="383" spans="1:2">
      <c r="A383" s="13" t="s">
        <v>62</v>
      </c>
      <c r="B383" s="13" t="s">
        <v>235</v>
      </c>
    </row>
    <row r="384" spans="1:2">
      <c r="A384" s="13" t="s">
        <v>62</v>
      </c>
      <c r="B384" s="13" t="s">
        <v>235</v>
      </c>
    </row>
    <row r="385" spans="1:2" s="13" customFormat="1">
      <c r="A385" s="13" t="s">
        <v>190</v>
      </c>
      <c r="B385" s="13" t="s">
        <v>174</v>
      </c>
    </row>
    <row r="386" spans="1:2" s="13" customFormat="1">
      <c r="A386" s="13" t="s">
        <v>258</v>
      </c>
      <c r="B386" s="13" t="s">
        <v>172</v>
      </c>
    </row>
    <row r="387" spans="1:2">
      <c r="A387" s="13" t="s">
        <v>148</v>
      </c>
      <c r="B387" s="13" t="s">
        <v>172</v>
      </c>
    </row>
    <row r="388" spans="1:2">
      <c r="A388" s="13" t="s">
        <v>148</v>
      </c>
      <c r="B388" s="13" t="s">
        <v>235</v>
      </c>
    </row>
    <row r="389" spans="1:2">
      <c r="A389" s="13" t="s">
        <v>148</v>
      </c>
      <c r="B389" s="13" t="s">
        <v>235</v>
      </c>
    </row>
    <row r="390" spans="1:2">
      <c r="A390" s="13" t="s">
        <v>148</v>
      </c>
      <c r="B390" s="13" t="s">
        <v>235</v>
      </c>
    </row>
    <row r="391" spans="1:2">
      <c r="A391" s="13" t="s">
        <v>148</v>
      </c>
      <c r="B391" s="13" t="s">
        <v>235</v>
      </c>
    </row>
    <row r="392" spans="1:2">
      <c r="A392" s="13" t="s">
        <v>148</v>
      </c>
      <c r="B392" s="13" t="s">
        <v>235</v>
      </c>
    </row>
    <row r="393" spans="1:2">
      <c r="A393" s="13" t="s">
        <v>148</v>
      </c>
      <c r="B393" s="13" t="s">
        <v>235</v>
      </c>
    </row>
    <row r="394" spans="1:2">
      <c r="A394" s="13" t="s">
        <v>149</v>
      </c>
    </row>
    <row r="395" spans="1:2">
      <c r="A395" s="13" t="s">
        <v>150</v>
      </c>
    </row>
    <row r="396" spans="1:2">
      <c r="A396" s="13" t="s">
        <v>151</v>
      </c>
    </row>
    <row r="397" spans="1:2">
      <c r="A397" s="13" t="s">
        <v>231</v>
      </c>
      <c r="B397" t="s">
        <v>173</v>
      </c>
    </row>
    <row r="398" spans="1:2">
      <c r="A398" s="13" t="s">
        <v>231</v>
      </c>
      <c r="B398" s="13" t="s">
        <v>173</v>
      </c>
    </row>
    <row r="399" spans="1:2">
      <c r="A399" s="13" t="s">
        <v>231</v>
      </c>
      <c r="B399" s="13" t="s">
        <v>173</v>
      </c>
    </row>
    <row r="400" spans="1:2">
      <c r="A400" s="13" t="s">
        <v>231</v>
      </c>
      <c r="B400" s="13" t="s">
        <v>173</v>
      </c>
    </row>
    <row r="401" spans="1:2">
      <c r="A401" s="13" t="s">
        <v>231</v>
      </c>
      <c r="B401" s="13" t="s">
        <v>173</v>
      </c>
    </row>
    <row r="402" spans="1:2">
      <c r="A402" s="13" t="s">
        <v>152</v>
      </c>
      <c r="B402" s="13" t="s">
        <v>173</v>
      </c>
    </row>
    <row r="403" spans="1:2">
      <c r="A403" s="13" t="s">
        <v>152</v>
      </c>
      <c r="B403" s="13" t="s">
        <v>173</v>
      </c>
    </row>
    <row r="404" spans="1:2">
      <c r="A404" s="13" t="s">
        <v>152</v>
      </c>
      <c r="B404" s="13" t="s">
        <v>173</v>
      </c>
    </row>
    <row r="405" spans="1:2">
      <c r="A405" s="13" t="s">
        <v>152</v>
      </c>
      <c r="B405" s="13" t="s">
        <v>173</v>
      </c>
    </row>
    <row r="406" spans="1:2">
      <c r="A406" s="13" t="s">
        <v>152</v>
      </c>
      <c r="B406" s="13" t="s">
        <v>173</v>
      </c>
    </row>
    <row r="407" spans="1:2">
      <c r="A407" s="13" t="s">
        <v>152</v>
      </c>
      <c r="B407" s="13" t="s">
        <v>173</v>
      </c>
    </row>
    <row r="408" spans="1:2">
      <c r="A408" s="13" t="s">
        <v>152</v>
      </c>
      <c r="B408" s="13" t="s">
        <v>173</v>
      </c>
    </row>
    <row r="409" spans="1:2">
      <c r="A409" s="13" t="s">
        <v>152</v>
      </c>
      <c r="B409" s="13" t="s">
        <v>173</v>
      </c>
    </row>
    <row r="410" spans="1:2">
      <c r="A410" s="13" t="s">
        <v>152</v>
      </c>
      <c r="B410" s="13" t="s">
        <v>173</v>
      </c>
    </row>
    <row r="411" spans="1:2">
      <c r="A411" s="13" t="s">
        <v>152</v>
      </c>
      <c r="B411" s="13" t="s">
        <v>173</v>
      </c>
    </row>
    <row r="412" spans="1:2">
      <c r="A412" s="13" t="s">
        <v>153</v>
      </c>
      <c r="B412" s="13" t="s">
        <v>173</v>
      </c>
    </row>
    <row r="413" spans="1:2">
      <c r="A413" s="13" t="s">
        <v>153</v>
      </c>
      <c r="B413" s="13" t="s">
        <v>173</v>
      </c>
    </row>
    <row r="414" spans="1:2">
      <c r="A414" s="13" t="s">
        <v>153</v>
      </c>
      <c r="B414" s="13" t="s">
        <v>173</v>
      </c>
    </row>
    <row r="415" spans="1:2">
      <c r="A415" s="13" t="s">
        <v>153</v>
      </c>
      <c r="B415" s="13" t="s">
        <v>173</v>
      </c>
    </row>
    <row r="416" spans="1:2">
      <c r="A416" s="13" t="s">
        <v>153</v>
      </c>
      <c r="B416" s="13" t="s">
        <v>173</v>
      </c>
    </row>
    <row r="417" spans="1:2">
      <c r="A417" s="13" t="s">
        <v>153</v>
      </c>
      <c r="B417" s="13" t="s">
        <v>173</v>
      </c>
    </row>
    <row r="418" spans="1:2">
      <c r="A418" s="13" t="s">
        <v>153</v>
      </c>
      <c r="B418" s="13" t="s">
        <v>173</v>
      </c>
    </row>
    <row r="419" spans="1:2">
      <c r="A419" s="13" t="s">
        <v>153</v>
      </c>
      <c r="B419" s="13" t="s">
        <v>173</v>
      </c>
    </row>
    <row r="420" spans="1:2">
      <c r="A420" s="13" t="s">
        <v>153</v>
      </c>
      <c r="B420" s="13" t="s">
        <v>173</v>
      </c>
    </row>
    <row r="421" spans="1:2">
      <c r="A421" s="13" t="s">
        <v>153</v>
      </c>
      <c r="B421" s="13" t="s">
        <v>173</v>
      </c>
    </row>
    <row r="422" spans="1:2" s="13" customFormat="1">
      <c r="A422" s="13" t="s">
        <v>407</v>
      </c>
      <c r="B422" s="13" t="s">
        <v>408</v>
      </c>
    </row>
    <row r="423" spans="1:2">
      <c r="A423" s="13" t="s">
        <v>154</v>
      </c>
      <c r="B423" t="s">
        <v>237</v>
      </c>
    </row>
    <row r="424" spans="1:2">
      <c r="A424" s="13" t="s">
        <v>154</v>
      </c>
      <c r="B424" s="13" t="s">
        <v>237</v>
      </c>
    </row>
    <row r="425" spans="1:2">
      <c r="A425" s="13" t="s">
        <v>154</v>
      </c>
      <c r="B425" s="13" t="s">
        <v>237</v>
      </c>
    </row>
    <row r="426" spans="1:2">
      <c r="A426" s="13" t="s">
        <v>154</v>
      </c>
      <c r="B426" s="13" t="s">
        <v>237</v>
      </c>
    </row>
    <row r="427" spans="1:2">
      <c r="A427" s="13" t="s">
        <v>154</v>
      </c>
      <c r="B427" s="13" t="s">
        <v>237</v>
      </c>
    </row>
    <row r="428" spans="1:2">
      <c r="A428" s="13" t="s">
        <v>154</v>
      </c>
      <c r="B428" s="13" t="s">
        <v>237</v>
      </c>
    </row>
    <row r="429" spans="1:2">
      <c r="A429" s="13" t="s">
        <v>154</v>
      </c>
      <c r="B429" s="13" t="s">
        <v>237</v>
      </c>
    </row>
    <row r="430" spans="1:2">
      <c r="A430" s="13" t="s">
        <v>154</v>
      </c>
      <c r="B430" s="13" t="s">
        <v>237</v>
      </c>
    </row>
    <row r="431" spans="1:2">
      <c r="A431" s="13" t="s">
        <v>154</v>
      </c>
      <c r="B431" s="13" t="s">
        <v>237</v>
      </c>
    </row>
    <row r="432" spans="1:2">
      <c r="A432" s="13" t="s">
        <v>155</v>
      </c>
      <c r="B432" t="s">
        <v>238</v>
      </c>
    </row>
    <row r="433" spans="1:2">
      <c r="A433" s="13" t="s">
        <v>155</v>
      </c>
      <c r="B433" s="13" t="s">
        <v>238</v>
      </c>
    </row>
    <row r="434" spans="1:2">
      <c r="A434" s="13" t="s">
        <v>155</v>
      </c>
      <c r="B434" s="13" t="s">
        <v>238</v>
      </c>
    </row>
    <row r="435" spans="1:2">
      <c r="A435" s="13" t="s">
        <v>155</v>
      </c>
      <c r="B435" s="13" t="s">
        <v>238</v>
      </c>
    </row>
    <row r="436" spans="1:2">
      <c r="A436" s="13" t="s">
        <v>155</v>
      </c>
      <c r="B436" s="13" t="s">
        <v>238</v>
      </c>
    </row>
    <row r="437" spans="1:2">
      <c r="A437" s="13" t="s">
        <v>155</v>
      </c>
      <c r="B437" s="13" t="s">
        <v>238</v>
      </c>
    </row>
    <row r="438" spans="1:2">
      <c r="A438" s="13" t="s">
        <v>155</v>
      </c>
      <c r="B438" s="13" t="s">
        <v>238</v>
      </c>
    </row>
    <row r="439" spans="1:2">
      <c r="A439" s="13" t="s">
        <v>155</v>
      </c>
      <c r="B439" s="13" t="s">
        <v>238</v>
      </c>
    </row>
    <row r="440" spans="1:2">
      <c r="A440" s="13" t="s">
        <v>155</v>
      </c>
      <c r="B440" s="13" t="s">
        <v>238</v>
      </c>
    </row>
    <row r="441" spans="1:2">
      <c r="A441" s="13" t="s">
        <v>155</v>
      </c>
      <c r="B441" s="13" t="s">
        <v>238</v>
      </c>
    </row>
    <row r="442" spans="1:2">
      <c r="A442" s="13" t="s">
        <v>156</v>
      </c>
      <c r="B442" s="13" t="s">
        <v>238</v>
      </c>
    </row>
    <row r="443" spans="1:2">
      <c r="A443" s="13" t="s">
        <v>156</v>
      </c>
      <c r="B443" s="13" t="s">
        <v>238</v>
      </c>
    </row>
    <row r="444" spans="1:2">
      <c r="A444" s="13" t="s">
        <v>156</v>
      </c>
      <c r="B444" s="13" t="s">
        <v>238</v>
      </c>
    </row>
    <row r="445" spans="1:2">
      <c r="A445" s="13" t="s">
        <v>156</v>
      </c>
      <c r="B445" s="13" t="s">
        <v>238</v>
      </c>
    </row>
    <row r="446" spans="1:2">
      <c r="A446" s="13" t="s">
        <v>156</v>
      </c>
      <c r="B446" s="13" t="s">
        <v>238</v>
      </c>
    </row>
    <row r="447" spans="1:2">
      <c r="A447" s="13" t="s">
        <v>156</v>
      </c>
      <c r="B447" s="13" t="s">
        <v>238</v>
      </c>
    </row>
    <row r="448" spans="1:2">
      <c r="A448" s="13" t="s">
        <v>156</v>
      </c>
      <c r="B448" s="13" t="s">
        <v>238</v>
      </c>
    </row>
    <row r="449" spans="1:2">
      <c r="A449" s="13" t="s">
        <v>156</v>
      </c>
      <c r="B449" s="13" t="s">
        <v>238</v>
      </c>
    </row>
    <row r="450" spans="1:2">
      <c r="A450" s="13" t="s">
        <v>156</v>
      </c>
      <c r="B450" s="13" t="s">
        <v>238</v>
      </c>
    </row>
    <row r="451" spans="1:2">
      <c r="A451" s="13" t="s">
        <v>156</v>
      </c>
      <c r="B451" s="13" t="s">
        <v>238</v>
      </c>
    </row>
    <row r="452" spans="1:2">
      <c r="A452" s="13" t="s">
        <v>157</v>
      </c>
      <c r="B452" s="13" t="s">
        <v>238</v>
      </c>
    </row>
    <row r="453" spans="1:2">
      <c r="A453" s="13" t="s">
        <v>157</v>
      </c>
      <c r="B453" s="13" t="s">
        <v>238</v>
      </c>
    </row>
    <row r="454" spans="1:2">
      <c r="A454" s="13" t="s">
        <v>157</v>
      </c>
      <c r="B454" s="13" t="s">
        <v>238</v>
      </c>
    </row>
    <row r="455" spans="1:2">
      <c r="A455" s="13" t="s">
        <v>157</v>
      </c>
      <c r="B455" s="13" t="s">
        <v>238</v>
      </c>
    </row>
    <row r="456" spans="1:2">
      <c r="A456" s="13" t="s">
        <v>157</v>
      </c>
      <c r="B456" s="13" t="s">
        <v>238</v>
      </c>
    </row>
    <row r="457" spans="1:2">
      <c r="A457" s="13" t="s">
        <v>157</v>
      </c>
      <c r="B457" s="13" t="s">
        <v>238</v>
      </c>
    </row>
    <row r="458" spans="1:2">
      <c r="A458" s="13" t="s">
        <v>157</v>
      </c>
      <c r="B458" s="13" t="s">
        <v>238</v>
      </c>
    </row>
    <row r="459" spans="1:2">
      <c r="A459" s="13" t="s">
        <v>157</v>
      </c>
      <c r="B459" s="13" t="s">
        <v>238</v>
      </c>
    </row>
    <row r="460" spans="1:2">
      <c r="A460" s="13" t="s">
        <v>157</v>
      </c>
      <c r="B460" s="13" t="s">
        <v>238</v>
      </c>
    </row>
    <row r="461" spans="1:2">
      <c r="A461" s="13" t="s">
        <v>157</v>
      </c>
      <c r="B461" s="13" t="s">
        <v>238</v>
      </c>
    </row>
    <row r="462" spans="1:2">
      <c r="A462" s="13" t="s">
        <v>158</v>
      </c>
      <c r="B462" s="13" t="s">
        <v>238</v>
      </c>
    </row>
    <row r="463" spans="1:2">
      <c r="A463" s="13" t="s">
        <v>158</v>
      </c>
      <c r="B463" s="13" t="s">
        <v>238</v>
      </c>
    </row>
    <row r="464" spans="1:2">
      <c r="A464" s="13" t="s">
        <v>158</v>
      </c>
      <c r="B464" s="13" t="s">
        <v>238</v>
      </c>
    </row>
    <row r="465" spans="1:2">
      <c r="A465" s="13" t="s">
        <v>158</v>
      </c>
      <c r="B465" s="13" t="s">
        <v>238</v>
      </c>
    </row>
    <row r="466" spans="1:2">
      <c r="A466" s="13" t="s">
        <v>158</v>
      </c>
      <c r="B466" s="13" t="s">
        <v>238</v>
      </c>
    </row>
    <row r="467" spans="1:2">
      <c r="A467" s="13" t="s">
        <v>158</v>
      </c>
      <c r="B467" s="13" t="s">
        <v>238</v>
      </c>
    </row>
    <row r="468" spans="1:2">
      <c r="A468" s="13" t="s">
        <v>158</v>
      </c>
      <c r="B468" s="13" t="s">
        <v>238</v>
      </c>
    </row>
    <row r="469" spans="1:2">
      <c r="A469" s="13" t="s">
        <v>158</v>
      </c>
      <c r="B469" s="13" t="s">
        <v>238</v>
      </c>
    </row>
    <row r="470" spans="1:2">
      <c r="A470" s="13" t="s">
        <v>158</v>
      </c>
      <c r="B470" s="13" t="s">
        <v>238</v>
      </c>
    </row>
    <row r="471" spans="1:2">
      <c r="A471" s="13" t="s">
        <v>158</v>
      </c>
      <c r="B471" s="13" t="s">
        <v>238</v>
      </c>
    </row>
    <row r="472" spans="1:2">
      <c r="A472" s="13" t="s">
        <v>159</v>
      </c>
      <c r="B472" s="13" t="s">
        <v>238</v>
      </c>
    </row>
    <row r="473" spans="1:2">
      <c r="A473" s="13" t="s">
        <v>159</v>
      </c>
      <c r="B473" s="13" t="s">
        <v>238</v>
      </c>
    </row>
    <row r="474" spans="1:2">
      <c r="A474" s="13" t="s">
        <v>159</v>
      </c>
      <c r="B474" s="13" t="s">
        <v>238</v>
      </c>
    </row>
    <row r="475" spans="1:2">
      <c r="A475" s="13" t="s">
        <v>159</v>
      </c>
      <c r="B475" s="13" t="s">
        <v>238</v>
      </c>
    </row>
    <row r="476" spans="1:2">
      <c r="A476" s="13" t="s">
        <v>159</v>
      </c>
      <c r="B476" s="13" t="s">
        <v>238</v>
      </c>
    </row>
    <row r="477" spans="1:2">
      <c r="A477" s="13" t="s">
        <v>159</v>
      </c>
      <c r="B477" s="13" t="s">
        <v>238</v>
      </c>
    </row>
    <row r="478" spans="1:2">
      <c r="A478" s="13" t="s">
        <v>159</v>
      </c>
      <c r="B478" s="13" t="s">
        <v>238</v>
      </c>
    </row>
    <row r="479" spans="1:2">
      <c r="A479" s="13" t="s">
        <v>159</v>
      </c>
      <c r="B479" s="13" t="s">
        <v>238</v>
      </c>
    </row>
    <row r="480" spans="1:2">
      <c r="A480" s="13" t="s">
        <v>159</v>
      </c>
      <c r="B480" s="13" t="s">
        <v>238</v>
      </c>
    </row>
    <row r="481" spans="1:2">
      <c r="A481" s="13" t="s">
        <v>159</v>
      </c>
      <c r="B481" s="13" t="s">
        <v>238</v>
      </c>
    </row>
    <row r="482" spans="1:2">
      <c r="A482" s="13" t="s">
        <v>160</v>
      </c>
      <c r="B482" s="13" t="s">
        <v>238</v>
      </c>
    </row>
    <row r="483" spans="1:2">
      <c r="A483" s="13" t="s">
        <v>160</v>
      </c>
      <c r="B483" s="13" t="s">
        <v>238</v>
      </c>
    </row>
    <row r="484" spans="1:2">
      <c r="A484" s="13" t="s">
        <v>160</v>
      </c>
      <c r="B484" s="13" t="s">
        <v>238</v>
      </c>
    </row>
    <row r="485" spans="1:2">
      <c r="A485" s="13" t="s">
        <v>160</v>
      </c>
      <c r="B485" s="13" t="s">
        <v>238</v>
      </c>
    </row>
    <row r="486" spans="1:2">
      <c r="A486" s="13" t="s">
        <v>160</v>
      </c>
      <c r="B486" s="13" t="s">
        <v>238</v>
      </c>
    </row>
    <row r="487" spans="1:2">
      <c r="A487" s="13" t="s">
        <v>160</v>
      </c>
      <c r="B487" s="13" t="s">
        <v>238</v>
      </c>
    </row>
    <row r="488" spans="1:2">
      <c r="A488" s="13" t="s">
        <v>160</v>
      </c>
      <c r="B488" s="13" t="s">
        <v>238</v>
      </c>
    </row>
    <row r="489" spans="1:2">
      <c r="A489" s="13" t="s">
        <v>160</v>
      </c>
      <c r="B489" s="13" t="s">
        <v>238</v>
      </c>
    </row>
    <row r="490" spans="1:2">
      <c r="A490" s="13" t="s">
        <v>160</v>
      </c>
      <c r="B490" s="13" t="s">
        <v>238</v>
      </c>
    </row>
    <row r="491" spans="1:2">
      <c r="A491" s="13" t="s">
        <v>160</v>
      </c>
      <c r="B491" s="13" t="s">
        <v>238</v>
      </c>
    </row>
    <row r="492" spans="1:2">
      <c r="A492" s="13" t="s">
        <v>161</v>
      </c>
      <c r="B492" t="s">
        <v>237</v>
      </c>
    </row>
    <row r="493" spans="1:2">
      <c r="A493" s="13" t="s">
        <v>161</v>
      </c>
      <c r="B493" s="13" t="s">
        <v>237</v>
      </c>
    </row>
    <row r="494" spans="1:2">
      <c r="A494" s="13" t="s">
        <v>161</v>
      </c>
      <c r="B494" s="13" t="s">
        <v>237</v>
      </c>
    </row>
    <row r="495" spans="1:2">
      <c r="A495" s="13" t="s">
        <v>161</v>
      </c>
      <c r="B495" s="13" t="s">
        <v>237</v>
      </c>
    </row>
    <row r="496" spans="1:2">
      <c r="A496" s="13" t="s">
        <v>161</v>
      </c>
      <c r="B496" s="13" t="s">
        <v>237</v>
      </c>
    </row>
    <row r="497" spans="1:2">
      <c r="A497" s="13" t="s">
        <v>161</v>
      </c>
      <c r="B497" s="13" t="s">
        <v>237</v>
      </c>
    </row>
    <row r="498" spans="1:2">
      <c r="A498" s="13" t="s">
        <v>161</v>
      </c>
      <c r="B498" s="13" t="s">
        <v>237</v>
      </c>
    </row>
    <row r="499" spans="1:2">
      <c r="A499" s="13" t="s">
        <v>161</v>
      </c>
      <c r="B499" s="13" t="s">
        <v>237</v>
      </c>
    </row>
    <row r="500" spans="1:2">
      <c r="A500" s="13" t="s">
        <v>161</v>
      </c>
      <c r="B500" s="13" t="s">
        <v>237</v>
      </c>
    </row>
    <row r="501" spans="1:2">
      <c r="A501" s="13" t="s">
        <v>161</v>
      </c>
      <c r="B501" s="13" t="s">
        <v>237</v>
      </c>
    </row>
    <row r="502" spans="1:2">
      <c r="A502" s="13" t="s">
        <v>232</v>
      </c>
      <c r="B502" t="s">
        <v>235</v>
      </c>
    </row>
    <row r="503" spans="1:2">
      <c r="A503" s="13" t="s">
        <v>232</v>
      </c>
      <c r="B503" s="13" t="s">
        <v>235</v>
      </c>
    </row>
    <row r="504" spans="1:2">
      <c r="A504" s="13" t="s">
        <v>232</v>
      </c>
      <c r="B504" s="13" t="s">
        <v>235</v>
      </c>
    </row>
    <row r="505" spans="1:2">
      <c r="A505" s="13" t="s">
        <v>232</v>
      </c>
      <c r="B505" s="13" t="s">
        <v>235</v>
      </c>
    </row>
    <row r="506" spans="1:2">
      <c r="A506" s="13" t="s">
        <v>232</v>
      </c>
      <c r="B506" s="13" t="s">
        <v>235</v>
      </c>
    </row>
    <row r="507" spans="1:2">
      <c r="A507" s="13" t="s">
        <v>232</v>
      </c>
      <c r="B507" s="13" t="s">
        <v>235</v>
      </c>
    </row>
    <row r="508" spans="1:2">
      <c r="A508" s="13" t="s">
        <v>232</v>
      </c>
      <c r="B508" s="13" t="s">
        <v>235</v>
      </c>
    </row>
    <row r="509" spans="1:2">
      <c r="A509" s="13" t="s">
        <v>232</v>
      </c>
      <c r="B509" s="13" t="s">
        <v>235</v>
      </c>
    </row>
    <row r="510" spans="1:2">
      <c r="A510" s="13" t="s">
        <v>232</v>
      </c>
      <c r="B510" s="13" t="s">
        <v>235</v>
      </c>
    </row>
    <row r="511" spans="1:2">
      <c r="A511" s="13" t="s">
        <v>232</v>
      </c>
      <c r="B511" s="13" t="s">
        <v>235</v>
      </c>
    </row>
    <row r="512" spans="1:2">
      <c r="A512" s="13" t="s">
        <v>232</v>
      </c>
      <c r="B512" s="13" t="s">
        <v>235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2D455-821C-40BF-9DE0-FB0839B97A31}">
  <dimension ref="A1:AL516"/>
  <sheetViews>
    <sheetView topLeftCell="K462" zoomScale="55" zoomScaleNormal="55" workbookViewId="0">
      <selection activeCell="Q467" sqref="Q467:Q473"/>
    </sheetView>
  </sheetViews>
  <sheetFormatPr defaultRowHeight="17.399999999999999"/>
  <cols>
    <col min="3" max="3" width="25.5" customWidth="1"/>
    <col min="4" max="4" width="25.5" style="13" customWidth="1"/>
    <col min="5" max="5" width="13.796875" bestFit="1" customWidth="1"/>
    <col min="6" max="6" width="8.8984375" style="13" bestFit="1" customWidth="1"/>
    <col min="7" max="7" width="12.796875" bestFit="1" customWidth="1"/>
    <col min="8" max="10" width="17.8984375" bestFit="1" customWidth="1"/>
    <col min="11" max="11" width="16.3984375" bestFit="1" customWidth="1"/>
    <col min="12" max="16" width="17.8984375" bestFit="1" customWidth="1"/>
    <col min="17" max="17" width="9" bestFit="1" customWidth="1"/>
    <col min="20" max="30" width="12" bestFit="1" customWidth="1"/>
  </cols>
  <sheetData>
    <row r="1" spans="1:31">
      <c r="A1" s="1" t="s">
        <v>493</v>
      </c>
      <c r="B1" s="13"/>
      <c r="C1" s="13"/>
      <c r="E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</row>
    <row r="2" spans="1:31">
      <c r="A2" s="13" t="s">
        <v>8</v>
      </c>
      <c r="B2" s="13" t="s">
        <v>9</v>
      </c>
      <c r="C2" s="13" t="s">
        <v>39</v>
      </c>
      <c r="E2" s="13"/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  <c r="R2" s="13" t="s">
        <v>76</v>
      </c>
      <c r="S2" s="13"/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  <c r="AE2" s="13" t="s">
        <v>76</v>
      </c>
    </row>
    <row r="3" spans="1:31">
      <c r="A3" s="13" t="s">
        <v>267</v>
      </c>
      <c r="B3" s="13" t="s">
        <v>1</v>
      </c>
      <c r="C3" s="13" t="s">
        <v>201</v>
      </c>
      <c r="D3" s="13" t="str">
        <f>IFERROR(VLOOKUP(C3,ghg_sort!$A$86:$B$512,2,0),0)</f>
        <v>Agriculture</v>
      </c>
      <c r="E3" s="13" t="s">
        <v>104</v>
      </c>
      <c r="F3" s="13">
        <f>IFERROR(VLOOKUP($E3,ghg_sort!$A$3:$B$21,2,0),0)</f>
        <v>25</v>
      </c>
      <c r="G3" s="13">
        <f>T3*$F3</f>
        <v>0.99247552500000003</v>
      </c>
      <c r="H3" s="13">
        <f t="shared" ref="H3:Q3" si="0">U3*$F3</f>
        <v>1.033558025</v>
      </c>
      <c r="I3" s="13">
        <f t="shared" si="0"/>
        <v>1.7732504999999998</v>
      </c>
      <c r="J3" s="13">
        <f t="shared" si="0"/>
        <v>1.8104767500000001</v>
      </c>
      <c r="K3" s="13">
        <f t="shared" si="0"/>
        <v>2.0142859999999998</v>
      </c>
      <c r="L3" s="13">
        <f t="shared" si="0"/>
        <v>2.1975167500000001</v>
      </c>
      <c r="M3" s="13">
        <f t="shared" si="0"/>
        <v>2.3358367499999972</v>
      </c>
      <c r="N3" s="13">
        <f t="shared" si="0"/>
        <v>2.4460152499999999</v>
      </c>
      <c r="O3" s="13">
        <f t="shared" si="0"/>
        <v>2.5250015000000001</v>
      </c>
      <c r="P3" s="13">
        <f t="shared" si="0"/>
        <v>2.5900507500000001</v>
      </c>
      <c r="Q3" s="13">
        <f t="shared" si="0"/>
        <v>2.6283972499999999</v>
      </c>
      <c r="R3" s="13" t="s">
        <v>193</v>
      </c>
      <c r="S3" s="13"/>
      <c r="T3" s="62">
        <v>3.9699021000000001E-2</v>
      </c>
      <c r="U3" s="62">
        <v>4.1342321000000001E-2</v>
      </c>
      <c r="V3" s="62">
        <v>7.0930019999999996E-2</v>
      </c>
      <c r="W3" s="62">
        <v>7.2419070000000002E-2</v>
      </c>
      <c r="X3" s="62">
        <v>8.0571439999999994E-2</v>
      </c>
      <c r="Y3" s="62">
        <v>8.790067E-2</v>
      </c>
      <c r="Z3" s="62">
        <v>9.3433469999999894E-2</v>
      </c>
      <c r="AA3" s="62">
        <v>9.7840609999999995E-2</v>
      </c>
      <c r="AB3" s="62">
        <v>0.10100006</v>
      </c>
      <c r="AC3" s="62">
        <v>0.10360203</v>
      </c>
      <c r="AD3" s="62">
        <v>0.10513589</v>
      </c>
      <c r="AE3" t="s">
        <v>93</v>
      </c>
    </row>
    <row r="4" spans="1:31">
      <c r="A4" s="13" t="s">
        <v>267</v>
      </c>
      <c r="B4" s="13" t="s">
        <v>1</v>
      </c>
      <c r="C4" s="13" t="s">
        <v>201</v>
      </c>
      <c r="D4" s="13" t="str">
        <f>IFERROR(VLOOKUP(C4,ghg_sort!$A$86:$B$512,2,0),0)</f>
        <v>Agriculture</v>
      </c>
      <c r="E4" s="13" t="s">
        <v>101</v>
      </c>
      <c r="F4" s="13">
        <f>IFERROR(VLOOKUP($E4,ghg_sort!$A$3:$B$21,2,0),0)</f>
        <v>298</v>
      </c>
      <c r="G4" s="13">
        <f t="shared" ref="G4:G67" si="1">T4*$F4</f>
        <v>0.38681961519999997</v>
      </c>
      <c r="H4" s="13">
        <f t="shared" ref="H4:H67" si="2">U4*$F4</f>
        <v>0.44792517080000005</v>
      </c>
      <c r="I4" s="13">
        <f t="shared" ref="I4:I67" si="3">V4*$F4</f>
        <v>0.77636214579999996</v>
      </c>
      <c r="J4" s="13">
        <f t="shared" ref="J4:J67" si="4">W4*$F4</f>
        <v>0.7945247392</v>
      </c>
      <c r="K4" s="13">
        <f t="shared" ref="K4:K67" si="5">X4*$F4</f>
        <v>0.88396568439999701</v>
      </c>
      <c r="L4" s="13">
        <f t="shared" ref="L4:L67" si="6">Y4*$F4</f>
        <v>0.96437851099999994</v>
      </c>
      <c r="M4" s="13">
        <f t="shared" ref="M4:M67" si="7">Z4*$F4</f>
        <v>1.0250797104</v>
      </c>
      <c r="N4" s="13">
        <f t="shared" ref="N4:N67" si="8">AA4*$F4</f>
        <v>1.0734297931999999</v>
      </c>
      <c r="O4" s="13">
        <f t="shared" ref="O4:O67" si="9">AB4*$F4</f>
        <v>1.1080943154</v>
      </c>
      <c r="P4" s="13">
        <f t="shared" ref="P4:P67" si="10">AC4*$F4</f>
        <v>1.1366412552</v>
      </c>
      <c r="Q4" s="13">
        <f t="shared" ref="Q4:Q67" si="11">AD4*$F4</f>
        <v>1.1534685404</v>
      </c>
      <c r="R4" s="13" t="s">
        <v>193</v>
      </c>
      <c r="S4" s="13"/>
      <c r="T4" s="62">
        <v>1.2980524E-3</v>
      </c>
      <c r="U4" s="62">
        <v>1.5031046000000001E-3</v>
      </c>
      <c r="V4" s="62">
        <v>2.6052420999999998E-3</v>
      </c>
      <c r="W4" s="62">
        <v>2.6661903999999998E-3</v>
      </c>
      <c r="X4" s="62">
        <v>2.9663277999999898E-3</v>
      </c>
      <c r="Y4" s="62">
        <v>3.2361694999999998E-3</v>
      </c>
      <c r="Z4" s="62">
        <v>3.4398648000000002E-3</v>
      </c>
      <c r="AA4" s="62">
        <v>3.6021133999999998E-3</v>
      </c>
      <c r="AB4" s="62">
        <v>3.7184372999999999E-3</v>
      </c>
      <c r="AC4" s="62">
        <v>3.8142324E-3</v>
      </c>
      <c r="AD4" s="62">
        <v>3.8706997999999999E-3</v>
      </c>
      <c r="AE4" t="s">
        <v>93</v>
      </c>
    </row>
    <row r="5" spans="1:31">
      <c r="A5" s="13" t="s">
        <v>267</v>
      </c>
      <c r="B5" s="13" t="s">
        <v>1</v>
      </c>
      <c r="C5" s="13" t="s">
        <v>201</v>
      </c>
      <c r="D5" s="13" t="str">
        <f>IFERROR(VLOOKUP(C5,ghg_sort!$A$86:$B$512,2,0),0)</f>
        <v>Agriculture</v>
      </c>
      <c r="E5" s="13" t="s">
        <v>202</v>
      </c>
      <c r="F5" s="13">
        <f>IFERROR(VLOOKUP($E5,ghg_sort!$A$3:$B$21,2,0),0)</f>
        <v>0</v>
      </c>
      <c r="G5" s="13">
        <f t="shared" si="1"/>
        <v>0</v>
      </c>
      <c r="H5" s="13">
        <f t="shared" si="2"/>
        <v>0</v>
      </c>
      <c r="I5" s="13">
        <f t="shared" si="3"/>
        <v>0</v>
      </c>
      <c r="J5" s="13">
        <f t="shared" si="4"/>
        <v>0</v>
      </c>
      <c r="K5" s="13">
        <f t="shared" si="5"/>
        <v>0</v>
      </c>
      <c r="L5" s="13">
        <f t="shared" si="6"/>
        <v>0</v>
      </c>
      <c r="M5" s="13">
        <f t="shared" si="7"/>
        <v>0</v>
      </c>
      <c r="N5" s="13">
        <f t="shared" si="8"/>
        <v>0</v>
      </c>
      <c r="O5" s="13">
        <f t="shared" si="9"/>
        <v>0</v>
      </c>
      <c r="P5" s="13">
        <f t="shared" si="10"/>
        <v>0</v>
      </c>
      <c r="Q5" s="13">
        <f t="shared" si="11"/>
        <v>0</v>
      </c>
      <c r="R5" s="13" t="s">
        <v>193</v>
      </c>
      <c r="S5" s="13"/>
      <c r="T5" s="62">
        <v>1.1704479E-2</v>
      </c>
      <c r="U5" s="62">
        <v>1.2114076E-2</v>
      </c>
      <c r="V5" s="62">
        <v>1.6957112999999999E-2</v>
      </c>
      <c r="W5" s="62">
        <v>1.8404225E-2</v>
      </c>
      <c r="X5" s="62">
        <v>2.0699598999999999E-2</v>
      </c>
      <c r="Y5" s="62">
        <v>2.2831819999999999E-2</v>
      </c>
      <c r="Z5" s="62">
        <v>2.4539846000000001E-2</v>
      </c>
      <c r="AA5" s="62">
        <v>2.5987403999999999E-2</v>
      </c>
      <c r="AB5" s="62">
        <v>2.7132824E-2</v>
      </c>
      <c r="AC5" s="62">
        <v>2.7831852000000001E-2</v>
      </c>
      <c r="AD5" s="62">
        <v>2.8243924E-2</v>
      </c>
      <c r="AE5" t="s">
        <v>93</v>
      </c>
    </row>
    <row r="6" spans="1:31">
      <c r="A6" s="13" t="s">
        <v>267</v>
      </c>
      <c r="B6" s="13" t="s">
        <v>1</v>
      </c>
      <c r="C6" s="13" t="s">
        <v>201</v>
      </c>
      <c r="D6" s="13" t="str">
        <f>IFERROR(VLOOKUP(C6,ghg_sort!$A$86:$B$512,2,0),0)</f>
        <v>Agriculture</v>
      </c>
      <c r="E6" s="13" t="s">
        <v>203</v>
      </c>
      <c r="F6" s="13">
        <f>IFERROR(VLOOKUP($E6,ghg_sort!$A$3:$B$21,2,0),0)</f>
        <v>0</v>
      </c>
      <c r="G6" s="13">
        <f t="shared" si="1"/>
        <v>0</v>
      </c>
      <c r="H6" s="13">
        <f t="shared" si="2"/>
        <v>0</v>
      </c>
      <c r="I6" s="13">
        <f t="shared" si="3"/>
        <v>0</v>
      </c>
      <c r="J6" s="13">
        <f t="shared" si="4"/>
        <v>0</v>
      </c>
      <c r="K6" s="13">
        <f t="shared" si="5"/>
        <v>0</v>
      </c>
      <c r="L6" s="13">
        <f t="shared" si="6"/>
        <v>0</v>
      </c>
      <c r="M6" s="13">
        <f t="shared" si="7"/>
        <v>0</v>
      </c>
      <c r="N6" s="13">
        <f t="shared" si="8"/>
        <v>0</v>
      </c>
      <c r="O6" s="13">
        <f t="shared" si="9"/>
        <v>0</v>
      </c>
      <c r="P6" s="13">
        <f t="shared" si="10"/>
        <v>0</v>
      </c>
      <c r="Q6" s="13">
        <f t="shared" si="11"/>
        <v>0</v>
      </c>
      <c r="R6" s="13" t="s">
        <v>193</v>
      </c>
      <c r="S6" s="13"/>
      <c r="T6" s="62">
        <v>4.5667601E-3</v>
      </c>
      <c r="U6" s="62">
        <v>6.9354789999999996E-3</v>
      </c>
      <c r="V6" s="62">
        <v>1.22145179999999E-2</v>
      </c>
      <c r="W6" s="62">
        <v>1.3038045999999999E-2</v>
      </c>
      <c r="X6" s="62">
        <v>1.4664152999999999E-2</v>
      </c>
      <c r="Y6" s="62">
        <v>1.6174682999999999E-2</v>
      </c>
      <c r="Z6" s="62">
        <v>1.7384690000000001E-2</v>
      </c>
      <c r="AA6" s="62">
        <v>1.8410163E-2</v>
      </c>
      <c r="AB6" s="62">
        <v>1.9221649E-2</v>
      </c>
      <c r="AC6" s="62">
        <v>1.9716838E-2</v>
      </c>
      <c r="AD6" s="62">
        <v>2.0008748E-2</v>
      </c>
      <c r="AE6" t="s">
        <v>93</v>
      </c>
    </row>
    <row r="7" spans="1:31">
      <c r="A7" s="13" t="s">
        <v>267</v>
      </c>
      <c r="B7" s="13" t="s">
        <v>1</v>
      </c>
      <c r="C7" s="13" t="s">
        <v>201</v>
      </c>
      <c r="D7" s="13" t="str">
        <f>IFERROR(VLOOKUP(C7,ghg_sort!$A$86:$B$512,2,0),0)</f>
        <v>Agriculture</v>
      </c>
      <c r="E7" s="13" t="s">
        <v>204</v>
      </c>
      <c r="F7" s="13">
        <f>IFERROR(VLOOKUP($E7,ghg_sort!$A$3:$B$21,2,0),0)</f>
        <v>0</v>
      </c>
      <c r="G7" s="13">
        <f t="shared" si="1"/>
        <v>0</v>
      </c>
      <c r="H7" s="13">
        <f t="shared" si="2"/>
        <v>0</v>
      </c>
      <c r="I7" s="13">
        <f t="shared" si="3"/>
        <v>0</v>
      </c>
      <c r="J7" s="13">
        <f t="shared" si="4"/>
        <v>0</v>
      </c>
      <c r="K7" s="13">
        <f t="shared" si="5"/>
        <v>0</v>
      </c>
      <c r="L7" s="13">
        <f t="shared" si="6"/>
        <v>0</v>
      </c>
      <c r="M7" s="13">
        <f t="shared" si="7"/>
        <v>0</v>
      </c>
      <c r="N7" s="13">
        <f t="shared" si="8"/>
        <v>0</v>
      </c>
      <c r="O7" s="13">
        <f t="shared" si="9"/>
        <v>0</v>
      </c>
      <c r="P7" s="13">
        <f t="shared" si="10"/>
        <v>0</v>
      </c>
      <c r="Q7" s="13">
        <f t="shared" si="11"/>
        <v>0</v>
      </c>
      <c r="R7" s="13" t="s">
        <v>193</v>
      </c>
      <c r="S7" s="13"/>
      <c r="T7" s="63">
        <v>5.4373659999999995E-4</v>
      </c>
      <c r="U7" s="63">
        <v>7.0553919999999902E-4</v>
      </c>
      <c r="V7" s="62">
        <v>1.2299593E-3</v>
      </c>
      <c r="W7" s="62">
        <v>1.25048069999999E-3</v>
      </c>
      <c r="X7" s="62">
        <v>1.4064404999999901E-3</v>
      </c>
      <c r="Y7" s="62">
        <v>1.5513149999999999E-3</v>
      </c>
      <c r="Z7" s="62">
        <v>1.6673687E-3</v>
      </c>
      <c r="AA7" s="62">
        <v>1.7657223000000001E-3</v>
      </c>
      <c r="AB7" s="62">
        <v>1.8435508999999899E-3</v>
      </c>
      <c r="AC7" s="62">
        <v>1.8910438000000001E-3</v>
      </c>
      <c r="AD7" s="62">
        <v>1.9190417999999901E-3</v>
      </c>
      <c r="AE7" t="s">
        <v>93</v>
      </c>
    </row>
    <row r="8" spans="1:31">
      <c r="A8" s="13" t="s">
        <v>267</v>
      </c>
      <c r="B8" s="13" t="s">
        <v>1</v>
      </c>
      <c r="C8" s="13" t="s">
        <v>205</v>
      </c>
      <c r="D8" s="13" t="str">
        <f>IFERROR(VLOOKUP(C8,ghg_sort!$A$86:$B$512,2,0),0)</f>
        <v>Agriculture</v>
      </c>
      <c r="E8" s="13" t="s">
        <v>206</v>
      </c>
      <c r="F8" s="13">
        <f>IFERROR(VLOOKUP($E8,ghg_sort!$A$3:$B$21,2,0),0)</f>
        <v>0</v>
      </c>
      <c r="G8" s="13">
        <f t="shared" si="1"/>
        <v>0</v>
      </c>
      <c r="H8" s="13">
        <f t="shared" si="2"/>
        <v>0</v>
      </c>
      <c r="I8" s="13">
        <f t="shared" si="3"/>
        <v>0</v>
      </c>
      <c r="J8" s="13">
        <f t="shared" si="4"/>
        <v>0</v>
      </c>
      <c r="K8" s="13">
        <f t="shared" si="5"/>
        <v>0</v>
      </c>
      <c r="L8" s="13">
        <f t="shared" si="6"/>
        <v>0</v>
      </c>
      <c r="M8" s="13">
        <f t="shared" si="7"/>
        <v>0</v>
      </c>
      <c r="N8" s="13">
        <f t="shared" si="8"/>
        <v>0</v>
      </c>
      <c r="O8" s="13">
        <f t="shared" si="9"/>
        <v>0</v>
      </c>
      <c r="P8" s="13">
        <f t="shared" si="10"/>
        <v>0</v>
      </c>
      <c r="Q8" s="13">
        <f t="shared" si="11"/>
        <v>0</v>
      </c>
      <c r="R8" s="13" t="s">
        <v>193</v>
      </c>
      <c r="S8" s="13"/>
      <c r="T8" s="63">
        <v>1.1246E-6</v>
      </c>
      <c r="U8" s="63">
        <v>9.540000000000001E-7</v>
      </c>
      <c r="V8" s="63">
        <v>1.63201699999999E-5</v>
      </c>
      <c r="W8" s="63">
        <v>1.5337950000000001E-5</v>
      </c>
      <c r="X8" s="63">
        <v>1.095355E-5</v>
      </c>
      <c r="Y8" s="63">
        <v>7.0175899999999997E-6</v>
      </c>
      <c r="Z8" s="63">
        <v>7.0323800000000001E-6</v>
      </c>
      <c r="AA8" s="63">
        <v>7.34942E-6</v>
      </c>
      <c r="AB8" s="63">
        <v>7.8704899999999996E-6</v>
      </c>
      <c r="AC8" s="63">
        <v>8.8780200000000001E-6</v>
      </c>
      <c r="AD8" s="63">
        <v>9.8734699999999992E-6</v>
      </c>
      <c r="AE8" t="s">
        <v>93</v>
      </c>
    </row>
    <row r="9" spans="1:31">
      <c r="A9" s="13" t="s">
        <v>267</v>
      </c>
      <c r="B9" s="13" t="s">
        <v>1</v>
      </c>
      <c r="C9" s="13" t="s">
        <v>205</v>
      </c>
      <c r="D9" s="13" t="str">
        <f>IFERROR(VLOOKUP(C9,ghg_sort!$A$86:$B$512,2,0),0)</f>
        <v>Agriculture</v>
      </c>
      <c r="E9" s="13" t="s">
        <v>105</v>
      </c>
      <c r="F9" s="13">
        <f>IFERROR(VLOOKUP($E9,ghg_sort!$A$3:$B$21,2,0),0)</f>
        <v>25</v>
      </c>
      <c r="G9" s="13">
        <f t="shared" si="1"/>
        <v>2.1817249999999999E-4</v>
      </c>
      <c r="H9" s="13">
        <f t="shared" si="2"/>
        <v>1.8506749999999976E-4</v>
      </c>
      <c r="I9" s="13">
        <f t="shared" si="3"/>
        <v>1.9603949999999999E-4</v>
      </c>
      <c r="J9" s="13">
        <f t="shared" si="4"/>
        <v>1.84241E-4</v>
      </c>
      <c r="K9" s="13">
        <f t="shared" si="5"/>
        <v>1.3157474999999977E-4</v>
      </c>
      <c r="L9" s="13">
        <f t="shared" si="6"/>
        <v>8.4295750000000003E-5</v>
      </c>
      <c r="M9" s="13">
        <f t="shared" si="7"/>
        <v>8.4473499999999997E-5</v>
      </c>
      <c r="N9" s="13">
        <f t="shared" si="8"/>
        <v>8.8281750000000002E-5</v>
      </c>
      <c r="O9" s="13">
        <f t="shared" si="9"/>
        <v>9.4541250000000006E-5</v>
      </c>
      <c r="P9" s="13">
        <f t="shared" si="10"/>
        <v>1.066435E-4</v>
      </c>
      <c r="Q9" s="13">
        <f t="shared" si="11"/>
        <v>1.18601E-4</v>
      </c>
      <c r="R9" s="13" t="s">
        <v>193</v>
      </c>
      <c r="S9" s="13"/>
      <c r="T9" s="63">
        <v>8.7268999999999994E-6</v>
      </c>
      <c r="U9" s="63">
        <v>7.4026999999999901E-6</v>
      </c>
      <c r="V9" s="63">
        <v>7.8415799999999999E-6</v>
      </c>
      <c r="W9" s="63">
        <v>7.36964E-6</v>
      </c>
      <c r="X9" s="63">
        <v>5.2629899999999902E-6</v>
      </c>
      <c r="Y9" s="63">
        <v>3.37183E-6</v>
      </c>
      <c r="Z9" s="63">
        <v>3.3789399999999998E-6</v>
      </c>
      <c r="AA9" s="63">
        <v>3.53127E-6</v>
      </c>
      <c r="AB9" s="63">
        <v>3.78165E-6</v>
      </c>
      <c r="AC9" s="63">
        <v>4.2657399999999999E-6</v>
      </c>
      <c r="AD9" s="63">
        <v>4.7440400000000001E-6</v>
      </c>
      <c r="AE9" t="s">
        <v>93</v>
      </c>
    </row>
    <row r="10" spans="1:31">
      <c r="A10" s="13" t="s">
        <v>267</v>
      </c>
      <c r="B10" s="13" t="s">
        <v>1</v>
      </c>
      <c r="C10" s="13" t="s">
        <v>205</v>
      </c>
      <c r="D10" s="13" t="str">
        <f>IFERROR(VLOOKUP(C10,ghg_sort!$A$86:$B$512,2,0),0)</f>
        <v>Agriculture</v>
      </c>
      <c r="E10" s="13" t="s">
        <v>207</v>
      </c>
      <c r="F10" s="13">
        <f>IFERROR(VLOOKUP($E10,ghg_sort!$A$3:$B$21,2,0),0)</f>
        <v>0</v>
      </c>
      <c r="G10" s="13">
        <f t="shared" si="1"/>
        <v>0</v>
      </c>
      <c r="H10" s="13">
        <f t="shared" si="2"/>
        <v>0</v>
      </c>
      <c r="I10" s="13">
        <f t="shared" si="3"/>
        <v>0</v>
      </c>
      <c r="J10" s="13">
        <f t="shared" si="4"/>
        <v>0</v>
      </c>
      <c r="K10" s="13">
        <f t="shared" si="5"/>
        <v>0</v>
      </c>
      <c r="L10" s="13">
        <f t="shared" si="6"/>
        <v>0</v>
      </c>
      <c r="M10" s="13">
        <f t="shared" si="7"/>
        <v>0</v>
      </c>
      <c r="N10" s="13">
        <f t="shared" si="8"/>
        <v>0</v>
      </c>
      <c r="O10" s="13">
        <f t="shared" si="9"/>
        <v>0</v>
      </c>
      <c r="P10" s="13">
        <f t="shared" si="10"/>
        <v>0</v>
      </c>
      <c r="Q10" s="13">
        <f t="shared" si="11"/>
        <v>0</v>
      </c>
      <c r="R10" s="13" t="s">
        <v>193</v>
      </c>
      <c r="S10" s="13"/>
      <c r="T10" s="63">
        <v>1.5294500000000001E-4</v>
      </c>
      <c r="U10" s="63">
        <v>1.297375E-4</v>
      </c>
      <c r="V10" s="63">
        <v>1.3742909999999901E-4</v>
      </c>
      <c r="W10" s="63">
        <v>1.2915799999999901E-4</v>
      </c>
      <c r="X10" s="63">
        <v>9.22377E-5</v>
      </c>
      <c r="Y10" s="63">
        <v>5.90937E-5</v>
      </c>
      <c r="Z10" s="63">
        <v>5.92182999999999E-5</v>
      </c>
      <c r="AA10" s="63">
        <v>6.1888000000000001E-5</v>
      </c>
      <c r="AB10" s="63">
        <v>6.6275899999999993E-5</v>
      </c>
      <c r="AC10" s="63">
        <v>7.4760100000000003E-5</v>
      </c>
      <c r="AD10" s="63">
        <v>8.3142599999999999E-5</v>
      </c>
      <c r="AE10" t="s">
        <v>93</v>
      </c>
    </row>
    <row r="11" spans="1:31">
      <c r="A11" s="13" t="s">
        <v>267</v>
      </c>
      <c r="B11" s="13" t="s">
        <v>1</v>
      </c>
      <c r="C11" s="13" t="s">
        <v>205</v>
      </c>
      <c r="D11" s="13" t="str">
        <f>IFERROR(VLOOKUP(C11,ghg_sort!$A$86:$B$512,2,0),0)</f>
        <v>Agriculture</v>
      </c>
      <c r="E11" s="13" t="s">
        <v>208</v>
      </c>
      <c r="F11" s="13">
        <f>IFERROR(VLOOKUP($E11,ghg_sort!$A$3:$B$21,2,0),0)</f>
        <v>0</v>
      </c>
      <c r="G11" s="13">
        <f t="shared" si="1"/>
        <v>0</v>
      </c>
      <c r="H11" s="13">
        <f t="shared" si="2"/>
        <v>0</v>
      </c>
      <c r="I11" s="13">
        <f t="shared" si="3"/>
        <v>0</v>
      </c>
      <c r="J11" s="13">
        <f t="shared" si="4"/>
        <v>0</v>
      </c>
      <c r="K11" s="13">
        <f t="shared" si="5"/>
        <v>0</v>
      </c>
      <c r="L11" s="13">
        <f t="shared" si="6"/>
        <v>0</v>
      </c>
      <c r="M11" s="13">
        <f t="shared" si="7"/>
        <v>0</v>
      </c>
      <c r="N11" s="13">
        <f t="shared" si="8"/>
        <v>0</v>
      </c>
      <c r="O11" s="13">
        <f t="shared" si="9"/>
        <v>0</v>
      </c>
      <c r="P11" s="13">
        <f t="shared" si="10"/>
        <v>0</v>
      </c>
      <c r="Q11" s="13">
        <f t="shared" si="11"/>
        <v>0</v>
      </c>
      <c r="R11" s="13" t="s">
        <v>193</v>
      </c>
      <c r="S11" s="13"/>
      <c r="T11" s="63">
        <v>3.5406999999999998E-6</v>
      </c>
      <c r="U11" s="63">
        <v>3.0081999999999998E-6</v>
      </c>
      <c r="V11" s="63">
        <v>3.18655E-6</v>
      </c>
      <c r="W11" s="63">
        <v>2.9947700000000001E-6</v>
      </c>
      <c r="X11" s="63">
        <v>2.1386970000000001E-6</v>
      </c>
      <c r="Y11" s="63">
        <v>1.3701959999999999E-6</v>
      </c>
      <c r="Z11" s="63">
        <v>1.373085E-6</v>
      </c>
      <c r="AA11" s="63">
        <v>1.4349860000000001E-6</v>
      </c>
      <c r="AB11" s="63">
        <v>1.536728E-6</v>
      </c>
      <c r="AC11" s="63">
        <v>1.733453E-6</v>
      </c>
      <c r="AD11" s="63">
        <v>1.9278169999999998E-6</v>
      </c>
      <c r="AE11" t="s">
        <v>93</v>
      </c>
    </row>
    <row r="12" spans="1:31">
      <c r="A12" s="13" t="s">
        <v>267</v>
      </c>
      <c r="B12" s="13" t="s">
        <v>1</v>
      </c>
      <c r="C12" s="13" t="s">
        <v>205</v>
      </c>
      <c r="D12" s="13" t="str">
        <f>IFERROR(VLOOKUP(C12,ghg_sort!$A$86:$B$512,2,0),0)</f>
        <v>Agriculture</v>
      </c>
      <c r="E12" s="13" t="s">
        <v>101</v>
      </c>
      <c r="F12" s="13">
        <f>IFERROR(VLOOKUP($E12,ghg_sort!$A$3:$B$21,2,0),0)</f>
        <v>298</v>
      </c>
      <c r="G12" s="13">
        <f t="shared" si="1"/>
        <v>4.6037364399999704E-2</v>
      </c>
      <c r="H12" s="13">
        <f t="shared" si="2"/>
        <v>4.6858235200000001E-2</v>
      </c>
      <c r="I12" s="13">
        <f t="shared" si="3"/>
        <v>4.0786872600000003E-2</v>
      </c>
      <c r="J12" s="13">
        <f t="shared" si="4"/>
        <v>4.4116039199999998E-2</v>
      </c>
      <c r="K12" s="13">
        <f t="shared" si="5"/>
        <v>4.4855436799999995E-2</v>
      </c>
      <c r="L12" s="13">
        <f t="shared" si="6"/>
        <v>4.6225551400000002E-2</v>
      </c>
      <c r="M12" s="13">
        <f t="shared" si="7"/>
        <v>4.7533443600000003E-2</v>
      </c>
      <c r="N12" s="13">
        <f t="shared" si="8"/>
        <v>4.8619355599999997E-2</v>
      </c>
      <c r="O12" s="13">
        <f t="shared" si="9"/>
        <v>5.0934726199999995E-2</v>
      </c>
      <c r="P12" s="13">
        <f t="shared" si="10"/>
        <v>5.7454876799999999E-2</v>
      </c>
      <c r="Q12" s="13">
        <f t="shared" si="11"/>
        <v>6.3897189799999699E-2</v>
      </c>
      <c r="R12" s="13" t="s">
        <v>193</v>
      </c>
      <c r="S12" s="13"/>
      <c r="T12" s="63">
        <v>1.54487799999999E-4</v>
      </c>
      <c r="U12" s="63">
        <v>1.5724240000000001E-4</v>
      </c>
      <c r="V12" s="63">
        <v>1.368687E-4</v>
      </c>
      <c r="W12" s="63">
        <v>1.480404E-4</v>
      </c>
      <c r="X12" s="63">
        <v>1.5052159999999999E-4</v>
      </c>
      <c r="Y12" s="63">
        <v>1.551193E-4</v>
      </c>
      <c r="Z12" s="63">
        <v>1.5950820000000001E-4</v>
      </c>
      <c r="AA12" s="63">
        <v>1.631522E-4</v>
      </c>
      <c r="AB12" s="63">
        <v>1.7092189999999999E-4</v>
      </c>
      <c r="AC12" s="63">
        <v>1.928016E-4</v>
      </c>
      <c r="AD12" s="63">
        <v>2.14420099999999E-4</v>
      </c>
      <c r="AE12" t="s">
        <v>93</v>
      </c>
    </row>
    <row r="13" spans="1:31">
      <c r="A13" s="13" t="s">
        <v>267</v>
      </c>
      <c r="B13" s="13" t="s">
        <v>1</v>
      </c>
      <c r="C13" s="13" t="s">
        <v>205</v>
      </c>
      <c r="D13" s="13" t="str">
        <f>IFERROR(VLOOKUP(C13,ghg_sort!$A$86:$B$512,2,0),0)</f>
        <v>Agriculture</v>
      </c>
      <c r="E13" s="13" t="s">
        <v>102</v>
      </c>
      <c r="F13" s="13">
        <f>IFERROR(VLOOKUP($E13,ghg_sort!$A$3:$B$21,2,0),0)</f>
        <v>298</v>
      </c>
      <c r="G13" s="13">
        <f t="shared" si="1"/>
        <v>4.4670199999999707E-5</v>
      </c>
      <c r="H13" s="13">
        <f t="shared" si="2"/>
        <v>3.7905599999999998E-5</v>
      </c>
      <c r="I13" s="13">
        <f t="shared" si="3"/>
        <v>4.0152847800000001E-5</v>
      </c>
      <c r="J13" s="13">
        <f t="shared" si="4"/>
        <v>3.7736306199999999E-5</v>
      </c>
      <c r="K13" s="13">
        <f t="shared" si="5"/>
        <v>2.6949212800000002E-5</v>
      </c>
      <c r="L13" s="13">
        <f t="shared" si="6"/>
        <v>1.7265523999999998E-5</v>
      </c>
      <c r="M13" s="13">
        <f t="shared" si="7"/>
        <v>1.7301909799999999E-5</v>
      </c>
      <c r="N13" s="13">
        <f t="shared" si="8"/>
        <v>1.8081924799999999E-5</v>
      </c>
      <c r="O13" s="13">
        <f t="shared" si="9"/>
        <v>1.9363920799999997E-5</v>
      </c>
      <c r="P13" s="13">
        <f t="shared" si="10"/>
        <v>2.1842774199999999E-5</v>
      </c>
      <c r="Q13" s="13">
        <f t="shared" si="11"/>
        <v>2.4291917E-5</v>
      </c>
      <c r="R13" s="13" t="s">
        <v>193</v>
      </c>
      <c r="S13" s="13"/>
      <c r="T13" s="63">
        <v>1.4989999999999901E-7</v>
      </c>
      <c r="U13" s="63">
        <v>1.272E-7</v>
      </c>
      <c r="V13" s="63">
        <v>1.3474109999999999E-7</v>
      </c>
      <c r="W13" s="63">
        <v>1.266319E-7</v>
      </c>
      <c r="X13" s="63">
        <v>9.0433600000000006E-8</v>
      </c>
      <c r="Y13" s="63">
        <v>5.7937999999999999E-8</v>
      </c>
      <c r="Z13" s="63">
        <v>5.8060099999999997E-8</v>
      </c>
      <c r="AA13" s="63">
        <v>6.0677600000000001E-8</v>
      </c>
      <c r="AB13" s="63">
        <v>6.4979599999999995E-8</v>
      </c>
      <c r="AC13" s="63">
        <v>7.3297899999999994E-8</v>
      </c>
      <c r="AD13" s="63">
        <v>8.1516500000000001E-8</v>
      </c>
      <c r="AE13" t="s">
        <v>93</v>
      </c>
    </row>
    <row r="14" spans="1:31">
      <c r="A14" s="13" t="s">
        <v>267</v>
      </c>
      <c r="B14" s="13" t="s">
        <v>1</v>
      </c>
      <c r="C14" s="13" t="s">
        <v>205</v>
      </c>
      <c r="D14" s="13" t="str">
        <f>IFERROR(VLOOKUP(C14,ghg_sort!$A$86:$B$512,2,0),0)</f>
        <v>Agriculture</v>
      </c>
      <c r="E14" s="13" t="s">
        <v>202</v>
      </c>
      <c r="F14" s="13">
        <f>IFERROR(VLOOKUP($E14,ghg_sort!$A$3:$B$21,2,0),0)</f>
        <v>0</v>
      </c>
      <c r="G14" s="13">
        <f t="shared" si="1"/>
        <v>0</v>
      </c>
      <c r="H14" s="13">
        <f t="shared" si="2"/>
        <v>0</v>
      </c>
      <c r="I14" s="13">
        <f t="shared" si="3"/>
        <v>0</v>
      </c>
      <c r="J14" s="13">
        <f t="shared" si="4"/>
        <v>0</v>
      </c>
      <c r="K14" s="13">
        <f t="shared" si="5"/>
        <v>0</v>
      </c>
      <c r="L14" s="13">
        <f t="shared" si="6"/>
        <v>0</v>
      </c>
      <c r="M14" s="13">
        <f t="shared" si="7"/>
        <v>0</v>
      </c>
      <c r="N14" s="13">
        <f t="shared" si="8"/>
        <v>0</v>
      </c>
      <c r="O14" s="13">
        <f t="shared" si="9"/>
        <v>0</v>
      </c>
      <c r="P14" s="13">
        <f t="shared" si="10"/>
        <v>0</v>
      </c>
      <c r="Q14" s="13">
        <f t="shared" si="11"/>
        <v>0</v>
      </c>
      <c r="R14" s="13" t="s">
        <v>193</v>
      </c>
      <c r="S14" s="13"/>
      <c r="T14" s="63">
        <v>8.8997200000000005E-4</v>
      </c>
      <c r="U14" s="63">
        <v>9.5202500000000001E-4</v>
      </c>
      <c r="V14" s="63">
        <v>9.0653900000000004E-4</v>
      </c>
      <c r="W14" s="63">
        <v>9.3075999999999999E-4</v>
      </c>
      <c r="X14" s="63">
        <v>9.6567300000000001E-4</v>
      </c>
      <c r="Y14" s="62">
        <v>1.015902E-3</v>
      </c>
      <c r="Z14" s="62">
        <v>1.066872E-3</v>
      </c>
      <c r="AA14" s="62">
        <v>1.1149689999999999E-3</v>
      </c>
      <c r="AB14" s="62">
        <v>1.194021E-3</v>
      </c>
      <c r="AC14" s="62">
        <v>1.3468709999999999E-3</v>
      </c>
      <c r="AD14" s="62">
        <v>1.49789E-3</v>
      </c>
      <c r="AE14" t="s">
        <v>93</v>
      </c>
    </row>
    <row r="15" spans="1:31">
      <c r="A15" s="13" t="s">
        <v>267</v>
      </c>
      <c r="B15" s="13" t="s">
        <v>1</v>
      </c>
      <c r="C15" s="13" t="s">
        <v>205</v>
      </c>
      <c r="D15" s="13" t="str">
        <f>IFERROR(VLOOKUP(C15,ghg_sort!$A$86:$B$512,2,0),0)</f>
        <v>Agriculture</v>
      </c>
      <c r="E15" s="13" t="s">
        <v>209</v>
      </c>
      <c r="F15" s="13">
        <f>IFERROR(VLOOKUP($E15,ghg_sort!$A$3:$B$21,2,0),0)</f>
        <v>0</v>
      </c>
      <c r="G15" s="13">
        <f t="shared" si="1"/>
        <v>0</v>
      </c>
      <c r="H15" s="13">
        <f t="shared" si="2"/>
        <v>0</v>
      </c>
      <c r="I15" s="13">
        <f t="shared" si="3"/>
        <v>0</v>
      </c>
      <c r="J15" s="13">
        <f t="shared" si="4"/>
        <v>0</v>
      </c>
      <c r="K15" s="13">
        <f t="shared" si="5"/>
        <v>0</v>
      </c>
      <c r="L15" s="13">
        <f t="shared" si="6"/>
        <v>0</v>
      </c>
      <c r="M15" s="13">
        <f t="shared" si="7"/>
        <v>0</v>
      </c>
      <c r="N15" s="13">
        <f t="shared" si="8"/>
        <v>0</v>
      </c>
      <c r="O15" s="13">
        <f t="shared" si="9"/>
        <v>0</v>
      </c>
      <c r="P15" s="13">
        <f t="shared" si="10"/>
        <v>0</v>
      </c>
      <c r="Q15" s="13">
        <f t="shared" si="11"/>
        <v>0</v>
      </c>
      <c r="R15" s="13" t="s">
        <v>239</v>
      </c>
      <c r="S15" s="13"/>
      <c r="T15" s="63">
        <v>3.2538000000000001E-6</v>
      </c>
      <c r="U15" s="63">
        <v>2.7601000000000001E-6</v>
      </c>
      <c r="V15" s="63">
        <v>2.92373E-6</v>
      </c>
      <c r="W15" s="63">
        <v>2.74776999999999E-6</v>
      </c>
      <c r="X15" s="63">
        <v>1.9623120000000002E-6</v>
      </c>
      <c r="Y15" s="63">
        <v>1.2571899999999999E-6</v>
      </c>
      <c r="Z15" s="63">
        <v>1.25984E-6</v>
      </c>
      <c r="AA15" s="63">
        <v>1.316636E-6</v>
      </c>
      <c r="AB15" s="63">
        <v>1.4099869999999999E-6</v>
      </c>
      <c r="AC15" s="63">
        <v>1.5904789999999999E-6</v>
      </c>
      <c r="AD15" s="63">
        <v>1.7688159999999999E-6</v>
      </c>
      <c r="AE15" t="s">
        <v>93</v>
      </c>
    </row>
    <row r="16" spans="1:31">
      <c r="A16" s="13" t="s">
        <v>267</v>
      </c>
      <c r="B16" s="13" t="s">
        <v>1</v>
      </c>
      <c r="C16" s="13" t="s">
        <v>205</v>
      </c>
      <c r="D16" s="13" t="str">
        <f>IFERROR(VLOOKUP(C16,ghg_sort!$A$86:$B$512,2,0),0)</f>
        <v>Agriculture</v>
      </c>
      <c r="E16" s="13" t="s">
        <v>210</v>
      </c>
      <c r="F16" s="13">
        <f>IFERROR(VLOOKUP($E16,ghg_sort!$A$3:$B$21,2,0),0)</f>
        <v>0</v>
      </c>
      <c r="G16" s="13">
        <f t="shared" si="1"/>
        <v>0</v>
      </c>
      <c r="H16" s="13">
        <f t="shared" si="2"/>
        <v>0</v>
      </c>
      <c r="I16" s="13">
        <f t="shared" si="3"/>
        <v>0</v>
      </c>
      <c r="J16" s="13">
        <f t="shared" si="4"/>
        <v>0</v>
      </c>
      <c r="K16" s="13">
        <f t="shared" si="5"/>
        <v>0</v>
      </c>
      <c r="L16" s="13">
        <f t="shared" si="6"/>
        <v>0</v>
      </c>
      <c r="M16" s="13">
        <f t="shared" si="7"/>
        <v>0</v>
      </c>
      <c r="N16" s="13">
        <f t="shared" si="8"/>
        <v>0</v>
      </c>
      <c r="O16" s="13">
        <f t="shared" si="9"/>
        <v>0</v>
      </c>
      <c r="P16" s="13">
        <f t="shared" si="10"/>
        <v>0</v>
      </c>
      <c r="Q16" s="13">
        <f t="shared" si="11"/>
        <v>0</v>
      </c>
      <c r="R16" s="13" t="s">
        <v>239</v>
      </c>
      <c r="S16" s="13"/>
      <c r="T16" s="63">
        <v>3.6662999999999998E-5</v>
      </c>
      <c r="U16" s="63">
        <v>3.10456E-5</v>
      </c>
      <c r="V16" s="63">
        <v>3.2886199999999997E-5</v>
      </c>
      <c r="W16" s="63">
        <v>3.09069E-5</v>
      </c>
      <c r="X16" s="63">
        <v>2.207208E-5</v>
      </c>
      <c r="Y16" s="63">
        <v>1.414087E-5</v>
      </c>
      <c r="Z16" s="63">
        <v>1.417068E-5</v>
      </c>
      <c r="AA16" s="63">
        <v>1.4809519999999899E-5</v>
      </c>
      <c r="AB16" s="63">
        <v>1.585956E-5</v>
      </c>
      <c r="AC16" s="63">
        <v>1.7889799999999999E-5</v>
      </c>
      <c r="AD16" s="63">
        <v>1.9895679999999999E-5</v>
      </c>
      <c r="AE16" t="s">
        <v>93</v>
      </c>
    </row>
    <row r="17" spans="1:31">
      <c r="A17" s="13" t="s">
        <v>267</v>
      </c>
      <c r="B17" s="13" t="s">
        <v>1</v>
      </c>
      <c r="C17" s="13" t="s">
        <v>205</v>
      </c>
      <c r="D17" s="13" t="str">
        <f>IFERROR(VLOOKUP(C17,ghg_sort!$A$86:$B$512,2,0),0)</f>
        <v>Agriculture</v>
      </c>
      <c r="E17" s="13" t="s">
        <v>204</v>
      </c>
      <c r="F17" s="13">
        <f>IFERROR(VLOOKUP($E17,ghg_sort!$A$3:$B$21,2,0),0)</f>
        <v>0</v>
      </c>
      <c r="G17" s="13">
        <f t="shared" si="1"/>
        <v>0</v>
      </c>
      <c r="H17" s="13">
        <f t="shared" si="2"/>
        <v>0</v>
      </c>
      <c r="I17" s="13">
        <f t="shared" si="3"/>
        <v>0</v>
      </c>
      <c r="J17" s="13">
        <f t="shared" si="4"/>
        <v>0</v>
      </c>
      <c r="K17" s="13">
        <f t="shared" si="5"/>
        <v>0</v>
      </c>
      <c r="L17" s="13">
        <f t="shared" si="6"/>
        <v>0</v>
      </c>
      <c r="M17" s="13">
        <f t="shared" si="7"/>
        <v>0</v>
      </c>
      <c r="N17" s="13">
        <f t="shared" si="8"/>
        <v>0</v>
      </c>
      <c r="O17" s="13">
        <f t="shared" si="9"/>
        <v>0</v>
      </c>
      <c r="P17" s="13">
        <f t="shared" si="10"/>
        <v>0</v>
      </c>
      <c r="Q17" s="13">
        <f t="shared" si="11"/>
        <v>0</v>
      </c>
      <c r="R17" s="13" t="s">
        <v>239</v>
      </c>
      <c r="S17" s="13"/>
      <c r="T17" s="63">
        <v>7.46506E-5</v>
      </c>
      <c r="U17" s="63">
        <v>6.1217900000000002E-5</v>
      </c>
      <c r="V17" s="63">
        <v>6.1715699999999996E-5</v>
      </c>
      <c r="W17" s="63">
        <v>5.38679E-5</v>
      </c>
      <c r="X17" s="63">
        <v>5.5888599999999999E-5</v>
      </c>
      <c r="Y17" s="63">
        <v>5.8795599999999902E-5</v>
      </c>
      <c r="Z17" s="63">
        <v>6.17454E-5</v>
      </c>
      <c r="AA17" s="63">
        <v>6.4529099999999999E-5</v>
      </c>
      <c r="AB17" s="63">
        <v>6.9104199999999995E-5</v>
      </c>
      <c r="AC17" s="63">
        <v>7.7950399999999998E-5</v>
      </c>
      <c r="AD17" s="63">
        <v>8.6690699999999898E-5</v>
      </c>
      <c r="AE17" t="s">
        <v>93</v>
      </c>
    </row>
    <row r="18" spans="1:31">
      <c r="A18" s="13" t="s">
        <v>267</v>
      </c>
      <c r="B18" s="13" t="s">
        <v>1</v>
      </c>
      <c r="C18" s="13" t="s">
        <v>205</v>
      </c>
      <c r="D18" s="13" t="str">
        <f>IFERROR(VLOOKUP(C18,ghg_sort!$A$86:$B$512,2,0),0)</f>
        <v>Agriculture</v>
      </c>
      <c r="E18" s="13" t="s">
        <v>211</v>
      </c>
      <c r="F18" s="13">
        <f>IFERROR(VLOOKUP($E18,ghg_sort!$A$3:$B$21,2,0),0)</f>
        <v>0</v>
      </c>
      <c r="G18" s="13">
        <f t="shared" si="1"/>
        <v>0</v>
      </c>
      <c r="H18" s="13">
        <f t="shared" si="2"/>
        <v>0</v>
      </c>
      <c r="I18" s="13">
        <f t="shared" si="3"/>
        <v>0</v>
      </c>
      <c r="J18" s="13">
        <f t="shared" si="4"/>
        <v>0</v>
      </c>
      <c r="K18" s="13">
        <f t="shared" si="5"/>
        <v>0</v>
      </c>
      <c r="L18" s="13">
        <f t="shared" si="6"/>
        <v>0</v>
      </c>
      <c r="M18" s="13">
        <f t="shared" si="7"/>
        <v>0</v>
      </c>
      <c r="N18" s="13">
        <f t="shared" si="8"/>
        <v>0</v>
      </c>
      <c r="O18" s="13">
        <f t="shared" si="9"/>
        <v>0</v>
      </c>
      <c r="P18" s="13">
        <f t="shared" si="10"/>
        <v>0</v>
      </c>
      <c r="Q18" s="13">
        <f t="shared" si="11"/>
        <v>0</v>
      </c>
      <c r="R18" s="13" t="s">
        <v>239</v>
      </c>
      <c r="S18" s="13"/>
      <c r="T18" s="63">
        <v>4.6632999999999999E-6</v>
      </c>
      <c r="U18" s="63">
        <v>3.9557000000000001E-6</v>
      </c>
      <c r="V18" s="63">
        <v>4.1902199999999998E-6</v>
      </c>
      <c r="W18" s="63">
        <v>3.9380299999999998E-6</v>
      </c>
      <c r="X18" s="63">
        <v>2.81232999999999E-6</v>
      </c>
      <c r="Y18" s="63">
        <v>1.801768E-6</v>
      </c>
      <c r="Z18" s="63">
        <v>1.8055669999999899E-6</v>
      </c>
      <c r="AA18" s="63">
        <v>1.8869689999999899E-6</v>
      </c>
      <c r="AB18" s="63">
        <v>2.0207500000000001E-6</v>
      </c>
      <c r="AC18" s="63">
        <v>2.2794359999999999E-6</v>
      </c>
      <c r="AD18" s="63">
        <v>2.53502599999999E-6</v>
      </c>
      <c r="AE18" t="s">
        <v>93</v>
      </c>
    </row>
    <row r="19" spans="1:31">
      <c r="A19" s="13" t="s">
        <v>267</v>
      </c>
      <c r="B19" s="13" t="s">
        <v>1</v>
      </c>
      <c r="C19" s="13" t="s">
        <v>205</v>
      </c>
      <c r="D19" s="13" t="str">
        <f>IFERROR(VLOOKUP(C19,ghg_sort!$A$86:$B$512,2,0),0)</f>
        <v>Agriculture</v>
      </c>
      <c r="E19" s="13" t="s">
        <v>212</v>
      </c>
      <c r="F19" s="13">
        <f>IFERROR(VLOOKUP($E19,ghg_sort!$A$3:$B$21,2,0),0)</f>
        <v>0</v>
      </c>
      <c r="G19" s="13">
        <f t="shared" si="1"/>
        <v>0</v>
      </c>
      <c r="H19" s="13">
        <f t="shared" si="2"/>
        <v>0</v>
      </c>
      <c r="I19" s="13">
        <f t="shared" si="3"/>
        <v>0</v>
      </c>
      <c r="J19" s="13">
        <f t="shared" si="4"/>
        <v>0</v>
      </c>
      <c r="K19" s="13">
        <f t="shared" si="5"/>
        <v>0</v>
      </c>
      <c r="L19" s="13">
        <f t="shared" si="6"/>
        <v>0</v>
      </c>
      <c r="M19" s="13">
        <f t="shared" si="7"/>
        <v>0</v>
      </c>
      <c r="N19" s="13">
        <f t="shared" si="8"/>
        <v>0</v>
      </c>
      <c r="O19" s="13">
        <f t="shared" si="9"/>
        <v>0</v>
      </c>
      <c r="P19" s="13">
        <f t="shared" si="10"/>
        <v>0</v>
      </c>
      <c r="Q19" s="13">
        <f t="shared" si="11"/>
        <v>0</v>
      </c>
      <c r="R19" s="13" t="s">
        <v>239</v>
      </c>
      <c r="S19" s="13"/>
      <c r="T19" s="63">
        <v>3.4487999999999999E-6</v>
      </c>
      <c r="U19" s="63">
        <v>2.9255000000000002E-6</v>
      </c>
      <c r="V19" s="63">
        <v>7.8149400000000001E-5</v>
      </c>
      <c r="W19" s="63">
        <v>7.3446099999999995E-5</v>
      </c>
      <c r="X19" s="63">
        <v>5.2451299999999997E-5</v>
      </c>
      <c r="Y19" s="63">
        <v>3.3603799999999998E-5</v>
      </c>
      <c r="Z19" s="63">
        <v>3.3674699999999998E-5</v>
      </c>
      <c r="AA19" s="63">
        <v>3.51928E-5</v>
      </c>
      <c r="AB19" s="63">
        <v>3.7688000000000002E-5</v>
      </c>
      <c r="AC19" s="63">
        <v>4.2512599999999997E-5</v>
      </c>
      <c r="AD19" s="63">
        <v>4.72793E-5</v>
      </c>
      <c r="AE19" t="s">
        <v>93</v>
      </c>
    </row>
    <row r="20" spans="1:31">
      <c r="A20" s="13" t="s">
        <v>267</v>
      </c>
      <c r="B20" s="13" t="s">
        <v>1</v>
      </c>
      <c r="C20" s="13" t="s">
        <v>205</v>
      </c>
      <c r="D20" s="13" t="str">
        <f>IFERROR(VLOOKUP(C20,ghg_sort!$A$86:$B$512,2,0),0)</f>
        <v>Agriculture</v>
      </c>
      <c r="E20" s="13" t="s">
        <v>213</v>
      </c>
      <c r="F20" s="13">
        <f>IFERROR(VLOOKUP($E20,ghg_sort!$A$3:$B$21,2,0),0)</f>
        <v>0</v>
      </c>
      <c r="G20" s="13">
        <f t="shared" si="1"/>
        <v>0</v>
      </c>
      <c r="H20" s="13">
        <f t="shared" si="2"/>
        <v>0</v>
      </c>
      <c r="I20" s="13">
        <f t="shared" si="3"/>
        <v>0</v>
      </c>
      <c r="J20" s="13">
        <f t="shared" si="4"/>
        <v>0</v>
      </c>
      <c r="K20" s="13">
        <f t="shared" si="5"/>
        <v>0</v>
      </c>
      <c r="L20" s="13">
        <f t="shared" si="6"/>
        <v>0</v>
      </c>
      <c r="M20" s="13">
        <f t="shared" si="7"/>
        <v>0</v>
      </c>
      <c r="N20" s="13">
        <f t="shared" si="8"/>
        <v>0</v>
      </c>
      <c r="O20" s="13">
        <f t="shared" si="9"/>
        <v>0</v>
      </c>
      <c r="P20" s="13">
        <f t="shared" si="10"/>
        <v>0</v>
      </c>
      <c r="Q20" s="13">
        <f t="shared" si="11"/>
        <v>0</v>
      </c>
      <c r="R20" s="13" t="s">
        <v>239</v>
      </c>
      <c r="S20" s="13"/>
      <c r="T20" s="63">
        <v>5.9979999999999996E-7</v>
      </c>
      <c r="U20" s="63">
        <v>5.088E-7</v>
      </c>
      <c r="V20" s="63">
        <v>5.3896500000000004E-7</v>
      </c>
      <c r="W20" s="63">
        <v>5.0652699999999899E-7</v>
      </c>
      <c r="X20" s="63">
        <v>3.6173499999999998E-7</v>
      </c>
      <c r="Y20" s="63">
        <v>2.3175139999999999E-7</v>
      </c>
      <c r="Z20" s="63">
        <v>2.3224039999999999E-7</v>
      </c>
      <c r="AA20" s="63">
        <v>2.427104E-7</v>
      </c>
      <c r="AB20" s="63">
        <v>2.5991889999999999E-7</v>
      </c>
      <c r="AC20" s="63">
        <v>2.9319100000000002E-7</v>
      </c>
      <c r="AD20" s="63">
        <v>3.26066E-7</v>
      </c>
      <c r="AE20" t="s">
        <v>93</v>
      </c>
    </row>
    <row r="21" spans="1:31">
      <c r="A21" s="13" t="s">
        <v>267</v>
      </c>
      <c r="B21" s="13" t="s">
        <v>1</v>
      </c>
      <c r="C21" s="13" t="s">
        <v>214</v>
      </c>
      <c r="D21" s="13" t="str">
        <f>IFERROR(VLOOKUP(C21,ghg_sort!$A$86:$B$512,2,0),0)</f>
        <v>Agriculture</v>
      </c>
      <c r="E21" s="13" t="s">
        <v>104</v>
      </c>
      <c r="F21" s="13">
        <f>IFERROR(VLOOKUP($E21,ghg_sort!$A$3:$B$21,2,0),0)</f>
        <v>25</v>
      </c>
      <c r="G21" s="13">
        <f t="shared" si="1"/>
        <v>0.96781077500000001</v>
      </c>
      <c r="H21" s="13">
        <f t="shared" si="2"/>
        <v>0.96967777499999996</v>
      </c>
      <c r="I21" s="13">
        <f t="shared" si="3"/>
        <v>1.106965625</v>
      </c>
      <c r="J21" s="13">
        <f t="shared" si="4"/>
        <v>0.93321787499999997</v>
      </c>
      <c r="K21" s="13">
        <f t="shared" si="5"/>
        <v>0.95386127499999995</v>
      </c>
      <c r="L21" s="13">
        <f t="shared" si="6"/>
        <v>0.95743184999999997</v>
      </c>
      <c r="M21" s="13">
        <f t="shared" si="7"/>
        <v>0.95615527500000008</v>
      </c>
      <c r="N21" s="13">
        <f t="shared" si="8"/>
        <v>0.953123575</v>
      </c>
      <c r="O21" s="13">
        <f t="shared" si="9"/>
        <v>0.94345242499999993</v>
      </c>
      <c r="P21" s="13">
        <f t="shared" si="10"/>
        <v>0.93468617499999995</v>
      </c>
      <c r="Q21" s="13">
        <f t="shared" si="11"/>
        <v>0.91935069999999997</v>
      </c>
      <c r="R21" s="13" t="s">
        <v>239</v>
      </c>
      <c r="S21" s="13"/>
      <c r="T21" s="62">
        <v>3.8712430999999999E-2</v>
      </c>
      <c r="U21" s="62">
        <v>3.8787110999999999E-2</v>
      </c>
      <c r="V21" s="62">
        <v>4.4278625000000002E-2</v>
      </c>
      <c r="W21" s="62">
        <v>3.7328714999999998E-2</v>
      </c>
      <c r="X21" s="62">
        <v>3.8154450999999999E-2</v>
      </c>
      <c r="Y21" s="62">
        <v>3.8297273999999999E-2</v>
      </c>
      <c r="Z21" s="62">
        <v>3.8246211000000002E-2</v>
      </c>
      <c r="AA21" s="62">
        <v>3.8124943000000001E-2</v>
      </c>
      <c r="AB21" s="62">
        <v>3.7738096999999998E-2</v>
      </c>
      <c r="AC21" s="62">
        <v>3.7387446999999997E-2</v>
      </c>
      <c r="AD21" s="62">
        <v>3.6774028E-2</v>
      </c>
      <c r="AE21" t="s">
        <v>93</v>
      </c>
    </row>
    <row r="22" spans="1:31">
      <c r="A22" s="13" t="s">
        <v>267</v>
      </c>
      <c r="B22" s="13" t="s">
        <v>1</v>
      </c>
      <c r="C22" s="13" t="s">
        <v>214</v>
      </c>
      <c r="D22" s="13" t="str">
        <f>IFERROR(VLOOKUP(C22,ghg_sort!$A$86:$B$512,2,0),0)</f>
        <v>Agriculture</v>
      </c>
      <c r="E22" s="13" t="s">
        <v>101</v>
      </c>
      <c r="F22" s="13">
        <f>IFERROR(VLOOKUP($E22,ghg_sort!$A$3:$B$21,2,0),0)</f>
        <v>298</v>
      </c>
      <c r="G22" s="13">
        <f t="shared" si="1"/>
        <v>0.37720664180000002</v>
      </c>
      <c r="H22" s="13">
        <f t="shared" si="2"/>
        <v>0.42023998739999996</v>
      </c>
      <c r="I22" s="13">
        <f t="shared" si="3"/>
        <v>0.48465042259999996</v>
      </c>
      <c r="J22" s="13">
        <f t="shared" si="4"/>
        <v>0.40954169800000001</v>
      </c>
      <c r="K22" s="13">
        <f t="shared" si="5"/>
        <v>0.41860110659999999</v>
      </c>
      <c r="L22" s="13">
        <f t="shared" si="6"/>
        <v>0.4201677224</v>
      </c>
      <c r="M22" s="13">
        <f t="shared" si="7"/>
        <v>0.41960772079999703</v>
      </c>
      <c r="N22" s="13">
        <f t="shared" si="8"/>
        <v>0.41827744880000001</v>
      </c>
      <c r="O22" s="13">
        <f t="shared" si="9"/>
        <v>0.41403324339999703</v>
      </c>
      <c r="P22" s="13">
        <f t="shared" si="10"/>
        <v>0.4101865402</v>
      </c>
      <c r="Q22" s="13">
        <f t="shared" si="11"/>
        <v>0.40345534599999705</v>
      </c>
      <c r="R22" s="13" t="s">
        <v>239</v>
      </c>
      <c r="S22" s="13"/>
      <c r="T22" s="62">
        <v>1.2657941E-3</v>
      </c>
      <c r="U22" s="62">
        <v>1.4102012999999999E-3</v>
      </c>
      <c r="V22" s="62">
        <v>1.6263437E-3</v>
      </c>
      <c r="W22" s="62">
        <v>1.3743010000000001E-3</v>
      </c>
      <c r="X22" s="62">
        <v>1.4047017E-3</v>
      </c>
      <c r="Y22" s="62">
        <v>1.4099588000000001E-3</v>
      </c>
      <c r="Z22" s="62">
        <v>1.40807959999999E-3</v>
      </c>
      <c r="AA22" s="62">
        <v>1.4036156E-3</v>
      </c>
      <c r="AB22" s="62">
        <v>1.3893732999999901E-3</v>
      </c>
      <c r="AC22" s="62">
        <v>1.3764649000000001E-3</v>
      </c>
      <c r="AD22" s="62">
        <v>1.3538769999999901E-3</v>
      </c>
      <c r="AE22" t="s">
        <v>93</v>
      </c>
    </row>
    <row r="23" spans="1:31">
      <c r="A23" s="13" t="s">
        <v>267</v>
      </c>
      <c r="B23" s="13" t="s">
        <v>1</v>
      </c>
      <c r="C23" s="13" t="s">
        <v>214</v>
      </c>
      <c r="D23" s="13" t="str">
        <f>IFERROR(VLOOKUP(C23,ghg_sort!$A$86:$B$512,2,0),0)</f>
        <v>Agriculture</v>
      </c>
      <c r="E23" s="13" t="s">
        <v>202</v>
      </c>
      <c r="F23" s="13">
        <f>IFERROR(VLOOKUP($E23,ghg_sort!$A$3:$B$21,2,0),0)</f>
        <v>0</v>
      </c>
      <c r="G23" s="13">
        <f t="shared" si="1"/>
        <v>0</v>
      </c>
      <c r="H23" s="13">
        <f t="shared" si="2"/>
        <v>0</v>
      </c>
      <c r="I23" s="13">
        <f t="shared" si="3"/>
        <v>0</v>
      </c>
      <c r="J23" s="13">
        <f t="shared" si="4"/>
        <v>0</v>
      </c>
      <c r="K23" s="13">
        <f t="shared" si="5"/>
        <v>0</v>
      </c>
      <c r="L23" s="13">
        <f t="shared" si="6"/>
        <v>0</v>
      </c>
      <c r="M23" s="13">
        <f t="shared" si="7"/>
        <v>0</v>
      </c>
      <c r="N23" s="13">
        <f t="shared" si="8"/>
        <v>0</v>
      </c>
      <c r="O23" s="13">
        <f t="shared" si="9"/>
        <v>0</v>
      </c>
      <c r="P23" s="13">
        <f t="shared" si="10"/>
        <v>0</v>
      </c>
      <c r="Q23" s="13">
        <f t="shared" si="11"/>
        <v>0</v>
      </c>
      <c r="R23" s="13" t="s">
        <v>239</v>
      </c>
      <c r="S23" s="13"/>
      <c r="T23" s="62">
        <v>1.1413596E-2</v>
      </c>
      <c r="U23" s="62">
        <v>1.1365335000000001E-2</v>
      </c>
      <c r="V23" s="62">
        <v>1.0585617E-2</v>
      </c>
      <c r="W23" s="62">
        <v>9.4865469999999997E-3</v>
      </c>
      <c r="X23" s="62">
        <v>9.8022630000000003E-3</v>
      </c>
      <c r="Y23" s="62">
        <v>9.9475529999999996E-3</v>
      </c>
      <c r="Z23" s="62">
        <v>1.00451799999999E-2</v>
      </c>
      <c r="AA23" s="62">
        <v>1.0126362999999999E-2</v>
      </c>
      <c r="AB23" s="62">
        <v>1.0138049999999999E-2</v>
      </c>
      <c r="AC23" s="62">
        <v>1.0043855000000001E-2</v>
      </c>
      <c r="AD23" s="62">
        <v>9.8790379999999997E-3</v>
      </c>
      <c r="AE23" t="s">
        <v>93</v>
      </c>
    </row>
    <row r="24" spans="1:31">
      <c r="A24" s="13" t="s">
        <v>267</v>
      </c>
      <c r="B24" s="13" t="s">
        <v>1</v>
      </c>
      <c r="C24" s="13" t="s">
        <v>214</v>
      </c>
      <c r="D24" s="13" t="str">
        <f>IFERROR(VLOOKUP(C24,ghg_sort!$A$86:$B$512,2,0),0)</f>
        <v>Agriculture</v>
      </c>
      <c r="E24" s="13" t="s">
        <v>203</v>
      </c>
      <c r="F24" s="13">
        <f>IFERROR(VLOOKUP($E24,ghg_sort!$A$3:$B$21,2,0),0)</f>
        <v>0</v>
      </c>
      <c r="G24" s="13">
        <f t="shared" si="1"/>
        <v>0</v>
      </c>
      <c r="H24" s="13">
        <f t="shared" si="2"/>
        <v>0</v>
      </c>
      <c r="I24" s="13">
        <f t="shared" si="3"/>
        <v>0</v>
      </c>
      <c r="J24" s="13">
        <f t="shared" si="4"/>
        <v>0</v>
      </c>
      <c r="K24" s="13">
        <f t="shared" si="5"/>
        <v>0</v>
      </c>
      <c r="L24" s="13">
        <f t="shared" si="6"/>
        <v>0</v>
      </c>
      <c r="M24" s="13">
        <f t="shared" si="7"/>
        <v>0</v>
      </c>
      <c r="N24" s="13">
        <f t="shared" si="8"/>
        <v>0</v>
      </c>
      <c r="O24" s="13">
        <f t="shared" si="9"/>
        <v>0</v>
      </c>
      <c r="P24" s="13">
        <f t="shared" si="10"/>
        <v>0</v>
      </c>
      <c r="Q24" s="13">
        <f t="shared" si="11"/>
        <v>0</v>
      </c>
      <c r="R24" s="13" t="s">
        <v>239</v>
      </c>
      <c r="S24" s="13"/>
      <c r="T24" s="62">
        <v>4.4532639999999898E-3</v>
      </c>
      <c r="U24" s="62">
        <v>6.5068041000000002E-3</v>
      </c>
      <c r="V24" s="62">
        <v>7.6250181000000004E-3</v>
      </c>
      <c r="W24" s="62">
        <v>6.7205292999999904E-3</v>
      </c>
      <c r="X24" s="62">
        <v>6.9441861999999998E-3</v>
      </c>
      <c r="Y24" s="62">
        <v>7.0471229000000002E-3</v>
      </c>
      <c r="Z24" s="62">
        <v>7.1162784000000003E-3</v>
      </c>
      <c r="AA24" s="62">
        <v>7.1737891999999904E-3</v>
      </c>
      <c r="AB24" s="62">
        <v>7.1820673999999996E-3</v>
      </c>
      <c r="AC24" s="62">
        <v>7.1153359000000003E-3</v>
      </c>
      <c r="AD24" s="62">
        <v>6.9985810999999998E-3</v>
      </c>
      <c r="AE24" t="s">
        <v>93</v>
      </c>
    </row>
    <row r="25" spans="1:31">
      <c r="A25" s="13" t="s">
        <v>267</v>
      </c>
      <c r="B25" s="13" t="s">
        <v>1</v>
      </c>
      <c r="C25" s="13" t="s">
        <v>214</v>
      </c>
      <c r="D25" s="13" t="str">
        <f>IFERROR(VLOOKUP(C25,ghg_sort!$A$86:$B$512,2,0),0)</f>
        <v>Agriculture</v>
      </c>
      <c r="E25" s="13" t="s">
        <v>204</v>
      </c>
      <c r="F25" s="13">
        <f>IFERROR(VLOOKUP($E25,ghg_sort!$A$3:$B$21,2,0),0)</f>
        <v>0</v>
      </c>
      <c r="G25" s="13">
        <f t="shared" si="1"/>
        <v>0</v>
      </c>
      <c r="H25" s="13">
        <f t="shared" si="2"/>
        <v>0</v>
      </c>
      <c r="I25" s="13">
        <f t="shared" si="3"/>
        <v>0</v>
      </c>
      <c r="J25" s="13">
        <f t="shared" si="4"/>
        <v>0</v>
      </c>
      <c r="K25" s="13">
        <f t="shared" si="5"/>
        <v>0</v>
      </c>
      <c r="L25" s="13">
        <f t="shared" si="6"/>
        <v>0</v>
      </c>
      <c r="M25" s="13">
        <f t="shared" si="7"/>
        <v>0</v>
      </c>
      <c r="N25" s="13">
        <f t="shared" si="8"/>
        <v>0</v>
      </c>
      <c r="O25" s="13">
        <f t="shared" si="9"/>
        <v>0</v>
      </c>
      <c r="P25" s="13">
        <f t="shared" si="10"/>
        <v>0</v>
      </c>
      <c r="Q25" s="13">
        <f t="shared" si="11"/>
        <v>0</v>
      </c>
      <c r="R25" s="13" t="s">
        <v>239</v>
      </c>
      <c r="S25" s="13"/>
      <c r="T25" s="63">
        <v>5.3022360000000001E-4</v>
      </c>
      <c r="U25" s="63">
        <v>6.6193169999999996E-4</v>
      </c>
      <c r="V25" s="63">
        <v>7.6781180000000003E-4</v>
      </c>
      <c r="W25" s="63">
        <v>6.4456669999999998E-4</v>
      </c>
      <c r="X25" s="63">
        <v>6.6601759E-4</v>
      </c>
      <c r="Y25" s="63">
        <v>6.7588911000000004E-4</v>
      </c>
      <c r="Z25" s="63">
        <v>6.8252238999999895E-4</v>
      </c>
      <c r="AA25" s="63">
        <v>6.8803850000000004E-4</v>
      </c>
      <c r="AB25" s="63">
        <v>6.8883270999999999E-4</v>
      </c>
      <c r="AC25" s="63">
        <v>6.8243220000000003E-4</v>
      </c>
      <c r="AD25" s="63">
        <v>6.7123433000000003E-4</v>
      </c>
      <c r="AE25" t="s">
        <v>93</v>
      </c>
    </row>
    <row r="26" spans="1:31">
      <c r="A26" s="13" t="s">
        <v>267</v>
      </c>
      <c r="B26" s="13" t="s">
        <v>1</v>
      </c>
      <c r="C26" s="13" t="s">
        <v>215</v>
      </c>
      <c r="D26" s="13" t="str">
        <f>IFERROR(VLOOKUP(C26,ghg_sort!$A$86:$B$512,2,0),0)</f>
        <v>Agriculture</v>
      </c>
      <c r="E26" s="13" t="s">
        <v>101</v>
      </c>
      <c r="F26" s="13">
        <f>IFERROR(VLOOKUP($E26,ghg_sort!$A$3:$B$21,2,0),0)</f>
        <v>298</v>
      </c>
      <c r="G26" s="13">
        <f t="shared" si="1"/>
        <v>2.3542584080000002E-3</v>
      </c>
      <c r="H26" s="13">
        <f t="shared" si="2"/>
        <v>6.7109599999999999E-5</v>
      </c>
      <c r="I26" s="13">
        <f t="shared" si="3"/>
        <v>1.7641600000000001E-5</v>
      </c>
      <c r="J26" s="13">
        <f t="shared" si="4"/>
        <v>1.6747599999999999E-5</v>
      </c>
      <c r="K26" s="13">
        <f t="shared" si="5"/>
        <v>1.6874941359999999E-5</v>
      </c>
      <c r="L26" s="13">
        <f t="shared" si="6"/>
        <v>1.6944333639999999E-5</v>
      </c>
      <c r="M26" s="13">
        <f t="shared" si="7"/>
        <v>1.6972402260000001E-5</v>
      </c>
      <c r="N26" s="13">
        <f t="shared" si="8"/>
        <v>1.705908152E-5</v>
      </c>
      <c r="O26" s="13">
        <f t="shared" si="9"/>
        <v>1.698284418E-5</v>
      </c>
      <c r="P26" s="13">
        <f t="shared" si="10"/>
        <v>1.7366116879999998E-5</v>
      </c>
      <c r="Q26" s="13">
        <f t="shared" si="11"/>
        <v>1.7664355279999968E-5</v>
      </c>
      <c r="R26" s="13" t="s">
        <v>239</v>
      </c>
      <c r="S26" s="13"/>
      <c r="T26" s="63">
        <v>7.9001960000000001E-6</v>
      </c>
      <c r="U26" s="63">
        <v>2.252E-7</v>
      </c>
      <c r="V26" s="63">
        <v>5.9200000000000001E-8</v>
      </c>
      <c r="W26" s="63">
        <v>5.62E-8</v>
      </c>
      <c r="X26" s="63">
        <v>5.6627319999999998E-8</v>
      </c>
      <c r="Y26" s="63">
        <v>5.6860179999999999E-8</v>
      </c>
      <c r="Z26" s="63">
        <v>5.695437E-8</v>
      </c>
      <c r="AA26" s="63">
        <v>5.7245239999999998E-8</v>
      </c>
      <c r="AB26" s="63">
        <v>5.698941E-8</v>
      </c>
      <c r="AC26" s="63">
        <v>5.8275559999999997E-8</v>
      </c>
      <c r="AD26" s="63">
        <v>5.9276359999999897E-8</v>
      </c>
      <c r="AE26" t="s">
        <v>93</v>
      </c>
    </row>
    <row r="27" spans="1:31">
      <c r="A27" s="13" t="s">
        <v>267</v>
      </c>
      <c r="B27" s="13" t="s">
        <v>1</v>
      </c>
      <c r="C27" s="13" t="s">
        <v>215</v>
      </c>
      <c r="D27" s="13" t="str">
        <f>IFERROR(VLOOKUP(C27,ghg_sort!$A$86:$B$512,2,0),0)</f>
        <v>Agriculture</v>
      </c>
      <c r="E27" s="13" t="s">
        <v>202</v>
      </c>
      <c r="F27" s="13">
        <f>IFERROR(VLOOKUP($E27,ghg_sort!$A$3:$B$21,2,0),0)</f>
        <v>0</v>
      </c>
      <c r="G27" s="13">
        <f t="shared" si="1"/>
        <v>0</v>
      </c>
      <c r="H27" s="13">
        <f t="shared" si="2"/>
        <v>0</v>
      </c>
      <c r="I27" s="13">
        <f t="shared" si="3"/>
        <v>0</v>
      </c>
      <c r="J27" s="13">
        <f t="shared" si="4"/>
        <v>0</v>
      </c>
      <c r="K27" s="13">
        <f t="shared" si="5"/>
        <v>0</v>
      </c>
      <c r="L27" s="13">
        <f t="shared" si="6"/>
        <v>0</v>
      </c>
      <c r="M27" s="13">
        <f t="shared" si="7"/>
        <v>0</v>
      </c>
      <c r="N27" s="13">
        <f t="shared" si="8"/>
        <v>0</v>
      </c>
      <c r="O27" s="13">
        <f t="shared" si="9"/>
        <v>0</v>
      </c>
      <c r="P27" s="13">
        <f t="shared" si="10"/>
        <v>0</v>
      </c>
      <c r="Q27" s="13">
        <f t="shared" si="11"/>
        <v>0</v>
      </c>
      <c r="R27" s="13" t="s">
        <v>239</v>
      </c>
      <c r="S27" s="13"/>
      <c r="T27" s="63">
        <v>4.5511299999999999E-5</v>
      </c>
      <c r="U27" s="63">
        <v>1.3632999999999999E-6</v>
      </c>
      <c r="V27" s="63">
        <v>3.9239999999999999E-7</v>
      </c>
      <c r="W27" s="63">
        <v>3.53E-7</v>
      </c>
      <c r="X27" s="63">
        <v>3.6294279999999999E-7</v>
      </c>
      <c r="Y27" s="63">
        <v>3.720283E-7</v>
      </c>
      <c r="Z27" s="63">
        <v>3.8057259999999998E-7</v>
      </c>
      <c r="AA27" s="63">
        <v>3.908315E-7</v>
      </c>
      <c r="AB27" s="63">
        <v>3.977307E-7</v>
      </c>
      <c r="AC27" s="63">
        <v>4.0670670000000001E-7</v>
      </c>
      <c r="AD27" s="63">
        <v>4.1369159999999997E-7</v>
      </c>
      <c r="AE27" t="s">
        <v>93</v>
      </c>
    </row>
    <row r="28" spans="1:31">
      <c r="A28" s="13" t="s">
        <v>267</v>
      </c>
      <c r="B28" s="13" t="s">
        <v>1</v>
      </c>
      <c r="C28" s="13" t="s">
        <v>215</v>
      </c>
      <c r="D28" s="13" t="str">
        <f>IFERROR(VLOOKUP(C28,ghg_sort!$A$86:$B$512,2,0),0)</f>
        <v>Agriculture</v>
      </c>
      <c r="E28" s="13" t="s">
        <v>204</v>
      </c>
      <c r="F28" s="13">
        <f>IFERROR(VLOOKUP($E28,ghg_sort!$A$3:$B$21,2,0),0)</f>
        <v>0</v>
      </c>
      <c r="G28" s="13">
        <f t="shared" si="1"/>
        <v>0</v>
      </c>
      <c r="H28" s="13">
        <f t="shared" si="2"/>
        <v>0</v>
      </c>
      <c r="I28" s="13">
        <f t="shared" si="3"/>
        <v>0</v>
      </c>
      <c r="J28" s="13">
        <f t="shared" si="4"/>
        <v>0</v>
      </c>
      <c r="K28" s="13">
        <f t="shared" si="5"/>
        <v>0</v>
      </c>
      <c r="L28" s="13">
        <f t="shared" si="6"/>
        <v>0</v>
      </c>
      <c r="M28" s="13">
        <f t="shared" si="7"/>
        <v>0</v>
      </c>
      <c r="N28" s="13">
        <f t="shared" si="8"/>
        <v>0</v>
      </c>
      <c r="O28" s="13">
        <f t="shared" si="9"/>
        <v>0</v>
      </c>
      <c r="P28" s="13">
        <f t="shared" si="10"/>
        <v>0</v>
      </c>
      <c r="Q28" s="13">
        <f t="shared" si="11"/>
        <v>0</v>
      </c>
      <c r="R28" s="13" t="s">
        <v>239</v>
      </c>
      <c r="S28" s="13"/>
      <c r="T28" s="63">
        <v>3.8175000000000003E-6</v>
      </c>
      <c r="U28" s="63">
        <v>8.7700030000000001E-8</v>
      </c>
      <c r="V28" s="63">
        <v>2.6700010000000001E-8</v>
      </c>
      <c r="W28" s="63">
        <v>2.0499999999999899E-8</v>
      </c>
      <c r="X28" s="63">
        <v>2.10773899999999E-8</v>
      </c>
      <c r="Y28" s="63">
        <v>2.160504E-8</v>
      </c>
      <c r="Z28" s="63">
        <v>2.2101229999999898E-8</v>
      </c>
      <c r="AA28" s="63">
        <v>2.2697030000000001E-8</v>
      </c>
      <c r="AB28" s="63">
        <v>2.3097729999999999E-8</v>
      </c>
      <c r="AC28" s="63">
        <v>2.3619040000000001E-8</v>
      </c>
      <c r="AD28" s="63">
        <v>2.4024639999999999E-8</v>
      </c>
      <c r="AE28" t="s">
        <v>93</v>
      </c>
    </row>
    <row r="29" spans="1:31">
      <c r="A29" s="13" t="s">
        <v>267</v>
      </c>
      <c r="B29" s="13" t="s">
        <v>1</v>
      </c>
      <c r="C29" s="13" t="s">
        <v>216</v>
      </c>
      <c r="D29" s="13" t="str">
        <f>IFERROR(VLOOKUP(C29,ghg_sort!$A$86:$B$512,2,0),0)</f>
        <v>Agriculture</v>
      </c>
      <c r="E29" s="13" t="s">
        <v>101</v>
      </c>
      <c r="F29" s="13">
        <f>IFERROR(VLOOKUP($E29,ghg_sort!$A$3:$B$21,2,0),0)</f>
        <v>298</v>
      </c>
      <c r="G29" s="13">
        <f t="shared" si="1"/>
        <v>0.2965710899999997</v>
      </c>
      <c r="H29" s="13">
        <f t="shared" si="2"/>
        <v>3.9915282200000006E-2</v>
      </c>
      <c r="I29" s="13">
        <f t="shared" si="3"/>
        <v>1.7350543400000001E-2</v>
      </c>
      <c r="J29" s="13">
        <f t="shared" si="4"/>
        <v>1.84014404E-2</v>
      </c>
      <c r="K29" s="13">
        <f t="shared" si="5"/>
        <v>2.0742647600000001E-2</v>
      </c>
      <c r="L29" s="13">
        <f t="shared" si="6"/>
        <v>2.26015418E-2</v>
      </c>
      <c r="M29" s="13">
        <f t="shared" si="7"/>
        <v>2.3934257400000002E-2</v>
      </c>
      <c r="N29" s="13">
        <f t="shared" si="8"/>
        <v>2.5018351600000002E-2</v>
      </c>
      <c r="O29" s="13">
        <f t="shared" si="9"/>
        <v>2.5653717399999998E-2</v>
      </c>
      <c r="P29" s="13">
        <f t="shared" si="10"/>
        <v>2.6356639800000001E-2</v>
      </c>
      <c r="Q29" s="13">
        <f t="shared" si="11"/>
        <v>2.6626300000000002E-2</v>
      </c>
      <c r="R29" s="13" t="s">
        <v>239</v>
      </c>
      <c r="S29" s="13"/>
      <c r="T29" s="63">
        <v>9.9520499999999901E-4</v>
      </c>
      <c r="U29" s="63">
        <v>1.3394390000000001E-4</v>
      </c>
      <c r="V29" s="63">
        <v>5.8223300000000002E-5</v>
      </c>
      <c r="W29" s="63">
        <v>6.1749799999999996E-5</v>
      </c>
      <c r="X29" s="63">
        <v>6.9606199999999998E-5</v>
      </c>
      <c r="Y29" s="63">
        <v>7.5844099999999994E-5</v>
      </c>
      <c r="Z29" s="63">
        <v>8.0316300000000002E-5</v>
      </c>
      <c r="AA29" s="63">
        <v>8.3954200000000003E-5</v>
      </c>
      <c r="AB29" s="63">
        <v>8.6086299999999996E-5</v>
      </c>
      <c r="AC29" s="63">
        <v>8.8445100000000005E-5</v>
      </c>
      <c r="AD29" s="63">
        <v>8.9350000000000003E-5</v>
      </c>
      <c r="AE29" t="s">
        <v>93</v>
      </c>
    </row>
    <row r="30" spans="1:31">
      <c r="A30" s="13" t="s">
        <v>267</v>
      </c>
      <c r="B30" s="13" t="s">
        <v>1</v>
      </c>
      <c r="C30" s="13" t="s">
        <v>216</v>
      </c>
      <c r="D30" s="13" t="str">
        <f>IFERROR(VLOOKUP(C30,ghg_sort!$A$86:$B$512,2,0),0)</f>
        <v>Agriculture</v>
      </c>
      <c r="E30" s="13" t="s">
        <v>202</v>
      </c>
      <c r="F30" s="13">
        <f>IFERROR(VLOOKUP($E30,ghg_sort!$A$3:$B$21,2,0),0)</f>
        <v>0</v>
      </c>
      <c r="G30" s="13">
        <f t="shared" si="1"/>
        <v>0</v>
      </c>
      <c r="H30" s="13">
        <f t="shared" si="2"/>
        <v>0</v>
      </c>
      <c r="I30" s="13">
        <f t="shared" si="3"/>
        <v>0</v>
      </c>
      <c r="J30" s="13">
        <f t="shared" si="4"/>
        <v>0</v>
      </c>
      <c r="K30" s="13">
        <f t="shared" si="5"/>
        <v>0</v>
      </c>
      <c r="L30" s="13">
        <f t="shared" si="6"/>
        <v>0</v>
      </c>
      <c r="M30" s="13">
        <f t="shared" si="7"/>
        <v>0</v>
      </c>
      <c r="N30" s="13">
        <f t="shared" si="8"/>
        <v>0</v>
      </c>
      <c r="O30" s="13">
        <f t="shared" si="9"/>
        <v>0</v>
      </c>
      <c r="P30" s="13">
        <f t="shared" si="10"/>
        <v>0</v>
      </c>
      <c r="Q30" s="13">
        <f t="shared" si="11"/>
        <v>0</v>
      </c>
      <c r="R30" s="13" t="s">
        <v>239</v>
      </c>
      <c r="S30" s="13"/>
      <c r="T30" s="62">
        <v>5.7331700000000001E-3</v>
      </c>
      <c r="U30" s="63">
        <v>8.1096499999999997E-4</v>
      </c>
      <c r="V30" s="63">
        <v>3.8563699999999998E-4</v>
      </c>
      <c r="W30" s="63">
        <v>3.8823299999999998E-4</v>
      </c>
      <c r="X30" s="63">
        <v>4.4655900000000002E-4</v>
      </c>
      <c r="Y30" s="63">
        <v>4.96715E-4</v>
      </c>
      <c r="Z30" s="63">
        <v>5.3719599999999998E-4</v>
      </c>
      <c r="AA30" s="63">
        <v>5.7373600000000004E-4</v>
      </c>
      <c r="AB30" s="63">
        <v>6.0137999999999999E-4</v>
      </c>
      <c r="AC30" s="63">
        <v>6.1785799999999999E-4</v>
      </c>
      <c r="AD30" s="63">
        <v>6.2417899999999999E-4</v>
      </c>
      <c r="AE30" t="s">
        <v>93</v>
      </c>
    </row>
    <row r="31" spans="1:31">
      <c r="A31" s="13" t="s">
        <v>267</v>
      </c>
      <c r="B31" s="13" t="s">
        <v>1</v>
      </c>
      <c r="C31" s="13" t="s">
        <v>216</v>
      </c>
      <c r="D31" s="13" t="str">
        <f>IFERROR(VLOOKUP(C31,ghg_sort!$A$86:$B$512,2,0),0)</f>
        <v>Agriculture</v>
      </c>
      <c r="E31" s="13" t="s">
        <v>204</v>
      </c>
      <c r="F31" s="13">
        <f>IFERROR(VLOOKUP($E31,ghg_sort!$A$3:$B$21,2,0),0)</f>
        <v>0</v>
      </c>
      <c r="G31" s="13">
        <f t="shared" si="1"/>
        <v>0</v>
      </c>
      <c r="H31" s="13">
        <f t="shared" si="2"/>
        <v>0</v>
      </c>
      <c r="I31" s="13">
        <f t="shared" si="3"/>
        <v>0</v>
      </c>
      <c r="J31" s="13">
        <f t="shared" si="4"/>
        <v>0</v>
      </c>
      <c r="K31" s="13">
        <f t="shared" si="5"/>
        <v>0</v>
      </c>
      <c r="L31" s="13">
        <f t="shared" si="6"/>
        <v>0</v>
      </c>
      <c r="M31" s="13">
        <f t="shared" si="7"/>
        <v>0</v>
      </c>
      <c r="N31" s="13">
        <f t="shared" si="8"/>
        <v>0</v>
      </c>
      <c r="O31" s="13">
        <f t="shared" si="9"/>
        <v>0</v>
      </c>
      <c r="P31" s="13">
        <f t="shared" si="10"/>
        <v>0</v>
      </c>
      <c r="Q31" s="13">
        <f t="shared" si="11"/>
        <v>0</v>
      </c>
      <c r="R31" s="13" t="s">
        <v>239</v>
      </c>
      <c r="S31" s="13"/>
      <c r="T31" s="63">
        <v>4.8089600000000003E-4</v>
      </c>
      <c r="U31" s="63">
        <v>5.21472999999999E-5</v>
      </c>
      <c r="V31" s="63">
        <v>2.6253499999999999E-5</v>
      </c>
      <c r="W31" s="63">
        <v>2.2469140000000001E-5</v>
      </c>
      <c r="X31" s="63">
        <v>2.5844770000000002E-5</v>
      </c>
      <c r="Y31" s="63">
        <v>2.8747499999999999E-5</v>
      </c>
      <c r="Z31" s="63">
        <v>3.1090400000000003E-5</v>
      </c>
      <c r="AA31" s="63">
        <v>3.3205099999999998E-5</v>
      </c>
      <c r="AB31" s="63">
        <v>3.4805000000000003E-5</v>
      </c>
      <c r="AC31" s="63">
        <v>3.57587E-5</v>
      </c>
      <c r="AD31" s="63">
        <v>3.6124500000000003E-5</v>
      </c>
      <c r="AE31" t="s">
        <v>93</v>
      </c>
    </row>
    <row r="32" spans="1:31">
      <c r="A32" s="13" t="s">
        <v>267</v>
      </c>
      <c r="B32" s="13" t="s">
        <v>1</v>
      </c>
      <c r="C32" s="13" t="s">
        <v>140</v>
      </c>
      <c r="D32" s="13" t="str">
        <f>IFERROR(VLOOKUP(C32,ghg_sort!$A$86:$B$512,2,0),0)</f>
        <v>Industry</v>
      </c>
      <c r="E32" s="13" t="s">
        <v>84</v>
      </c>
      <c r="F32" s="13">
        <f>IFERROR(VLOOKUP($E32,ghg_sort!$A$3:$B$21,2,0),0)</f>
        <v>25</v>
      </c>
      <c r="G32" s="13">
        <f t="shared" si="1"/>
        <v>0</v>
      </c>
      <c r="H32" s="13">
        <f t="shared" si="2"/>
        <v>0</v>
      </c>
      <c r="I32" s="13">
        <f t="shared" si="3"/>
        <v>0</v>
      </c>
      <c r="J32" s="13">
        <f t="shared" si="4"/>
        <v>0</v>
      </c>
      <c r="K32" s="13">
        <f t="shared" si="5"/>
        <v>6.7085250000000003E-6</v>
      </c>
      <c r="L32" s="13">
        <f t="shared" si="6"/>
        <v>5.1808999999999998E-5</v>
      </c>
      <c r="M32" s="13">
        <f t="shared" si="7"/>
        <v>1.49942E-4</v>
      </c>
      <c r="N32" s="13">
        <f t="shared" si="8"/>
        <v>3.7001500000000001E-4</v>
      </c>
      <c r="O32" s="13">
        <f t="shared" si="9"/>
        <v>7.7414500000000006E-4</v>
      </c>
      <c r="P32" s="13">
        <f t="shared" si="10"/>
        <v>1.0130599999999999E-3</v>
      </c>
      <c r="Q32" s="13">
        <f t="shared" si="11"/>
        <v>1.2554249999999999E-3</v>
      </c>
      <c r="R32" s="13" t="s">
        <v>239</v>
      </c>
      <c r="S32" s="13"/>
      <c r="T32" s="62">
        <v>0</v>
      </c>
      <c r="U32" s="62">
        <v>0</v>
      </c>
      <c r="V32" s="62">
        <v>0</v>
      </c>
      <c r="W32" s="62">
        <v>0</v>
      </c>
      <c r="X32" s="63">
        <v>2.6834100000000001E-7</v>
      </c>
      <c r="Y32" s="63">
        <v>2.07236E-6</v>
      </c>
      <c r="Z32" s="63">
        <v>5.9976799999999996E-6</v>
      </c>
      <c r="AA32" s="63">
        <v>1.48006E-5</v>
      </c>
      <c r="AB32" s="63">
        <v>3.0965800000000001E-5</v>
      </c>
      <c r="AC32" s="63">
        <v>4.0522399999999997E-5</v>
      </c>
      <c r="AD32" s="63">
        <v>5.0216999999999997E-5</v>
      </c>
      <c r="AE32" t="s">
        <v>93</v>
      </c>
    </row>
    <row r="33" spans="1:31">
      <c r="A33" s="13" t="s">
        <v>267</v>
      </c>
      <c r="B33" s="13" t="s">
        <v>1</v>
      </c>
      <c r="C33" s="13" t="s">
        <v>140</v>
      </c>
      <c r="D33" s="13" t="str">
        <f>IFERROR(VLOOKUP(C33,ghg_sort!$A$86:$B$512,2,0),0)</f>
        <v>Industry</v>
      </c>
      <c r="E33" s="13" t="s">
        <v>85</v>
      </c>
      <c r="F33" s="13">
        <f>IFERROR(VLOOKUP($E33,ghg_sort!$A$3:$B$21,2,0),0)</f>
        <v>0</v>
      </c>
      <c r="G33" s="13">
        <f t="shared" si="1"/>
        <v>0</v>
      </c>
      <c r="H33" s="13">
        <f t="shared" si="2"/>
        <v>0</v>
      </c>
      <c r="I33" s="13">
        <f t="shared" si="3"/>
        <v>0</v>
      </c>
      <c r="J33" s="13">
        <f t="shared" si="4"/>
        <v>0</v>
      </c>
      <c r="K33" s="13">
        <f t="shared" si="5"/>
        <v>0</v>
      </c>
      <c r="L33" s="13">
        <f t="shared" si="6"/>
        <v>0</v>
      </c>
      <c r="M33" s="13">
        <f t="shared" si="7"/>
        <v>0</v>
      </c>
      <c r="N33" s="13">
        <f t="shared" si="8"/>
        <v>0</v>
      </c>
      <c r="O33" s="13">
        <f t="shared" si="9"/>
        <v>0</v>
      </c>
      <c r="P33" s="13">
        <f t="shared" si="10"/>
        <v>0</v>
      </c>
      <c r="Q33" s="13">
        <f t="shared" si="11"/>
        <v>0</v>
      </c>
      <c r="R33" s="13" t="s">
        <v>239</v>
      </c>
      <c r="S33" s="13"/>
      <c r="T33" s="62">
        <v>0</v>
      </c>
      <c r="U33" s="62">
        <v>0</v>
      </c>
      <c r="V33" s="62">
        <v>0</v>
      </c>
      <c r="W33" s="62">
        <v>0</v>
      </c>
      <c r="X33" s="63">
        <v>6.01309E-7</v>
      </c>
      <c r="Y33" s="63">
        <v>3.9499920000000001E-6</v>
      </c>
      <c r="Z33" s="63">
        <v>1.0868060000000001E-5</v>
      </c>
      <c r="AA33" s="63">
        <v>2.5506279999999999E-5</v>
      </c>
      <c r="AB33" s="63">
        <v>4.3647179999999901E-5</v>
      </c>
      <c r="AC33" s="63">
        <v>5.8543420000000001E-5</v>
      </c>
      <c r="AD33" s="63">
        <v>7.0742500000000002E-5</v>
      </c>
      <c r="AE33" t="s">
        <v>93</v>
      </c>
    </row>
    <row r="34" spans="1:31">
      <c r="A34" s="13" t="s">
        <v>267</v>
      </c>
      <c r="B34" s="13" t="s">
        <v>1</v>
      </c>
      <c r="C34" s="13" t="s">
        <v>140</v>
      </c>
      <c r="D34" s="13" t="str">
        <f>IFERROR(VLOOKUP(C34,ghg_sort!$A$86:$B$512,2,0),0)</f>
        <v>Industry</v>
      </c>
      <c r="E34" s="29" t="s">
        <v>86</v>
      </c>
      <c r="F34" s="13">
        <f>IFERROR(VLOOKUP($E34,ghg_sort!$A$3:$B$21,2,0),0)</f>
        <v>3.6666666666666701</v>
      </c>
      <c r="G34" s="13">
        <f t="shared" si="1"/>
        <v>0</v>
      </c>
      <c r="H34" s="13">
        <f t="shared" si="2"/>
        <v>0</v>
      </c>
      <c r="I34" s="13">
        <f t="shared" si="3"/>
        <v>0</v>
      </c>
      <c r="J34" s="13">
        <f t="shared" si="4"/>
        <v>0</v>
      </c>
      <c r="K34" s="13">
        <f t="shared" si="5"/>
        <v>7.5197650000000074E-2</v>
      </c>
      <c r="L34" s="13">
        <f t="shared" si="6"/>
        <v>0.56357143333333393</v>
      </c>
      <c r="M34" s="13">
        <f t="shared" si="7"/>
        <v>1.621535666666668</v>
      </c>
      <c r="N34" s="13">
        <f t="shared" si="8"/>
        <v>3.9321846666666702</v>
      </c>
      <c r="O34" s="13">
        <f t="shared" si="9"/>
        <v>7.1460546666666369</v>
      </c>
      <c r="P34" s="13">
        <f t="shared" si="10"/>
        <v>9.6158883333333414</v>
      </c>
      <c r="Q34" s="13">
        <f t="shared" si="11"/>
        <v>11.811690000000011</v>
      </c>
      <c r="R34" s="13" t="s">
        <v>239</v>
      </c>
      <c r="S34" s="13"/>
      <c r="T34" s="62">
        <v>0</v>
      </c>
      <c r="U34" s="62">
        <v>0</v>
      </c>
      <c r="V34" s="62">
        <v>0</v>
      </c>
      <c r="W34" s="62">
        <v>0</v>
      </c>
      <c r="X34" s="62">
        <v>2.0508450000000001E-2</v>
      </c>
      <c r="Y34" s="62">
        <v>0.15370130000000001</v>
      </c>
      <c r="Z34" s="62">
        <v>0.44223699999999999</v>
      </c>
      <c r="AA34" s="62">
        <v>1.072414</v>
      </c>
      <c r="AB34" s="62">
        <v>1.9489239999999901</v>
      </c>
      <c r="AC34" s="62">
        <v>2.6225149999999999</v>
      </c>
      <c r="AD34" s="62">
        <v>3.2213699999999998</v>
      </c>
      <c r="AE34" t="s">
        <v>94</v>
      </c>
    </row>
    <row r="35" spans="1:31">
      <c r="A35" s="13" t="s">
        <v>267</v>
      </c>
      <c r="B35" s="13" t="s">
        <v>1</v>
      </c>
      <c r="C35" s="13" t="s">
        <v>140</v>
      </c>
      <c r="D35" s="13" t="str">
        <f>IFERROR(VLOOKUP(C35,ghg_sort!$A$86:$B$512,2,0),0)</f>
        <v>Industry</v>
      </c>
      <c r="E35" s="13" t="s">
        <v>89</v>
      </c>
      <c r="F35" s="13">
        <f>IFERROR(VLOOKUP($E35,ghg_sort!$A$3:$B$21,2,0),0)</f>
        <v>0</v>
      </c>
      <c r="G35" s="13">
        <f t="shared" si="1"/>
        <v>0</v>
      </c>
      <c r="H35" s="13">
        <f t="shared" si="2"/>
        <v>0</v>
      </c>
      <c r="I35" s="13">
        <f t="shared" si="3"/>
        <v>0</v>
      </c>
      <c r="J35" s="13">
        <f t="shared" si="4"/>
        <v>0</v>
      </c>
      <c r="K35" s="13">
        <f t="shared" si="5"/>
        <v>0</v>
      </c>
      <c r="L35" s="13">
        <f t="shared" si="6"/>
        <v>0</v>
      </c>
      <c r="M35" s="13">
        <f t="shared" si="7"/>
        <v>0</v>
      </c>
      <c r="N35" s="13">
        <f t="shared" si="8"/>
        <v>0</v>
      </c>
      <c r="O35" s="13">
        <f t="shared" si="9"/>
        <v>0</v>
      </c>
      <c r="P35" s="13">
        <f t="shared" si="10"/>
        <v>0</v>
      </c>
      <c r="Q35" s="13">
        <f t="shared" si="11"/>
        <v>0</v>
      </c>
      <c r="R35" s="13" t="s">
        <v>239</v>
      </c>
      <c r="S35" s="13"/>
      <c r="T35" s="62">
        <v>0</v>
      </c>
      <c r="U35" s="62">
        <v>0</v>
      </c>
      <c r="V35" s="62">
        <v>0</v>
      </c>
      <c r="W35" s="62">
        <v>0</v>
      </c>
      <c r="X35" s="63">
        <v>9.2353299999999996E-8</v>
      </c>
      <c r="Y35" s="63">
        <v>4.34351E-7</v>
      </c>
      <c r="Z35" s="63">
        <v>1.19954E-6</v>
      </c>
      <c r="AA35" s="63">
        <v>2.96012E-6</v>
      </c>
      <c r="AB35" s="63">
        <v>6.19316E-6</v>
      </c>
      <c r="AC35" s="63">
        <v>8.1044800000000004E-6</v>
      </c>
      <c r="AD35" s="63">
        <v>1.0043399999999999E-5</v>
      </c>
      <c r="AE35" t="s">
        <v>93</v>
      </c>
    </row>
    <row r="36" spans="1:31">
      <c r="A36" s="13" t="s">
        <v>267</v>
      </c>
      <c r="B36" s="13" t="s">
        <v>1</v>
      </c>
      <c r="C36" s="13" t="s">
        <v>140</v>
      </c>
      <c r="D36" s="13" t="str">
        <f>IFERROR(VLOOKUP(C36,ghg_sort!$A$86:$B$512,2,0),0)</f>
        <v>Industry</v>
      </c>
      <c r="E36" s="13" t="s">
        <v>90</v>
      </c>
      <c r="F36" s="13">
        <f>IFERROR(VLOOKUP($E36,ghg_sort!$A$3:$B$21,2,0),0)</f>
        <v>0</v>
      </c>
      <c r="G36" s="13">
        <f t="shared" si="1"/>
        <v>0</v>
      </c>
      <c r="H36" s="13">
        <f t="shared" si="2"/>
        <v>0</v>
      </c>
      <c r="I36" s="13">
        <f t="shared" si="3"/>
        <v>0</v>
      </c>
      <c r="J36" s="13">
        <f t="shared" si="4"/>
        <v>0</v>
      </c>
      <c r="K36" s="13">
        <f t="shared" si="5"/>
        <v>0</v>
      </c>
      <c r="L36" s="13">
        <f t="shared" si="6"/>
        <v>0</v>
      </c>
      <c r="M36" s="13">
        <f t="shared" si="7"/>
        <v>0</v>
      </c>
      <c r="N36" s="13">
        <f t="shared" si="8"/>
        <v>0</v>
      </c>
      <c r="O36" s="13">
        <f t="shared" si="9"/>
        <v>0</v>
      </c>
      <c r="P36" s="13">
        <f t="shared" si="10"/>
        <v>0</v>
      </c>
      <c r="Q36" s="13">
        <f t="shared" si="11"/>
        <v>0</v>
      </c>
      <c r="R36" s="13" t="s">
        <v>239</v>
      </c>
      <c r="S36" s="13"/>
      <c r="T36" s="62">
        <v>0</v>
      </c>
      <c r="U36" s="62">
        <v>0</v>
      </c>
      <c r="V36" s="62">
        <v>0</v>
      </c>
      <c r="W36" s="62">
        <v>0</v>
      </c>
      <c r="X36" s="63">
        <v>4.4035070000000003E-6</v>
      </c>
      <c r="Y36" s="63">
        <v>3.2072001999999999E-5</v>
      </c>
      <c r="Z36" s="63">
        <v>9.1568600000000003E-5</v>
      </c>
      <c r="AA36" s="63">
        <v>2.1963937999999999E-4</v>
      </c>
      <c r="AB36" s="63">
        <v>3.7163318E-4</v>
      </c>
      <c r="AC36" s="63">
        <v>5.0687892E-4</v>
      </c>
      <c r="AD36" s="63">
        <v>6.1876629999999997E-4</v>
      </c>
      <c r="AE36" t="s">
        <v>93</v>
      </c>
    </row>
    <row r="37" spans="1:31">
      <c r="A37" s="13" t="s">
        <v>267</v>
      </c>
      <c r="B37" s="13" t="s">
        <v>1</v>
      </c>
      <c r="C37" s="13" t="s">
        <v>140</v>
      </c>
      <c r="D37" s="13" t="str">
        <f>IFERROR(VLOOKUP(C37,ghg_sort!$A$86:$B$512,2,0),0)</f>
        <v>Industry</v>
      </c>
      <c r="E37" s="13" t="s">
        <v>92</v>
      </c>
      <c r="F37" s="13">
        <f>IFERROR(VLOOKUP($E37,ghg_sort!$A$3:$B$21,2,0),0)</f>
        <v>0</v>
      </c>
      <c r="G37" s="13">
        <f t="shared" si="1"/>
        <v>0</v>
      </c>
      <c r="H37" s="13">
        <f t="shared" si="2"/>
        <v>0</v>
      </c>
      <c r="I37" s="13">
        <f t="shared" si="3"/>
        <v>0</v>
      </c>
      <c r="J37" s="13">
        <f t="shared" si="4"/>
        <v>0</v>
      </c>
      <c r="K37" s="13">
        <f t="shared" si="5"/>
        <v>0</v>
      </c>
      <c r="L37" s="13">
        <f t="shared" si="6"/>
        <v>0</v>
      </c>
      <c r="M37" s="13">
        <f t="shared" si="7"/>
        <v>0</v>
      </c>
      <c r="N37" s="13">
        <f t="shared" si="8"/>
        <v>0</v>
      </c>
      <c r="O37" s="13">
        <f t="shared" si="9"/>
        <v>0</v>
      </c>
      <c r="P37" s="13">
        <f t="shared" si="10"/>
        <v>0</v>
      </c>
      <c r="Q37" s="13">
        <f t="shared" si="11"/>
        <v>0</v>
      </c>
      <c r="R37" s="13" t="s">
        <v>239</v>
      </c>
      <c r="S37" s="13"/>
      <c r="T37" s="62">
        <v>0</v>
      </c>
      <c r="U37" s="62">
        <v>0</v>
      </c>
      <c r="V37" s="62">
        <v>0</v>
      </c>
      <c r="W37" s="62">
        <v>0</v>
      </c>
      <c r="X37" s="63">
        <v>2.41507E-6</v>
      </c>
      <c r="Y37" s="63">
        <v>1.8651199999999999E-5</v>
      </c>
      <c r="Z37" s="63">
        <v>5.39791E-5</v>
      </c>
      <c r="AA37" s="63">
        <v>1.3320500000000001E-4</v>
      </c>
      <c r="AB37" s="63">
        <v>2.7869199999999998E-4</v>
      </c>
      <c r="AC37" s="63">
        <v>3.6470200000000001E-4</v>
      </c>
      <c r="AD37" s="63">
        <v>4.51953E-4</v>
      </c>
      <c r="AE37" t="s">
        <v>93</v>
      </c>
    </row>
    <row r="38" spans="1:31">
      <c r="A38" s="13" t="s">
        <v>267</v>
      </c>
      <c r="B38" s="13" t="s">
        <v>1</v>
      </c>
      <c r="C38" s="13" t="s">
        <v>141</v>
      </c>
      <c r="D38" s="13" t="str">
        <f>IFERROR(VLOOKUP(C38,ghg_sort!$A$86:$B$512,2,0),0)</f>
        <v>Industry</v>
      </c>
      <c r="E38" s="13" t="s">
        <v>85</v>
      </c>
      <c r="F38" s="13">
        <f>IFERROR(VLOOKUP($E38,ghg_sort!$A$3:$B$21,2,0),0)</f>
        <v>0</v>
      </c>
      <c r="G38" s="13">
        <f t="shared" si="1"/>
        <v>0</v>
      </c>
      <c r="H38" s="13">
        <f t="shared" si="2"/>
        <v>0</v>
      </c>
      <c r="I38" s="13">
        <f t="shared" si="3"/>
        <v>0</v>
      </c>
      <c r="J38" s="13">
        <f t="shared" si="4"/>
        <v>0</v>
      </c>
      <c r="K38" s="13">
        <f t="shared" si="5"/>
        <v>0</v>
      </c>
      <c r="L38" s="13">
        <f t="shared" si="6"/>
        <v>0</v>
      </c>
      <c r="M38" s="13">
        <f t="shared" si="7"/>
        <v>0</v>
      </c>
      <c r="N38" s="13">
        <f t="shared" si="8"/>
        <v>0</v>
      </c>
      <c r="O38" s="13">
        <f t="shared" si="9"/>
        <v>0</v>
      </c>
      <c r="P38" s="13">
        <f t="shared" si="10"/>
        <v>0</v>
      </c>
      <c r="Q38" s="13">
        <f t="shared" si="11"/>
        <v>0</v>
      </c>
      <c r="R38" s="13" t="s">
        <v>239</v>
      </c>
      <c r="S38" s="13"/>
      <c r="T38" s="62">
        <v>0</v>
      </c>
      <c r="U38" s="62">
        <v>0</v>
      </c>
      <c r="V38" s="62">
        <v>0</v>
      </c>
      <c r="W38" s="62">
        <v>0</v>
      </c>
      <c r="X38" s="63">
        <v>2.9039899999999998E-7</v>
      </c>
      <c r="Y38" s="63">
        <v>2.1138399999999998E-6</v>
      </c>
      <c r="Z38" s="63">
        <v>5.9166100000000001E-6</v>
      </c>
      <c r="AA38" s="63">
        <v>1.38293E-5</v>
      </c>
      <c r="AB38" s="63">
        <v>2.57211E-5</v>
      </c>
      <c r="AC38" s="63">
        <v>3.5655499999999998E-5</v>
      </c>
      <c r="AD38" s="63">
        <v>4.5166200000000001E-5</v>
      </c>
      <c r="AE38" t="s">
        <v>93</v>
      </c>
    </row>
    <row r="39" spans="1:31">
      <c r="A39" s="13" t="s">
        <v>267</v>
      </c>
      <c r="B39" s="13" t="s">
        <v>1</v>
      </c>
      <c r="C39" s="13" t="s">
        <v>141</v>
      </c>
      <c r="D39" s="13" t="str">
        <f>IFERROR(VLOOKUP(C39,ghg_sort!$A$86:$B$512,2,0),0)</f>
        <v>Industry</v>
      </c>
      <c r="E39" s="12" t="s">
        <v>86</v>
      </c>
      <c r="F39" s="13">
        <f>IFERROR(VLOOKUP($E39,ghg_sort!$A$3:$B$21,2,0),0)</f>
        <v>3.6666666666666701</v>
      </c>
      <c r="G39" s="13">
        <f t="shared" si="1"/>
        <v>0</v>
      </c>
      <c r="H39" s="13">
        <f t="shared" si="2"/>
        <v>0</v>
      </c>
      <c r="I39" s="13">
        <f t="shared" si="3"/>
        <v>0</v>
      </c>
      <c r="J39" s="13">
        <f t="shared" si="4"/>
        <v>0</v>
      </c>
      <c r="K39" s="13">
        <f t="shared" si="5"/>
        <v>3.6643090000000038E-2</v>
      </c>
      <c r="L39" s="13">
        <f t="shared" si="6"/>
        <v>0.26672800000000024</v>
      </c>
      <c r="M39" s="13">
        <f t="shared" si="7"/>
        <v>0.74656633333333411</v>
      </c>
      <c r="N39" s="13">
        <f t="shared" si="8"/>
        <v>1.7450070000000015</v>
      </c>
      <c r="O39" s="13">
        <f t="shared" si="9"/>
        <v>3.2455280000000033</v>
      </c>
      <c r="P39" s="13">
        <f t="shared" si="10"/>
        <v>4.4990733333333379</v>
      </c>
      <c r="Q39" s="13">
        <f t="shared" si="11"/>
        <v>5.6991366666666723</v>
      </c>
      <c r="R39" s="13" t="s">
        <v>239</v>
      </c>
      <c r="S39" s="13"/>
      <c r="T39" s="62">
        <v>0</v>
      </c>
      <c r="U39" s="62">
        <v>0</v>
      </c>
      <c r="V39" s="62">
        <v>0</v>
      </c>
      <c r="W39" s="62">
        <v>0</v>
      </c>
      <c r="X39" s="62">
        <v>9.9935700000000002E-3</v>
      </c>
      <c r="Y39" s="62">
        <v>7.2744000000000003E-2</v>
      </c>
      <c r="Z39" s="62">
        <v>0.20360900000000001</v>
      </c>
      <c r="AA39" s="62">
        <v>0.47591099999999997</v>
      </c>
      <c r="AB39" s="62">
        <v>0.88514400000000004</v>
      </c>
      <c r="AC39" s="62">
        <v>1.22702</v>
      </c>
      <c r="AD39" s="62">
        <v>1.5543100000000001</v>
      </c>
      <c r="AE39" t="s">
        <v>94</v>
      </c>
    </row>
    <row r="40" spans="1:31">
      <c r="A40" s="13" t="s">
        <v>267</v>
      </c>
      <c r="B40" s="13" t="s">
        <v>1</v>
      </c>
      <c r="C40" s="13" t="s">
        <v>141</v>
      </c>
      <c r="D40" s="13" t="str">
        <f>IFERROR(VLOOKUP(C40,ghg_sort!$A$86:$B$512,2,0),0)</f>
        <v>Industry</v>
      </c>
      <c r="E40" s="13" t="s">
        <v>90</v>
      </c>
      <c r="F40" s="13">
        <f>IFERROR(VLOOKUP($E40,ghg_sort!$A$3:$B$21,2,0),0)</f>
        <v>0</v>
      </c>
      <c r="G40" s="13">
        <f t="shared" si="1"/>
        <v>0</v>
      </c>
      <c r="H40" s="13">
        <f t="shared" si="2"/>
        <v>0</v>
      </c>
      <c r="I40" s="13">
        <f t="shared" si="3"/>
        <v>0</v>
      </c>
      <c r="J40" s="13">
        <f t="shared" si="4"/>
        <v>0</v>
      </c>
      <c r="K40" s="13">
        <f t="shared" si="5"/>
        <v>0</v>
      </c>
      <c r="L40" s="13">
        <f t="shared" si="6"/>
        <v>0</v>
      </c>
      <c r="M40" s="13">
        <f t="shared" si="7"/>
        <v>0</v>
      </c>
      <c r="N40" s="13">
        <f t="shared" si="8"/>
        <v>0</v>
      </c>
      <c r="O40" s="13">
        <f t="shared" si="9"/>
        <v>0</v>
      </c>
      <c r="P40" s="13">
        <f t="shared" si="10"/>
        <v>0</v>
      </c>
      <c r="Q40" s="13">
        <f t="shared" si="11"/>
        <v>0</v>
      </c>
      <c r="R40" s="13" t="s">
        <v>239</v>
      </c>
      <c r="S40" s="13"/>
      <c r="T40" s="62">
        <v>0</v>
      </c>
      <c r="U40" s="62">
        <v>0</v>
      </c>
      <c r="V40" s="62">
        <v>0</v>
      </c>
      <c r="W40" s="62">
        <v>0</v>
      </c>
      <c r="X40" s="63">
        <v>2.9407800000000002E-6</v>
      </c>
      <c r="Y40" s="63">
        <v>2.1406199999999998E-5</v>
      </c>
      <c r="Z40" s="63">
        <v>5.99157E-5</v>
      </c>
      <c r="AA40" s="63">
        <v>1.4004499999999999E-4</v>
      </c>
      <c r="AB40" s="63">
        <v>2.6046899999999999E-4</v>
      </c>
      <c r="AC40" s="63">
        <v>3.6107199999999999E-4</v>
      </c>
      <c r="AD40" s="63">
        <v>4.5738400000000002E-4</v>
      </c>
      <c r="AE40" t="s">
        <v>93</v>
      </c>
    </row>
    <row r="41" spans="1:31">
      <c r="A41" t="s">
        <v>267</v>
      </c>
      <c r="B41" t="s">
        <v>1</v>
      </c>
      <c r="C41" t="s">
        <v>217</v>
      </c>
      <c r="D41" s="13" t="str">
        <f>IFERROR(VLOOKUP(C41,ghg_sort!$A$86:$B$512,2,0),0)</f>
        <v>Agriculture</v>
      </c>
      <c r="E41" t="s">
        <v>206</v>
      </c>
      <c r="F41" s="13">
        <f>IFERROR(VLOOKUP($E41,ghg_sort!$A$3:$B$21,2,0),0)</f>
        <v>0</v>
      </c>
      <c r="G41" s="13">
        <f t="shared" si="1"/>
        <v>0</v>
      </c>
      <c r="H41" s="13">
        <f t="shared" si="2"/>
        <v>0</v>
      </c>
      <c r="I41" s="13">
        <f t="shared" si="3"/>
        <v>0</v>
      </c>
      <c r="J41" s="13">
        <f t="shared" si="4"/>
        <v>0</v>
      </c>
      <c r="K41" s="13">
        <f t="shared" si="5"/>
        <v>0</v>
      </c>
      <c r="L41" s="13">
        <f t="shared" si="6"/>
        <v>0</v>
      </c>
      <c r="M41" s="13">
        <f t="shared" si="7"/>
        <v>0</v>
      </c>
      <c r="N41" s="13">
        <f t="shared" si="8"/>
        <v>0</v>
      </c>
      <c r="O41" s="13">
        <f t="shared" si="9"/>
        <v>0</v>
      </c>
      <c r="P41" s="13">
        <f t="shared" si="10"/>
        <v>0</v>
      </c>
      <c r="Q41" s="13">
        <f t="shared" si="11"/>
        <v>0</v>
      </c>
      <c r="R41" s="13" t="s">
        <v>239</v>
      </c>
      <c r="T41" s="63">
        <v>6.0504999999999999E-6</v>
      </c>
      <c r="U41" s="63">
        <v>8.4236000000000001E-6</v>
      </c>
      <c r="V41" s="63">
        <v>1.352325E-4</v>
      </c>
      <c r="W41" s="63">
        <v>1.3706689999999999E-4</v>
      </c>
      <c r="X41" s="63">
        <v>9.95435E-5</v>
      </c>
      <c r="Y41" s="63">
        <v>6.2715240000000002E-5</v>
      </c>
      <c r="Z41" s="63">
        <v>6.0933130000000003E-5</v>
      </c>
      <c r="AA41" s="63">
        <v>6.1679810000000006E-5</v>
      </c>
      <c r="AB41" s="63">
        <v>6.1895629999999898E-5</v>
      </c>
      <c r="AC41" s="63">
        <v>6.1135899999999999E-5</v>
      </c>
      <c r="AD41" s="63">
        <v>5.9882029999999901E-5</v>
      </c>
      <c r="AE41" t="s">
        <v>93</v>
      </c>
    </row>
    <row r="42" spans="1:31">
      <c r="A42" t="s">
        <v>267</v>
      </c>
      <c r="B42" t="s">
        <v>1</v>
      </c>
      <c r="C42" t="s">
        <v>217</v>
      </c>
      <c r="D42" s="13" t="str">
        <f>IFERROR(VLOOKUP(C42,ghg_sort!$A$86:$B$512,2,0),0)</f>
        <v>Agriculture</v>
      </c>
      <c r="E42" t="s">
        <v>105</v>
      </c>
      <c r="F42" s="13">
        <f>IFERROR(VLOOKUP($E42,ghg_sort!$A$3:$B$21,2,0),0)</f>
        <v>25</v>
      </c>
      <c r="G42" s="13">
        <f t="shared" si="1"/>
        <v>1.1737925000000001E-3</v>
      </c>
      <c r="H42" s="13">
        <f t="shared" si="2"/>
        <v>1.6341734999999998E-3</v>
      </c>
      <c r="I42" s="13">
        <f t="shared" si="3"/>
        <v>1.6244110000000001E-3</v>
      </c>
      <c r="J42" s="13">
        <f t="shared" si="4"/>
        <v>1.6464464999999999E-3</v>
      </c>
      <c r="K42" s="13">
        <f t="shared" si="5"/>
        <v>1.19571375E-3</v>
      </c>
      <c r="L42" s="13">
        <f t="shared" si="6"/>
        <v>7.5333525000000003E-4</v>
      </c>
      <c r="M42" s="13">
        <f t="shared" si="7"/>
        <v>7.3192699999999995E-4</v>
      </c>
      <c r="N42" s="13">
        <f t="shared" si="8"/>
        <v>7.4089474999999752E-4</v>
      </c>
      <c r="O42" s="13">
        <f t="shared" si="9"/>
        <v>7.4348899999999996E-4</v>
      </c>
      <c r="P42" s="13">
        <f t="shared" si="10"/>
        <v>7.3436249999999747E-4</v>
      </c>
      <c r="Q42" s="13">
        <f t="shared" si="11"/>
        <v>7.1930224999999998E-4</v>
      </c>
      <c r="R42" s="13" t="s">
        <v>239</v>
      </c>
      <c r="T42" s="63">
        <v>4.69517E-5</v>
      </c>
      <c r="U42" s="63">
        <v>6.5366939999999995E-5</v>
      </c>
      <c r="V42" s="63">
        <v>6.497644E-5</v>
      </c>
      <c r="W42" s="63">
        <v>6.5857859999999996E-5</v>
      </c>
      <c r="X42" s="63">
        <v>4.7828550000000001E-5</v>
      </c>
      <c r="Y42" s="63">
        <v>3.0133409999999999E-5</v>
      </c>
      <c r="Z42" s="63">
        <v>2.927708E-5</v>
      </c>
      <c r="AA42" s="63">
        <v>2.9635789999999899E-5</v>
      </c>
      <c r="AB42" s="63">
        <v>2.973956E-5</v>
      </c>
      <c r="AC42" s="63">
        <v>2.93744999999999E-5</v>
      </c>
      <c r="AD42" s="63">
        <v>2.8772090000000001E-5</v>
      </c>
      <c r="AE42" t="s">
        <v>93</v>
      </c>
    </row>
    <row r="43" spans="1:31">
      <c r="A43" t="s">
        <v>267</v>
      </c>
      <c r="B43" t="s">
        <v>1</v>
      </c>
      <c r="C43" t="s">
        <v>217</v>
      </c>
      <c r="D43" s="13" t="str">
        <f>IFERROR(VLOOKUP(C43,ghg_sort!$A$86:$B$512,2,0),0)</f>
        <v>Agriculture</v>
      </c>
      <c r="E43" t="s">
        <v>207</v>
      </c>
      <c r="F43" s="13">
        <f>IFERROR(VLOOKUP($E43,ghg_sort!$A$3:$B$21,2,0),0)</f>
        <v>0</v>
      </c>
      <c r="G43" s="13">
        <f t="shared" si="1"/>
        <v>0</v>
      </c>
      <c r="H43" s="13">
        <f t="shared" si="2"/>
        <v>0</v>
      </c>
      <c r="I43" s="13">
        <f t="shared" si="3"/>
        <v>0</v>
      </c>
      <c r="J43" s="13">
        <f t="shared" si="4"/>
        <v>0</v>
      </c>
      <c r="K43" s="13">
        <f t="shared" si="5"/>
        <v>0</v>
      </c>
      <c r="L43" s="13">
        <f t="shared" si="6"/>
        <v>0</v>
      </c>
      <c r="M43" s="13">
        <f t="shared" si="7"/>
        <v>0</v>
      </c>
      <c r="N43" s="13">
        <f t="shared" si="8"/>
        <v>0</v>
      </c>
      <c r="O43" s="13">
        <f t="shared" si="9"/>
        <v>0</v>
      </c>
      <c r="P43" s="13">
        <f t="shared" si="10"/>
        <v>0</v>
      </c>
      <c r="Q43" s="13">
        <f t="shared" si="11"/>
        <v>0</v>
      </c>
      <c r="R43" s="13" t="s">
        <v>239</v>
      </c>
      <c r="T43" s="63">
        <v>8.2286599999999903E-4</v>
      </c>
      <c r="U43" s="62">
        <v>1.1456050000000001E-3</v>
      </c>
      <c r="V43" s="62">
        <v>1.1387629999999899E-3</v>
      </c>
      <c r="W43" s="62">
        <v>1.154209E-3</v>
      </c>
      <c r="X43" s="63">
        <v>8.3823299999999997E-4</v>
      </c>
      <c r="Y43" s="63">
        <v>5.2811049999999999E-4</v>
      </c>
      <c r="Z43" s="63">
        <v>5.1310329999999999E-4</v>
      </c>
      <c r="AA43" s="63">
        <v>5.1939040000000003E-4</v>
      </c>
      <c r="AB43" s="63">
        <v>5.2120789999999997E-4</v>
      </c>
      <c r="AC43" s="63">
        <v>5.1481179999999995E-4</v>
      </c>
      <c r="AD43" s="63">
        <v>5.0425350000000003E-4</v>
      </c>
      <c r="AE43" t="s">
        <v>93</v>
      </c>
    </row>
    <row r="44" spans="1:31">
      <c r="A44" t="s">
        <v>267</v>
      </c>
      <c r="B44" t="s">
        <v>1</v>
      </c>
      <c r="C44" t="s">
        <v>217</v>
      </c>
      <c r="D44" s="13" t="str">
        <f>IFERROR(VLOOKUP(C44,ghg_sort!$A$86:$B$512,2,0),0)</f>
        <v>Agriculture</v>
      </c>
      <c r="E44" t="s">
        <v>208</v>
      </c>
      <c r="F44" s="13">
        <f>IFERROR(VLOOKUP($E44,ghg_sort!$A$3:$B$21,2,0),0)</f>
        <v>0</v>
      </c>
      <c r="G44" s="13">
        <f t="shared" si="1"/>
        <v>0</v>
      </c>
      <c r="H44" s="13">
        <f t="shared" si="2"/>
        <v>0</v>
      </c>
      <c r="I44" s="13">
        <f t="shared" si="3"/>
        <v>0</v>
      </c>
      <c r="J44" s="13">
        <f t="shared" si="4"/>
        <v>0</v>
      </c>
      <c r="K44" s="13">
        <f t="shared" si="5"/>
        <v>0</v>
      </c>
      <c r="L44" s="13">
        <f t="shared" si="6"/>
        <v>0</v>
      </c>
      <c r="M44" s="13">
        <f t="shared" si="7"/>
        <v>0</v>
      </c>
      <c r="N44" s="13">
        <f t="shared" si="8"/>
        <v>0</v>
      </c>
      <c r="O44" s="13">
        <f t="shared" si="9"/>
        <v>0</v>
      </c>
      <c r="P44" s="13">
        <f t="shared" si="10"/>
        <v>0</v>
      </c>
      <c r="Q44" s="13">
        <f t="shared" si="11"/>
        <v>0</v>
      </c>
      <c r="R44" s="13" t="s">
        <v>239</v>
      </c>
      <c r="T44" s="63">
        <v>1.9049300000000001E-5</v>
      </c>
      <c r="U44" s="63">
        <v>2.6563E-5</v>
      </c>
      <c r="V44" s="63">
        <v>2.6404289999999902E-5</v>
      </c>
      <c r="W44" s="63">
        <v>2.67624699999999E-5</v>
      </c>
      <c r="X44" s="63">
        <v>1.943597E-5</v>
      </c>
      <c r="Y44" s="63">
        <v>1.224523E-5</v>
      </c>
      <c r="Z44" s="63">
        <v>1.1897259999999999E-5</v>
      </c>
      <c r="AA44" s="63">
        <v>1.204305E-5</v>
      </c>
      <c r="AB44" s="63">
        <v>1.2085179999999999E-5</v>
      </c>
      <c r="AC44" s="63">
        <v>1.193687E-5</v>
      </c>
      <c r="AD44" s="63">
        <v>1.169203E-5</v>
      </c>
      <c r="AE44" t="s">
        <v>93</v>
      </c>
    </row>
    <row r="45" spans="1:31">
      <c r="A45" t="s">
        <v>267</v>
      </c>
      <c r="B45" t="s">
        <v>1</v>
      </c>
      <c r="C45" t="s">
        <v>217</v>
      </c>
      <c r="D45" s="13" t="str">
        <f>IFERROR(VLOOKUP(C45,ghg_sort!$A$86:$B$512,2,0),0)</f>
        <v>Agriculture</v>
      </c>
      <c r="E45" t="s">
        <v>101</v>
      </c>
      <c r="F45" s="13">
        <f>IFERROR(VLOOKUP($E45,ghg_sort!$A$3:$B$21,2,0),0)</f>
        <v>298</v>
      </c>
      <c r="G45" s="13">
        <f t="shared" si="1"/>
        <v>1.2622177399999999</v>
      </c>
      <c r="H45" s="13">
        <f t="shared" si="2"/>
        <v>1.6690869739999998</v>
      </c>
      <c r="I45" s="13">
        <f t="shared" si="3"/>
        <v>1.3292945599999999</v>
      </c>
      <c r="J45" s="13">
        <f t="shared" si="4"/>
        <v>1.4677692</v>
      </c>
      <c r="K45" s="13">
        <f t="shared" si="5"/>
        <v>1.5176418840000001</v>
      </c>
      <c r="L45" s="13">
        <f t="shared" si="6"/>
        <v>1.538028361999997</v>
      </c>
      <c r="M45" s="13">
        <f t="shared" si="7"/>
        <v>1.533369728</v>
      </c>
      <c r="N45" s="13">
        <f t="shared" si="8"/>
        <v>1.519133671999997</v>
      </c>
      <c r="O45" s="13">
        <f t="shared" si="9"/>
        <v>1.491306432</v>
      </c>
      <c r="P45" s="13">
        <f t="shared" si="10"/>
        <v>1.473004762</v>
      </c>
      <c r="Q45" s="13">
        <f t="shared" si="11"/>
        <v>1.4427947139999999</v>
      </c>
      <c r="R45" s="13" t="s">
        <v>239</v>
      </c>
      <c r="T45" s="62">
        <v>4.2356299999999998E-3</v>
      </c>
      <c r="U45" s="62">
        <v>5.6009629999999996E-3</v>
      </c>
      <c r="V45" s="62">
        <v>4.4607199999999996E-3</v>
      </c>
      <c r="W45" s="62">
        <v>4.9253999999999999E-3</v>
      </c>
      <c r="X45" s="62">
        <v>5.0927580000000002E-3</v>
      </c>
      <c r="Y45" s="62">
        <v>5.1611689999999898E-3</v>
      </c>
      <c r="Z45" s="62">
        <v>5.145536E-3</v>
      </c>
      <c r="AA45" s="62">
        <v>5.0977639999999899E-3</v>
      </c>
      <c r="AB45" s="62">
        <v>5.0043839999999997E-3</v>
      </c>
      <c r="AC45" s="62">
        <v>4.9429690000000002E-3</v>
      </c>
      <c r="AD45" s="62">
        <v>4.8415929999999999E-3</v>
      </c>
      <c r="AE45" t="s">
        <v>93</v>
      </c>
    </row>
    <row r="46" spans="1:31">
      <c r="A46" t="s">
        <v>267</v>
      </c>
      <c r="B46" t="s">
        <v>1</v>
      </c>
      <c r="C46" t="s">
        <v>217</v>
      </c>
      <c r="D46" s="13" t="str">
        <f>IFERROR(VLOOKUP(C46,ghg_sort!$A$86:$B$512,2,0),0)</f>
        <v>Agriculture</v>
      </c>
      <c r="E46" t="s">
        <v>102</v>
      </c>
      <c r="F46" s="13">
        <f>IFERROR(VLOOKUP($E46,ghg_sort!$A$3:$B$21,2,0),0)</f>
        <v>298</v>
      </c>
      <c r="G46" s="13">
        <f t="shared" si="1"/>
        <v>2.4039660000000002E-4</v>
      </c>
      <c r="H46" s="13">
        <f t="shared" si="2"/>
        <v>3.3468380000000001E-4</v>
      </c>
      <c r="I46" s="13">
        <f t="shared" si="3"/>
        <v>3.3268481600000002E-4</v>
      </c>
      <c r="J46" s="13">
        <f t="shared" si="4"/>
        <v>3.3719742999999998E-4</v>
      </c>
      <c r="K46" s="13">
        <f t="shared" si="5"/>
        <v>2.44886268E-4</v>
      </c>
      <c r="L46" s="13">
        <f t="shared" si="6"/>
        <v>1.5428523860000002E-4</v>
      </c>
      <c r="M46" s="13">
        <f t="shared" si="7"/>
        <v>1.499010626E-4</v>
      </c>
      <c r="N46" s="13">
        <f t="shared" si="8"/>
        <v>1.517380836E-4</v>
      </c>
      <c r="O46" s="13">
        <f t="shared" si="9"/>
        <v>1.5226861299999969E-4</v>
      </c>
      <c r="P46" s="13">
        <f t="shared" si="10"/>
        <v>1.5040018280000001E-4</v>
      </c>
      <c r="Q46" s="13">
        <f t="shared" si="11"/>
        <v>1.473152868E-4</v>
      </c>
      <c r="R46" s="13" t="s">
        <v>239</v>
      </c>
      <c r="T46" s="63">
        <v>8.0670000000000004E-7</v>
      </c>
      <c r="U46" s="63">
        <v>1.1231000000000001E-6</v>
      </c>
      <c r="V46" s="63">
        <v>1.116392E-6</v>
      </c>
      <c r="W46" s="63">
        <v>1.131535E-6</v>
      </c>
      <c r="X46" s="63">
        <v>8.2176600000000003E-7</v>
      </c>
      <c r="Y46" s="63">
        <v>5.1773570000000005E-7</v>
      </c>
      <c r="Z46" s="63">
        <v>5.0302369999999999E-7</v>
      </c>
      <c r="AA46" s="63">
        <v>5.091882E-7</v>
      </c>
      <c r="AB46" s="63">
        <v>5.1096849999999898E-7</v>
      </c>
      <c r="AC46" s="63">
        <v>5.0469860000000002E-7</v>
      </c>
      <c r="AD46" s="63">
        <v>4.9434660000000003E-7</v>
      </c>
      <c r="AE46" t="s">
        <v>93</v>
      </c>
    </row>
    <row r="47" spans="1:31">
      <c r="A47" t="s">
        <v>267</v>
      </c>
      <c r="B47" t="s">
        <v>1</v>
      </c>
      <c r="C47" t="s">
        <v>217</v>
      </c>
      <c r="D47" s="13" t="str">
        <f>IFERROR(VLOOKUP(C47,ghg_sort!$A$86:$B$512,2,0),0)</f>
        <v>Agriculture</v>
      </c>
      <c r="E47" t="s">
        <v>202</v>
      </c>
      <c r="F47" s="13">
        <f>IFERROR(VLOOKUP($E47,ghg_sort!$A$3:$B$21,2,0),0)</f>
        <v>0</v>
      </c>
      <c r="G47" s="13">
        <f t="shared" si="1"/>
        <v>0</v>
      </c>
      <c r="H47" s="13">
        <f t="shared" si="2"/>
        <v>0</v>
      </c>
      <c r="I47" s="13">
        <f t="shared" si="3"/>
        <v>0</v>
      </c>
      <c r="J47" s="13">
        <f t="shared" si="4"/>
        <v>0</v>
      </c>
      <c r="K47" s="13">
        <f t="shared" si="5"/>
        <v>0</v>
      </c>
      <c r="L47" s="13">
        <f t="shared" si="6"/>
        <v>0</v>
      </c>
      <c r="M47" s="13">
        <f t="shared" si="7"/>
        <v>0</v>
      </c>
      <c r="N47" s="13">
        <f t="shared" si="8"/>
        <v>0</v>
      </c>
      <c r="O47" s="13">
        <f t="shared" si="9"/>
        <v>0</v>
      </c>
      <c r="P47" s="13">
        <f t="shared" si="10"/>
        <v>0</v>
      </c>
      <c r="Q47" s="13">
        <f t="shared" si="11"/>
        <v>0</v>
      </c>
      <c r="R47" s="13" t="s">
        <v>239</v>
      </c>
      <c r="T47" s="62">
        <v>2.4400580000000002E-2</v>
      </c>
      <c r="U47" s="62">
        <v>3.3911110000000001E-2</v>
      </c>
      <c r="V47" s="62">
        <v>2.954526E-2</v>
      </c>
      <c r="W47" s="62">
        <v>3.096695E-2</v>
      </c>
      <c r="X47" s="62">
        <v>3.2672659999999999E-2</v>
      </c>
      <c r="Y47" s="62">
        <v>3.3801329999999997E-2</v>
      </c>
      <c r="Z47" s="62">
        <v>3.4415919999999899E-2</v>
      </c>
      <c r="AA47" s="62">
        <v>3.4837720000000003E-2</v>
      </c>
      <c r="AB47" s="62">
        <v>3.49596E-2</v>
      </c>
      <c r="AC47" s="62">
        <v>3.4530529999999997E-2</v>
      </c>
      <c r="AD47" s="62">
        <v>3.382226E-2</v>
      </c>
      <c r="AE47" t="s">
        <v>93</v>
      </c>
    </row>
    <row r="48" spans="1:31">
      <c r="A48" t="s">
        <v>267</v>
      </c>
      <c r="B48" t="s">
        <v>1</v>
      </c>
      <c r="C48" t="s">
        <v>217</v>
      </c>
      <c r="D48" s="13" t="str">
        <f>IFERROR(VLOOKUP(C48,ghg_sort!$A$86:$B$512,2,0),0)</f>
        <v>Agriculture</v>
      </c>
      <c r="E48" t="s">
        <v>209</v>
      </c>
      <c r="F48" s="13">
        <f>IFERROR(VLOOKUP($E48,ghg_sort!$A$3:$B$21,2,0),0)</f>
        <v>0</v>
      </c>
      <c r="G48" s="13">
        <f t="shared" si="1"/>
        <v>0</v>
      </c>
      <c r="H48" s="13">
        <f t="shared" si="2"/>
        <v>0</v>
      </c>
      <c r="I48" s="13">
        <f t="shared" si="3"/>
        <v>0</v>
      </c>
      <c r="J48" s="13">
        <f t="shared" si="4"/>
        <v>0</v>
      </c>
      <c r="K48" s="13">
        <f t="shared" si="5"/>
        <v>0</v>
      </c>
      <c r="L48" s="13">
        <f t="shared" si="6"/>
        <v>0</v>
      </c>
      <c r="M48" s="13">
        <f t="shared" si="7"/>
        <v>0</v>
      </c>
      <c r="N48" s="13">
        <f t="shared" si="8"/>
        <v>0</v>
      </c>
      <c r="O48" s="13">
        <f t="shared" si="9"/>
        <v>0</v>
      </c>
      <c r="P48" s="13">
        <f t="shared" si="10"/>
        <v>0</v>
      </c>
      <c r="Q48" s="13">
        <f t="shared" si="11"/>
        <v>0</v>
      </c>
      <c r="R48" s="13" t="s">
        <v>239</v>
      </c>
      <c r="T48" s="63">
        <v>1.75059999999999E-5</v>
      </c>
      <c r="U48" s="63">
        <v>2.43722E-5</v>
      </c>
      <c r="V48" s="63">
        <v>2.4226609999999898E-5</v>
      </c>
      <c r="W48" s="63">
        <v>2.4555229999999899E-5</v>
      </c>
      <c r="X48" s="63">
        <v>1.7832970000000001E-5</v>
      </c>
      <c r="Y48" s="63">
        <v>1.1235300000000001E-5</v>
      </c>
      <c r="Z48" s="63">
        <v>1.091602E-5</v>
      </c>
      <c r="AA48" s="63">
        <v>1.104979E-5</v>
      </c>
      <c r="AB48" s="63">
        <v>1.108844E-5</v>
      </c>
      <c r="AC48" s="63">
        <v>1.0952359999999999E-5</v>
      </c>
      <c r="AD48" s="63">
        <v>1.0727729999999999E-5</v>
      </c>
      <c r="AE48" t="s">
        <v>93</v>
      </c>
    </row>
    <row r="49" spans="1:31">
      <c r="A49" t="s">
        <v>267</v>
      </c>
      <c r="B49" t="s">
        <v>1</v>
      </c>
      <c r="C49" t="s">
        <v>217</v>
      </c>
      <c r="D49" s="13" t="str">
        <f>IFERROR(VLOOKUP(C49,ghg_sort!$A$86:$B$512,2,0),0)</f>
        <v>Agriculture</v>
      </c>
      <c r="E49" t="s">
        <v>210</v>
      </c>
      <c r="F49" s="13">
        <f>IFERROR(VLOOKUP($E49,ghg_sort!$A$3:$B$21,2,0),0)</f>
        <v>0</v>
      </c>
      <c r="G49" s="13">
        <f t="shared" si="1"/>
        <v>0</v>
      </c>
      <c r="H49" s="13">
        <f t="shared" si="2"/>
        <v>0</v>
      </c>
      <c r="I49" s="13">
        <f t="shared" si="3"/>
        <v>0</v>
      </c>
      <c r="J49" s="13">
        <f t="shared" si="4"/>
        <v>0</v>
      </c>
      <c r="K49" s="13">
        <f t="shared" si="5"/>
        <v>0</v>
      </c>
      <c r="L49" s="13">
        <f t="shared" si="6"/>
        <v>0</v>
      </c>
      <c r="M49" s="13">
        <f t="shared" si="7"/>
        <v>0</v>
      </c>
      <c r="N49" s="13">
        <f t="shared" si="8"/>
        <v>0</v>
      </c>
      <c r="O49" s="13">
        <f t="shared" si="9"/>
        <v>0</v>
      </c>
      <c r="P49" s="13">
        <f t="shared" si="10"/>
        <v>0</v>
      </c>
      <c r="Q49" s="13">
        <f t="shared" si="11"/>
        <v>0</v>
      </c>
      <c r="R49" s="13" t="s">
        <v>239</v>
      </c>
      <c r="T49" s="63">
        <v>1.9725179999999999E-4</v>
      </c>
      <c r="U49" s="63">
        <v>2.7413859999999998E-4</v>
      </c>
      <c r="V49" s="63">
        <v>2.7250119999999999E-4</v>
      </c>
      <c r="W49" s="63">
        <v>2.7619729999999999E-4</v>
      </c>
      <c r="X49" s="63">
        <v>2.0058550000000001E-4</v>
      </c>
      <c r="Y49" s="63">
        <v>1.263747E-4</v>
      </c>
      <c r="Z49" s="63">
        <v>1.2278349999999999E-4</v>
      </c>
      <c r="AA49" s="63">
        <v>1.2428809999999999E-4</v>
      </c>
      <c r="AB49" s="63">
        <v>1.2472300000000001E-4</v>
      </c>
      <c r="AC49" s="63">
        <v>1.2319229999999999E-4</v>
      </c>
      <c r="AD49" s="63">
        <v>1.206656E-4</v>
      </c>
      <c r="AE49" t="s">
        <v>93</v>
      </c>
    </row>
    <row r="50" spans="1:31">
      <c r="A50" t="s">
        <v>267</v>
      </c>
      <c r="B50" t="s">
        <v>1</v>
      </c>
      <c r="C50" t="s">
        <v>217</v>
      </c>
      <c r="D50" s="13" t="str">
        <f>IFERROR(VLOOKUP(C50,ghg_sort!$A$86:$B$512,2,0),0)</f>
        <v>Agriculture</v>
      </c>
      <c r="E50" t="s">
        <v>204</v>
      </c>
      <c r="F50" s="13">
        <f>IFERROR(VLOOKUP($E50,ghg_sort!$A$3:$B$21,2,0),0)</f>
        <v>0</v>
      </c>
      <c r="G50" s="13">
        <f t="shared" si="1"/>
        <v>0</v>
      </c>
      <c r="H50" s="13">
        <f t="shared" si="2"/>
        <v>0</v>
      </c>
      <c r="I50" s="13">
        <f t="shared" si="3"/>
        <v>0</v>
      </c>
      <c r="J50" s="13">
        <f t="shared" si="4"/>
        <v>0</v>
      </c>
      <c r="K50" s="13">
        <f t="shared" si="5"/>
        <v>0</v>
      </c>
      <c r="L50" s="13">
        <f t="shared" si="6"/>
        <v>0</v>
      </c>
      <c r="M50" s="13">
        <f t="shared" si="7"/>
        <v>0</v>
      </c>
      <c r="N50" s="13">
        <f t="shared" si="8"/>
        <v>0</v>
      </c>
      <c r="O50" s="13">
        <f t="shared" si="9"/>
        <v>0</v>
      </c>
      <c r="P50" s="13">
        <f t="shared" si="10"/>
        <v>0</v>
      </c>
      <c r="Q50" s="13">
        <f t="shared" si="11"/>
        <v>0</v>
      </c>
      <c r="R50" s="13" t="s">
        <v>239</v>
      </c>
      <c r="T50" s="62">
        <v>2.0467129999999999E-3</v>
      </c>
      <c r="U50" s="62">
        <v>2.180576E-3</v>
      </c>
      <c r="V50" s="62">
        <v>2.011391E-3</v>
      </c>
      <c r="W50" s="62">
        <v>1.7922209999999899E-3</v>
      </c>
      <c r="X50" s="62">
        <v>1.89093599999999E-3</v>
      </c>
      <c r="Y50" s="62">
        <v>1.9562579999999898E-3</v>
      </c>
      <c r="Z50" s="62">
        <v>1.9918290000000001E-3</v>
      </c>
      <c r="AA50" s="62">
        <v>2.0162359999999998E-3</v>
      </c>
      <c r="AB50" s="62">
        <v>2.023291E-3</v>
      </c>
      <c r="AC50" s="62">
        <v>1.9984590000000002E-3</v>
      </c>
      <c r="AD50" s="62">
        <v>1.9574700000000002E-3</v>
      </c>
      <c r="AE50" t="s">
        <v>93</v>
      </c>
    </row>
    <row r="51" spans="1:31">
      <c r="A51" t="s">
        <v>267</v>
      </c>
      <c r="B51" t="s">
        <v>1</v>
      </c>
      <c r="C51" t="s">
        <v>217</v>
      </c>
      <c r="D51" s="13" t="str">
        <f>IFERROR(VLOOKUP(C51,ghg_sort!$A$86:$B$512,2,0),0)</f>
        <v>Agriculture</v>
      </c>
      <c r="E51" t="s">
        <v>211</v>
      </c>
      <c r="F51" s="13">
        <f>IFERROR(VLOOKUP($E51,ghg_sort!$A$3:$B$21,2,0),0)</f>
        <v>0</v>
      </c>
      <c r="G51" s="13">
        <f t="shared" si="1"/>
        <v>0</v>
      </c>
      <c r="H51" s="13">
        <f t="shared" si="2"/>
        <v>0</v>
      </c>
      <c r="I51" s="13">
        <f t="shared" si="3"/>
        <v>0</v>
      </c>
      <c r="J51" s="13">
        <f t="shared" si="4"/>
        <v>0</v>
      </c>
      <c r="K51" s="13">
        <f t="shared" si="5"/>
        <v>0</v>
      </c>
      <c r="L51" s="13">
        <f t="shared" si="6"/>
        <v>0</v>
      </c>
      <c r="M51" s="13">
        <f t="shared" si="7"/>
        <v>0</v>
      </c>
      <c r="N51" s="13">
        <f t="shared" si="8"/>
        <v>0</v>
      </c>
      <c r="O51" s="13">
        <f t="shared" si="9"/>
        <v>0</v>
      </c>
      <c r="P51" s="13">
        <f t="shared" si="10"/>
        <v>0</v>
      </c>
      <c r="Q51" s="13">
        <f t="shared" si="11"/>
        <v>0</v>
      </c>
      <c r="R51" s="13" t="s">
        <v>239</v>
      </c>
      <c r="T51" s="63">
        <v>2.5089319999999999E-5</v>
      </c>
      <c r="U51" s="63">
        <v>3.4929759999999901E-5</v>
      </c>
      <c r="V51" s="63">
        <v>3.4721139999999998E-5</v>
      </c>
      <c r="W51" s="63">
        <v>3.5192079999999997E-5</v>
      </c>
      <c r="X51" s="63">
        <v>2.5557950000000002E-5</v>
      </c>
      <c r="Y51" s="63">
        <v>1.6102229999999998E-5</v>
      </c>
      <c r="Z51" s="63">
        <v>1.564466E-5</v>
      </c>
      <c r="AA51" s="63">
        <v>1.5836370000000001E-5</v>
      </c>
      <c r="AB51" s="63">
        <v>1.589177E-5</v>
      </c>
      <c r="AC51" s="63">
        <v>1.569672E-5</v>
      </c>
      <c r="AD51" s="63">
        <v>1.5374779999999999E-5</v>
      </c>
      <c r="AE51" t="s">
        <v>93</v>
      </c>
    </row>
    <row r="52" spans="1:31">
      <c r="A52" t="s">
        <v>267</v>
      </c>
      <c r="B52" t="s">
        <v>1</v>
      </c>
      <c r="C52" t="s">
        <v>217</v>
      </c>
      <c r="D52" s="13" t="str">
        <f>IFERROR(VLOOKUP(C52,ghg_sort!$A$86:$B$512,2,0),0)</f>
        <v>Agriculture</v>
      </c>
      <c r="E52" t="s">
        <v>212</v>
      </c>
      <c r="F52" s="13">
        <f>IFERROR(VLOOKUP($E52,ghg_sort!$A$3:$B$21,2,0),0)</f>
        <v>0</v>
      </c>
      <c r="G52" s="13">
        <f t="shared" si="1"/>
        <v>0</v>
      </c>
      <c r="H52" s="13">
        <f t="shared" si="2"/>
        <v>0</v>
      </c>
      <c r="I52" s="13">
        <f t="shared" si="3"/>
        <v>0</v>
      </c>
      <c r="J52" s="13">
        <f t="shared" si="4"/>
        <v>0</v>
      </c>
      <c r="K52" s="13">
        <f t="shared" si="5"/>
        <v>0</v>
      </c>
      <c r="L52" s="13">
        <f t="shared" si="6"/>
        <v>0</v>
      </c>
      <c r="M52" s="13">
        <f t="shared" si="7"/>
        <v>0</v>
      </c>
      <c r="N52" s="13">
        <f t="shared" si="8"/>
        <v>0</v>
      </c>
      <c r="O52" s="13">
        <f t="shared" si="9"/>
        <v>0</v>
      </c>
      <c r="P52" s="13">
        <f t="shared" si="10"/>
        <v>0</v>
      </c>
      <c r="Q52" s="13">
        <f t="shared" si="11"/>
        <v>0</v>
      </c>
      <c r="R52" s="13" t="s">
        <v>239</v>
      </c>
      <c r="T52" s="63">
        <v>1.8554800000000001E-5</v>
      </c>
      <c r="U52" s="63">
        <v>2.58323E-5</v>
      </c>
      <c r="V52" s="63">
        <v>6.4755979999999997E-4</v>
      </c>
      <c r="W52" s="63">
        <v>6.5634519999999998E-4</v>
      </c>
      <c r="X52" s="63">
        <v>4.7666339999999997E-4</v>
      </c>
      <c r="Y52" s="63">
        <v>3.0031189999999997E-4</v>
      </c>
      <c r="Z52" s="63">
        <v>2.9177750000000002E-4</v>
      </c>
      <c r="AA52" s="63">
        <v>2.9535340000000002E-4</v>
      </c>
      <c r="AB52" s="63">
        <v>2.96386099999999E-4</v>
      </c>
      <c r="AC52" s="63">
        <v>2.9274910000000001E-4</v>
      </c>
      <c r="AD52" s="63">
        <v>2.8674460000000001E-4</v>
      </c>
      <c r="AE52" t="s">
        <v>93</v>
      </c>
    </row>
    <row r="53" spans="1:31">
      <c r="A53" t="s">
        <v>267</v>
      </c>
      <c r="B53" t="s">
        <v>1</v>
      </c>
      <c r="C53" t="s">
        <v>217</v>
      </c>
      <c r="D53" s="13" t="str">
        <f>IFERROR(VLOOKUP(C53,ghg_sort!$A$86:$B$512,2,0),0)</f>
        <v>Agriculture</v>
      </c>
      <c r="E53" t="s">
        <v>213</v>
      </c>
      <c r="F53" s="13">
        <f>IFERROR(VLOOKUP($E53,ghg_sort!$A$3:$B$21,2,0),0)</f>
        <v>0</v>
      </c>
      <c r="G53" s="13">
        <f t="shared" si="1"/>
        <v>0</v>
      </c>
      <c r="H53" s="13">
        <f t="shared" si="2"/>
        <v>0</v>
      </c>
      <c r="I53" s="13">
        <f t="shared" si="3"/>
        <v>0</v>
      </c>
      <c r="J53" s="13">
        <f t="shared" si="4"/>
        <v>0</v>
      </c>
      <c r="K53" s="13">
        <f t="shared" si="5"/>
        <v>0</v>
      </c>
      <c r="L53" s="13">
        <f t="shared" si="6"/>
        <v>0</v>
      </c>
      <c r="M53" s="13">
        <f t="shared" si="7"/>
        <v>0</v>
      </c>
      <c r="N53" s="13">
        <f t="shared" si="8"/>
        <v>0</v>
      </c>
      <c r="O53" s="13">
        <f t="shared" si="9"/>
        <v>0</v>
      </c>
      <c r="P53" s="13">
        <f t="shared" si="10"/>
        <v>0</v>
      </c>
      <c r="Q53" s="13">
        <f t="shared" si="11"/>
        <v>0</v>
      </c>
      <c r="R53" s="13" t="s">
        <v>239</v>
      </c>
      <c r="T53" s="63">
        <v>3.2269E-6</v>
      </c>
      <c r="U53" s="63">
        <v>4.4926E-6</v>
      </c>
      <c r="V53" s="63">
        <v>4.4657649999999998E-6</v>
      </c>
      <c r="W53" s="63">
        <v>4.526331E-6</v>
      </c>
      <c r="X53" s="63">
        <v>3.2872040000000002E-6</v>
      </c>
      <c r="Y53" s="63">
        <v>2.0710359999999999E-6</v>
      </c>
      <c r="Z53" s="63">
        <v>2.01218499999999E-6</v>
      </c>
      <c r="AA53" s="63">
        <v>2.0368410000000002E-6</v>
      </c>
      <c r="AB53" s="63">
        <v>2.043967E-6</v>
      </c>
      <c r="AC53" s="63">
        <v>2.0188820000000002E-6</v>
      </c>
      <c r="AD53" s="63">
        <v>1.977473E-6</v>
      </c>
      <c r="AE53" t="s">
        <v>93</v>
      </c>
    </row>
    <row r="54" spans="1:31">
      <c r="A54" t="s">
        <v>267</v>
      </c>
      <c r="B54" t="s">
        <v>1</v>
      </c>
      <c r="C54" t="s">
        <v>63</v>
      </c>
      <c r="D54" s="13" t="str">
        <f>IFERROR(VLOOKUP(C54,ghg_sort!$A$86:$B$512,2,0),0)</f>
        <v>Agriculture</v>
      </c>
      <c r="E54" t="s">
        <v>83</v>
      </c>
      <c r="F54" s="13">
        <f>IFERROR(VLOOKUP($E54,ghg_sort!$A$3:$B$21,2,0),0)</f>
        <v>0</v>
      </c>
      <c r="G54" s="13">
        <f t="shared" si="1"/>
        <v>0</v>
      </c>
      <c r="H54" s="13">
        <f t="shared" si="2"/>
        <v>0</v>
      </c>
      <c r="I54" s="13">
        <f t="shared" si="3"/>
        <v>0</v>
      </c>
      <c r="J54" s="13">
        <f t="shared" si="4"/>
        <v>0</v>
      </c>
      <c r="K54" s="13">
        <f t="shared" si="5"/>
        <v>0</v>
      </c>
      <c r="L54" s="13">
        <f t="shared" si="6"/>
        <v>0</v>
      </c>
      <c r="M54" s="13">
        <f t="shared" si="7"/>
        <v>0</v>
      </c>
      <c r="N54" s="13">
        <f t="shared" si="8"/>
        <v>0</v>
      </c>
      <c r="O54" s="13">
        <f t="shared" si="9"/>
        <v>0</v>
      </c>
      <c r="P54" s="13">
        <f t="shared" si="10"/>
        <v>0</v>
      </c>
      <c r="Q54" s="13">
        <f t="shared" si="11"/>
        <v>0</v>
      </c>
      <c r="R54" s="13" t="s">
        <v>239</v>
      </c>
      <c r="T54" s="62">
        <v>6.0243800000000002E-3</v>
      </c>
      <c r="U54" s="6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>
        <v>0</v>
      </c>
      <c r="AE54" t="s">
        <v>93</v>
      </c>
    </row>
    <row r="55" spans="1:31">
      <c r="A55" t="s">
        <v>267</v>
      </c>
      <c r="B55" t="s">
        <v>1</v>
      </c>
      <c r="C55" t="s">
        <v>63</v>
      </c>
      <c r="D55" s="13" t="str">
        <f>IFERROR(VLOOKUP(C55,ghg_sort!$A$86:$B$512,2,0),0)</f>
        <v>Agriculture</v>
      </c>
      <c r="E55" t="s">
        <v>84</v>
      </c>
      <c r="F55" s="13">
        <f>IFERROR(VLOOKUP($E55,ghg_sort!$A$3:$B$21,2,0),0)</f>
        <v>25</v>
      </c>
      <c r="G55" s="13">
        <f t="shared" si="1"/>
        <v>1.6270375E-2</v>
      </c>
      <c r="H55" s="13">
        <f t="shared" si="2"/>
        <v>2.6098499999999997E-2</v>
      </c>
      <c r="I55" s="13">
        <f t="shared" si="3"/>
        <v>2.8029999999999999E-2</v>
      </c>
      <c r="J55" s="13">
        <f t="shared" si="4"/>
        <v>2.0786725000000002E-2</v>
      </c>
      <c r="K55" s="13">
        <f t="shared" si="5"/>
        <v>2.1520055E-2</v>
      </c>
      <c r="L55" s="13">
        <f t="shared" si="6"/>
        <v>2.1580822499999999E-2</v>
      </c>
      <c r="M55" s="13">
        <f t="shared" si="7"/>
        <v>2.0998349999999975E-2</v>
      </c>
      <c r="N55" s="13">
        <f t="shared" si="8"/>
        <v>1.9223832499999999E-2</v>
      </c>
      <c r="O55" s="13">
        <f t="shared" si="9"/>
        <v>1.7199582499999998E-2</v>
      </c>
      <c r="P55" s="13">
        <f t="shared" si="10"/>
        <v>1.60134265E-2</v>
      </c>
      <c r="Q55" s="13">
        <f t="shared" si="11"/>
        <v>1.5191970249999999E-2</v>
      </c>
      <c r="R55" s="13" t="s">
        <v>239</v>
      </c>
      <c r="T55" s="63">
        <v>6.5081500000000001E-4</v>
      </c>
      <c r="U55" s="62">
        <v>1.0439399999999999E-3</v>
      </c>
      <c r="V55" s="62">
        <v>1.1211999999999999E-3</v>
      </c>
      <c r="W55" s="63">
        <v>8.3146900000000004E-4</v>
      </c>
      <c r="X55" s="63">
        <v>8.6080219999999999E-4</v>
      </c>
      <c r="Y55" s="63">
        <v>8.632329E-4</v>
      </c>
      <c r="Z55" s="63">
        <v>8.39933999999999E-4</v>
      </c>
      <c r="AA55" s="63">
        <v>7.6895329999999995E-4</v>
      </c>
      <c r="AB55" s="63">
        <v>6.8798329999999997E-4</v>
      </c>
      <c r="AC55" s="63">
        <v>6.4053706000000003E-4</v>
      </c>
      <c r="AD55" s="63">
        <v>6.0767880999999997E-4</v>
      </c>
      <c r="AE55" t="s">
        <v>93</v>
      </c>
    </row>
    <row r="56" spans="1:31">
      <c r="A56" t="s">
        <v>267</v>
      </c>
      <c r="B56" t="s">
        <v>1</v>
      </c>
      <c r="C56" t="s">
        <v>63</v>
      </c>
      <c r="D56" s="13" t="str">
        <f>IFERROR(VLOOKUP(C56,ghg_sort!$A$86:$B$512,2,0),0)</f>
        <v>Agriculture</v>
      </c>
      <c r="E56" t="s">
        <v>85</v>
      </c>
      <c r="F56" s="13">
        <f>IFERROR(VLOOKUP($E56,ghg_sort!$A$3:$B$21,2,0),0)</f>
        <v>0</v>
      </c>
      <c r="G56" s="13">
        <f t="shared" si="1"/>
        <v>0</v>
      </c>
      <c r="H56" s="13">
        <f t="shared" si="2"/>
        <v>0</v>
      </c>
      <c r="I56" s="13">
        <f t="shared" si="3"/>
        <v>0</v>
      </c>
      <c r="J56" s="13">
        <f t="shared" si="4"/>
        <v>0</v>
      </c>
      <c r="K56" s="13">
        <f t="shared" si="5"/>
        <v>0</v>
      </c>
      <c r="L56" s="13">
        <f t="shared" si="6"/>
        <v>0</v>
      </c>
      <c r="M56" s="13">
        <f t="shared" si="7"/>
        <v>0</v>
      </c>
      <c r="N56" s="13">
        <f t="shared" si="8"/>
        <v>0</v>
      </c>
      <c r="O56" s="13">
        <f t="shared" si="9"/>
        <v>0</v>
      </c>
      <c r="P56" s="13">
        <f t="shared" si="10"/>
        <v>0</v>
      </c>
      <c r="Q56" s="13">
        <f t="shared" si="11"/>
        <v>0</v>
      </c>
      <c r="R56" s="13" t="s">
        <v>239</v>
      </c>
      <c r="T56" s="62">
        <v>2.6126299999999999E-3</v>
      </c>
      <c r="U56" s="63">
        <v>6.1274500000000004E-4</v>
      </c>
      <c r="V56" s="63">
        <v>8.2614799999999996E-4</v>
      </c>
      <c r="W56" s="63">
        <v>7.6955100000000005E-4</v>
      </c>
      <c r="X56" s="63">
        <v>7.9670040000000004E-4</v>
      </c>
      <c r="Y56" s="63">
        <v>7.9894950000000003E-4</v>
      </c>
      <c r="Z56" s="63">
        <v>7.7738509999999896E-4</v>
      </c>
      <c r="AA56" s="63">
        <v>7.1169149999999895E-4</v>
      </c>
      <c r="AB56" s="63">
        <v>6.3675030000000005E-4</v>
      </c>
      <c r="AC56" s="63">
        <v>5.9283773000000004E-4</v>
      </c>
      <c r="AD56" s="63">
        <v>5.6242624999999996E-4</v>
      </c>
      <c r="AE56" t="s">
        <v>93</v>
      </c>
    </row>
    <row r="57" spans="1:31">
      <c r="A57" t="s">
        <v>267</v>
      </c>
      <c r="B57" t="s">
        <v>1</v>
      </c>
      <c r="C57" t="s">
        <v>63</v>
      </c>
      <c r="D57" s="13" t="str">
        <f>IFERROR(VLOOKUP(C57,ghg_sort!$A$86:$B$512,2,0),0)</f>
        <v>Agriculture</v>
      </c>
      <c r="E57" s="12" t="s">
        <v>86</v>
      </c>
      <c r="F57" s="13">
        <f>IFERROR(VLOOKUP($E57,ghg_sort!$A$3:$B$21,2,0),0)</f>
        <v>3.6666666666666701</v>
      </c>
      <c r="G57" s="13">
        <f t="shared" si="1"/>
        <v>2.1277428333333317</v>
      </c>
      <c r="H57" s="13">
        <f t="shared" si="2"/>
        <v>0.80868700000000071</v>
      </c>
      <c r="I57" s="13">
        <f t="shared" si="3"/>
        <v>0.65195533333333389</v>
      </c>
      <c r="J57" s="13">
        <f t="shared" si="4"/>
        <v>0.33822103333333364</v>
      </c>
      <c r="K57" s="13">
        <f t="shared" si="5"/>
        <v>0.35015306333333363</v>
      </c>
      <c r="L57" s="13">
        <f t="shared" si="6"/>
        <v>0.351141706666667</v>
      </c>
      <c r="M57" s="13">
        <f t="shared" si="7"/>
        <v>0.34166436333333366</v>
      </c>
      <c r="N57" s="13">
        <f t="shared" si="8"/>
        <v>0.31279145333333358</v>
      </c>
      <c r="O57" s="13">
        <f t="shared" si="9"/>
        <v>0.27985437333333324</v>
      </c>
      <c r="P57" s="13">
        <f t="shared" si="10"/>
        <v>0.26055477433333357</v>
      </c>
      <c r="Q57" s="13">
        <f t="shared" si="11"/>
        <v>0.24718861200000025</v>
      </c>
      <c r="R57" s="13" t="s">
        <v>239</v>
      </c>
      <c r="T57" s="62">
        <v>0.58029349999999902</v>
      </c>
      <c r="U57" s="62">
        <v>0.220551</v>
      </c>
      <c r="V57" s="62">
        <v>0.17780599999999999</v>
      </c>
      <c r="W57" s="62">
        <v>9.2242099999999994E-2</v>
      </c>
      <c r="X57" s="62">
        <v>9.5496289999999998E-2</v>
      </c>
      <c r="Y57" s="62">
        <v>9.5765920000000004E-2</v>
      </c>
      <c r="Z57" s="62">
        <v>9.3181189999999997E-2</v>
      </c>
      <c r="AA57" s="62">
        <v>8.5306759999999995E-2</v>
      </c>
      <c r="AB57" s="62">
        <v>7.6323919999999906E-2</v>
      </c>
      <c r="AC57" s="62">
        <v>7.1060392999999999E-2</v>
      </c>
      <c r="AD57" s="62">
        <v>6.7415076000000004E-2</v>
      </c>
      <c r="AE57" t="s">
        <v>94</v>
      </c>
    </row>
    <row r="58" spans="1:31">
      <c r="A58" t="s">
        <v>267</v>
      </c>
      <c r="B58" t="s">
        <v>1</v>
      </c>
      <c r="C58" t="s">
        <v>63</v>
      </c>
      <c r="D58" s="13" t="str">
        <f>IFERROR(VLOOKUP(C58,ghg_sort!$A$86:$B$512,2,0),0)</f>
        <v>Agriculture</v>
      </c>
      <c r="E58" t="s">
        <v>87</v>
      </c>
      <c r="F58" s="13">
        <f>IFERROR(VLOOKUP($E58,ghg_sort!$A$3:$B$21,2,0),0)</f>
        <v>298</v>
      </c>
      <c r="G58" s="13">
        <f t="shared" si="1"/>
        <v>3.6690653999999996E-2</v>
      </c>
      <c r="H58" s="13">
        <f t="shared" si="2"/>
        <v>0</v>
      </c>
      <c r="I58" s="13">
        <f t="shared" si="3"/>
        <v>0</v>
      </c>
      <c r="J58" s="13">
        <f t="shared" si="4"/>
        <v>0</v>
      </c>
      <c r="K58" s="13">
        <f t="shared" si="5"/>
        <v>0</v>
      </c>
      <c r="L58" s="13">
        <f t="shared" si="6"/>
        <v>0</v>
      </c>
      <c r="M58" s="13">
        <f t="shared" si="7"/>
        <v>0</v>
      </c>
      <c r="N58" s="13">
        <f t="shared" si="8"/>
        <v>0</v>
      </c>
      <c r="O58" s="13">
        <f t="shared" si="9"/>
        <v>0</v>
      </c>
      <c r="P58" s="13">
        <f t="shared" si="10"/>
        <v>0</v>
      </c>
      <c r="Q58" s="13">
        <f t="shared" si="11"/>
        <v>0</v>
      </c>
      <c r="R58" s="13" t="s">
        <v>239</v>
      </c>
      <c r="T58" s="63">
        <v>1.2312299999999999E-4</v>
      </c>
      <c r="U58" s="62">
        <v>0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>
        <v>0</v>
      </c>
      <c r="AE58" t="s">
        <v>93</v>
      </c>
    </row>
    <row r="59" spans="1:31">
      <c r="A59" t="s">
        <v>267</v>
      </c>
      <c r="B59" t="s">
        <v>1</v>
      </c>
      <c r="C59" t="s">
        <v>63</v>
      </c>
      <c r="D59" s="13" t="str">
        <f>IFERROR(VLOOKUP(C59,ghg_sort!$A$86:$B$512,2,0),0)</f>
        <v>Agriculture</v>
      </c>
      <c r="E59" t="s">
        <v>88</v>
      </c>
      <c r="F59" s="13">
        <f>IFERROR(VLOOKUP($E59,ghg_sort!$A$3:$B$21,2,0),0)</f>
        <v>0</v>
      </c>
      <c r="G59" s="13">
        <f t="shared" si="1"/>
        <v>0</v>
      </c>
      <c r="H59" s="13">
        <f t="shared" si="2"/>
        <v>0</v>
      </c>
      <c r="I59" s="13">
        <f t="shared" si="3"/>
        <v>0</v>
      </c>
      <c r="J59" s="13">
        <f t="shared" si="4"/>
        <v>0</v>
      </c>
      <c r="K59" s="13">
        <f t="shared" si="5"/>
        <v>0</v>
      </c>
      <c r="L59" s="13">
        <f t="shared" si="6"/>
        <v>0</v>
      </c>
      <c r="M59" s="13">
        <f t="shared" si="7"/>
        <v>0</v>
      </c>
      <c r="N59" s="13">
        <f t="shared" si="8"/>
        <v>0</v>
      </c>
      <c r="O59" s="13">
        <f t="shared" si="9"/>
        <v>0</v>
      </c>
      <c r="P59" s="13">
        <f t="shared" si="10"/>
        <v>0</v>
      </c>
      <c r="Q59" s="13">
        <f t="shared" si="11"/>
        <v>0</v>
      </c>
      <c r="R59" s="13" t="s">
        <v>239</v>
      </c>
      <c r="T59" s="63">
        <v>2.7216700000000003E-4</v>
      </c>
      <c r="U59" s="63">
        <v>1.51295E-5</v>
      </c>
      <c r="V59" s="63">
        <v>3.2783700000000003E-5</v>
      </c>
      <c r="W59" s="63">
        <v>1.76908E-5</v>
      </c>
      <c r="X59" s="63">
        <v>1.8314916E-5</v>
      </c>
      <c r="Y59" s="63">
        <v>1.8366675999999999E-5</v>
      </c>
      <c r="Z59" s="63">
        <v>1.7870927999999999E-5</v>
      </c>
      <c r="AA59" s="63">
        <v>1.6360713999999999E-5</v>
      </c>
      <c r="AB59" s="63">
        <v>1.4637941E-5</v>
      </c>
      <c r="AC59" s="63">
        <v>1.3628445999999901E-5</v>
      </c>
      <c r="AD59" s="63">
        <v>1.2929345499999999E-5</v>
      </c>
      <c r="AE59" t="s">
        <v>93</v>
      </c>
    </row>
    <row r="60" spans="1:31">
      <c r="A60" t="s">
        <v>267</v>
      </c>
      <c r="B60" t="s">
        <v>1</v>
      </c>
      <c r="C60" t="s">
        <v>63</v>
      </c>
      <c r="D60" s="13" t="str">
        <f>IFERROR(VLOOKUP(C60,ghg_sort!$A$86:$B$512,2,0),0)</f>
        <v>Agriculture</v>
      </c>
      <c r="E60" t="s">
        <v>89</v>
      </c>
      <c r="F60" s="13">
        <f>IFERROR(VLOOKUP($E60,ghg_sort!$A$3:$B$21,2,0),0)</f>
        <v>0</v>
      </c>
      <c r="G60" s="13">
        <f t="shared" si="1"/>
        <v>0</v>
      </c>
      <c r="H60" s="13">
        <f t="shared" si="2"/>
        <v>0</v>
      </c>
      <c r="I60" s="13">
        <f t="shared" si="3"/>
        <v>0</v>
      </c>
      <c r="J60" s="13">
        <f t="shared" si="4"/>
        <v>0</v>
      </c>
      <c r="K60" s="13">
        <f t="shared" si="5"/>
        <v>0</v>
      </c>
      <c r="L60" s="13">
        <f t="shared" si="6"/>
        <v>0</v>
      </c>
      <c r="M60" s="13">
        <f t="shared" si="7"/>
        <v>0</v>
      </c>
      <c r="N60" s="13">
        <f t="shared" si="8"/>
        <v>0</v>
      </c>
      <c r="O60" s="13">
        <f t="shared" si="9"/>
        <v>0</v>
      </c>
      <c r="P60" s="13">
        <f t="shared" si="10"/>
        <v>0</v>
      </c>
      <c r="Q60" s="13">
        <f t="shared" si="11"/>
        <v>0</v>
      </c>
      <c r="R60" s="13" t="s">
        <v>239</v>
      </c>
      <c r="T60" s="63">
        <v>3.8233000000000001E-4</v>
      </c>
      <c r="U60" s="63">
        <v>5.29532E-5</v>
      </c>
      <c r="V60" s="63">
        <v>7.8680800000000001E-5</v>
      </c>
      <c r="W60" s="63">
        <v>5.3072499999999997E-5</v>
      </c>
      <c r="X60" s="63">
        <v>5.494485E-5</v>
      </c>
      <c r="Y60" s="63">
        <v>5.510003E-5</v>
      </c>
      <c r="Z60" s="63">
        <v>5.3612780000000001E-5</v>
      </c>
      <c r="AA60" s="63">
        <v>4.9082139999999998E-5</v>
      </c>
      <c r="AB60" s="63">
        <v>4.3913859999999997E-5</v>
      </c>
      <c r="AC60" s="63">
        <v>4.0885401999999999E-5</v>
      </c>
      <c r="AD60" s="63">
        <v>3.8788012000000001E-5</v>
      </c>
      <c r="AE60" t="s">
        <v>93</v>
      </c>
    </row>
    <row r="61" spans="1:31">
      <c r="A61" t="s">
        <v>267</v>
      </c>
      <c r="B61" t="s">
        <v>1</v>
      </c>
      <c r="C61" t="s">
        <v>63</v>
      </c>
      <c r="D61" s="13" t="str">
        <f>IFERROR(VLOOKUP(C61,ghg_sort!$A$86:$B$512,2,0),0)</f>
        <v>Agriculture</v>
      </c>
      <c r="E61" t="s">
        <v>90</v>
      </c>
      <c r="F61" s="13">
        <f>IFERROR(VLOOKUP($E61,ghg_sort!$A$3:$B$21,2,0),0)</f>
        <v>0</v>
      </c>
      <c r="G61" s="13">
        <f t="shared" si="1"/>
        <v>0</v>
      </c>
      <c r="H61" s="13">
        <f t="shared" si="2"/>
        <v>0</v>
      </c>
      <c r="I61" s="13">
        <f t="shared" si="3"/>
        <v>0</v>
      </c>
      <c r="J61" s="13">
        <f t="shared" si="4"/>
        <v>0</v>
      </c>
      <c r="K61" s="13">
        <f t="shared" si="5"/>
        <v>0</v>
      </c>
      <c r="L61" s="13">
        <f t="shared" si="6"/>
        <v>0</v>
      </c>
      <c r="M61" s="13">
        <f t="shared" si="7"/>
        <v>0</v>
      </c>
      <c r="N61" s="13">
        <f t="shared" si="8"/>
        <v>0</v>
      </c>
      <c r="O61" s="13">
        <f t="shared" si="9"/>
        <v>0</v>
      </c>
      <c r="P61" s="13">
        <f t="shared" si="10"/>
        <v>0</v>
      </c>
      <c r="Q61" s="13">
        <f t="shared" si="11"/>
        <v>0</v>
      </c>
      <c r="R61" s="13" t="s">
        <v>239</v>
      </c>
      <c r="T61" s="62">
        <v>2.8236000000000001E-2</v>
      </c>
      <c r="U61" s="62">
        <v>3.8202000000000002E-3</v>
      </c>
      <c r="V61" s="62">
        <v>6.1305400000000003E-3</v>
      </c>
      <c r="W61" s="62">
        <v>5.9131599999999998E-3</v>
      </c>
      <c r="X61" s="62">
        <v>6.1217659999999998E-3</v>
      </c>
      <c r="Y61" s="62">
        <v>6.1390569999999998E-3</v>
      </c>
      <c r="Z61" s="62">
        <v>5.9733589999999897E-3</v>
      </c>
      <c r="AA61" s="62">
        <v>5.4685629999999897E-3</v>
      </c>
      <c r="AB61" s="62">
        <v>4.8927329999999998E-3</v>
      </c>
      <c r="AC61" s="62">
        <v>4.5553119999999997E-3</v>
      </c>
      <c r="AD61" s="62">
        <v>4.3216293000000001E-3</v>
      </c>
      <c r="AE61" t="s">
        <v>93</v>
      </c>
    </row>
    <row r="62" spans="1:31">
      <c r="A62" t="s">
        <v>267</v>
      </c>
      <c r="B62" t="s">
        <v>1</v>
      </c>
      <c r="C62" t="s">
        <v>63</v>
      </c>
      <c r="D62" s="13" t="str">
        <f>IFERROR(VLOOKUP(C62,ghg_sort!$A$86:$B$512,2,0),0)</f>
        <v>Agriculture</v>
      </c>
      <c r="E62" t="s">
        <v>91</v>
      </c>
      <c r="F62" s="13">
        <f>IFERROR(VLOOKUP($E62,ghg_sort!$A$3:$B$21,2,0),0)</f>
        <v>0</v>
      </c>
      <c r="G62" s="13">
        <f t="shared" si="1"/>
        <v>0</v>
      </c>
      <c r="H62" s="13">
        <f t="shared" si="2"/>
        <v>0</v>
      </c>
      <c r="I62" s="13">
        <f t="shared" si="3"/>
        <v>0</v>
      </c>
      <c r="J62" s="13">
        <f t="shared" si="4"/>
        <v>0</v>
      </c>
      <c r="K62" s="13">
        <f t="shared" si="5"/>
        <v>0</v>
      </c>
      <c r="L62" s="13">
        <f t="shared" si="6"/>
        <v>0</v>
      </c>
      <c r="M62" s="13">
        <f t="shared" si="7"/>
        <v>0</v>
      </c>
      <c r="N62" s="13">
        <f t="shared" si="8"/>
        <v>0</v>
      </c>
      <c r="O62" s="13">
        <f t="shared" si="9"/>
        <v>0</v>
      </c>
      <c r="P62" s="13">
        <f t="shared" si="10"/>
        <v>0</v>
      </c>
      <c r="Q62" s="13">
        <f t="shared" si="11"/>
        <v>0</v>
      </c>
      <c r="R62" s="13" t="s">
        <v>239</v>
      </c>
      <c r="T62" s="62">
        <v>6.5838600000000004E-3</v>
      </c>
      <c r="U62" s="62">
        <v>0</v>
      </c>
      <c r="V62" s="62">
        <v>0</v>
      </c>
      <c r="W62" s="62">
        <v>0</v>
      </c>
      <c r="X62" s="62">
        <v>0</v>
      </c>
      <c r="Y62" s="62">
        <v>0</v>
      </c>
      <c r="Z62" s="62">
        <v>0</v>
      </c>
      <c r="AA62" s="62">
        <v>0</v>
      </c>
      <c r="AB62" s="62">
        <v>0</v>
      </c>
      <c r="AC62" s="62">
        <v>0</v>
      </c>
      <c r="AD62" s="62">
        <v>0</v>
      </c>
      <c r="AE62" t="s">
        <v>93</v>
      </c>
    </row>
    <row r="63" spans="1:31">
      <c r="A63" t="s">
        <v>267</v>
      </c>
      <c r="B63" t="s">
        <v>1</v>
      </c>
      <c r="C63" t="s">
        <v>63</v>
      </c>
      <c r="D63" s="13" t="str">
        <f>IFERROR(VLOOKUP(C63,ghg_sort!$A$86:$B$512,2,0),0)</f>
        <v>Agriculture</v>
      </c>
      <c r="E63" t="s">
        <v>92</v>
      </c>
      <c r="F63" s="13">
        <f>IFERROR(VLOOKUP($E63,ghg_sort!$A$3:$B$21,2,0),0)</f>
        <v>0</v>
      </c>
      <c r="G63" s="13">
        <f t="shared" si="1"/>
        <v>0</v>
      </c>
      <c r="H63" s="13">
        <f t="shared" si="2"/>
        <v>0</v>
      </c>
      <c r="I63" s="13">
        <f t="shared" si="3"/>
        <v>0</v>
      </c>
      <c r="J63" s="13">
        <f t="shared" si="4"/>
        <v>0</v>
      </c>
      <c r="K63" s="13">
        <f t="shared" si="5"/>
        <v>0</v>
      </c>
      <c r="L63" s="13">
        <f t="shared" si="6"/>
        <v>0</v>
      </c>
      <c r="M63" s="13">
        <f t="shared" si="7"/>
        <v>0</v>
      </c>
      <c r="N63" s="13">
        <f t="shared" si="8"/>
        <v>0</v>
      </c>
      <c r="O63" s="13">
        <f t="shared" si="9"/>
        <v>0</v>
      </c>
      <c r="P63" s="13">
        <f t="shared" si="10"/>
        <v>0</v>
      </c>
      <c r="Q63" s="13">
        <f t="shared" si="11"/>
        <v>0</v>
      </c>
      <c r="R63" s="13" t="s">
        <v>239</v>
      </c>
      <c r="T63" s="62">
        <v>7.3777402379999996E-2</v>
      </c>
      <c r="U63" s="63">
        <v>1.0747999999999999E-5</v>
      </c>
      <c r="V63" s="63">
        <v>1.40226E-5</v>
      </c>
      <c r="W63" s="63">
        <v>7.3731800000000003E-6</v>
      </c>
      <c r="X63" s="63">
        <v>7.6332979999999998E-6</v>
      </c>
      <c r="Y63" s="63">
        <v>7.6548479999999996E-6</v>
      </c>
      <c r="Z63" s="63">
        <v>7.4482339999999998E-6</v>
      </c>
      <c r="AA63" s="63">
        <v>6.8188069999999998E-6</v>
      </c>
      <c r="AB63" s="63">
        <v>6.1008019999999997E-6</v>
      </c>
      <c r="AC63" s="63">
        <v>5.6800564999999901E-6</v>
      </c>
      <c r="AD63" s="63">
        <v>5.388687E-6</v>
      </c>
      <c r="AE63" t="s">
        <v>93</v>
      </c>
    </row>
    <row r="64" spans="1:31">
      <c r="A64" t="s">
        <v>267</v>
      </c>
      <c r="B64" t="s">
        <v>1</v>
      </c>
      <c r="C64" t="s">
        <v>218</v>
      </c>
      <c r="D64" s="13" t="str">
        <f>IFERROR(VLOOKUP(C64,ghg_sort!$A$86:$B$512,2,0),0)</f>
        <v>Agriculture</v>
      </c>
      <c r="E64" t="s">
        <v>206</v>
      </c>
      <c r="F64" s="13">
        <f>IFERROR(VLOOKUP($E64,ghg_sort!$A$3:$B$21,2,0),0)</f>
        <v>0</v>
      </c>
      <c r="G64" s="13">
        <f t="shared" si="1"/>
        <v>0</v>
      </c>
      <c r="H64" s="13">
        <f t="shared" si="2"/>
        <v>0</v>
      </c>
      <c r="I64" s="13">
        <f t="shared" si="3"/>
        <v>0</v>
      </c>
      <c r="J64" s="13">
        <f t="shared" si="4"/>
        <v>0</v>
      </c>
      <c r="K64" s="13">
        <f t="shared" si="5"/>
        <v>0</v>
      </c>
      <c r="L64" s="13">
        <f t="shared" si="6"/>
        <v>0</v>
      </c>
      <c r="M64" s="13">
        <f t="shared" si="7"/>
        <v>0</v>
      </c>
      <c r="N64" s="13">
        <f t="shared" si="8"/>
        <v>0</v>
      </c>
      <c r="O64" s="13">
        <f t="shared" si="9"/>
        <v>0</v>
      </c>
      <c r="P64" s="13">
        <f t="shared" si="10"/>
        <v>0</v>
      </c>
      <c r="Q64" s="13">
        <f t="shared" si="11"/>
        <v>0</v>
      </c>
      <c r="R64" s="13" t="s">
        <v>239</v>
      </c>
      <c r="T64" s="63">
        <v>5.8033009999999901E-6</v>
      </c>
      <c r="U64" s="63">
        <v>4.0888999999999999E-6</v>
      </c>
      <c r="V64" s="63">
        <v>6.4062660000000003E-5</v>
      </c>
      <c r="W64" s="63">
        <v>6.4133499999999998E-5</v>
      </c>
      <c r="X64" s="63">
        <v>4.6647770000000002E-5</v>
      </c>
      <c r="Y64" s="63">
        <v>3.0517260000000001E-5</v>
      </c>
      <c r="Z64" s="63">
        <v>3.1096570000000001E-5</v>
      </c>
      <c r="AA64" s="63">
        <v>3.2967350000000002E-5</v>
      </c>
      <c r="AB64" s="63">
        <v>3.566696E-5</v>
      </c>
      <c r="AC64" s="63">
        <v>3.961472E-5</v>
      </c>
      <c r="AD64" s="63">
        <v>4.3909889999999997E-5</v>
      </c>
      <c r="AE64" t="s">
        <v>93</v>
      </c>
    </row>
    <row r="65" spans="1:31">
      <c r="A65" t="s">
        <v>267</v>
      </c>
      <c r="B65" t="s">
        <v>1</v>
      </c>
      <c r="C65" t="s">
        <v>218</v>
      </c>
      <c r="D65" s="13" t="str">
        <f>IFERROR(VLOOKUP(C65,ghg_sort!$A$86:$B$512,2,0),0)</f>
        <v>Agriculture</v>
      </c>
      <c r="E65" t="s">
        <v>105</v>
      </c>
      <c r="F65" s="13">
        <f>IFERROR(VLOOKUP($E65,ghg_sort!$A$3:$B$21,2,0),0)</f>
        <v>25</v>
      </c>
      <c r="G65" s="13">
        <f t="shared" si="1"/>
        <v>1.1258474999999975E-3</v>
      </c>
      <c r="H65" s="13">
        <f t="shared" si="2"/>
        <v>7.9324599999999995E-4</v>
      </c>
      <c r="I65" s="13">
        <f t="shared" si="3"/>
        <v>7.6952549999999992E-4</v>
      </c>
      <c r="J65" s="13">
        <f t="shared" si="4"/>
        <v>7.7037424999999997E-4</v>
      </c>
      <c r="K65" s="13">
        <f t="shared" si="5"/>
        <v>5.6033574999999995E-4</v>
      </c>
      <c r="L65" s="13">
        <f t="shared" si="6"/>
        <v>3.6657550000000001E-4</v>
      </c>
      <c r="M65" s="13">
        <f t="shared" si="7"/>
        <v>3.7353425E-4</v>
      </c>
      <c r="N65" s="13">
        <f t="shared" si="8"/>
        <v>3.9600600000000002E-4</v>
      </c>
      <c r="O65" s="13">
        <f t="shared" si="9"/>
        <v>4.2843349999999999E-4</v>
      </c>
      <c r="P65" s="13">
        <f t="shared" si="10"/>
        <v>4.7585500000000002E-4</v>
      </c>
      <c r="Q65" s="13">
        <f t="shared" si="11"/>
        <v>5.2744775000000005E-4</v>
      </c>
      <c r="R65" s="13" t="s">
        <v>239</v>
      </c>
      <c r="T65" s="63">
        <v>4.5033899999999901E-5</v>
      </c>
      <c r="U65" s="63">
        <v>3.1729839999999998E-5</v>
      </c>
      <c r="V65" s="63">
        <v>3.0781019999999997E-5</v>
      </c>
      <c r="W65" s="63">
        <v>3.081497E-5</v>
      </c>
      <c r="X65" s="63">
        <v>2.241343E-5</v>
      </c>
      <c r="Y65" s="63">
        <v>1.466302E-5</v>
      </c>
      <c r="Z65" s="63">
        <v>1.494137E-5</v>
      </c>
      <c r="AA65" s="63">
        <v>1.5840240000000001E-5</v>
      </c>
      <c r="AB65" s="63">
        <v>1.7137339999999999E-5</v>
      </c>
      <c r="AC65" s="63">
        <v>1.9034200000000001E-5</v>
      </c>
      <c r="AD65" s="63">
        <v>2.1097910000000001E-5</v>
      </c>
      <c r="AE65" t="s">
        <v>93</v>
      </c>
    </row>
    <row r="66" spans="1:31">
      <c r="A66" t="s">
        <v>267</v>
      </c>
      <c r="B66" t="s">
        <v>1</v>
      </c>
      <c r="C66" t="s">
        <v>218</v>
      </c>
      <c r="D66" s="13" t="str">
        <f>IFERROR(VLOOKUP(C66,ghg_sort!$A$86:$B$512,2,0),0)</f>
        <v>Agriculture</v>
      </c>
      <c r="E66" t="s">
        <v>207</v>
      </c>
      <c r="F66" s="13">
        <f>IFERROR(VLOOKUP($E66,ghg_sort!$A$3:$B$21,2,0),0)</f>
        <v>0</v>
      </c>
      <c r="G66" s="13">
        <f t="shared" si="1"/>
        <v>0</v>
      </c>
      <c r="H66" s="13">
        <f t="shared" si="2"/>
        <v>0</v>
      </c>
      <c r="I66" s="13">
        <f t="shared" si="3"/>
        <v>0</v>
      </c>
      <c r="J66" s="13">
        <f t="shared" si="4"/>
        <v>0</v>
      </c>
      <c r="K66" s="13">
        <f t="shared" si="5"/>
        <v>0</v>
      </c>
      <c r="L66" s="13">
        <f t="shared" si="6"/>
        <v>0</v>
      </c>
      <c r="M66" s="13">
        <f t="shared" si="7"/>
        <v>0</v>
      </c>
      <c r="N66" s="13">
        <f t="shared" si="8"/>
        <v>0</v>
      </c>
      <c r="O66" s="13">
        <f t="shared" si="9"/>
        <v>0</v>
      </c>
      <c r="P66" s="13">
        <f t="shared" si="10"/>
        <v>0</v>
      </c>
      <c r="Q66" s="13">
        <f t="shared" si="11"/>
        <v>0</v>
      </c>
      <c r="R66" s="13" t="s">
        <v>239</v>
      </c>
      <c r="T66" s="63">
        <v>7.8925499999999999E-4</v>
      </c>
      <c r="U66" s="63">
        <v>5.5608809999999997E-4</v>
      </c>
      <c r="V66" s="63">
        <v>5.394601E-4</v>
      </c>
      <c r="W66" s="63">
        <v>5.4005669999999896E-4</v>
      </c>
      <c r="X66" s="63">
        <v>3.9281160000000001E-4</v>
      </c>
      <c r="Y66" s="63">
        <v>2.569804E-4</v>
      </c>
      <c r="Z66" s="63">
        <v>2.6185850000000002E-4</v>
      </c>
      <c r="AA66" s="63">
        <v>2.77612E-4</v>
      </c>
      <c r="AB66" s="63">
        <v>3.003449E-4</v>
      </c>
      <c r="AC66" s="63">
        <v>3.3358820000000002E-4</v>
      </c>
      <c r="AD66" s="63">
        <v>3.6975590000000002E-4</v>
      </c>
      <c r="AE66" t="s">
        <v>93</v>
      </c>
    </row>
    <row r="67" spans="1:31">
      <c r="A67" t="s">
        <v>267</v>
      </c>
      <c r="B67" t="s">
        <v>1</v>
      </c>
      <c r="C67" t="s">
        <v>218</v>
      </c>
      <c r="D67" s="13" t="str">
        <f>IFERROR(VLOOKUP(C67,ghg_sort!$A$86:$B$512,2,0),0)</f>
        <v>Agriculture</v>
      </c>
      <c r="E67" t="s">
        <v>208</v>
      </c>
      <c r="F67" s="13">
        <f>IFERROR(VLOOKUP($E67,ghg_sort!$A$3:$B$21,2,0),0)</f>
        <v>0</v>
      </c>
      <c r="G67" s="13">
        <f t="shared" si="1"/>
        <v>0</v>
      </c>
      <c r="H67" s="13">
        <f t="shared" si="2"/>
        <v>0</v>
      </c>
      <c r="I67" s="13">
        <f t="shared" si="3"/>
        <v>0</v>
      </c>
      <c r="J67" s="13">
        <f t="shared" si="4"/>
        <v>0</v>
      </c>
      <c r="K67" s="13">
        <f t="shared" si="5"/>
        <v>0</v>
      </c>
      <c r="L67" s="13">
        <f t="shared" si="6"/>
        <v>0</v>
      </c>
      <c r="M67" s="13">
        <f t="shared" si="7"/>
        <v>0</v>
      </c>
      <c r="N67" s="13">
        <f t="shared" si="8"/>
        <v>0</v>
      </c>
      <c r="O67" s="13">
        <f t="shared" si="9"/>
        <v>0</v>
      </c>
      <c r="P67" s="13">
        <f t="shared" si="10"/>
        <v>0</v>
      </c>
      <c r="Q67" s="13">
        <f t="shared" si="11"/>
        <v>0</v>
      </c>
      <c r="R67" s="13" t="s">
        <v>239</v>
      </c>
      <c r="T67" s="63">
        <v>1.8271299999999999E-5</v>
      </c>
      <c r="U67" s="63">
        <v>1.2893999999999901E-5</v>
      </c>
      <c r="V67" s="63">
        <v>1.250844E-5</v>
      </c>
      <c r="W67" s="63">
        <v>1.2522259999999899E-5</v>
      </c>
      <c r="X67" s="63">
        <v>9.1081199999999998E-6</v>
      </c>
      <c r="Y67" s="63">
        <v>5.9586010000000002E-6</v>
      </c>
      <c r="Z67" s="63">
        <v>6.071708E-6</v>
      </c>
      <c r="AA67" s="63">
        <v>6.4369710000000002E-6</v>
      </c>
      <c r="AB67" s="63">
        <v>6.9640749999999999E-6</v>
      </c>
      <c r="AC67" s="63">
        <v>7.7348999999999994E-6</v>
      </c>
      <c r="AD67" s="63">
        <v>8.5735399999999996E-6</v>
      </c>
      <c r="AE67" t="s">
        <v>93</v>
      </c>
    </row>
    <row r="68" spans="1:31">
      <c r="A68" t="s">
        <v>267</v>
      </c>
      <c r="B68" t="s">
        <v>1</v>
      </c>
      <c r="C68" t="s">
        <v>218</v>
      </c>
      <c r="D68" s="13" t="str">
        <f>IFERROR(VLOOKUP(C68,ghg_sort!$A$86:$B$512,2,0),0)</f>
        <v>Agriculture</v>
      </c>
      <c r="E68" t="s">
        <v>101</v>
      </c>
      <c r="F68" s="13">
        <f>IFERROR(VLOOKUP($E68,ghg_sort!$A$3:$B$21,2,0),0)</f>
        <v>298</v>
      </c>
      <c r="G68" s="13">
        <f t="shared" ref="G68:G131" si="12">T68*$F68</f>
        <v>0.50572268799999998</v>
      </c>
      <c r="H68" s="13">
        <f t="shared" ref="H68:H131" si="13">U68*$F68</f>
        <v>0.43663853999999697</v>
      </c>
      <c r="I68" s="13">
        <f t="shared" ref="I68:I131" si="14">V68*$F68</f>
        <v>0.35186171199999999</v>
      </c>
      <c r="J68" s="13">
        <f t="shared" ref="J68:J131" si="15">W68*$F68</f>
        <v>0.39478622799999702</v>
      </c>
      <c r="K68" s="13">
        <f t="shared" ref="K68:K131" si="16">X68*$F68</f>
        <v>0.40882649799999998</v>
      </c>
      <c r="L68" s="13">
        <f t="shared" ref="L68:L131" si="17">Y68*$F68</f>
        <v>0.43021812999999698</v>
      </c>
      <c r="M68" s="13">
        <f t="shared" ref="M68:M131" si="18">Z68*$F68</f>
        <v>0.44983993999999999</v>
      </c>
      <c r="N68" s="13">
        <f t="shared" ref="N68:N131" si="19">AA68*$F68</f>
        <v>0.46675501599999997</v>
      </c>
      <c r="O68" s="13">
        <f t="shared" ref="O68:O131" si="20">AB68*$F68</f>
        <v>0.49399817600000001</v>
      </c>
      <c r="P68" s="13">
        <f t="shared" ref="P68:P131" si="21">AC68*$F68</f>
        <v>0.54867670599999996</v>
      </c>
      <c r="Q68" s="13">
        <f t="shared" ref="Q68:Q131" si="22">AD68*$F68</f>
        <v>0.60816435999999996</v>
      </c>
      <c r="R68" s="13" t="s">
        <v>239</v>
      </c>
      <c r="T68" s="62">
        <v>1.697056E-3</v>
      </c>
      <c r="U68" s="62">
        <v>1.4652299999999899E-3</v>
      </c>
      <c r="V68" s="62">
        <v>1.1807440000000001E-3</v>
      </c>
      <c r="W68" s="62">
        <v>1.3247859999999899E-3</v>
      </c>
      <c r="X68" s="62">
        <v>1.371901E-3</v>
      </c>
      <c r="Y68" s="62">
        <v>1.4436849999999899E-3</v>
      </c>
      <c r="Z68" s="62">
        <v>1.50953E-3</v>
      </c>
      <c r="AA68" s="62">
        <v>1.5662919999999999E-3</v>
      </c>
      <c r="AB68" s="62">
        <v>1.657712E-3</v>
      </c>
      <c r="AC68" s="62">
        <v>1.8411969999999999E-3</v>
      </c>
      <c r="AD68" s="62">
        <v>2.04082E-3</v>
      </c>
      <c r="AE68" t="s">
        <v>93</v>
      </c>
    </row>
    <row r="69" spans="1:31">
      <c r="A69" t="s">
        <v>267</v>
      </c>
      <c r="B69" t="s">
        <v>1</v>
      </c>
      <c r="C69" t="s">
        <v>218</v>
      </c>
      <c r="D69" s="13" t="str">
        <f>IFERROR(VLOOKUP(C69,ghg_sort!$A$86:$B$512,2,0),0)</f>
        <v>Agriculture</v>
      </c>
      <c r="E69" t="s">
        <v>102</v>
      </c>
      <c r="F69" s="13">
        <f>IFERROR(VLOOKUP($E69,ghg_sort!$A$3:$B$21,2,0),0)</f>
        <v>298</v>
      </c>
      <c r="G69" s="13">
        <f t="shared" si="12"/>
        <v>2.305924E-4</v>
      </c>
      <c r="H69" s="13">
        <f t="shared" si="13"/>
        <v>1.6246962980000001E-4</v>
      </c>
      <c r="I69" s="13">
        <f t="shared" si="14"/>
        <v>1.576114848E-4</v>
      </c>
      <c r="J69" s="13">
        <f t="shared" si="15"/>
        <v>1.577854571999997E-4</v>
      </c>
      <c r="K69" s="13">
        <f t="shared" si="16"/>
        <v>1.147659686E-4</v>
      </c>
      <c r="L69" s="13">
        <f t="shared" si="17"/>
        <v>7.508071260000001E-5</v>
      </c>
      <c r="M69" s="13">
        <f t="shared" si="18"/>
        <v>7.6505927400000002E-5</v>
      </c>
      <c r="N69" s="13">
        <f t="shared" si="19"/>
        <v>8.1108596999999996E-5</v>
      </c>
      <c r="O69" s="13">
        <f t="shared" si="20"/>
        <v>8.7750301799999995E-5</v>
      </c>
      <c r="P69" s="13">
        <f t="shared" si="21"/>
        <v>9.7462896599999699E-5</v>
      </c>
      <c r="Q69" s="13">
        <f t="shared" si="22"/>
        <v>1.0802988720000001E-4</v>
      </c>
      <c r="R69" s="13" t="s">
        <v>239</v>
      </c>
      <c r="T69" s="63">
        <v>7.7380000000000001E-7</v>
      </c>
      <c r="U69" s="63">
        <v>5.4520010000000003E-7</v>
      </c>
      <c r="V69" s="63">
        <v>5.2889760000000001E-7</v>
      </c>
      <c r="W69" s="63">
        <v>5.2948139999999899E-7</v>
      </c>
      <c r="X69" s="63">
        <v>3.851207E-7</v>
      </c>
      <c r="Y69" s="63">
        <v>2.5194870000000003E-7</v>
      </c>
      <c r="Z69" s="63">
        <v>2.567313E-7</v>
      </c>
      <c r="AA69" s="63">
        <v>2.721765E-7</v>
      </c>
      <c r="AB69" s="63">
        <v>2.944641E-7</v>
      </c>
      <c r="AC69" s="63">
        <v>3.2705669999999901E-7</v>
      </c>
      <c r="AD69" s="63">
        <v>3.6251640000000001E-7</v>
      </c>
      <c r="AE69" t="s">
        <v>93</v>
      </c>
    </row>
    <row r="70" spans="1:31">
      <c r="A70" t="s">
        <v>267</v>
      </c>
      <c r="B70" t="s">
        <v>1</v>
      </c>
      <c r="C70" t="s">
        <v>218</v>
      </c>
      <c r="D70" s="13" t="str">
        <f>IFERROR(VLOOKUP(C70,ghg_sort!$A$86:$B$512,2,0),0)</f>
        <v>Agriculture</v>
      </c>
      <c r="E70" t="s">
        <v>202</v>
      </c>
      <c r="F70" s="13">
        <f>IFERROR(VLOOKUP($E70,ghg_sort!$A$3:$B$21,2,0),0)</f>
        <v>0</v>
      </c>
      <c r="G70" s="13">
        <f t="shared" si="12"/>
        <v>0</v>
      </c>
      <c r="H70" s="13">
        <f t="shared" si="13"/>
        <v>0</v>
      </c>
      <c r="I70" s="13">
        <f t="shared" si="14"/>
        <v>0</v>
      </c>
      <c r="J70" s="13">
        <f t="shared" si="15"/>
        <v>0</v>
      </c>
      <c r="K70" s="13">
        <f t="shared" si="16"/>
        <v>0</v>
      </c>
      <c r="L70" s="13">
        <f t="shared" si="17"/>
        <v>0</v>
      </c>
      <c r="M70" s="13">
        <f t="shared" si="18"/>
        <v>0</v>
      </c>
      <c r="N70" s="13">
        <f t="shared" si="19"/>
        <v>0</v>
      </c>
      <c r="O70" s="13">
        <f t="shared" si="20"/>
        <v>0</v>
      </c>
      <c r="P70" s="13">
        <f t="shared" si="21"/>
        <v>0</v>
      </c>
      <c r="Q70" s="13">
        <f t="shared" si="22"/>
        <v>0</v>
      </c>
      <c r="R70" s="13" t="s">
        <v>239</v>
      </c>
      <c r="T70" s="62">
        <v>9.7763799999999994E-3</v>
      </c>
      <c r="U70" s="62">
        <v>8.8712500000000007E-3</v>
      </c>
      <c r="V70" s="62">
        <v>7.8205600000000007E-3</v>
      </c>
      <c r="W70" s="62">
        <v>8.3291800000000003E-3</v>
      </c>
      <c r="X70" s="62">
        <v>8.8014600000000005E-3</v>
      </c>
      <c r="Y70" s="62">
        <v>9.4549300000000003E-3</v>
      </c>
      <c r="Z70" s="62">
        <v>1.00965E-2</v>
      </c>
      <c r="AA70" s="62">
        <v>1.0703910000000001E-2</v>
      </c>
      <c r="AB70" s="62">
        <v>1.1580399999999999E-2</v>
      </c>
      <c r="AC70" s="62">
        <v>1.28621999999999E-2</v>
      </c>
      <c r="AD70" s="62">
        <v>1.425673E-2</v>
      </c>
      <c r="AE70" t="s">
        <v>93</v>
      </c>
    </row>
    <row r="71" spans="1:31">
      <c r="A71" t="s">
        <v>267</v>
      </c>
      <c r="B71" t="s">
        <v>1</v>
      </c>
      <c r="C71" t="s">
        <v>218</v>
      </c>
      <c r="D71" s="13" t="str">
        <f>IFERROR(VLOOKUP(C71,ghg_sort!$A$86:$B$512,2,0),0)</f>
        <v>Agriculture</v>
      </c>
      <c r="E71" t="s">
        <v>209</v>
      </c>
      <c r="F71" s="13">
        <f>IFERROR(VLOOKUP($E71,ghg_sort!$A$3:$B$21,2,0),0)</f>
        <v>0</v>
      </c>
      <c r="G71" s="13">
        <f t="shared" si="12"/>
        <v>0</v>
      </c>
      <c r="H71" s="13">
        <f t="shared" si="13"/>
        <v>0</v>
      </c>
      <c r="I71" s="13">
        <f t="shared" si="14"/>
        <v>0</v>
      </c>
      <c r="J71" s="13">
        <f t="shared" si="15"/>
        <v>0</v>
      </c>
      <c r="K71" s="13">
        <f t="shared" si="16"/>
        <v>0</v>
      </c>
      <c r="L71" s="13">
        <f t="shared" si="17"/>
        <v>0</v>
      </c>
      <c r="M71" s="13">
        <f t="shared" si="18"/>
        <v>0</v>
      </c>
      <c r="N71" s="13">
        <f t="shared" si="19"/>
        <v>0</v>
      </c>
      <c r="O71" s="13">
        <f t="shared" si="20"/>
        <v>0</v>
      </c>
      <c r="P71" s="13">
        <f t="shared" si="21"/>
        <v>0</v>
      </c>
      <c r="Q71" s="13">
        <f t="shared" si="22"/>
        <v>0</v>
      </c>
      <c r="R71" s="13" t="s">
        <v>239</v>
      </c>
      <c r="T71" s="63">
        <v>1.6790999999999999E-5</v>
      </c>
      <c r="U71" s="63">
        <v>1.18305E-5</v>
      </c>
      <c r="V71" s="63">
        <v>1.147675E-5</v>
      </c>
      <c r="W71" s="63">
        <v>1.148942E-5</v>
      </c>
      <c r="X71" s="63">
        <v>8.3568699999999992E-6</v>
      </c>
      <c r="Y71" s="63">
        <v>5.4671349999999996E-6</v>
      </c>
      <c r="Z71" s="63">
        <v>5.57092E-6</v>
      </c>
      <c r="AA71" s="63">
        <v>5.9060580000000002E-6</v>
      </c>
      <c r="AB71" s="63">
        <v>6.3896769999999903E-6</v>
      </c>
      <c r="AC71" s="63">
        <v>7.0969200000000003E-6</v>
      </c>
      <c r="AD71" s="63">
        <v>7.8663699999999994E-6</v>
      </c>
      <c r="AE71" t="s">
        <v>93</v>
      </c>
    </row>
    <row r="72" spans="1:31">
      <c r="A72" t="s">
        <v>267</v>
      </c>
      <c r="B72" t="s">
        <v>1</v>
      </c>
      <c r="C72" t="s">
        <v>218</v>
      </c>
      <c r="D72" s="13" t="str">
        <f>IFERROR(VLOOKUP(C72,ghg_sort!$A$86:$B$512,2,0),0)</f>
        <v>Agriculture</v>
      </c>
      <c r="E72" t="s">
        <v>210</v>
      </c>
      <c r="F72" s="13">
        <f>IFERROR(VLOOKUP($E72,ghg_sort!$A$3:$B$21,2,0),0)</f>
        <v>0</v>
      </c>
      <c r="G72" s="13">
        <f t="shared" si="12"/>
        <v>0</v>
      </c>
      <c r="H72" s="13">
        <f t="shared" si="13"/>
        <v>0</v>
      </c>
      <c r="I72" s="13">
        <f t="shared" si="14"/>
        <v>0</v>
      </c>
      <c r="J72" s="13">
        <f t="shared" si="15"/>
        <v>0</v>
      </c>
      <c r="K72" s="13">
        <f t="shared" si="16"/>
        <v>0</v>
      </c>
      <c r="L72" s="13">
        <f t="shared" si="17"/>
        <v>0</v>
      </c>
      <c r="M72" s="13">
        <f t="shared" si="18"/>
        <v>0</v>
      </c>
      <c r="N72" s="13">
        <f t="shared" si="19"/>
        <v>0</v>
      </c>
      <c r="O72" s="13">
        <f t="shared" si="20"/>
        <v>0</v>
      </c>
      <c r="P72" s="13">
        <f t="shared" si="21"/>
        <v>0</v>
      </c>
      <c r="Q72" s="13">
        <f t="shared" si="22"/>
        <v>0</v>
      </c>
      <c r="R72" s="13" t="s">
        <v>239</v>
      </c>
      <c r="T72" s="63">
        <v>1.891951E-4</v>
      </c>
      <c r="U72" s="63">
        <v>1.330696E-4</v>
      </c>
      <c r="V72" s="63">
        <v>1.2909050000000001E-4</v>
      </c>
      <c r="W72" s="63">
        <v>1.2923319999999999E-4</v>
      </c>
      <c r="X72" s="63">
        <v>9.3998199999999896E-5</v>
      </c>
      <c r="Y72" s="63">
        <v>6.1494409999999898E-5</v>
      </c>
      <c r="Z72" s="63">
        <v>6.2661689999999996E-5</v>
      </c>
      <c r="AA72" s="63">
        <v>6.643136E-5</v>
      </c>
      <c r="AB72" s="63">
        <v>7.1871150000000001E-5</v>
      </c>
      <c r="AC72" s="63">
        <v>7.9826399999999897E-5</v>
      </c>
      <c r="AD72" s="63">
        <v>8.8481199999999996E-5</v>
      </c>
      <c r="AE72" t="s">
        <v>93</v>
      </c>
    </row>
    <row r="73" spans="1:31">
      <c r="A73" t="s">
        <v>267</v>
      </c>
      <c r="B73" t="s">
        <v>1</v>
      </c>
      <c r="C73" t="s">
        <v>218</v>
      </c>
      <c r="D73" s="13" t="str">
        <f>IFERROR(VLOOKUP(C73,ghg_sort!$A$86:$B$512,2,0),0)</f>
        <v>Agriculture</v>
      </c>
      <c r="E73" t="s">
        <v>204</v>
      </c>
      <c r="F73" s="13">
        <f>IFERROR(VLOOKUP($E73,ghg_sort!$A$3:$B$21,2,0),0)</f>
        <v>0</v>
      </c>
      <c r="G73" s="13">
        <f t="shared" si="12"/>
        <v>0</v>
      </c>
      <c r="H73" s="13">
        <f t="shared" si="13"/>
        <v>0</v>
      </c>
      <c r="I73" s="13">
        <f t="shared" si="14"/>
        <v>0</v>
      </c>
      <c r="J73" s="13">
        <f t="shared" si="15"/>
        <v>0</v>
      </c>
      <c r="K73" s="13">
        <f t="shared" si="16"/>
        <v>0</v>
      </c>
      <c r="L73" s="13">
        <f t="shared" si="17"/>
        <v>0</v>
      </c>
      <c r="M73" s="13">
        <f t="shared" si="18"/>
        <v>0</v>
      </c>
      <c r="N73" s="13">
        <f t="shared" si="19"/>
        <v>0</v>
      </c>
      <c r="O73" s="13">
        <f t="shared" si="20"/>
        <v>0</v>
      </c>
      <c r="P73" s="13">
        <f t="shared" si="21"/>
        <v>0</v>
      </c>
      <c r="Q73" s="13">
        <f t="shared" si="22"/>
        <v>0</v>
      </c>
      <c r="R73" s="13" t="s">
        <v>239</v>
      </c>
      <c r="T73" s="63">
        <v>8.2003999999999996E-4</v>
      </c>
      <c r="U73" s="63">
        <v>5.7044509999999997E-4</v>
      </c>
      <c r="V73" s="63">
        <v>5.3241110000000003E-4</v>
      </c>
      <c r="W73" s="63">
        <v>4.8205359999999899E-4</v>
      </c>
      <c r="X73" s="63">
        <v>5.0938640000000005E-4</v>
      </c>
      <c r="Y73" s="63">
        <v>5.4720569999999996E-4</v>
      </c>
      <c r="Z73" s="63">
        <v>5.8433710000000002E-4</v>
      </c>
      <c r="AA73" s="63">
        <v>6.194897E-4</v>
      </c>
      <c r="AB73" s="63">
        <v>6.7021780000000003E-4</v>
      </c>
      <c r="AC73" s="63">
        <v>7.4440089999999997E-4</v>
      </c>
      <c r="AD73" s="63">
        <v>8.2510899999999998E-4</v>
      </c>
      <c r="AE73" t="s">
        <v>93</v>
      </c>
    </row>
    <row r="74" spans="1:31">
      <c r="A74" t="s">
        <v>267</v>
      </c>
      <c r="B74" t="s">
        <v>1</v>
      </c>
      <c r="C74" t="s">
        <v>218</v>
      </c>
      <c r="D74" s="13" t="str">
        <f>IFERROR(VLOOKUP(C74,ghg_sort!$A$86:$B$512,2,0),0)</f>
        <v>Agriculture</v>
      </c>
      <c r="E74" t="s">
        <v>211</v>
      </c>
      <c r="F74" s="13">
        <f>IFERROR(VLOOKUP($E74,ghg_sort!$A$3:$B$21,2,0),0)</f>
        <v>0</v>
      </c>
      <c r="G74" s="13">
        <f t="shared" si="12"/>
        <v>0</v>
      </c>
      <c r="H74" s="13">
        <f t="shared" si="13"/>
        <v>0</v>
      </c>
      <c r="I74" s="13">
        <f t="shared" si="14"/>
        <v>0</v>
      </c>
      <c r="J74" s="13">
        <f t="shared" si="15"/>
        <v>0</v>
      </c>
      <c r="K74" s="13">
        <f t="shared" si="16"/>
        <v>0</v>
      </c>
      <c r="L74" s="13">
        <f t="shared" si="17"/>
        <v>0</v>
      </c>
      <c r="M74" s="13">
        <f t="shared" si="18"/>
        <v>0</v>
      </c>
      <c r="N74" s="13">
        <f t="shared" si="19"/>
        <v>0</v>
      </c>
      <c r="O74" s="13">
        <f t="shared" si="20"/>
        <v>0</v>
      </c>
      <c r="P74" s="13">
        <f t="shared" si="21"/>
        <v>0</v>
      </c>
      <c r="Q74" s="13">
        <f t="shared" si="22"/>
        <v>0</v>
      </c>
      <c r="R74" s="13" t="s">
        <v>239</v>
      </c>
      <c r="T74" s="63">
        <v>2.40646E-5</v>
      </c>
      <c r="U74" s="63">
        <v>1.69552E-5</v>
      </c>
      <c r="V74" s="63">
        <v>1.644821E-5</v>
      </c>
      <c r="W74" s="63">
        <v>1.646637E-5</v>
      </c>
      <c r="X74" s="63">
        <v>1.197689E-5</v>
      </c>
      <c r="Y74" s="63">
        <v>7.8353600000000001E-6</v>
      </c>
      <c r="Z74" s="63">
        <v>7.9841099999999994E-6</v>
      </c>
      <c r="AA74" s="63">
        <v>8.4644199999999995E-6</v>
      </c>
      <c r="AB74" s="63">
        <v>9.1575399999999994E-6</v>
      </c>
      <c r="AC74" s="63">
        <v>1.01711499999999E-5</v>
      </c>
      <c r="AD74" s="63">
        <v>1.127391E-5</v>
      </c>
      <c r="AE74" t="s">
        <v>93</v>
      </c>
    </row>
    <row r="75" spans="1:31">
      <c r="A75" t="s">
        <v>267</v>
      </c>
      <c r="B75" t="s">
        <v>1</v>
      </c>
      <c r="C75" t="s">
        <v>218</v>
      </c>
      <c r="D75" s="13" t="str">
        <f>IFERROR(VLOOKUP(C75,ghg_sort!$A$86:$B$512,2,0),0)</f>
        <v>Agriculture</v>
      </c>
      <c r="E75" t="s">
        <v>212</v>
      </c>
      <c r="F75" s="13">
        <f>IFERROR(VLOOKUP($E75,ghg_sort!$A$3:$B$21,2,0),0)</f>
        <v>0</v>
      </c>
      <c r="G75" s="13">
        <f t="shared" si="12"/>
        <v>0</v>
      </c>
      <c r="H75" s="13">
        <f t="shared" si="13"/>
        <v>0</v>
      </c>
      <c r="I75" s="13">
        <f t="shared" si="14"/>
        <v>0</v>
      </c>
      <c r="J75" s="13">
        <f t="shared" si="15"/>
        <v>0</v>
      </c>
      <c r="K75" s="13">
        <f t="shared" si="16"/>
        <v>0</v>
      </c>
      <c r="L75" s="13">
        <f t="shared" si="17"/>
        <v>0</v>
      </c>
      <c r="M75" s="13">
        <f t="shared" si="18"/>
        <v>0</v>
      </c>
      <c r="N75" s="13">
        <f t="shared" si="19"/>
        <v>0</v>
      </c>
      <c r="O75" s="13">
        <f t="shared" si="20"/>
        <v>0</v>
      </c>
      <c r="P75" s="13">
        <f t="shared" si="21"/>
        <v>0</v>
      </c>
      <c r="Q75" s="13">
        <f t="shared" si="22"/>
        <v>0</v>
      </c>
      <c r="R75" s="13" t="s">
        <v>239</v>
      </c>
      <c r="T75" s="63">
        <v>1.7796899999999999E-5</v>
      </c>
      <c r="U75" s="63">
        <v>1.25391999999999E-5</v>
      </c>
      <c r="V75" s="63">
        <v>3.0676580000000002E-4</v>
      </c>
      <c r="W75" s="63">
        <v>3.0710470000000001E-4</v>
      </c>
      <c r="X75" s="63">
        <v>2.2337370000000001E-4</v>
      </c>
      <c r="Y75" s="63">
        <v>1.461326E-4</v>
      </c>
      <c r="Z75" s="63">
        <v>1.489067E-4</v>
      </c>
      <c r="AA75" s="63">
        <v>1.578649E-4</v>
      </c>
      <c r="AB75" s="63">
        <v>1.707918E-4</v>
      </c>
      <c r="AC75" s="63">
        <v>1.8969599999999999E-4</v>
      </c>
      <c r="AD75" s="63">
        <v>2.10263E-4</v>
      </c>
      <c r="AE75" t="s">
        <v>93</v>
      </c>
    </row>
    <row r="76" spans="1:31">
      <c r="A76" t="s">
        <v>267</v>
      </c>
      <c r="B76" t="s">
        <v>1</v>
      </c>
      <c r="C76" t="s">
        <v>218</v>
      </c>
      <c r="D76" s="13" t="str">
        <f>IFERROR(VLOOKUP(C76,ghg_sort!$A$86:$B$512,2,0),0)</f>
        <v>Agriculture</v>
      </c>
      <c r="E76" t="s">
        <v>213</v>
      </c>
      <c r="F76" s="13">
        <f>IFERROR(VLOOKUP($E76,ghg_sort!$A$3:$B$21,2,0),0)</f>
        <v>0</v>
      </c>
      <c r="G76" s="13">
        <f t="shared" si="12"/>
        <v>0</v>
      </c>
      <c r="H76" s="13">
        <f t="shared" si="13"/>
        <v>0</v>
      </c>
      <c r="I76" s="13">
        <f t="shared" si="14"/>
        <v>0</v>
      </c>
      <c r="J76" s="13">
        <f t="shared" si="15"/>
        <v>0</v>
      </c>
      <c r="K76" s="13">
        <f t="shared" si="16"/>
        <v>0</v>
      </c>
      <c r="L76" s="13">
        <f t="shared" si="17"/>
        <v>0</v>
      </c>
      <c r="M76" s="13">
        <f t="shared" si="18"/>
        <v>0</v>
      </c>
      <c r="N76" s="13">
        <f t="shared" si="19"/>
        <v>0</v>
      </c>
      <c r="O76" s="13">
        <f t="shared" si="20"/>
        <v>0</v>
      </c>
      <c r="P76" s="13">
        <f t="shared" si="21"/>
        <v>0</v>
      </c>
      <c r="Q76" s="13">
        <f t="shared" si="22"/>
        <v>0</v>
      </c>
      <c r="R76" s="13" t="s">
        <v>239</v>
      </c>
      <c r="T76" s="63">
        <v>3.0950999999999998E-6</v>
      </c>
      <c r="U76" s="63">
        <v>2.18069999999999E-6</v>
      </c>
      <c r="V76" s="63">
        <v>2.1154929999999999E-6</v>
      </c>
      <c r="W76" s="63">
        <v>2.117829E-6</v>
      </c>
      <c r="X76" s="63">
        <v>1.540411E-6</v>
      </c>
      <c r="Y76" s="63">
        <v>1.007749E-6</v>
      </c>
      <c r="Z76" s="63">
        <v>1.0268789999999999E-6</v>
      </c>
      <c r="AA76" s="63">
        <v>1.0886550000000001E-6</v>
      </c>
      <c r="AB76" s="63">
        <v>1.177802E-6</v>
      </c>
      <c r="AC76" s="63">
        <v>1.308167E-6</v>
      </c>
      <c r="AD76" s="63">
        <v>1.4499999999999899E-6</v>
      </c>
      <c r="AE76" t="s">
        <v>93</v>
      </c>
    </row>
    <row r="77" spans="1:31">
      <c r="A77" t="s">
        <v>267</v>
      </c>
      <c r="B77" t="s">
        <v>1</v>
      </c>
      <c r="C77" t="s">
        <v>219</v>
      </c>
      <c r="D77" s="13" t="str">
        <f>IFERROR(VLOOKUP(C77,ghg_sort!$A$86:$B$512,2,0),0)</f>
        <v>Agriculture</v>
      </c>
      <c r="E77" t="s">
        <v>206</v>
      </c>
      <c r="F77" s="13">
        <f>IFERROR(VLOOKUP($E77,ghg_sort!$A$3:$B$21,2,0),0)</f>
        <v>0</v>
      </c>
      <c r="G77" s="13">
        <f t="shared" si="12"/>
        <v>0</v>
      </c>
      <c r="H77" s="13">
        <f t="shared" si="13"/>
        <v>0</v>
      </c>
      <c r="I77" s="13">
        <f t="shared" si="14"/>
        <v>0</v>
      </c>
      <c r="J77" s="13">
        <f t="shared" si="15"/>
        <v>0</v>
      </c>
      <c r="K77" s="13">
        <f t="shared" si="16"/>
        <v>0</v>
      </c>
      <c r="L77" s="13">
        <f t="shared" si="17"/>
        <v>0</v>
      </c>
      <c r="M77" s="13">
        <f t="shared" si="18"/>
        <v>0</v>
      </c>
      <c r="N77" s="13">
        <f t="shared" si="19"/>
        <v>0</v>
      </c>
      <c r="O77" s="13">
        <f t="shared" si="20"/>
        <v>0</v>
      </c>
      <c r="P77" s="13">
        <f t="shared" si="21"/>
        <v>0</v>
      </c>
      <c r="Q77" s="13">
        <f t="shared" si="22"/>
        <v>0</v>
      </c>
      <c r="R77" s="13" t="s">
        <v>239</v>
      </c>
      <c r="T77" s="63">
        <v>2.7025E-6</v>
      </c>
      <c r="U77" s="63">
        <v>1.2482E-6</v>
      </c>
      <c r="V77" s="63">
        <v>1.04549684E-5</v>
      </c>
      <c r="W77" s="63">
        <v>7.7385291999999997E-6</v>
      </c>
      <c r="X77" s="63">
        <v>5.4298462E-6</v>
      </c>
      <c r="Y77" s="63">
        <v>3.3884148799999998E-6</v>
      </c>
      <c r="Z77" s="63">
        <v>3.3270636299999999E-6</v>
      </c>
      <c r="AA77" s="63">
        <v>3.4472122299999902E-6</v>
      </c>
      <c r="AB77" s="63">
        <v>3.5584798399999899E-6</v>
      </c>
      <c r="AC77" s="63">
        <v>3.6963793500000001E-6</v>
      </c>
      <c r="AD77" s="63">
        <v>3.8320106199999999E-6</v>
      </c>
      <c r="AE77" t="s">
        <v>93</v>
      </c>
    </row>
    <row r="78" spans="1:31">
      <c r="A78" t="s">
        <v>267</v>
      </c>
      <c r="B78" t="s">
        <v>1</v>
      </c>
      <c r="C78" t="s">
        <v>219</v>
      </c>
      <c r="D78" s="13" t="str">
        <f>IFERROR(VLOOKUP(C78,ghg_sort!$A$86:$B$512,2,0),0)</f>
        <v>Agriculture</v>
      </c>
      <c r="E78" t="s">
        <v>105</v>
      </c>
      <c r="F78" s="13">
        <f>IFERROR(VLOOKUP($E78,ghg_sort!$A$3:$B$21,2,0),0)</f>
        <v>25</v>
      </c>
      <c r="G78" s="13">
        <f t="shared" si="12"/>
        <v>5.2428749999999997E-4</v>
      </c>
      <c r="H78" s="13">
        <f t="shared" si="13"/>
        <v>2.4215749999999977E-4</v>
      </c>
      <c r="I78" s="13">
        <f t="shared" si="14"/>
        <v>1.255856025E-4</v>
      </c>
      <c r="J78" s="13">
        <f t="shared" si="15"/>
        <v>9.2955437000000009E-5</v>
      </c>
      <c r="K78" s="13">
        <f t="shared" si="16"/>
        <v>6.5223702249999995E-5</v>
      </c>
      <c r="L78" s="13">
        <f t="shared" si="17"/>
        <v>4.070184325E-5</v>
      </c>
      <c r="M78" s="13">
        <f t="shared" si="18"/>
        <v>3.9964938249999997E-5</v>
      </c>
      <c r="N78" s="13">
        <f t="shared" si="19"/>
        <v>4.1408144499999999E-5</v>
      </c>
      <c r="O78" s="13">
        <f t="shared" si="20"/>
        <v>4.2744863500000001E-5</v>
      </c>
      <c r="P78" s="13">
        <f t="shared" si="21"/>
        <v>4.4401036250000001E-5</v>
      </c>
      <c r="Q78" s="13">
        <f t="shared" si="22"/>
        <v>4.6030285750000001E-5</v>
      </c>
      <c r="R78" s="13" t="s">
        <v>239</v>
      </c>
      <c r="T78" s="63">
        <v>2.0971500000000001E-5</v>
      </c>
      <c r="U78" s="63">
        <v>9.6862999999999906E-6</v>
      </c>
      <c r="V78" s="63">
        <v>5.0234240999999998E-6</v>
      </c>
      <c r="W78" s="63">
        <v>3.7182174800000001E-6</v>
      </c>
      <c r="X78" s="63">
        <v>2.6089480899999999E-6</v>
      </c>
      <c r="Y78" s="63">
        <v>1.6280737299999999E-6</v>
      </c>
      <c r="Z78" s="63">
        <v>1.59859753E-6</v>
      </c>
      <c r="AA78" s="63">
        <v>1.6563257800000001E-6</v>
      </c>
      <c r="AB78" s="63">
        <v>1.70979454E-6</v>
      </c>
      <c r="AC78" s="63">
        <v>1.77604145E-6</v>
      </c>
      <c r="AD78" s="63">
        <v>1.84121143E-6</v>
      </c>
      <c r="AE78" t="s">
        <v>93</v>
      </c>
    </row>
    <row r="79" spans="1:31">
      <c r="A79" t="s">
        <v>267</v>
      </c>
      <c r="B79" t="s">
        <v>1</v>
      </c>
      <c r="C79" t="s">
        <v>219</v>
      </c>
      <c r="D79" s="13" t="str">
        <f>IFERROR(VLOOKUP(C79,ghg_sort!$A$86:$B$512,2,0),0)</f>
        <v>Agriculture</v>
      </c>
      <c r="E79" t="s">
        <v>207</v>
      </c>
      <c r="F79" s="13">
        <f>IFERROR(VLOOKUP($E79,ghg_sort!$A$3:$B$21,2,0),0)</f>
        <v>0</v>
      </c>
      <c r="G79" s="13">
        <f t="shared" si="12"/>
        <v>0</v>
      </c>
      <c r="H79" s="13">
        <f t="shared" si="13"/>
        <v>0</v>
      </c>
      <c r="I79" s="13">
        <f t="shared" si="14"/>
        <v>0</v>
      </c>
      <c r="J79" s="13">
        <f t="shared" si="15"/>
        <v>0</v>
      </c>
      <c r="K79" s="13">
        <f t="shared" si="16"/>
        <v>0</v>
      </c>
      <c r="L79" s="13">
        <f t="shared" si="17"/>
        <v>0</v>
      </c>
      <c r="M79" s="13">
        <f t="shared" si="18"/>
        <v>0</v>
      </c>
      <c r="N79" s="13">
        <f t="shared" si="19"/>
        <v>0</v>
      </c>
      <c r="O79" s="13">
        <f t="shared" si="20"/>
        <v>0</v>
      </c>
      <c r="P79" s="13">
        <f t="shared" si="21"/>
        <v>0</v>
      </c>
      <c r="Q79" s="13">
        <f t="shared" si="22"/>
        <v>0</v>
      </c>
      <c r="R79" s="13" t="s">
        <v>239</v>
      </c>
      <c r="T79" s="63">
        <v>3.6754219999999898E-4</v>
      </c>
      <c r="U79" s="63">
        <v>1.6975900000000001E-4</v>
      </c>
      <c r="V79" s="63">
        <v>8.8039284000000006E-5</v>
      </c>
      <c r="W79" s="63">
        <v>6.5164604999999996E-5</v>
      </c>
      <c r="X79" s="63">
        <v>4.5723607999999999E-5</v>
      </c>
      <c r="Y79" s="63">
        <v>2.8533177700000002E-5</v>
      </c>
      <c r="Z79" s="63">
        <v>2.8016541399999899E-5</v>
      </c>
      <c r="AA79" s="63">
        <v>2.90282819E-5</v>
      </c>
      <c r="AB79" s="63">
        <v>2.9965293300000002E-5</v>
      </c>
      <c r="AC79" s="63">
        <v>3.1126498999999998E-5</v>
      </c>
      <c r="AD79" s="63">
        <v>3.2268636000000003E-5</v>
      </c>
      <c r="AE79" t="s">
        <v>93</v>
      </c>
    </row>
    <row r="80" spans="1:31">
      <c r="A80" t="s">
        <v>267</v>
      </c>
      <c r="B80" t="s">
        <v>1</v>
      </c>
      <c r="C80" t="s">
        <v>219</v>
      </c>
      <c r="D80" s="13" t="str">
        <f>IFERROR(VLOOKUP(C80,ghg_sort!$A$86:$B$512,2,0),0)</f>
        <v>Agriculture</v>
      </c>
      <c r="E80" t="s">
        <v>208</v>
      </c>
      <c r="F80" s="13">
        <f>IFERROR(VLOOKUP($E80,ghg_sort!$A$3:$B$21,2,0),0)</f>
        <v>0</v>
      </c>
      <c r="G80" s="13">
        <f t="shared" si="12"/>
        <v>0</v>
      </c>
      <c r="H80" s="13">
        <f t="shared" si="13"/>
        <v>0</v>
      </c>
      <c r="I80" s="13">
        <f t="shared" si="14"/>
        <v>0</v>
      </c>
      <c r="J80" s="13">
        <f t="shared" si="15"/>
        <v>0</v>
      </c>
      <c r="K80" s="13">
        <f t="shared" si="16"/>
        <v>0</v>
      </c>
      <c r="L80" s="13">
        <f t="shared" si="17"/>
        <v>0</v>
      </c>
      <c r="M80" s="13">
        <f t="shared" si="18"/>
        <v>0</v>
      </c>
      <c r="N80" s="13">
        <f t="shared" si="19"/>
        <v>0</v>
      </c>
      <c r="O80" s="13">
        <f t="shared" si="20"/>
        <v>0</v>
      </c>
      <c r="P80" s="13">
        <f t="shared" si="21"/>
        <v>0</v>
      </c>
      <c r="Q80" s="13">
        <f t="shared" si="22"/>
        <v>0</v>
      </c>
      <c r="R80" s="13" t="s">
        <v>239</v>
      </c>
      <c r="T80" s="63">
        <v>8.5086000000000002E-6</v>
      </c>
      <c r="U80" s="63">
        <v>3.9361999999999997E-6</v>
      </c>
      <c r="V80" s="63">
        <v>2.0413553599999999E-6</v>
      </c>
      <c r="W80" s="63">
        <v>1.51096519E-6</v>
      </c>
      <c r="X80" s="63">
        <v>1.06019171E-6</v>
      </c>
      <c r="Y80" s="63">
        <v>6.6159574999999998E-7</v>
      </c>
      <c r="Z80" s="63">
        <v>6.4961896999999999E-7</v>
      </c>
      <c r="AA80" s="63">
        <v>6.7307860999999998E-7</v>
      </c>
      <c r="AB80" s="63">
        <v>6.9480331000000004E-7</v>
      </c>
      <c r="AC80" s="63">
        <v>7.2172765999999997E-7</v>
      </c>
      <c r="AD80" s="63">
        <v>7.4821041999999999E-7</v>
      </c>
      <c r="AE80" t="s">
        <v>93</v>
      </c>
    </row>
    <row r="81" spans="1:31">
      <c r="A81" t="s">
        <v>267</v>
      </c>
      <c r="B81" t="s">
        <v>1</v>
      </c>
      <c r="C81" t="s">
        <v>219</v>
      </c>
      <c r="D81" s="13" t="str">
        <f>IFERROR(VLOOKUP(C81,ghg_sort!$A$86:$B$512,2,0),0)</f>
        <v>Agriculture</v>
      </c>
      <c r="E81" t="s">
        <v>101</v>
      </c>
      <c r="F81" s="13">
        <f>IFERROR(VLOOKUP($E81,ghg_sort!$A$3:$B$21,2,0),0)</f>
        <v>298</v>
      </c>
      <c r="G81" s="13">
        <f t="shared" si="12"/>
        <v>0.32715655839999996</v>
      </c>
      <c r="H81" s="13">
        <f t="shared" si="13"/>
        <v>0.20152759579999999</v>
      </c>
      <c r="I81" s="13">
        <f t="shared" si="14"/>
        <v>0.12816750539999969</v>
      </c>
      <c r="J81" s="13">
        <f t="shared" si="15"/>
        <v>0.11869772099999999</v>
      </c>
      <c r="K81" s="13">
        <f t="shared" si="16"/>
        <v>0.11857764994600001</v>
      </c>
      <c r="L81" s="13">
        <f t="shared" si="17"/>
        <v>0.119027188012</v>
      </c>
      <c r="M81" s="13">
        <f t="shared" si="18"/>
        <v>0.11992610113800001</v>
      </c>
      <c r="N81" s="13">
        <f t="shared" si="19"/>
        <v>0.1216130508279997</v>
      </c>
      <c r="O81" s="13">
        <f t="shared" si="20"/>
        <v>0.12280949490199999</v>
      </c>
      <c r="P81" s="13">
        <f t="shared" si="21"/>
        <v>0.127568208924</v>
      </c>
      <c r="Q81" s="13">
        <f t="shared" si="22"/>
        <v>0.13224916074000001</v>
      </c>
      <c r="R81" s="13" t="s">
        <v>239</v>
      </c>
      <c r="T81" s="62">
        <v>1.0978407999999999E-3</v>
      </c>
      <c r="U81" s="63">
        <v>6.7626709999999996E-4</v>
      </c>
      <c r="V81" s="63">
        <v>4.3009229999999899E-4</v>
      </c>
      <c r="W81" s="63">
        <v>3.9831449999999999E-4</v>
      </c>
      <c r="X81" s="63">
        <v>3.97911577E-4</v>
      </c>
      <c r="Y81" s="63">
        <v>3.99420094E-4</v>
      </c>
      <c r="Z81" s="63">
        <v>4.02436581E-4</v>
      </c>
      <c r="AA81" s="63">
        <v>4.0809748599999899E-4</v>
      </c>
      <c r="AB81" s="63">
        <v>4.1211239899999999E-4</v>
      </c>
      <c r="AC81" s="63">
        <v>4.2808123799999999E-4</v>
      </c>
      <c r="AD81" s="63">
        <v>4.4378913000000001E-4</v>
      </c>
      <c r="AE81" t="s">
        <v>93</v>
      </c>
    </row>
    <row r="82" spans="1:31">
      <c r="A82" t="s">
        <v>267</v>
      </c>
      <c r="B82" t="s">
        <v>1</v>
      </c>
      <c r="C82" t="s">
        <v>219</v>
      </c>
      <c r="D82" s="13" t="str">
        <f>IFERROR(VLOOKUP(C82,ghg_sort!$A$86:$B$512,2,0),0)</f>
        <v>Agriculture</v>
      </c>
      <c r="E82" t="s">
        <v>102</v>
      </c>
      <c r="F82" s="13">
        <f>IFERROR(VLOOKUP($E82,ghg_sort!$A$3:$B$21,2,0),0)</f>
        <v>298</v>
      </c>
      <c r="G82" s="13">
        <f t="shared" si="12"/>
        <v>1.0736939999999971E-4</v>
      </c>
      <c r="H82" s="13">
        <f t="shared" si="13"/>
        <v>4.9616999999999996E-5</v>
      </c>
      <c r="I82" s="13">
        <f t="shared" si="14"/>
        <v>2.5731955511999969E-5</v>
      </c>
      <c r="J82" s="13">
        <f t="shared" si="15"/>
        <v>1.9046175915999998E-5</v>
      </c>
      <c r="K82" s="13">
        <f t="shared" si="16"/>
        <v>1.3363990588E-5</v>
      </c>
      <c r="L82" s="13">
        <f t="shared" si="17"/>
        <v>8.3185808979999994E-6</v>
      </c>
      <c r="M82" s="13">
        <f t="shared" si="18"/>
        <v>8.1682837039999699E-6</v>
      </c>
      <c r="N82" s="13">
        <f t="shared" si="19"/>
        <v>8.4637229899999709E-6</v>
      </c>
      <c r="O82" s="13">
        <f t="shared" si="20"/>
        <v>8.7372226220000001E-6</v>
      </c>
      <c r="P82" s="13">
        <f t="shared" si="21"/>
        <v>9.0760307419999703E-6</v>
      </c>
      <c r="Q82" s="13">
        <f t="shared" si="22"/>
        <v>9.4092278199999993E-6</v>
      </c>
      <c r="R82" s="13" t="s">
        <v>239</v>
      </c>
      <c r="T82" s="63">
        <v>3.6029999999999901E-7</v>
      </c>
      <c r="U82" s="63">
        <v>1.6649999999999999E-7</v>
      </c>
      <c r="V82" s="63">
        <v>8.6348843999999898E-8</v>
      </c>
      <c r="W82" s="63">
        <v>6.3913341999999995E-8</v>
      </c>
      <c r="X82" s="63">
        <v>4.4845605999999997E-8</v>
      </c>
      <c r="Y82" s="63">
        <v>2.7914700999999999E-8</v>
      </c>
      <c r="Z82" s="63">
        <v>2.7410347999999901E-8</v>
      </c>
      <c r="AA82" s="63">
        <v>2.8401754999999901E-8</v>
      </c>
      <c r="AB82" s="63">
        <v>2.9319538999999999E-8</v>
      </c>
      <c r="AC82" s="63">
        <v>3.0456478999999903E-8</v>
      </c>
      <c r="AD82" s="63">
        <v>3.1574589999999998E-8</v>
      </c>
      <c r="AE82" t="s">
        <v>93</v>
      </c>
    </row>
    <row r="83" spans="1:31">
      <c r="A83" t="s">
        <v>267</v>
      </c>
      <c r="B83" t="s">
        <v>1</v>
      </c>
      <c r="C83" t="s">
        <v>219</v>
      </c>
      <c r="D83" s="13" t="str">
        <f>IFERROR(VLOOKUP(C83,ghg_sort!$A$86:$B$512,2,0),0)</f>
        <v>Agriculture</v>
      </c>
      <c r="E83" t="s">
        <v>202</v>
      </c>
      <c r="F83" s="13">
        <f>IFERROR(VLOOKUP($E83,ghg_sort!$A$3:$B$21,2,0),0)</f>
        <v>0</v>
      </c>
      <c r="G83" s="13">
        <f t="shared" si="12"/>
        <v>0</v>
      </c>
      <c r="H83" s="13">
        <f t="shared" si="13"/>
        <v>0</v>
      </c>
      <c r="I83" s="13">
        <f t="shared" si="14"/>
        <v>0</v>
      </c>
      <c r="J83" s="13">
        <f t="shared" si="15"/>
        <v>0</v>
      </c>
      <c r="K83" s="13">
        <f t="shared" si="16"/>
        <v>0</v>
      </c>
      <c r="L83" s="13">
        <f t="shared" si="17"/>
        <v>0</v>
      </c>
      <c r="M83" s="13">
        <f t="shared" si="18"/>
        <v>0</v>
      </c>
      <c r="N83" s="13">
        <f t="shared" si="19"/>
        <v>0</v>
      </c>
      <c r="O83" s="13">
        <f t="shared" si="20"/>
        <v>0</v>
      </c>
      <c r="P83" s="13">
        <f t="shared" si="21"/>
        <v>0</v>
      </c>
      <c r="Q83" s="13">
        <f t="shared" si="22"/>
        <v>0</v>
      </c>
      <c r="R83" s="13" t="s">
        <v>239</v>
      </c>
      <c r="T83" s="62">
        <v>6.3244305000000004E-3</v>
      </c>
      <c r="U83" s="62">
        <v>4.0944589999999999E-3</v>
      </c>
      <c r="V83" s="62">
        <v>2.8486894999999999E-3</v>
      </c>
      <c r="W83" s="62">
        <v>2.5042787000000002E-3</v>
      </c>
      <c r="X83" s="62">
        <v>2.5528105200000001E-3</v>
      </c>
      <c r="Y83" s="62">
        <v>2.6158722599999998E-3</v>
      </c>
      <c r="Z83" s="62">
        <v>2.6917010700000001E-3</v>
      </c>
      <c r="AA83" s="62">
        <v>2.7889016499999999E-3</v>
      </c>
      <c r="AB83" s="62">
        <v>2.8789209800000001E-3</v>
      </c>
      <c r="AC83" s="62">
        <v>2.9904850300000001E-3</v>
      </c>
      <c r="AD83" s="62">
        <v>3.1002125299999998E-3</v>
      </c>
      <c r="AE83" t="s">
        <v>93</v>
      </c>
    </row>
    <row r="84" spans="1:31">
      <c r="A84" t="s">
        <v>267</v>
      </c>
      <c r="B84" t="s">
        <v>1</v>
      </c>
      <c r="C84" t="s">
        <v>219</v>
      </c>
      <c r="D84" s="13" t="str">
        <f>IFERROR(VLOOKUP(C84,ghg_sort!$A$86:$B$512,2,0),0)</f>
        <v>Agriculture</v>
      </c>
      <c r="E84" t="s">
        <v>209</v>
      </c>
      <c r="F84" s="13">
        <f>IFERROR(VLOOKUP($E84,ghg_sort!$A$3:$B$21,2,0),0)</f>
        <v>0</v>
      </c>
      <c r="G84" s="13">
        <f t="shared" si="12"/>
        <v>0</v>
      </c>
      <c r="H84" s="13">
        <f t="shared" si="13"/>
        <v>0</v>
      </c>
      <c r="I84" s="13">
        <f t="shared" si="14"/>
        <v>0</v>
      </c>
      <c r="J84" s="13">
        <f t="shared" si="15"/>
        <v>0</v>
      </c>
      <c r="K84" s="13">
        <f t="shared" si="16"/>
        <v>0</v>
      </c>
      <c r="L84" s="13">
        <f t="shared" si="17"/>
        <v>0</v>
      </c>
      <c r="M84" s="13">
        <f t="shared" si="18"/>
        <v>0</v>
      </c>
      <c r="N84" s="13">
        <f t="shared" si="19"/>
        <v>0</v>
      </c>
      <c r="O84" s="13">
        <f t="shared" si="20"/>
        <v>0</v>
      </c>
      <c r="P84" s="13">
        <f t="shared" si="21"/>
        <v>0</v>
      </c>
      <c r="Q84" s="13">
        <f t="shared" si="22"/>
        <v>0</v>
      </c>
      <c r="R84" s="13" t="s">
        <v>239</v>
      </c>
      <c r="T84" s="63">
        <v>7.8191999999999996E-6</v>
      </c>
      <c r="U84" s="63">
        <v>3.6115999999999999E-6</v>
      </c>
      <c r="V84" s="63">
        <v>1.8730162E-6</v>
      </c>
      <c r="W84" s="63">
        <v>1.3863634800000001E-6</v>
      </c>
      <c r="X84" s="63">
        <v>9.7276234E-7</v>
      </c>
      <c r="Y84" s="63">
        <v>6.0703788999999998E-7</v>
      </c>
      <c r="Z84" s="63">
        <v>5.9604765000000005E-7</v>
      </c>
      <c r="AA84" s="63">
        <v>6.1757198000000003E-7</v>
      </c>
      <c r="AB84" s="63">
        <v>6.3750514000000005E-7</v>
      </c>
      <c r="AC84" s="63">
        <v>6.6220777000000001E-7</v>
      </c>
      <c r="AD84" s="63">
        <v>6.8650692999999995E-7</v>
      </c>
      <c r="AE84" t="s">
        <v>93</v>
      </c>
    </row>
    <row r="85" spans="1:31">
      <c r="A85" t="s">
        <v>267</v>
      </c>
      <c r="B85" t="s">
        <v>1</v>
      </c>
      <c r="C85" t="s">
        <v>219</v>
      </c>
      <c r="D85" s="13" t="str">
        <f>IFERROR(VLOOKUP(C85,ghg_sort!$A$86:$B$512,2,0),0)</f>
        <v>Agriculture</v>
      </c>
      <c r="E85" t="s">
        <v>210</v>
      </c>
      <c r="F85" s="13">
        <f>IFERROR(VLOOKUP($E85,ghg_sort!$A$3:$B$21,2,0),0)</f>
        <v>0</v>
      </c>
      <c r="G85" s="13">
        <f t="shared" si="12"/>
        <v>0</v>
      </c>
      <c r="H85" s="13">
        <f t="shared" si="13"/>
        <v>0</v>
      </c>
      <c r="I85" s="13">
        <f t="shared" si="14"/>
        <v>0</v>
      </c>
      <c r="J85" s="13">
        <f t="shared" si="15"/>
        <v>0</v>
      </c>
      <c r="K85" s="13">
        <f t="shared" si="16"/>
        <v>0</v>
      </c>
      <c r="L85" s="13">
        <f t="shared" si="17"/>
        <v>0</v>
      </c>
      <c r="M85" s="13">
        <f t="shared" si="18"/>
        <v>0</v>
      </c>
      <c r="N85" s="13">
        <f t="shared" si="19"/>
        <v>0</v>
      </c>
      <c r="O85" s="13">
        <f t="shared" si="20"/>
        <v>0</v>
      </c>
      <c r="P85" s="13">
        <f t="shared" si="21"/>
        <v>0</v>
      </c>
      <c r="Q85" s="13">
        <f t="shared" si="22"/>
        <v>0</v>
      </c>
      <c r="R85" s="13" t="s">
        <v>239</v>
      </c>
      <c r="T85" s="63">
        <v>8.8104799999999997E-5</v>
      </c>
      <c r="U85" s="63">
        <v>4.06227E-5</v>
      </c>
      <c r="V85" s="63">
        <v>2.1067421600000001E-5</v>
      </c>
      <c r="W85" s="63">
        <v>1.5593594700000001E-5</v>
      </c>
      <c r="X85" s="63">
        <v>1.0941471100000001E-5</v>
      </c>
      <c r="Y85" s="63">
        <v>6.8278624000000003E-6</v>
      </c>
      <c r="Z85" s="63">
        <v>6.7042496999999902E-6</v>
      </c>
      <c r="AA85" s="63">
        <v>6.9463529999999999E-6</v>
      </c>
      <c r="AB85" s="63">
        <v>7.1705635999999997E-6</v>
      </c>
      <c r="AC85" s="63">
        <v>7.4484198999999901E-6</v>
      </c>
      <c r="AD85" s="63">
        <v>7.7217297999999998E-6</v>
      </c>
      <c r="AE85" t="s">
        <v>93</v>
      </c>
    </row>
    <row r="86" spans="1:31">
      <c r="A86" t="s">
        <v>267</v>
      </c>
      <c r="B86" t="s">
        <v>1</v>
      </c>
      <c r="C86" t="s">
        <v>219</v>
      </c>
      <c r="D86" s="13" t="str">
        <f>IFERROR(VLOOKUP(C86,ghg_sort!$A$86:$B$512,2,0),0)</f>
        <v>Agriculture</v>
      </c>
      <c r="E86" t="s">
        <v>204</v>
      </c>
      <c r="F86" s="13">
        <f>IFERROR(VLOOKUP($E86,ghg_sort!$A$3:$B$21,2,0),0)</f>
        <v>0</v>
      </c>
      <c r="G86" s="13">
        <f t="shared" si="12"/>
        <v>0</v>
      </c>
      <c r="H86" s="13">
        <f t="shared" si="13"/>
        <v>0</v>
      </c>
      <c r="I86" s="13">
        <f t="shared" si="14"/>
        <v>0</v>
      </c>
      <c r="J86" s="13">
        <f t="shared" si="15"/>
        <v>0</v>
      </c>
      <c r="K86" s="13">
        <f t="shared" si="16"/>
        <v>0</v>
      </c>
      <c r="L86" s="13">
        <f t="shared" si="17"/>
        <v>0</v>
      </c>
      <c r="M86" s="13">
        <f t="shared" si="18"/>
        <v>0</v>
      </c>
      <c r="N86" s="13">
        <f t="shared" si="19"/>
        <v>0</v>
      </c>
      <c r="O86" s="13">
        <f t="shared" si="20"/>
        <v>0</v>
      </c>
      <c r="P86" s="13">
        <f t="shared" si="21"/>
        <v>0</v>
      </c>
      <c r="Q86" s="13">
        <f t="shared" si="22"/>
        <v>0</v>
      </c>
      <c r="R86" s="13" t="s">
        <v>239</v>
      </c>
      <c r="T86" s="63">
        <v>5.3049219999999999E-4</v>
      </c>
      <c r="U86" s="63">
        <v>2.6328549999999999E-4</v>
      </c>
      <c r="V86" s="63">
        <v>1.939337E-4</v>
      </c>
      <c r="W86" s="63">
        <v>1.449356E-4</v>
      </c>
      <c r="X86" s="63">
        <v>1.4774400400000001E-4</v>
      </c>
      <c r="Y86" s="63">
        <v>1.5139366599999999E-4</v>
      </c>
      <c r="Z86" s="63">
        <v>1.5578260899999901E-4</v>
      </c>
      <c r="AA86" s="63">
        <v>1.6140824E-4</v>
      </c>
      <c r="AB86" s="63">
        <v>1.6661808400000001E-4</v>
      </c>
      <c r="AC86" s="63">
        <v>1.7307466999999901E-4</v>
      </c>
      <c r="AD86" s="63">
        <v>1.7942507500000001E-4</v>
      </c>
      <c r="AE86" t="s">
        <v>93</v>
      </c>
    </row>
    <row r="87" spans="1:31">
      <c r="A87" t="s">
        <v>267</v>
      </c>
      <c r="B87" t="s">
        <v>1</v>
      </c>
      <c r="C87" t="s">
        <v>219</v>
      </c>
      <c r="D87" s="13" t="str">
        <f>IFERROR(VLOOKUP(C87,ghg_sort!$A$86:$B$512,2,0),0)</f>
        <v>Agriculture</v>
      </c>
      <c r="E87" t="s">
        <v>211</v>
      </c>
      <c r="F87" s="13">
        <f>IFERROR(VLOOKUP($E87,ghg_sort!$A$3:$B$21,2,0),0)</f>
        <v>0</v>
      </c>
      <c r="G87" s="13">
        <f t="shared" si="12"/>
        <v>0</v>
      </c>
      <c r="H87" s="13">
        <f t="shared" si="13"/>
        <v>0</v>
      </c>
      <c r="I87" s="13">
        <f t="shared" si="14"/>
        <v>0</v>
      </c>
      <c r="J87" s="13">
        <f t="shared" si="15"/>
        <v>0</v>
      </c>
      <c r="K87" s="13">
        <f t="shared" si="16"/>
        <v>0</v>
      </c>
      <c r="L87" s="13">
        <f t="shared" si="17"/>
        <v>0</v>
      </c>
      <c r="M87" s="13">
        <f t="shared" si="18"/>
        <v>0</v>
      </c>
      <c r="N87" s="13">
        <f t="shared" si="19"/>
        <v>0</v>
      </c>
      <c r="O87" s="13">
        <f t="shared" si="20"/>
        <v>0</v>
      </c>
      <c r="P87" s="13">
        <f t="shared" si="21"/>
        <v>0</v>
      </c>
      <c r="Q87" s="13">
        <f t="shared" si="22"/>
        <v>0</v>
      </c>
      <c r="R87" s="13" t="s">
        <v>239</v>
      </c>
      <c r="T87" s="63">
        <v>1.12065E-5</v>
      </c>
      <c r="U87" s="63">
        <v>5.1759999999999899E-6</v>
      </c>
      <c r="V87" s="63">
        <v>2.6843370100000001E-6</v>
      </c>
      <c r="W87" s="63">
        <v>1.9868780399999999E-6</v>
      </c>
      <c r="X87" s="63">
        <v>1.3941232E-6</v>
      </c>
      <c r="Y87" s="63">
        <v>8.6998216000000001E-7</v>
      </c>
      <c r="Z87" s="63">
        <v>8.5423123000000001E-7</v>
      </c>
      <c r="AA87" s="63">
        <v>8.8507914999999997E-7</v>
      </c>
      <c r="AB87" s="63">
        <v>9.1364798000000001E-7</v>
      </c>
      <c r="AC87" s="63">
        <v>9.4905122999999995E-7</v>
      </c>
      <c r="AD87" s="63">
        <v>9.8387538999999905E-7</v>
      </c>
      <c r="AE87" t="s">
        <v>93</v>
      </c>
    </row>
    <row r="88" spans="1:31">
      <c r="A88" t="s">
        <v>267</v>
      </c>
      <c r="B88" t="s">
        <v>1</v>
      </c>
      <c r="C88" t="s">
        <v>219</v>
      </c>
      <c r="D88" s="13" t="str">
        <f>IFERROR(VLOOKUP(C88,ghg_sort!$A$86:$B$512,2,0),0)</f>
        <v>Agriculture</v>
      </c>
      <c r="E88" t="s">
        <v>212</v>
      </c>
      <c r="F88" s="13">
        <f>IFERROR(VLOOKUP($E88,ghg_sort!$A$3:$B$21,2,0),0)</f>
        <v>0</v>
      </c>
      <c r="G88" s="13">
        <f t="shared" si="12"/>
        <v>0</v>
      </c>
      <c r="H88" s="13">
        <f t="shared" si="13"/>
        <v>0</v>
      </c>
      <c r="I88" s="13">
        <f t="shared" si="14"/>
        <v>0</v>
      </c>
      <c r="J88" s="13">
        <f t="shared" si="15"/>
        <v>0</v>
      </c>
      <c r="K88" s="13">
        <f t="shared" si="16"/>
        <v>0</v>
      </c>
      <c r="L88" s="13">
        <f t="shared" si="17"/>
        <v>0</v>
      </c>
      <c r="M88" s="13">
        <f t="shared" si="18"/>
        <v>0</v>
      </c>
      <c r="N88" s="13">
        <f t="shared" si="19"/>
        <v>0</v>
      </c>
      <c r="O88" s="13">
        <f t="shared" si="20"/>
        <v>0</v>
      </c>
      <c r="P88" s="13">
        <f t="shared" si="21"/>
        <v>0</v>
      </c>
      <c r="Q88" s="13">
        <f t="shared" si="22"/>
        <v>0</v>
      </c>
      <c r="R88" s="13" t="s">
        <v>239</v>
      </c>
      <c r="T88" s="63">
        <v>8.2877999999999903E-6</v>
      </c>
      <c r="U88" s="63">
        <v>3.8279000000000002E-6</v>
      </c>
      <c r="V88" s="63">
        <v>5.0063762000000003E-5</v>
      </c>
      <c r="W88" s="63">
        <v>3.7056049999999901E-5</v>
      </c>
      <c r="X88" s="63">
        <v>2.6000979900000001E-5</v>
      </c>
      <c r="Y88" s="63">
        <v>1.6225489499999899E-5</v>
      </c>
      <c r="Z88" s="63">
        <v>1.5931727399999999E-5</v>
      </c>
      <c r="AA88" s="63">
        <v>1.6507073999999999E-5</v>
      </c>
      <c r="AB88" s="63">
        <v>1.7039896400000001E-5</v>
      </c>
      <c r="AC88" s="63">
        <v>1.77001981E-5</v>
      </c>
      <c r="AD88" s="63">
        <v>1.8349670699999899E-5</v>
      </c>
      <c r="AE88" t="s">
        <v>93</v>
      </c>
    </row>
    <row r="89" spans="1:31">
      <c r="A89" t="s">
        <v>267</v>
      </c>
      <c r="B89" t="s">
        <v>1</v>
      </c>
      <c r="C89" t="s">
        <v>219</v>
      </c>
      <c r="D89" s="13" t="str">
        <f>IFERROR(VLOOKUP(C89,ghg_sort!$A$86:$B$512,2,0),0)</f>
        <v>Agriculture</v>
      </c>
      <c r="E89" t="s">
        <v>213</v>
      </c>
      <c r="F89" s="13">
        <f>IFERROR(VLOOKUP($E89,ghg_sort!$A$3:$B$21,2,0),0)</f>
        <v>0</v>
      </c>
      <c r="G89" s="13">
        <f t="shared" si="12"/>
        <v>0</v>
      </c>
      <c r="H89" s="13">
        <f t="shared" si="13"/>
        <v>0</v>
      </c>
      <c r="I89" s="13">
        <f t="shared" si="14"/>
        <v>0</v>
      </c>
      <c r="J89" s="13">
        <f t="shared" si="15"/>
        <v>0</v>
      </c>
      <c r="K89" s="13">
        <f t="shared" si="16"/>
        <v>0</v>
      </c>
      <c r="L89" s="13">
        <f t="shared" si="17"/>
        <v>0</v>
      </c>
      <c r="M89" s="13">
        <f t="shared" si="18"/>
        <v>0</v>
      </c>
      <c r="N89" s="13">
        <f t="shared" si="19"/>
        <v>0</v>
      </c>
      <c r="O89" s="13">
        <f t="shared" si="20"/>
        <v>0</v>
      </c>
      <c r="P89" s="13">
        <f t="shared" si="21"/>
        <v>0</v>
      </c>
      <c r="Q89" s="13">
        <f t="shared" si="22"/>
        <v>0</v>
      </c>
      <c r="R89" s="13" t="s">
        <v>239</v>
      </c>
      <c r="T89" s="63">
        <v>1.4413000000000001E-6</v>
      </c>
      <c r="U89" s="63">
        <v>6.6580000000000005E-7</v>
      </c>
      <c r="V89" s="63">
        <v>3.4529191600000001E-7</v>
      </c>
      <c r="W89" s="63">
        <v>2.5557658300000001E-7</v>
      </c>
      <c r="X89" s="63">
        <v>1.7932840300000001E-7</v>
      </c>
      <c r="Y89" s="63">
        <v>1.1190748400000001E-7</v>
      </c>
      <c r="Z89" s="63">
        <v>1.09881327E-7</v>
      </c>
      <c r="AA89" s="63">
        <v>1.13849416E-7</v>
      </c>
      <c r="AB89" s="63">
        <v>1.17524109999999E-7</v>
      </c>
      <c r="AC89" s="63">
        <v>1.2207792099999999E-7</v>
      </c>
      <c r="AD89" s="63">
        <v>1.2655746199999999E-7</v>
      </c>
      <c r="AE89" t="s">
        <v>93</v>
      </c>
    </row>
    <row r="90" spans="1:31">
      <c r="A90" t="s">
        <v>267</v>
      </c>
      <c r="B90" t="s">
        <v>1</v>
      </c>
      <c r="C90" t="s">
        <v>220</v>
      </c>
      <c r="D90" s="13" t="str">
        <f>IFERROR(VLOOKUP(C90,ghg_sort!$A$86:$B$512,2,0),0)</f>
        <v>Agriculture</v>
      </c>
      <c r="E90" t="s">
        <v>104</v>
      </c>
      <c r="F90" s="13">
        <f>IFERROR(VLOOKUP($E90,ghg_sort!$A$3:$B$21,2,0),0)</f>
        <v>25</v>
      </c>
      <c r="G90" s="13">
        <f t="shared" si="12"/>
        <v>1.1045722500000001</v>
      </c>
      <c r="H90" s="13">
        <f t="shared" si="13"/>
        <v>1.5813289749999977</v>
      </c>
      <c r="I90" s="13">
        <f t="shared" si="14"/>
        <v>1.97413145</v>
      </c>
      <c r="J90" s="13">
        <f t="shared" si="15"/>
        <v>1.9511843</v>
      </c>
      <c r="K90" s="13">
        <f t="shared" si="16"/>
        <v>2.0497910250000002</v>
      </c>
      <c r="L90" s="13">
        <f t="shared" si="17"/>
        <v>2.1074393499999977</v>
      </c>
      <c r="M90" s="13">
        <f t="shared" si="18"/>
        <v>2.1296479499999998</v>
      </c>
      <c r="N90" s="13">
        <f t="shared" si="19"/>
        <v>2.14679295</v>
      </c>
      <c r="O90" s="13">
        <f t="shared" si="20"/>
        <v>2.1383020999999998</v>
      </c>
      <c r="P90" s="13">
        <f t="shared" si="21"/>
        <v>2.1202466499999999</v>
      </c>
      <c r="Q90" s="13">
        <f t="shared" si="22"/>
        <v>2.08295765</v>
      </c>
      <c r="R90" s="13" t="s">
        <v>239</v>
      </c>
      <c r="T90" s="62">
        <v>4.4182890000000002E-2</v>
      </c>
      <c r="U90" s="62">
        <v>6.3253158999999906E-2</v>
      </c>
      <c r="V90" s="62">
        <v>7.8965257999999997E-2</v>
      </c>
      <c r="W90" s="62">
        <v>7.8047372000000004E-2</v>
      </c>
      <c r="X90" s="62">
        <v>8.1991641000000004E-2</v>
      </c>
      <c r="Y90" s="62">
        <v>8.4297573999999903E-2</v>
      </c>
      <c r="Z90" s="62">
        <v>8.5185917999999999E-2</v>
      </c>
      <c r="AA90" s="62">
        <v>8.5871718E-2</v>
      </c>
      <c r="AB90" s="62">
        <v>8.5532083999999994E-2</v>
      </c>
      <c r="AC90" s="62">
        <v>8.4809865999999998E-2</v>
      </c>
      <c r="AD90" s="62">
        <v>8.3318305999999995E-2</v>
      </c>
      <c r="AE90" t="s">
        <v>93</v>
      </c>
    </row>
    <row r="91" spans="1:31">
      <c r="A91" t="s">
        <v>267</v>
      </c>
      <c r="B91" t="s">
        <v>1</v>
      </c>
      <c r="C91" t="s">
        <v>220</v>
      </c>
      <c r="D91" s="13" t="str">
        <f>IFERROR(VLOOKUP(C91,ghg_sort!$A$86:$B$512,2,0),0)</f>
        <v>Agriculture</v>
      </c>
      <c r="E91" t="s">
        <v>101</v>
      </c>
      <c r="F91" s="13">
        <f>IFERROR(VLOOKUP($E91,ghg_sort!$A$3:$B$21,2,0),0)</f>
        <v>298</v>
      </c>
      <c r="G91" s="13">
        <f t="shared" si="12"/>
        <v>0.43050882899999998</v>
      </c>
      <c r="H91" s="13">
        <f t="shared" si="13"/>
        <v>0.68532022540000004</v>
      </c>
      <c r="I91" s="13">
        <f t="shared" si="14"/>
        <v>0.86431151159999997</v>
      </c>
      <c r="J91" s="13">
        <f t="shared" si="15"/>
        <v>0.8562759714</v>
      </c>
      <c r="K91" s="13">
        <f t="shared" si="16"/>
        <v>0.8995474189999999</v>
      </c>
      <c r="L91" s="13">
        <f t="shared" si="17"/>
        <v>0.9248481553999971</v>
      </c>
      <c r="M91" s="13">
        <f t="shared" si="18"/>
        <v>0.93459394740000001</v>
      </c>
      <c r="N91" s="13">
        <f t="shared" si="19"/>
        <v>0.94211701699999706</v>
      </c>
      <c r="O91" s="13">
        <f t="shared" si="20"/>
        <v>0.93839195740000003</v>
      </c>
      <c r="P91" s="13">
        <f t="shared" si="21"/>
        <v>0.93046935919999996</v>
      </c>
      <c r="Q91" s="13">
        <f t="shared" si="22"/>
        <v>0.91410275518000006</v>
      </c>
      <c r="R91" s="13" t="s">
        <v>239</v>
      </c>
      <c r="T91" s="62">
        <v>1.4446604999999999E-3</v>
      </c>
      <c r="U91" s="62">
        <v>2.2997323000000002E-3</v>
      </c>
      <c r="V91" s="62">
        <v>2.9003741999999999E-3</v>
      </c>
      <c r="W91" s="62">
        <v>2.8734093E-3</v>
      </c>
      <c r="X91" s="62">
        <v>3.0186154999999998E-3</v>
      </c>
      <c r="Y91" s="62">
        <v>3.1035172999999902E-3</v>
      </c>
      <c r="Z91" s="62">
        <v>3.1362212999999999E-3</v>
      </c>
      <c r="AA91" s="62">
        <v>3.1614664999999901E-3</v>
      </c>
      <c r="AB91" s="62">
        <v>3.1489663000000001E-3</v>
      </c>
      <c r="AC91" s="62">
        <v>3.1223803999999998E-3</v>
      </c>
      <c r="AD91" s="62">
        <v>3.0674589100000002E-3</v>
      </c>
      <c r="AE91" t="s">
        <v>93</v>
      </c>
    </row>
    <row r="92" spans="1:31">
      <c r="A92" t="s">
        <v>267</v>
      </c>
      <c r="B92" t="s">
        <v>1</v>
      </c>
      <c r="C92" t="s">
        <v>220</v>
      </c>
      <c r="D92" s="13" t="str">
        <f>IFERROR(VLOOKUP(C92,ghg_sort!$A$86:$B$512,2,0),0)</f>
        <v>Agriculture</v>
      </c>
      <c r="E92" t="s">
        <v>202</v>
      </c>
      <c r="F92" s="13">
        <f>IFERROR(VLOOKUP($E92,ghg_sort!$A$3:$B$21,2,0),0)</f>
        <v>0</v>
      </c>
      <c r="G92" s="13">
        <f t="shared" si="12"/>
        <v>0</v>
      </c>
      <c r="H92" s="13">
        <f t="shared" si="13"/>
        <v>0</v>
      </c>
      <c r="I92" s="13">
        <f t="shared" si="14"/>
        <v>0</v>
      </c>
      <c r="J92" s="13">
        <f t="shared" si="15"/>
        <v>0</v>
      </c>
      <c r="K92" s="13">
        <f t="shared" si="16"/>
        <v>0</v>
      </c>
      <c r="L92" s="13">
        <f t="shared" si="17"/>
        <v>0</v>
      </c>
      <c r="M92" s="13">
        <f t="shared" si="18"/>
        <v>0</v>
      </c>
      <c r="N92" s="13">
        <f t="shared" si="19"/>
        <v>0</v>
      </c>
      <c r="O92" s="13">
        <f t="shared" si="20"/>
        <v>0</v>
      </c>
      <c r="P92" s="13">
        <f t="shared" si="21"/>
        <v>0</v>
      </c>
      <c r="Q92" s="13">
        <f t="shared" si="22"/>
        <v>0</v>
      </c>
      <c r="R92" s="13" t="s">
        <v>239</v>
      </c>
      <c r="T92" s="62">
        <v>1.30264322E-2</v>
      </c>
      <c r="U92" s="62">
        <v>1.85343395E-2</v>
      </c>
      <c r="V92" s="62">
        <v>1.8878089300000001E-2</v>
      </c>
      <c r="W92" s="62">
        <v>1.9834603900000001E-2</v>
      </c>
      <c r="X92" s="62">
        <v>2.1064460100000001E-2</v>
      </c>
      <c r="Y92" s="62">
        <v>2.1895913999999999E-2</v>
      </c>
      <c r="Z92" s="62">
        <v>2.2373706600000001E-2</v>
      </c>
      <c r="AA92" s="62">
        <v>2.2808360899999901E-2</v>
      </c>
      <c r="AB92" s="62">
        <v>2.2977524900000001E-2</v>
      </c>
      <c r="AC92" s="62">
        <v>2.2783479400000001E-2</v>
      </c>
      <c r="AD92" s="62">
        <v>2.2382752400000001E-2</v>
      </c>
      <c r="AE92" t="s">
        <v>93</v>
      </c>
    </row>
    <row r="93" spans="1:31">
      <c r="A93" t="s">
        <v>267</v>
      </c>
      <c r="B93" t="s">
        <v>1</v>
      </c>
      <c r="C93" t="s">
        <v>220</v>
      </c>
      <c r="D93" s="13" t="str">
        <f>IFERROR(VLOOKUP(C93,ghg_sort!$A$86:$B$512,2,0),0)</f>
        <v>Agriculture</v>
      </c>
      <c r="E93" t="s">
        <v>203</v>
      </c>
      <c r="F93" s="13">
        <f>IFERROR(VLOOKUP($E93,ghg_sort!$A$3:$B$21,2,0),0)</f>
        <v>0</v>
      </c>
      <c r="G93" s="13">
        <f t="shared" si="12"/>
        <v>0</v>
      </c>
      <c r="H93" s="13">
        <f t="shared" si="13"/>
        <v>0</v>
      </c>
      <c r="I93" s="13">
        <f t="shared" si="14"/>
        <v>0</v>
      </c>
      <c r="J93" s="13">
        <f t="shared" si="15"/>
        <v>0</v>
      </c>
      <c r="K93" s="13">
        <f t="shared" si="16"/>
        <v>0</v>
      </c>
      <c r="L93" s="13">
        <f t="shared" si="17"/>
        <v>0</v>
      </c>
      <c r="M93" s="13">
        <f t="shared" si="18"/>
        <v>0</v>
      </c>
      <c r="N93" s="13">
        <f t="shared" si="19"/>
        <v>0</v>
      </c>
      <c r="O93" s="13">
        <f t="shared" si="20"/>
        <v>0</v>
      </c>
      <c r="P93" s="13">
        <f t="shared" si="21"/>
        <v>0</v>
      </c>
      <c r="Q93" s="13">
        <f t="shared" si="22"/>
        <v>0</v>
      </c>
      <c r="R93" s="13" t="s">
        <v>239</v>
      </c>
      <c r="T93" s="62">
        <v>5.0825574999999899E-3</v>
      </c>
      <c r="U93" s="62">
        <v>1.06111743E-2</v>
      </c>
      <c r="V93" s="62">
        <v>1.35981927999999E-2</v>
      </c>
      <c r="W93" s="62">
        <v>1.40513705E-2</v>
      </c>
      <c r="X93" s="62">
        <v>1.4922668899999899E-2</v>
      </c>
      <c r="Y93" s="62">
        <v>1.5511716E-2</v>
      </c>
      <c r="Z93" s="62">
        <v>1.5850095799999998E-2</v>
      </c>
      <c r="AA93" s="62">
        <v>1.6158048899999999E-2</v>
      </c>
      <c r="AB93" s="62">
        <v>1.6277868000000001E-2</v>
      </c>
      <c r="AC93" s="62">
        <v>1.6140443800000001E-2</v>
      </c>
      <c r="AD93" s="62">
        <v>1.58565788E-2</v>
      </c>
      <c r="AE93" t="s">
        <v>93</v>
      </c>
    </row>
    <row r="94" spans="1:31">
      <c r="A94" t="s">
        <v>267</v>
      </c>
      <c r="B94" t="s">
        <v>1</v>
      </c>
      <c r="C94" t="s">
        <v>220</v>
      </c>
      <c r="D94" s="13" t="str">
        <f>IFERROR(VLOOKUP(C94,ghg_sort!$A$86:$B$512,2,0),0)</f>
        <v>Agriculture</v>
      </c>
      <c r="E94" t="s">
        <v>204</v>
      </c>
      <c r="F94" s="13">
        <f>IFERROR(VLOOKUP($E94,ghg_sort!$A$3:$B$21,2,0),0)</f>
        <v>0</v>
      </c>
      <c r="G94" s="13">
        <f t="shared" si="12"/>
        <v>0</v>
      </c>
      <c r="H94" s="13">
        <f t="shared" si="13"/>
        <v>0</v>
      </c>
      <c r="I94" s="13">
        <f t="shared" si="14"/>
        <v>0</v>
      </c>
      <c r="J94" s="13">
        <f t="shared" si="15"/>
        <v>0</v>
      </c>
      <c r="K94" s="13">
        <f t="shared" si="16"/>
        <v>0</v>
      </c>
      <c r="L94" s="13">
        <f t="shared" si="17"/>
        <v>0</v>
      </c>
      <c r="M94" s="13">
        <f t="shared" si="18"/>
        <v>0</v>
      </c>
      <c r="N94" s="13">
        <f t="shared" si="19"/>
        <v>0</v>
      </c>
      <c r="O94" s="13">
        <f t="shared" si="20"/>
        <v>0</v>
      </c>
      <c r="P94" s="13">
        <f t="shared" si="21"/>
        <v>0</v>
      </c>
      <c r="Q94" s="13">
        <f t="shared" si="22"/>
        <v>0</v>
      </c>
      <c r="R94" s="13" t="s">
        <v>239</v>
      </c>
      <c r="T94" s="63">
        <v>6.0514949999999998E-4</v>
      </c>
      <c r="U94" s="62">
        <v>1.0794641999999899E-3</v>
      </c>
      <c r="V94" s="62">
        <v>1.3692972000000001E-3</v>
      </c>
      <c r="W94" s="62">
        <v>1.3476688999999899E-3</v>
      </c>
      <c r="X94" s="62">
        <v>1.43123243E-3</v>
      </c>
      <c r="Y94" s="62">
        <v>1.48772519E-3</v>
      </c>
      <c r="Z94" s="62">
        <v>1.52019116E-3</v>
      </c>
      <c r="AA94" s="62">
        <v>1.5497270599999901E-3</v>
      </c>
      <c r="AB94" s="62">
        <v>1.5612113E-3</v>
      </c>
      <c r="AC94" s="62">
        <v>1.5480364699999899E-3</v>
      </c>
      <c r="AD94" s="62">
        <v>1.5208077599999899E-3</v>
      </c>
      <c r="AE94" t="s">
        <v>93</v>
      </c>
    </row>
    <row r="95" spans="1:31">
      <c r="A95" t="s">
        <v>267</v>
      </c>
      <c r="B95" t="s">
        <v>1</v>
      </c>
      <c r="C95" t="s">
        <v>221</v>
      </c>
      <c r="D95" s="13" t="str">
        <f>IFERROR(VLOOKUP(C95,ghg_sort!$A$86:$B$512,2,0),0)</f>
        <v>Agriculture</v>
      </c>
      <c r="E95" t="s">
        <v>104</v>
      </c>
      <c r="F95" s="13">
        <f>IFERROR(VLOOKUP($E95,ghg_sort!$A$3:$B$21,2,0),0)</f>
        <v>25</v>
      </c>
      <c r="G95" s="13">
        <f t="shared" si="12"/>
        <v>7.3674574999999992E-2</v>
      </c>
      <c r="H95" s="13">
        <f t="shared" si="13"/>
        <v>8.7879899999999997E-2</v>
      </c>
      <c r="I95" s="13">
        <f t="shared" si="14"/>
        <v>0.12721226999999999</v>
      </c>
      <c r="J95" s="13">
        <f t="shared" si="15"/>
        <v>0.11396817000000001</v>
      </c>
      <c r="K95" s="13">
        <f t="shared" si="16"/>
        <v>0.11896356750000001</v>
      </c>
      <c r="L95" s="13">
        <f t="shared" si="17"/>
        <v>0.121583495</v>
      </c>
      <c r="M95" s="13">
        <f t="shared" si="18"/>
        <v>0.12235265250000001</v>
      </c>
      <c r="N95" s="13">
        <f t="shared" si="19"/>
        <v>0.12253398999999975</v>
      </c>
      <c r="O95" s="13">
        <f t="shared" si="20"/>
        <v>0.12161424000000001</v>
      </c>
      <c r="P95" s="13">
        <f t="shared" si="21"/>
        <v>0.1201179025</v>
      </c>
      <c r="Q95" s="13">
        <f t="shared" si="22"/>
        <v>0.1176533</v>
      </c>
      <c r="R95" s="13" t="s">
        <v>239</v>
      </c>
      <c r="T95" s="62">
        <v>2.9469829999999998E-3</v>
      </c>
      <c r="U95" s="62">
        <v>3.5151959999999999E-3</v>
      </c>
      <c r="V95" s="62">
        <v>5.0884907999999996E-3</v>
      </c>
      <c r="W95" s="62">
        <v>4.5587268000000002E-3</v>
      </c>
      <c r="X95" s="62">
        <v>4.7585427E-3</v>
      </c>
      <c r="Y95" s="62">
        <v>4.8633397999999998E-3</v>
      </c>
      <c r="Z95" s="62">
        <v>4.8941061000000001E-3</v>
      </c>
      <c r="AA95" s="62">
        <v>4.9013595999999899E-3</v>
      </c>
      <c r="AB95" s="62">
        <v>4.8645696000000002E-3</v>
      </c>
      <c r="AC95" s="62">
        <v>4.8047161000000001E-3</v>
      </c>
      <c r="AD95" s="62">
        <v>4.706132E-3</v>
      </c>
      <c r="AE95" t="s">
        <v>93</v>
      </c>
    </row>
    <row r="96" spans="1:31">
      <c r="A96" t="s">
        <v>267</v>
      </c>
      <c r="B96" t="s">
        <v>1</v>
      </c>
      <c r="C96" t="s">
        <v>221</v>
      </c>
      <c r="D96" s="13" t="str">
        <f>IFERROR(VLOOKUP(C96,ghg_sort!$A$86:$B$512,2,0),0)</f>
        <v>Agriculture</v>
      </c>
      <c r="E96" t="s">
        <v>101</v>
      </c>
      <c r="F96" s="13">
        <f>IFERROR(VLOOKUP($E96,ghg_sort!$A$3:$B$21,2,0),0)</f>
        <v>298</v>
      </c>
      <c r="G96" s="13">
        <f t="shared" si="12"/>
        <v>2.87148032E-2</v>
      </c>
      <c r="H96" s="13">
        <f t="shared" si="13"/>
        <v>3.8085502600000001E-2</v>
      </c>
      <c r="I96" s="13">
        <f t="shared" si="14"/>
        <v>5.5695872199999996E-2</v>
      </c>
      <c r="J96" s="13">
        <f t="shared" si="15"/>
        <v>5.0014770400000005E-2</v>
      </c>
      <c r="K96" s="13">
        <f t="shared" si="16"/>
        <v>5.2207151930000001E-2</v>
      </c>
      <c r="L96" s="13">
        <f t="shared" si="17"/>
        <v>5.3356629416000001E-2</v>
      </c>
      <c r="M96" s="13">
        <f t="shared" si="18"/>
        <v>5.3694387384000002E-2</v>
      </c>
      <c r="N96" s="13">
        <f t="shared" si="19"/>
        <v>5.3773843123999999E-2</v>
      </c>
      <c r="O96" s="13">
        <f t="shared" si="20"/>
        <v>5.3370367215999706E-2</v>
      </c>
      <c r="P96" s="13">
        <f t="shared" si="21"/>
        <v>5.2713615445999999E-2</v>
      </c>
      <c r="Q96" s="13">
        <f t="shared" si="22"/>
        <v>5.1632104608000003E-2</v>
      </c>
      <c r="R96" s="13" t="s">
        <v>239</v>
      </c>
      <c r="T96" s="63">
        <v>9.6358400000000002E-5</v>
      </c>
      <c r="U96" s="63">
        <v>1.278037E-4</v>
      </c>
      <c r="V96" s="63">
        <v>1.8689889999999999E-4</v>
      </c>
      <c r="W96" s="63">
        <v>1.6783480000000001E-4</v>
      </c>
      <c r="X96" s="63">
        <v>1.75191785E-4</v>
      </c>
      <c r="Y96" s="63">
        <v>1.7904909200000001E-4</v>
      </c>
      <c r="Z96" s="63">
        <v>1.8018250800000001E-4</v>
      </c>
      <c r="AA96" s="63">
        <v>1.80449138E-4</v>
      </c>
      <c r="AB96" s="63">
        <v>1.7909519199999901E-4</v>
      </c>
      <c r="AC96" s="63">
        <v>1.7689132700000001E-4</v>
      </c>
      <c r="AD96" s="63">
        <v>1.73262096E-4</v>
      </c>
      <c r="AE96" t="s">
        <v>93</v>
      </c>
    </row>
    <row r="97" spans="1:31">
      <c r="A97" t="s">
        <v>267</v>
      </c>
      <c r="B97" t="s">
        <v>1</v>
      </c>
      <c r="C97" t="s">
        <v>221</v>
      </c>
      <c r="D97" s="13" t="str">
        <f>IFERROR(VLOOKUP(C97,ghg_sort!$A$86:$B$512,2,0),0)</f>
        <v>Agriculture</v>
      </c>
      <c r="E97" t="s">
        <v>202</v>
      </c>
      <c r="F97" s="13">
        <f>IFERROR(VLOOKUP($E97,ghg_sort!$A$3:$B$21,2,0),0)</f>
        <v>0</v>
      </c>
      <c r="G97" s="13">
        <f t="shared" si="12"/>
        <v>0</v>
      </c>
      <c r="H97" s="13">
        <f t="shared" si="13"/>
        <v>0</v>
      </c>
      <c r="I97" s="13">
        <f t="shared" si="14"/>
        <v>0</v>
      </c>
      <c r="J97" s="13">
        <f t="shared" si="15"/>
        <v>0</v>
      </c>
      <c r="K97" s="13">
        <f t="shared" si="16"/>
        <v>0</v>
      </c>
      <c r="L97" s="13">
        <f t="shared" si="17"/>
        <v>0</v>
      </c>
      <c r="M97" s="13">
        <f t="shared" si="18"/>
        <v>0</v>
      </c>
      <c r="N97" s="13">
        <f t="shared" si="19"/>
        <v>0</v>
      </c>
      <c r="O97" s="13">
        <f t="shared" si="20"/>
        <v>0</v>
      </c>
      <c r="P97" s="13">
        <f t="shared" si="21"/>
        <v>0</v>
      </c>
      <c r="Q97" s="13">
        <f t="shared" si="22"/>
        <v>0</v>
      </c>
      <c r="R97" s="13" t="s">
        <v>239</v>
      </c>
      <c r="T97" s="63">
        <v>8.6885949999999999E-4</v>
      </c>
      <c r="U97" s="62">
        <v>1.0300178999999999E-3</v>
      </c>
      <c r="V97" s="62">
        <v>1.2164958999999901E-3</v>
      </c>
      <c r="W97" s="62">
        <v>1.1585339999999999E-3</v>
      </c>
      <c r="X97" s="62">
        <v>1.2225190400000001E-3</v>
      </c>
      <c r="Y97" s="62">
        <v>1.2632325200000001E-3</v>
      </c>
      <c r="Z97" s="62">
        <v>1.2854088600000001E-3</v>
      </c>
      <c r="AA97" s="62">
        <v>1.3018447199999901E-3</v>
      </c>
      <c r="AB97" s="62">
        <v>1.3068231799999901E-3</v>
      </c>
      <c r="AC97" s="62">
        <v>1.29074419999999E-3</v>
      </c>
      <c r="AD97" s="62">
        <v>1.2642673499999901E-3</v>
      </c>
      <c r="AE97" t="s">
        <v>93</v>
      </c>
    </row>
    <row r="98" spans="1:31">
      <c r="A98" t="s">
        <v>267</v>
      </c>
      <c r="B98" t="s">
        <v>1</v>
      </c>
      <c r="C98" t="s">
        <v>221</v>
      </c>
      <c r="D98" s="13" t="str">
        <f>IFERROR(VLOOKUP(C98,ghg_sort!$A$86:$B$512,2,0),0)</f>
        <v>Agriculture</v>
      </c>
      <c r="E98" t="s">
        <v>203</v>
      </c>
      <c r="F98" s="13">
        <f>IFERROR(VLOOKUP($E98,ghg_sort!$A$3:$B$21,2,0),0)</f>
        <v>0</v>
      </c>
      <c r="G98" s="13">
        <f t="shared" si="12"/>
        <v>0</v>
      </c>
      <c r="H98" s="13">
        <f t="shared" si="13"/>
        <v>0</v>
      </c>
      <c r="I98" s="13">
        <f t="shared" si="14"/>
        <v>0</v>
      </c>
      <c r="J98" s="13">
        <f t="shared" si="15"/>
        <v>0</v>
      </c>
      <c r="K98" s="13">
        <f t="shared" si="16"/>
        <v>0</v>
      </c>
      <c r="L98" s="13">
        <f t="shared" si="17"/>
        <v>0</v>
      </c>
      <c r="M98" s="13">
        <f t="shared" si="18"/>
        <v>0</v>
      </c>
      <c r="N98" s="13">
        <f t="shared" si="19"/>
        <v>0</v>
      </c>
      <c r="O98" s="13">
        <f t="shared" si="20"/>
        <v>0</v>
      </c>
      <c r="P98" s="13">
        <f t="shared" si="21"/>
        <v>0</v>
      </c>
      <c r="Q98" s="13">
        <f t="shared" si="22"/>
        <v>0</v>
      </c>
      <c r="R98" s="13" t="s">
        <v>239</v>
      </c>
      <c r="T98" s="63">
        <v>3.3900379999999999E-4</v>
      </c>
      <c r="U98" s="63">
        <v>5.8969890000000003E-4</v>
      </c>
      <c r="V98" s="63">
        <v>8.7626519999999995E-4</v>
      </c>
      <c r="W98" s="63">
        <v>8.2073669999999999E-4</v>
      </c>
      <c r="X98" s="63">
        <v>8.6606396999999995E-4</v>
      </c>
      <c r="Y98" s="63">
        <v>8.9490722E-4</v>
      </c>
      <c r="Z98" s="63">
        <v>9.1061974999999905E-4</v>
      </c>
      <c r="AA98" s="63">
        <v>9.2226457999999996E-4</v>
      </c>
      <c r="AB98" s="63">
        <v>9.2579196999999995E-4</v>
      </c>
      <c r="AC98" s="63">
        <v>9.1439994000000002E-4</v>
      </c>
      <c r="AD98" s="63">
        <v>8.9563920000000001E-4</v>
      </c>
      <c r="AE98" t="s">
        <v>93</v>
      </c>
    </row>
    <row r="99" spans="1:31">
      <c r="A99" t="s">
        <v>267</v>
      </c>
      <c r="B99" t="s">
        <v>1</v>
      </c>
      <c r="C99" t="s">
        <v>221</v>
      </c>
      <c r="D99" s="13" t="str">
        <f>IFERROR(VLOOKUP(C99,ghg_sort!$A$86:$B$512,2,0),0)</f>
        <v>Agriculture</v>
      </c>
      <c r="E99" t="s">
        <v>204</v>
      </c>
      <c r="F99" s="13">
        <f>IFERROR(VLOOKUP($E99,ghg_sort!$A$3:$B$21,2,0),0)</f>
        <v>0</v>
      </c>
      <c r="G99" s="13">
        <f t="shared" si="12"/>
        <v>0</v>
      </c>
      <c r="H99" s="13">
        <f t="shared" si="13"/>
        <v>0</v>
      </c>
      <c r="I99" s="13">
        <f t="shared" si="14"/>
        <v>0</v>
      </c>
      <c r="J99" s="13">
        <f t="shared" si="15"/>
        <v>0</v>
      </c>
      <c r="K99" s="13">
        <f t="shared" si="16"/>
        <v>0</v>
      </c>
      <c r="L99" s="13">
        <f t="shared" si="17"/>
        <v>0</v>
      </c>
      <c r="M99" s="13">
        <f t="shared" si="18"/>
        <v>0</v>
      </c>
      <c r="N99" s="13">
        <f t="shared" si="19"/>
        <v>0</v>
      </c>
      <c r="O99" s="13">
        <f t="shared" si="20"/>
        <v>0</v>
      </c>
      <c r="P99" s="13">
        <f t="shared" si="21"/>
        <v>0</v>
      </c>
      <c r="Q99" s="13">
        <f t="shared" si="22"/>
        <v>0</v>
      </c>
      <c r="R99" s="13" t="s">
        <v>239</v>
      </c>
      <c r="T99" s="63">
        <v>4.03631E-5</v>
      </c>
      <c r="U99" s="63">
        <v>5.9989499999999999E-5</v>
      </c>
      <c r="V99" s="63">
        <v>8.8236699999999995E-5</v>
      </c>
      <c r="W99" s="63">
        <v>7.8716999999999999E-5</v>
      </c>
      <c r="X99" s="63">
        <v>8.3064360000000001E-5</v>
      </c>
      <c r="Y99" s="63">
        <v>8.5830669999999894E-5</v>
      </c>
      <c r="Z99" s="63">
        <v>8.7337710999999999E-5</v>
      </c>
      <c r="AA99" s="63">
        <v>8.8454547E-5</v>
      </c>
      <c r="AB99" s="63">
        <v>8.8792878000000001E-5</v>
      </c>
      <c r="AC99" s="63">
        <v>8.7700313E-5</v>
      </c>
      <c r="AD99" s="63">
        <v>8.5900922000000003E-5</v>
      </c>
      <c r="AE99" t="s">
        <v>93</v>
      </c>
    </row>
    <row r="100" spans="1:31">
      <c r="A100" t="s">
        <v>267</v>
      </c>
      <c r="B100" t="s">
        <v>1</v>
      </c>
      <c r="C100" t="s">
        <v>222</v>
      </c>
      <c r="D100" s="13" t="str">
        <f>IFERROR(VLOOKUP(C100,ghg_sort!$A$86:$B$512,2,0),0)</f>
        <v>Agriculture</v>
      </c>
      <c r="E100" t="s">
        <v>206</v>
      </c>
      <c r="F100" s="13">
        <f>IFERROR(VLOOKUP($E100,ghg_sort!$A$3:$B$21,2,0),0)</f>
        <v>0</v>
      </c>
      <c r="G100" s="13">
        <f t="shared" si="12"/>
        <v>0</v>
      </c>
      <c r="H100" s="13">
        <f t="shared" si="13"/>
        <v>0</v>
      </c>
      <c r="I100" s="13">
        <f t="shared" si="14"/>
        <v>0</v>
      </c>
      <c r="J100" s="13">
        <f t="shared" si="15"/>
        <v>0</v>
      </c>
      <c r="K100" s="13">
        <f t="shared" si="16"/>
        <v>0</v>
      </c>
      <c r="L100" s="13">
        <f t="shared" si="17"/>
        <v>0</v>
      </c>
      <c r="M100" s="13">
        <f t="shared" si="18"/>
        <v>0</v>
      </c>
      <c r="N100" s="13">
        <f t="shared" si="19"/>
        <v>0</v>
      </c>
      <c r="O100" s="13">
        <f t="shared" si="20"/>
        <v>0</v>
      </c>
      <c r="P100" s="13">
        <f t="shared" si="21"/>
        <v>0</v>
      </c>
      <c r="Q100" s="13">
        <f t="shared" si="22"/>
        <v>0</v>
      </c>
      <c r="R100" s="13" t="s">
        <v>239</v>
      </c>
      <c r="T100" s="63">
        <v>1.3966909999999999E-4</v>
      </c>
      <c r="U100" s="63">
        <v>1.345966E-4</v>
      </c>
      <c r="V100" s="62">
        <v>2.2459899999999998E-3</v>
      </c>
      <c r="W100" s="62">
        <v>2.1643859999999999E-3</v>
      </c>
      <c r="X100" s="62">
        <v>1.51467999999999E-3</v>
      </c>
      <c r="Y100" s="63">
        <v>9.1520000000000002E-4</v>
      </c>
      <c r="Z100" s="63">
        <v>8.7000969999999995E-4</v>
      </c>
      <c r="AA100" s="63">
        <v>8.6438869999999905E-4</v>
      </c>
      <c r="AB100" s="63">
        <v>8.5291709999999897E-4</v>
      </c>
      <c r="AC100" s="63">
        <v>8.3467470000000001E-4</v>
      </c>
      <c r="AD100" s="63">
        <v>8.0740740000000003E-4</v>
      </c>
      <c r="AE100" t="s">
        <v>93</v>
      </c>
    </row>
    <row r="101" spans="1:31">
      <c r="A101" t="s">
        <v>267</v>
      </c>
      <c r="B101" t="s">
        <v>1</v>
      </c>
      <c r="C101" t="s">
        <v>222</v>
      </c>
      <c r="D101" s="13" t="str">
        <f>IFERROR(VLOOKUP(C101,ghg_sort!$A$86:$B$512,2,0),0)</f>
        <v>Agriculture</v>
      </c>
      <c r="E101" t="s">
        <v>104</v>
      </c>
      <c r="F101" s="13">
        <f>IFERROR(VLOOKUP($E101,ghg_sort!$A$3:$B$21,2,0),0)</f>
        <v>25</v>
      </c>
      <c r="G101" s="13">
        <f t="shared" si="12"/>
        <v>6.5327525</v>
      </c>
      <c r="H101" s="13">
        <f t="shared" si="13"/>
        <v>5.1434999999999755</v>
      </c>
      <c r="I101" s="13">
        <f t="shared" si="14"/>
        <v>4.6835000000000004</v>
      </c>
      <c r="J101" s="13">
        <f t="shared" si="15"/>
        <v>4.2815000000000003</v>
      </c>
      <c r="K101" s="13">
        <f t="shared" si="16"/>
        <v>4.3486374999999997</v>
      </c>
      <c r="L101" s="13">
        <f t="shared" si="17"/>
        <v>4.3102425000000002</v>
      </c>
      <c r="M101" s="13">
        <f t="shared" si="18"/>
        <v>4.2896324999999997</v>
      </c>
      <c r="N101" s="13">
        <f t="shared" si="19"/>
        <v>4.2576400000000003</v>
      </c>
      <c r="O101" s="13">
        <f t="shared" si="20"/>
        <v>4.1969250000000002</v>
      </c>
      <c r="P101" s="13">
        <f t="shared" si="21"/>
        <v>4.1071625000000003</v>
      </c>
      <c r="Q101" s="13">
        <f t="shared" si="22"/>
        <v>3.9729874999999999</v>
      </c>
      <c r="R101" s="13" t="s">
        <v>239</v>
      </c>
      <c r="T101" s="62">
        <v>0.26131009999999999</v>
      </c>
      <c r="U101" s="62">
        <v>0.20573999999999901</v>
      </c>
      <c r="V101" s="62">
        <v>0.18734000000000001</v>
      </c>
      <c r="W101" s="62">
        <v>0.17126</v>
      </c>
      <c r="X101" s="62">
        <v>0.1739455</v>
      </c>
      <c r="Y101" s="62">
        <v>0.1724097</v>
      </c>
      <c r="Z101" s="62">
        <v>0.1715853</v>
      </c>
      <c r="AA101" s="62">
        <v>0.1703056</v>
      </c>
      <c r="AB101" s="62">
        <v>0.167877</v>
      </c>
      <c r="AC101" s="62">
        <v>0.1642865</v>
      </c>
      <c r="AD101" s="62">
        <v>0.15891949999999999</v>
      </c>
      <c r="AE101" t="s">
        <v>93</v>
      </c>
    </row>
    <row r="102" spans="1:31">
      <c r="A102" t="s">
        <v>267</v>
      </c>
      <c r="B102" t="s">
        <v>1</v>
      </c>
      <c r="C102" t="s">
        <v>222</v>
      </c>
      <c r="D102" s="13" t="str">
        <f>IFERROR(VLOOKUP(C102,ghg_sort!$A$86:$B$512,2,0),0)</f>
        <v>Agriculture</v>
      </c>
      <c r="E102" t="s">
        <v>105</v>
      </c>
      <c r="F102" s="13">
        <f>IFERROR(VLOOKUP($E102,ghg_sort!$A$3:$B$21,2,0),0)</f>
        <v>25</v>
      </c>
      <c r="G102" s="13">
        <f t="shared" si="12"/>
        <v>2.7095800000000003E-2</v>
      </c>
      <c r="H102" s="13">
        <f t="shared" si="13"/>
        <v>2.611175E-2</v>
      </c>
      <c r="I102" s="13">
        <f t="shared" si="14"/>
        <v>2.69789E-2</v>
      </c>
      <c r="J102" s="13">
        <f t="shared" si="15"/>
        <v>2.59987E-2</v>
      </c>
      <c r="K102" s="13">
        <f t="shared" si="16"/>
        <v>1.8194402499999977E-2</v>
      </c>
      <c r="L102" s="13">
        <f t="shared" si="17"/>
        <v>1.0993412499999999E-2</v>
      </c>
      <c r="M102" s="13">
        <f t="shared" si="18"/>
        <v>1.04505825E-2</v>
      </c>
      <c r="N102" s="13">
        <f t="shared" si="19"/>
        <v>1.0383045E-2</v>
      </c>
      <c r="O102" s="13">
        <f t="shared" si="20"/>
        <v>1.02452875E-2</v>
      </c>
      <c r="P102" s="13">
        <f t="shared" si="21"/>
        <v>1.0026144999999976E-2</v>
      </c>
      <c r="Q102" s="13">
        <f t="shared" si="22"/>
        <v>9.6985999999999999E-3</v>
      </c>
      <c r="R102" s="13" t="s">
        <v>239</v>
      </c>
      <c r="T102" s="62">
        <v>1.0838320000000001E-3</v>
      </c>
      <c r="U102" s="62">
        <v>1.04447E-3</v>
      </c>
      <c r="V102" s="62">
        <v>1.079156E-3</v>
      </c>
      <c r="W102" s="62">
        <v>1.039948E-3</v>
      </c>
      <c r="X102" s="63">
        <v>7.2777609999999902E-4</v>
      </c>
      <c r="Y102" s="63">
        <v>4.3973649999999999E-4</v>
      </c>
      <c r="Z102" s="63">
        <v>4.180233E-4</v>
      </c>
      <c r="AA102" s="63">
        <v>4.1532180000000002E-4</v>
      </c>
      <c r="AB102" s="63">
        <v>4.098115E-4</v>
      </c>
      <c r="AC102" s="63">
        <v>4.0104579999999902E-4</v>
      </c>
      <c r="AD102" s="63">
        <v>3.8794399999999998E-4</v>
      </c>
      <c r="AE102" t="s">
        <v>93</v>
      </c>
    </row>
    <row r="103" spans="1:31">
      <c r="A103" t="s">
        <v>267</v>
      </c>
      <c r="B103" t="s">
        <v>1</v>
      </c>
      <c r="C103" t="s">
        <v>222</v>
      </c>
      <c r="D103" s="13" t="str">
        <f>IFERROR(VLOOKUP(C103,ghg_sort!$A$86:$B$512,2,0),0)</f>
        <v>Agriculture</v>
      </c>
      <c r="E103" t="s">
        <v>207</v>
      </c>
      <c r="F103" s="13">
        <f>IFERROR(VLOOKUP($E103,ghg_sort!$A$3:$B$21,2,0),0)</f>
        <v>0</v>
      </c>
      <c r="G103" s="13">
        <f t="shared" si="12"/>
        <v>0</v>
      </c>
      <c r="H103" s="13">
        <f t="shared" si="13"/>
        <v>0</v>
      </c>
      <c r="I103" s="13">
        <f t="shared" si="14"/>
        <v>0</v>
      </c>
      <c r="J103" s="13">
        <f t="shared" si="15"/>
        <v>0</v>
      </c>
      <c r="K103" s="13">
        <f t="shared" si="16"/>
        <v>0</v>
      </c>
      <c r="L103" s="13">
        <f t="shared" si="17"/>
        <v>0</v>
      </c>
      <c r="M103" s="13">
        <f t="shared" si="18"/>
        <v>0</v>
      </c>
      <c r="N103" s="13">
        <f t="shared" si="19"/>
        <v>0</v>
      </c>
      <c r="O103" s="13">
        <f t="shared" si="20"/>
        <v>0</v>
      </c>
      <c r="P103" s="13">
        <f t="shared" si="21"/>
        <v>0</v>
      </c>
      <c r="Q103" s="13">
        <f t="shared" si="22"/>
        <v>0</v>
      </c>
      <c r="R103" s="13" t="s">
        <v>239</v>
      </c>
      <c r="T103" s="62">
        <v>1.8995000000000001E-2</v>
      </c>
      <c r="U103" s="62">
        <v>1.8305140000000001E-2</v>
      </c>
      <c r="V103" s="62">
        <v>1.8913050000000001E-2</v>
      </c>
      <c r="W103" s="62">
        <v>1.822588E-2</v>
      </c>
      <c r="X103" s="62">
        <v>1.275484E-2</v>
      </c>
      <c r="Y103" s="62">
        <v>7.7067189999999999E-3</v>
      </c>
      <c r="Z103" s="62">
        <v>7.3261740000000004E-3</v>
      </c>
      <c r="AA103" s="62">
        <v>7.2788449999999999E-3</v>
      </c>
      <c r="AB103" s="62">
        <v>7.1822630000000004E-3</v>
      </c>
      <c r="AC103" s="62">
        <v>7.0286419999999999E-3</v>
      </c>
      <c r="AD103" s="62">
        <v>6.7990219999999896E-3</v>
      </c>
      <c r="AE103" t="s">
        <v>93</v>
      </c>
    </row>
    <row r="104" spans="1:31">
      <c r="A104" t="s">
        <v>267</v>
      </c>
      <c r="B104" t="s">
        <v>1</v>
      </c>
      <c r="C104" t="s">
        <v>222</v>
      </c>
      <c r="D104" s="13" t="str">
        <f>IFERROR(VLOOKUP(C104,ghg_sort!$A$86:$B$512,2,0),0)</f>
        <v>Agriculture</v>
      </c>
      <c r="E104" t="s">
        <v>208</v>
      </c>
      <c r="F104" s="13">
        <f>IFERROR(VLOOKUP($E104,ghg_sort!$A$3:$B$21,2,0),0)</f>
        <v>0</v>
      </c>
      <c r="G104" s="13">
        <f t="shared" si="12"/>
        <v>0</v>
      </c>
      <c r="H104" s="13">
        <f t="shared" si="13"/>
        <v>0</v>
      </c>
      <c r="I104" s="13">
        <f t="shared" si="14"/>
        <v>0</v>
      </c>
      <c r="J104" s="13">
        <f t="shared" si="15"/>
        <v>0</v>
      </c>
      <c r="K104" s="13">
        <f t="shared" si="16"/>
        <v>0</v>
      </c>
      <c r="L104" s="13">
        <f t="shared" si="17"/>
        <v>0</v>
      </c>
      <c r="M104" s="13">
        <f t="shared" si="18"/>
        <v>0</v>
      </c>
      <c r="N104" s="13">
        <f t="shared" si="19"/>
        <v>0</v>
      </c>
      <c r="O104" s="13">
        <f t="shared" si="20"/>
        <v>0</v>
      </c>
      <c r="P104" s="13">
        <f t="shared" si="21"/>
        <v>0</v>
      </c>
      <c r="Q104" s="13">
        <f t="shared" si="22"/>
        <v>0</v>
      </c>
      <c r="R104" s="13" t="s">
        <v>239</v>
      </c>
      <c r="T104" s="63">
        <v>4.3973349999999999E-4</v>
      </c>
      <c r="U104" s="63">
        <v>4.2443949999999901E-4</v>
      </c>
      <c r="V104" s="63">
        <v>4.3853529999999998E-4</v>
      </c>
      <c r="W104" s="63">
        <v>4.2260249999999898E-4</v>
      </c>
      <c r="X104" s="63">
        <v>2.957452E-4</v>
      </c>
      <c r="Y104" s="63">
        <v>1.7869499999999901E-4</v>
      </c>
      <c r="Z104" s="63">
        <v>1.6987139999999999E-4</v>
      </c>
      <c r="AA104" s="63">
        <v>1.687739E-4</v>
      </c>
      <c r="AB104" s="63">
        <v>1.665343E-4</v>
      </c>
      <c r="AC104" s="63">
        <v>1.62972499999999E-4</v>
      </c>
      <c r="AD104" s="63">
        <v>1.576483E-4</v>
      </c>
      <c r="AE104" t="s">
        <v>93</v>
      </c>
    </row>
    <row r="105" spans="1:31">
      <c r="A105" t="s">
        <v>267</v>
      </c>
      <c r="B105" t="s">
        <v>1</v>
      </c>
      <c r="C105" t="s">
        <v>222</v>
      </c>
      <c r="D105" s="13" t="str">
        <f>IFERROR(VLOOKUP(C105,ghg_sort!$A$86:$B$512,2,0),0)</f>
        <v>Agriculture</v>
      </c>
      <c r="E105" t="s">
        <v>101</v>
      </c>
      <c r="F105" s="13">
        <f>IFERROR(VLOOKUP($E105,ghg_sort!$A$3:$B$21,2,0),0)</f>
        <v>298</v>
      </c>
      <c r="G105" s="13">
        <f t="shared" si="12"/>
        <v>2.4388841500000003</v>
      </c>
      <c r="H105" s="13">
        <f t="shared" si="13"/>
        <v>2.8359408400000001</v>
      </c>
      <c r="I105" s="13">
        <f t="shared" si="14"/>
        <v>2.2496738179999998</v>
      </c>
      <c r="J105" s="13">
        <f t="shared" si="15"/>
        <v>2.3810334099999997</v>
      </c>
      <c r="K105" s="13">
        <f t="shared" si="16"/>
        <v>2.418368042</v>
      </c>
      <c r="L105" s="13">
        <f t="shared" si="17"/>
        <v>2.3970208119999969</v>
      </c>
      <c r="M105" s="13">
        <f t="shared" si="18"/>
        <v>2.3855561559999998</v>
      </c>
      <c r="N105" s="13">
        <f t="shared" si="19"/>
        <v>2.3677658539999999</v>
      </c>
      <c r="O105" s="13">
        <f t="shared" si="20"/>
        <v>2.334003348</v>
      </c>
      <c r="P105" s="13">
        <f t="shared" si="21"/>
        <v>2.284083281999997</v>
      </c>
      <c r="Q105" s="13">
        <f t="shared" si="22"/>
        <v>2.2094613999999968</v>
      </c>
      <c r="R105" s="13" t="s">
        <v>239</v>
      </c>
      <c r="T105" s="62">
        <v>8.1841750000000001E-3</v>
      </c>
      <c r="U105" s="62">
        <v>9.5165800000000002E-3</v>
      </c>
      <c r="V105" s="62">
        <v>7.5492409999999999E-3</v>
      </c>
      <c r="W105" s="62">
        <v>7.9900449999999994E-3</v>
      </c>
      <c r="X105" s="62">
        <v>8.1153289999999993E-3</v>
      </c>
      <c r="Y105" s="62">
        <v>8.0436939999999901E-3</v>
      </c>
      <c r="Z105" s="62">
        <v>8.0052219999999993E-3</v>
      </c>
      <c r="AA105" s="62">
        <v>7.9455229999999995E-3</v>
      </c>
      <c r="AB105" s="62">
        <v>7.8322259999999994E-3</v>
      </c>
      <c r="AC105" s="62">
        <v>7.66470899999999E-3</v>
      </c>
      <c r="AD105" s="62">
        <v>7.41429999999999E-3</v>
      </c>
      <c r="AE105" t="s">
        <v>93</v>
      </c>
    </row>
    <row r="106" spans="1:31">
      <c r="A106" t="s">
        <v>267</v>
      </c>
      <c r="B106" t="s">
        <v>1</v>
      </c>
      <c r="C106" t="s">
        <v>222</v>
      </c>
      <c r="D106" s="13" t="str">
        <f>IFERROR(VLOOKUP(C106,ghg_sort!$A$86:$B$512,2,0),0)</f>
        <v>Agriculture</v>
      </c>
      <c r="E106" t="s">
        <v>102</v>
      </c>
      <c r="F106" s="13">
        <f>IFERROR(VLOOKUP($E106,ghg_sort!$A$3:$B$21,2,0),0)</f>
        <v>298</v>
      </c>
      <c r="G106" s="13">
        <f t="shared" si="12"/>
        <v>5.5495049999999997E-3</v>
      </c>
      <c r="H106" s="13">
        <f t="shared" si="13"/>
        <v>5.3479676000000006E-3</v>
      </c>
      <c r="I106" s="13">
        <f t="shared" si="14"/>
        <v>5.5255755999999998E-3</v>
      </c>
      <c r="J106" s="13">
        <f t="shared" si="15"/>
        <v>5.3248130000000003E-3</v>
      </c>
      <c r="K106" s="13">
        <f t="shared" si="16"/>
        <v>3.72640954E-3</v>
      </c>
      <c r="L106" s="13">
        <f t="shared" si="17"/>
        <v>2.2515699920000001E-3</v>
      </c>
      <c r="M106" s="13">
        <f t="shared" si="18"/>
        <v>2.140390065999997E-3</v>
      </c>
      <c r="N106" s="13">
        <f t="shared" si="19"/>
        <v>2.1265625680000001E-3</v>
      </c>
      <c r="O106" s="13">
        <f t="shared" si="20"/>
        <v>2.098344054E-3</v>
      </c>
      <c r="P106" s="13">
        <f t="shared" si="21"/>
        <v>2.053463466E-3</v>
      </c>
      <c r="Q106" s="13">
        <f t="shared" si="22"/>
        <v>1.9863800899999999E-3</v>
      </c>
      <c r="R106" s="13" t="s">
        <v>239</v>
      </c>
      <c r="T106" s="63">
        <v>1.86225E-5</v>
      </c>
      <c r="U106" s="63">
        <v>1.7946200000000001E-5</v>
      </c>
      <c r="V106" s="63">
        <v>1.85422E-5</v>
      </c>
      <c r="W106" s="63">
        <v>1.78685E-5</v>
      </c>
      <c r="X106" s="63">
        <v>1.2504729999999999E-5</v>
      </c>
      <c r="Y106" s="63">
        <v>7.5556040000000002E-6</v>
      </c>
      <c r="Z106" s="63">
        <v>7.1825169999999899E-6</v>
      </c>
      <c r="AA106" s="63">
        <v>7.1361159999999998E-6</v>
      </c>
      <c r="AB106" s="63">
        <v>7.0414229999999996E-6</v>
      </c>
      <c r="AC106" s="63">
        <v>6.890817E-6</v>
      </c>
      <c r="AD106" s="63">
        <v>6.6657049999999999E-6</v>
      </c>
      <c r="AE106" t="s">
        <v>93</v>
      </c>
    </row>
    <row r="107" spans="1:31">
      <c r="A107" t="s">
        <v>267</v>
      </c>
      <c r="B107" t="s">
        <v>1</v>
      </c>
      <c r="C107" t="s">
        <v>222</v>
      </c>
      <c r="D107" s="13" t="str">
        <f>IFERROR(VLOOKUP(C107,ghg_sort!$A$86:$B$512,2,0),0)</f>
        <v>Agriculture</v>
      </c>
      <c r="E107" t="s">
        <v>202</v>
      </c>
      <c r="F107" s="13">
        <f>IFERROR(VLOOKUP($E107,ghg_sort!$A$3:$B$21,2,0),0)</f>
        <v>0</v>
      </c>
      <c r="G107" s="13">
        <f t="shared" si="12"/>
        <v>0</v>
      </c>
      <c r="H107" s="13">
        <f t="shared" si="13"/>
        <v>0</v>
      </c>
      <c r="I107" s="13">
        <f t="shared" si="14"/>
        <v>0</v>
      </c>
      <c r="J107" s="13">
        <f t="shared" si="15"/>
        <v>0</v>
      </c>
      <c r="K107" s="13">
        <f t="shared" si="16"/>
        <v>0</v>
      </c>
      <c r="L107" s="13">
        <f t="shared" si="17"/>
        <v>0</v>
      </c>
      <c r="M107" s="13">
        <f t="shared" si="18"/>
        <v>0</v>
      </c>
      <c r="N107" s="13">
        <f t="shared" si="19"/>
        <v>0</v>
      </c>
      <c r="O107" s="13">
        <f t="shared" si="20"/>
        <v>0</v>
      </c>
      <c r="P107" s="13">
        <f t="shared" si="21"/>
        <v>0</v>
      </c>
      <c r="Q107" s="13">
        <f t="shared" si="22"/>
        <v>0</v>
      </c>
      <c r="R107" s="13" t="s">
        <v>239</v>
      </c>
      <c r="T107" s="62">
        <v>4.7147380000000003E-2</v>
      </c>
      <c r="U107" s="62">
        <v>5.7618330000000002E-2</v>
      </c>
      <c r="V107" s="62">
        <v>5.0001799999999999E-2</v>
      </c>
      <c r="W107" s="62">
        <v>5.0234979999999999E-2</v>
      </c>
      <c r="X107" s="62">
        <v>5.1073819999999999E-2</v>
      </c>
      <c r="Y107" s="62">
        <v>5.0673649999999897E-2</v>
      </c>
      <c r="Z107" s="62">
        <v>5.048184E-2</v>
      </c>
      <c r="AA107" s="62">
        <v>5.0155649999999899E-2</v>
      </c>
      <c r="AB107" s="62">
        <v>4.9490219999999897E-2</v>
      </c>
      <c r="AC107" s="62">
        <v>4.8431620000000002E-2</v>
      </c>
      <c r="AD107" s="62">
        <v>4.6849439999999999E-2</v>
      </c>
      <c r="AE107" t="s">
        <v>93</v>
      </c>
    </row>
    <row r="108" spans="1:31">
      <c r="A108" t="s">
        <v>267</v>
      </c>
      <c r="B108" t="s">
        <v>1</v>
      </c>
      <c r="C108" t="s">
        <v>222</v>
      </c>
      <c r="D108" s="13" t="str">
        <f>IFERROR(VLOOKUP(C108,ghg_sort!$A$86:$B$512,2,0),0)</f>
        <v>Agriculture</v>
      </c>
      <c r="E108" t="s">
        <v>209</v>
      </c>
      <c r="F108" s="13">
        <f>IFERROR(VLOOKUP($E108,ghg_sort!$A$3:$B$21,2,0),0)</f>
        <v>0</v>
      </c>
      <c r="G108" s="13">
        <f t="shared" si="12"/>
        <v>0</v>
      </c>
      <c r="H108" s="13">
        <f t="shared" si="13"/>
        <v>0</v>
      </c>
      <c r="I108" s="13">
        <f t="shared" si="14"/>
        <v>0</v>
      </c>
      <c r="J108" s="13">
        <f t="shared" si="15"/>
        <v>0</v>
      </c>
      <c r="K108" s="13">
        <f t="shared" si="16"/>
        <v>0</v>
      </c>
      <c r="L108" s="13">
        <f t="shared" si="17"/>
        <v>0</v>
      </c>
      <c r="M108" s="13">
        <f t="shared" si="18"/>
        <v>0</v>
      </c>
      <c r="N108" s="13">
        <f t="shared" si="19"/>
        <v>0</v>
      </c>
      <c r="O108" s="13">
        <f t="shared" si="20"/>
        <v>0</v>
      </c>
      <c r="P108" s="13">
        <f t="shared" si="21"/>
        <v>0</v>
      </c>
      <c r="Q108" s="13">
        <f t="shared" si="22"/>
        <v>0</v>
      </c>
      <c r="R108" s="13" t="s">
        <v>239</v>
      </c>
      <c r="T108" s="63">
        <v>4.0410929999999998E-4</v>
      </c>
      <c r="U108" s="63">
        <v>3.8943220000000001E-4</v>
      </c>
      <c r="V108" s="63">
        <v>4.0236610000000001E-4</v>
      </c>
      <c r="W108" s="63">
        <v>3.8774729999999899E-4</v>
      </c>
      <c r="X108" s="63">
        <v>2.7135319999999899E-4</v>
      </c>
      <c r="Y108" s="63">
        <v>1.6395669999999901E-4</v>
      </c>
      <c r="Z108" s="63">
        <v>1.5586079999999999E-4</v>
      </c>
      <c r="AA108" s="63">
        <v>1.548539E-4</v>
      </c>
      <c r="AB108" s="63">
        <v>1.5279900000000001E-4</v>
      </c>
      <c r="AC108" s="63">
        <v>1.49531E-4</v>
      </c>
      <c r="AD108" s="63">
        <v>1.446459E-4</v>
      </c>
      <c r="AE108" t="s">
        <v>93</v>
      </c>
    </row>
    <row r="109" spans="1:31">
      <c r="A109" t="s">
        <v>267</v>
      </c>
      <c r="B109" t="s">
        <v>1</v>
      </c>
      <c r="C109" t="s">
        <v>222</v>
      </c>
      <c r="D109" s="13" t="str">
        <f>IFERROR(VLOOKUP(C109,ghg_sort!$A$86:$B$512,2,0),0)</f>
        <v>Agriculture</v>
      </c>
      <c r="E109" t="s">
        <v>210</v>
      </c>
      <c r="F109" s="13">
        <f>IFERROR(VLOOKUP($E109,ghg_sort!$A$3:$B$21,2,0),0)</f>
        <v>0</v>
      </c>
      <c r="G109" s="13">
        <f t="shared" si="12"/>
        <v>0</v>
      </c>
      <c r="H109" s="13">
        <f t="shared" si="13"/>
        <v>0</v>
      </c>
      <c r="I109" s="13">
        <f t="shared" si="14"/>
        <v>0</v>
      </c>
      <c r="J109" s="13">
        <f t="shared" si="15"/>
        <v>0</v>
      </c>
      <c r="K109" s="13">
        <f t="shared" si="16"/>
        <v>0</v>
      </c>
      <c r="L109" s="13">
        <f t="shared" si="17"/>
        <v>0</v>
      </c>
      <c r="M109" s="13">
        <f t="shared" si="18"/>
        <v>0</v>
      </c>
      <c r="N109" s="13">
        <f t="shared" si="19"/>
        <v>0</v>
      </c>
      <c r="O109" s="13">
        <f t="shared" si="20"/>
        <v>0</v>
      </c>
      <c r="P109" s="13">
        <f t="shared" si="21"/>
        <v>0</v>
      </c>
      <c r="Q109" s="13">
        <f t="shared" si="22"/>
        <v>0</v>
      </c>
      <c r="R109" s="13" t="s">
        <v>239</v>
      </c>
      <c r="T109" s="62">
        <v>4.5533589999999999E-3</v>
      </c>
      <c r="U109" s="62">
        <v>4.3803469999999997E-3</v>
      </c>
      <c r="V109" s="62">
        <v>4.5258199999999998E-3</v>
      </c>
      <c r="W109" s="62">
        <v>4.3613799999999998E-3</v>
      </c>
      <c r="X109" s="62">
        <v>3.0521789999999999E-3</v>
      </c>
      <c r="Y109" s="62">
        <v>1.8441849999999999E-3</v>
      </c>
      <c r="Z109" s="62">
        <v>1.7531249999999999E-3</v>
      </c>
      <c r="AA109" s="62">
        <v>1.7417960000000001E-3</v>
      </c>
      <c r="AB109" s="62">
        <v>1.718685E-3</v>
      </c>
      <c r="AC109" s="62">
        <v>1.681924E-3</v>
      </c>
      <c r="AD109" s="62">
        <v>1.62697899999999E-3</v>
      </c>
      <c r="AE109" t="s">
        <v>93</v>
      </c>
    </row>
    <row r="110" spans="1:31">
      <c r="A110" t="s">
        <v>267</v>
      </c>
      <c r="B110" t="s">
        <v>1</v>
      </c>
      <c r="C110" t="s">
        <v>222</v>
      </c>
      <c r="D110" s="13" t="str">
        <f>IFERROR(VLOOKUP(C110,ghg_sort!$A$86:$B$512,2,0),0)</f>
        <v>Agriculture</v>
      </c>
      <c r="E110" t="s">
        <v>204</v>
      </c>
      <c r="F110" s="13">
        <f>IFERROR(VLOOKUP($E110,ghg_sort!$A$3:$B$21,2,0),0)</f>
        <v>0</v>
      </c>
      <c r="G110" s="13">
        <f t="shared" si="12"/>
        <v>0</v>
      </c>
      <c r="H110" s="13">
        <f t="shared" si="13"/>
        <v>0</v>
      </c>
      <c r="I110" s="13">
        <f t="shared" si="14"/>
        <v>0</v>
      </c>
      <c r="J110" s="13">
        <f t="shared" si="15"/>
        <v>0</v>
      </c>
      <c r="K110" s="13">
        <f t="shared" si="16"/>
        <v>0</v>
      </c>
      <c r="L110" s="13">
        <f t="shared" si="17"/>
        <v>0</v>
      </c>
      <c r="M110" s="13">
        <f t="shared" si="18"/>
        <v>0</v>
      </c>
      <c r="N110" s="13">
        <f t="shared" si="19"/>
        <v>0</v>
      </c>
      <c r="O110" s="13">
        <f t="shared" si="20"/>
        <v>0</v>
      </c>
      <c r="P110" s="13">
        <f t="shared" si="21"/>
        <v>0</v>
      </c>
      <c r="Q110" s="13">
        <f t="shared" si="22"/>
        <v>0</v>
      </c>
      <c r="R110" s="13" t="s">
        <v>239</v>
      </c>
      <c r="T110" s="62">
        <v>3.9547050000000002E-3</v>
      </c>
      <c r="U110" s="62">
        <v>3.7050099999999999E-3</v>
      </c>
      <c r="V110" s="62">
        <v>3.4040439999999902E-3</v>
      </c>
      <c r="W110" s="62">
        <v>2.9073549999999999E-3</v>
      </c>
      <c r="X110" s="62">
        <v>2.9559059999999999E-3</v>
      </c>
      <c r="Y110" s="62">
        <v>2.9327469999999999E-3</v>
      </c>
      <c r="Z110" s="62">
        <v>2.9216509999999999E-3</v>
      </c>
      <c r="AA110" s="62">
        <v>2.9027669999999901E-3</v>
      </c>
      <c r="AB110" s="62">
        <v>2.8642509999999999E-3</v>
      </c>
      <c r="AC110" s="62">
        <v>2.802995E-3</v>
      </c>
      <c r="AD110" s="62">
        <v>2.7114180000000002E-3</v>
      </c>
      <c r="AE110" t="s">
        <v>93</v>
      </c>
    </row>
    <row r="111" spans="1:31">
      <c r="A111" t="s">
        <v>267</v>
      </c>
      <c r="B111" t="s">
        <v>1</v>
      </c>
      <c r="C111" t="s">
        <v>222</v>
      </c>
      <c r="D111" s="13" t="str">
        <f>IFERROR(VLOOKUP(C111,ghg_sort!$A$86:$B$512,2,0),0)</f>
        <v>Agriculture</v>
      </c>
      <c r="E111" t="s">
        <v>211</v>
      </c>
      <c r="F111" s="13">
        <f>IFERROR(VLOOKUP($E111,ghg_sort!$A$3:$B$21,2,0),0)</f>
        <v>0</v>
      </c>
      <c r="G111" s="13">
        <f t="shared" si="12"/>
        <v>0</v>
      </c>
      <c r="H111" s="13">
        <f t="shared" si="13"/>
        <v>0</v>
      </c>
      <c r="I111" s="13">
        <f t="shared" si="14"/>
        <v>0</v>
      </c>
      <c r="J111" s="13">
        <f t="shared" si="15"/>
        <v>0</v>
      </c>
      <c r="K111" s="13">
        <f t="shared" si="16"/>
        <v>0</v>
      </c>
      <c r="L111" s="13">
        <f t="shared" si="17"/>
        <v>0</v>
      </c>
      <c r="M111" s="13">
        <f t="shared" si="18"/>
        <v>0</v>
      </c>
      <c r="N111" s="13">
        <f t="shared" si="19"/>
        <v>0</v>
      </c>
      <c r="O111" s="13">
        <f t="shared" si="20"/>
        <v>0</v>
      </c>
      <c r="P111" s="13">
        <f t="shared" si="21"/>
        <v>0</v>
      </c>
      <c r="Q111" s="13">
        <f t="shared" si="22"/>
        <v>0</v>
      </c>
      <c r="R111" s="13" t="s">
        <v>239</v>
      </c>
      <c r="T111" s="63">
        <v>5.7916109999999995E-4</v>
      </c>
      <c r="U111" s="63">
        <v>5.5812759999999896E-4</v>
      </c>
      <c r="V111" s="63">
        <v>5.7666299999999896E-4</v>
      </c>
      <c r="W111" s="63">
        <v>5.5571079999999903E-4</v>
      </c>
      <c r="X111" s="63">
        <v>3.8889759999999899E-4</v>
      </c>
      <c r="Y111" s="63">
        <v>2.3497989999999899E-4</v>
      </c>
      <c r="Z111" s="63">
        <v>2.2337680000000001E-4</v>
      </c>
      <c r="AA111" s="63">
        <v>2.2193340000000001E-4</v>
      </c>
      <c r="AB111" s="63">
        <v>2.1898840000000001E-4</v>
      </c>
      <c r="AC111" s="63">
        <v>2.1430470000000001E-4</v>
      </c>
      <c r="AD111" s="63">
        <v>2.07303599999999E-4</v>
      </c>
      <c r="AE111" t="s">
        <v>93</v>
      </c>
    </row>
    <row r="112" spans="1:31">
      <c r="A112" t="s">
        <v>267</v>
      </c>
      <c r="B112" t="s">
        <v>1</v>
      </c>
      <c r="C112" t="s">
        <v>222</v>
      </c>
      <c r="D112" s="13" t="str">
        <f>IFERROR(VLOOKUP(C112,ghg_sort!$A$86:$B$512,2,0),0)</f>
        <v>Agriculture</v>
      </c>
      <c r="E112" t="s">
        <v>212</v>
      </c>
      <c r="F112" s="13">
        <f>IFERROR(VLOOKUP($E112,ghg_sort!$A$3:$B$21,2,0),0)</f>
        <v>0</v>
      </c>
      <c r="G112" s="13">
        <f t="shared" si="12"/>
        <v>0</v>
      </c>
      <c r="H112" s="13">
        <f t="shared" si="13"/>
        <v>0</v>
      </c>
      <c r="I112" s="13">
        <f t="shared" si="14"/>
        <v>0</v>
      </c>
      <c r="J112" s="13">
        <f t="shared" si="15"/>
        <v>0</v>
      </c>
      <c r="K112" s="13">
        <f t="shared" si="16"/>
        <v>0</v>
      </c>
      <c r="L112" s="13">
        <f t="shared" si="17"/>
        <v>0</v>
      </c>
      <c r="M112" s="13">
        <f t="shared" si="18"/>
        <v>0</v>
      </c>
      <c r="N112" s="13">
        <f t="shared" si="19"/>
        <v>0</v>
      </c>
      <c r="O112" s="13">
        <f t="shared" si="20"/>
        <v>0</v>
      </c>
      <c r="P112" s="13">
        <f t="shared" si="21"/>
        <v>0</v>
      </c>
      <c r="Q112" s="13">
        <f t="shared" si="22"/>
        <v>0</v>
      </c>
      <c r="R112" s="13" t="s">
        <v>239</v>
      </c>
      <c r="T112" s="63">
        <v>4.2831849999999899E-4</v>
      </c>
      <c r="U112" s="63">
        <v>4.1276219999999899E-4</v>
      </c>
      <c r="V112" s="62">
        <v>1.0754959999999999E-2</v>
      </c>
      <c r="W112" s="62">
        <v>1.03641999999999E-2</v>
      </c>
      <c r="X112" s="62">
        <v>7.2530859999999997E-3</v>
      </c>
      <c r="Y112" s="62">
        <v>4.3824479999999997E-3</v>
      </c>
      <c r="Z112" s="62">
        <v>4.1660539999999998E-3</v>
      </c>
      <c r="AA112" s="62">
        <v>4.1391329999999997E-3</v>
      </c>
      <c r="AB112" s="62">
        <v>4.0842109999999999E-3</v>
      </c>
      <c r="AC112" s="62">
        <v>3.99685699999999E-3</v>
      </c>
      <c r="AD112" s="62">
        <v>3.8662850000000001E-3</v>
      </c>
      <c r="AE112" t="s">
        <v>93</v>
      </c>
    </row>
    <row r="113" spans="1:31">
      <c r="A113" t="s">
        <v>267</v>
      </c>
      <c r="B113" t="s">
        <v>1</v>
      </c>
      <c r="C113" t="s">
        <v>222</v>
      </c>
      <c r="D113" s="13" t="str">
        <f>IFERROR(VLOOKUP(C113,ghg_sort!$A$86:$B$512,2,0),0)</f>
        <v>Agriculture</v>
      </c>
      <c r="E113" t="s">
        <v>213</v>
      </c>
      <c r="F113" s="13">
        <f>IFERROR(VLOOKUP($E113,ghg_sort!$A$3:$B$21,2,0),0)</f>
        <v>0</v>
      </c>
      <c r="G113" s="13">
        <f t="shared" si="12"/>
        <v>0</v>
      </c>
      <c r="H113" s="13">
        <f t="shared" si="13"/>
        <v>0</v>
      </c>
      <c r="I113" s="13">
        <f t="shared" si="14"/>
        <v>0</v>
      </c>
      <c r="J113" s="13">
        <f t="shared" si="15"/>
        <v>0</v>
      </c>
      <c r="K113" s="13">
        <f t="shared" si="16"/>
        <v>0</v>
      </c>
      <c r="L113" s="13">
        <f t="shared" si="17"/>
        <v>0</v>
      </c>
      <c r="M113" s="13">
        <f t="shared" si="18"/>
        <v>0</v>
      </c>
      <c r="N113" s="13">
        <f t="shared" si="19"/>
        <v>0</v>
      </c>
      <c r="O113" s="13">
        <f t="shared" si="20"/>
        <v>0</v>
      </c>
      <c r="P113" s="13">
        <f t="shared" si="21"/>
        <v>0</v>
      </c>
      <c r="Q113" s="13">
        <f t="shared" si="22"/>
        <v>0</v>
      </c>
      <c r="R113" s="13" t="s">
        <v>239</v>
      </c>
      <c r="T113" s="63">
        <v>7.4490219999999893E-5</v>
      </c>
      <c r="U113" s="63">
        <v>7.1784820000000006E-5</v>
      </c>
      <c r="V113" s="63">
        <v>7.4168820000000002E-5</v>
      </c>
      <c r="W113" s="63">
        <v>7.1474040000000003E-5</v>
      </c>
      <c r="X113" s="63">
        <v>5.00188799999999E-5</v>
      </c>
      <c r="Y113" s="63">
        <v>3.0222369999999998E-5</v>
      </c>
      <c r="Z113" s="63">
        <v>2.873013E-5</v>
      </c>
      <c r="AA113" s="63">
        <v>2.8544489999999899E-5</v>
      </c>
      <c r="AB113" s="63">
        <v>2.81656699999999E-5</v>
      </c>
      <c r="AC113" s="63">
        <v>2.7563310000000002E-5</v>
      </c>
      <c r="AD113" s="63">
        <v>2.6662839999999899E-5</v>
      </c>
      <c r="AE113" t="s">
        <v>93</v>
      </c>
    </row>
    <row r="114" spans="1:31">
      <c r="A114" t="s">
        <v>267</v>
      </c>
      <c r="B114" t="s">
        <v>1</v>
      </c>
      <c r="C114" t="s">
        <v>223</v>
      </c>
      <c r="D114" s="13" t="str">
        <f>IFERROR(VLOOKUP(C114,ghg_sort!$A$86:$B$512,2,0),0)</f>
        <v>Agriculture</v>
      </c>
      <c r="E114" t="s">
        <v>206</v>
      </c>
      <c r="F114" s="13">
        <f>IFERROR(VLOOKUP($E114,ghg_sort!$A$3:$B$21,2,0),0)</f>
        <v>0</v>
      </c>
      <c r="G114" s="13">
        <f t="shared" si="12"/>
        <v>0</v>
      </c>
      <c r="H114" s="13">
        <f t="shared" si="13"/>
        <v>0</v>
      </c>
      <c r="I114" s="13">
        <f t="shared" si="14"/>
        <v>0</v>
      </c>
      <c r="J114" s="13">
        <f t="shared" si="15"/>
        <v>0</v>
      </c>
      <c r="K114" s="13">
        <f t="shared" si="16"/>
        <v>0</v>
      </c>
      <c r="L114" s="13">
        <f t="shared" si="17"/>
        <v>0</v>
      </c>
      <c r="M114" s="13">
        <f t="shared" si="18"/>
        <v>0</v>
      </c>
      <c r="N114" s="13">
        <f t="shared" si="19"/>
        <v>0</v>
      </c>
      <c r="O114" s="13">
        <f t="shared" si="20"/>
        <v>0</v>
      </c>
      <c r="P114" s="13">
        <f t="shared" si="21"/>
        <v>0</v>
      </c>
      <c r="Q114" s="13">
        <f t="shared" si="22"/>
        <v>0</v>
      </c>
      <c r="R114" s="13" t="s">
        <v>239</v>
      </c>
      <c r="T114" s="63">
        <v>2.6869999999999999E-6</v>
      </c>
      <c r="U114" s="63">
        <v>3.12249999999999E-6</v>
      </c>
      <c r="V114" s="63">
        <v>4.8011669999999998E-5</v>
      </c>
      <c r="W114" s="63">
        <v>4.6304109999999997E-5</v>
      </c>
      <c r="X114" s="63">
        <v>3.2642129999999999E-5</v>
      </c>
      <c r="Y114" s="63">
        <v>2.000588E-5</v>
      </c>
      <c r="Z114" s="63">
        <v>1.9195829999999999E-5</v>
      </c>
      <c r="AA114" s="63">
        <v>1.9287200000000001E-5</v>
      </c>
      <c r="AB114" s="63">
        <v>1.9220230000000001E-5</v>
      </c>
      <c r="AC114" s="63">
        <v>1.901573E-5</v>
      </c>
      <c r="AD114" s="63">
        <v>1.8610229999999999E-5</v>
      </c>
      <c r="AE114" t="s">
        <v>93</v>
      </c>
    </row>
    <row r="115" spans="1:31">
      <c r="A115" t="s">
        <v>267</v>
      </c>
      <c r="B115" t="s">
        <v>1</v>
      </c>
      <c r="C115" t="s">
        <v>223</v>
      </c>
      <c r="D115" s="13" t="str">
        <f>IFERROR(VLOOKUP(C115,ghg_sort!$A$86:$B$512,2,0),0)</f>
        <v>Agriculture</v>
      </c>
      <c r="E115" t="s">
        <v>105</v>
      </c>
      <c r="F115" s="13">
        <f>IFERROR(VLOOKUP($E115,ghg_sort!$A$3:$B$21,2,0),0)</f>
        <v>25</v>
      </c>
      <c r="G115" s="13">
        <f t="shared" si="12"/>
        <v>5.2127750000000007E-4</v>
      </c>
      <c r="H115" s="13">
        <f t="shared" si="13"/>
        <v>6.0576499999999748E-4</v>
      </c>
      <c r="I115" s="13">
        <f t="shared" si="14"/>
        <v>5.7671774999999996E-4</v>
      </c>
      <c r="J115" s="13">
        <f t="shared" si="15"/>
        <v>5.5620725000000005E-4</v>
      </c>
      <c r="K115" s="13">
        <f t="shared" si="16"/>
        <v>3.9209900000000003E-4</v>
      </c>
      <c r="L115" s="13">
        <f t="shared" si="17"/>
        <v>2.403115E-4</v>
      </c>
      <c r="M115" s="13">
        <f t="shared" si="18"/>
        <v>2.3058074999999975E-4</v>
      </c>
      <c r="N115" s="13">
        <f t="shared" si="19"/>
        <v>2.3167874999999998E-4</v>
      </c>
      <c r="O115" s="13">
        <f t="shared" si="20"/>
        <v>2.3087450000000001E-4</v>
      </c>
      <c r="P115" s="13">
        <f t="shared" si="21"/>
        <v>2.284175E-4</v>
      </c>
      <c r="Q115" s="13">
        <f t="shared" si="22"/>
        <v>2.2354699999999999E-4</v>
      </c>
      <c r="R115" s="13" t="s">
        <v>239</v>
      </c>
      <c r="T115" s="63">
        <v>2.0851100000000001E-5</v>
      </c>
      <c r="U115" s="63">
        <v>2.42305999999999E-5</v>
      </c>
      <c r="V115" s="63">
        <v>2.3068709999999999E-5</v>
      </c>
      <c r="W115" s="63">
        <v>2.2248290000000001E-5</v>
      </c>
      <c r="X115" s="63">
        <v>1.5683960000000002E-5</v>
      </c>
      <c r="Y115" s="63">
        <v>9.6124600000000005E-6</v>
      </c>
      <c r="Z115" s="63">
        <v>9.2232299999999903E-6</v>
      </c>
      <c r="AA115" s="63">
        <v>9.2671499999999999E-6</v>
      </c>
      <c r="AB115" s="63">
        <v>9.2349800000000008E-6</v>
      </c>
      <c r="AC115" s="63">
        <v>9.1367000000000001E-6</v>
      </c>
      <c r="AD115" s="63">
        <v>8.9418800000000002E-6</v>
      </c>
      <c r="AE115" t="s">
        <v>93</v>
      </c>
    </row>
    <row r="116" spans="1:31">
      <c r="A116" t="s">
        <v>267</v>
      </c>
      <c r="B116" t="s">
        <v>1</v>
      </c>
      <c r="C116" t="s">
        <v>223</v>
      </c>
      <c r="D116" s="13" t="str">
        <f>IFERROR(VLOOKUP(C116,ghg_sort!$A$86:$B$512,2,0),0)</f>
        <v>Agriculture</v>
      </c>
      <c r="E116" t="s">
        <v>207</v>
      </c>
      <c r="F116" s="13">
        <f>IFERROR(VLOOKUP($E116,ghg_sort!$A$3:$B$21,2,0),0)</f>
        <v>0</v>
      </c>
      <c r="G116" s="13">
        <f t="shared" si="12"/>
        <v>0</v>
      </c>
      <c r="H116" s="13">
        <f t="shared" si="13"/>
        <v>0</v>
      </c>
      <c r="I116" s="13">
        <f t="shared" si="14"/>
        <v>0</v>
      </c>
      <c r="J116" s="13">
        <f t="shared" si="15"/>
        <v>0</v>
      </c>
      <c r="K116" s="13">
        <f t="shared" si="16"/>
        <v>0</v>
      </c>
      <c r="L116" s="13">
        <f t="shared" si="17"/>
        <v>0</v>
      </c>
      <c r="M116" s="13">
        <f t="shared" si="18"/>
        <v>0</v>
      </c>
      <c r="N116" s="13">
        <f t="shared" si="19"/>
        <v>0</v>
      </c>
      <c r="O116" s="13">
        <f t="shared" si="20"/>
        <v>0</v>
      </c>
      <c r="P116" s="13">
        <f t="shared" si="21"/>
        <v>0</v>
      </c>
      <c r="Q116" s="13">
        <f t="shared" si="22"/>
        <v>0</v>
      </c>
      <c r="R116" s="13" t="s">
        <v>239</v>
      </c>
      <c r="T116" s="63">
        <v>3.6543220000000002E-4</v>
      </c>
      <c r="U116" s="63">
        <v>4.2465990000000001E-4</v>
      </c>
      <c r="V116" s="63">
        <v>4.0429669999999997E-4</v>
      </c>
      <c r="W116" s="63">
        <v>3.899183E-4</v>
      </c>
      <c r="X116" s="63">
        <v>2.7487360000000001E-4</v>
      </c>
      <c r="Y116" s="63">
        <v>1.684658E-4</v>
      </c>
      <c r="Z116" s="63">
        <v>1.6164439999999999E-4</v>
      </c>
      <c r="AA116" s="63">
        <v>1.6241389999999999E-4</v>
      </c>
      <c r="AB116" s="63">
        <v>1.6185E-4</v>
      </c>
      <c r="AC116" s="63">
        <v>1.6012779999999901E-4</v>
      </c>
      <c r="AD116" s="63">
        <v>1.567133E-4</v>
      </c>
      <c r="AE116" t="s">
        <v>93</v>
      </c>
    </row>
    <row r="117" spans="1:31">
      <c r="A117" t="s">
        <v>267</v>
      </c>
      <c r="B117" t="s">
        <v>1</v>
      </c>
      <c r="C117" t="s">
        <v>223</v>
      </c>
      <c r="D117" s="13" t="str">
        <f>IFERROR(VLOOKUP(C117,ghg_sort!$A$86:$B$512,2,0),0)</f>
        <v>Agriculture</v>
      </c>
      <c r="E117" t="s">
        <v>208</v>
      </c>
      <c r="F117" s="13">
        <f>IFERROR(VLOOKUP($E117,ghg_sort!$A$3:$B$21,2,0),0)</f>
        <v>0</v>
      </c>
      <c r="G117" s="13">
        <f t="shared" si="12"/>
        <v>0</v>
      </c>
      <c r="H117" s="13">
        <f t="shared" si="13"/>
        <v>0</v>
      </c>
      <c r="I117" s="13">
        <f t="shared" si="14"/>
        <v>0</v>
      </c>
      <c r="J117" s="13">
        <f t="shared" si="15"/>
        <v>0</v>
      </c>
      <c r="K117" s="13">
        <f t="shared" si="16"/>
        <v>0</v>
      </c>
      <c r="L117" s="13">
        <f t="shared" si="17"/>
        <v>0</v>
      </c>
      <c r="M117" s="13">
        <f t="shared" si="18"/>
        <v>0</v>
      </c>
      <c r="N117" s="13">
        <f t="shared" si="19"/>
        <v>0</v>
      </c>
      <c r="O117" s="13">
        <f t="shared" si="20"/>
        <v>0</v>
      </c>
      <c r="P117" s="13">
        <f t="shared" si="21"/>
        <v>0</v>
      </c>
      <c r="Q117" s="13">
        <f t="shared" si="22"/>
        <v>0</v>
      </c>
      <c r="R117" s="13" t="s">
        <v>239</v>
      </c>
      <c r="T117" s="63">
        <v>8.4596999999999997E-6</v>
      </c>
      <c r="U117" s="63">
        <v>9.8464999999999997E-6</v>
      </c>
      <c r="V117" s="63">
        <v>9.3743499999999994E-6</v>
      </c>
      <c r="W117" s="63">
        <v>9.0409599999999992E-6</v>
      </c>
      <c r="X117" s="63">
        <v>6.3734400000000001E-6</v>
      </c>
      <c r="Y117" s="63">
        <v>3.9061840000000004E-6</v>
      </c>
      <c r="Z117" s="63">
        <v>3.7480189999999998E-6</v>
      </c>
      <c r="AA117" s="63">
        <v>3.7658570000000001E-6</v>
      </c>
      <c r="AB117" s="63">
        <v>3.7527819999999998E-6</v>
      </c>
      <c r="AC117" s="63">
        <v>3.7128469999999899E-6</v>
      </c>
      <c r="AD117" s="63">
        <v>3.6336790000000001E-6</v>
      </c>
      <c r="AE117" t="s">
        <v>93</v>
      </c>
    </row>
    <row r="118" spans="1:31">
      <c r="A118" t="s">
        <v>267</v>
      </c>
      <c r="B118" t="s">
        <v>1</v>
      </c>
      <c r="C118" t="s">
        <v>223</v>
      </c>
      <c r="D118" s="13" t="str">
        <f>IFERROR(VLOOKUP(C118,ghg_sort!$A$86:$B$512,2,0),0)</f>
        <v>Agriculture</v>
      </c>
      <c r="E118" t="s">
        <v>101</v>
      </c>
      <c r="F118" s="13">
        <f>IFERROR(VLOOKUP($E118,ghg_sort!$A$3:$B$21,2,0),0)</f>
        <v>298</v>
      </c>
      <c r="G118" s="13">
        <f t="shared" si="12"/>
        <v>9.0999068000000002E-2</v>
      </c>
      <c r="H118" s="13">
        <f t="shared" si="13"/>
        <v>0.1204032644</v>
      </c>
      <c r="I118" s="13">
        <f t="shared" si="14"/>
        <v>0.1089986852</v>
      </c>
      <c r="J118" s="13">
        <f t="shared" si="15"/>
        <v>0.12502938659999971</v>
      </c>
      <c r="K118" s="13">
        <f t="shared" si="16"/>
        <v>0.12548836620000001</v>
      </c>
      <c r="L118" s="13">
        <f t="shared" si="17"/>
        <v>0.12371300139999999</v>
      </c>
      <c r="M118" s="13">
        <f t="shared" si="18"/>
        <v>0.1218055034</v>
      </c>
      <c r="N118" s="13">
        <f t="shared" si="19"/>
        <v>0.1197814576</v>
      </c>
      <c r="O118" s="13">
        <f t="shared" si="20"/>
        <v>0.11677061459999999</v>
      </c>
      <c r="P118" s="13">
        <f t="shared" si="21"/>
        <v>0.1155283718</v>
      </c>
      <c r="Q118" s="13">
        <f t="shared" si="22"/>
        <v>0.1130647164</v>
      </c>
      <c r="R118" s="13" t="s">
        <v>239</v>
      </c>
      <c r="T118" s="63">
        <v>3.05366E-4</v>
      </c>
      <c r="U118" s="63">
        <v>4.040378E-4</v>
      </c>
      <c r="V118" s="63">
        <v>3.657674E-4</v>
      </c>
      <c r="W118" s="63">
        <v>4.1956169999999898E-4</v>
      </c>
      <c r="X118" s="63">
        <v>4.2110189999999999E-4</v>
      </c>
      <c r="Y118" s="63">
        <v>4.1514429999999999E-4</v>
      </c>
      <c r="Z118" s="63">
        <v>4.0874329999999998E-4</v>
      </c>
      <c r="AA118" s="63">
        <v>4.0195120000000001E-4</v>
      </c>
      <c r="AB118" s="63">
        <v>3.9184769999999999E-4</v>
      </c>
      <c r="AC118" s="63">
        <v>3.8767910000000002E-4</v>
      </c>
      <c r="AD118" s="63">
        <v>3.7941180000000002E-4</v>
      </c>
      <c r="AE118" t="s">
        <v>93</v>
      </c>
    </row>
    <row r="119" spans="1:31">
      <c r="A119" t="s">
        <v>267</v>
      </c>
      <c r="B119" t="s">
        <v>1</v>
      </c>
      <c r="C119" t="s">
        <v>223</v>
      </c>
      <c r="D119" s="13" t="str">
        <f>IFERROR(VLOOKUP(C119,ghg_sort!$A$86:$B$512,2,0),0)</f>
        <v>Agriculture</v>
      </c>
      <c r="E119" t="s">
        <v>102</v>
      </c>
      <c r="F119" s="13">
        <f>IFERROR(VLOOKUP($E119,ghg_sort!$A$3:$B$21,2,0),0)</f>
        <v>298</v>
      </c>
      <c r="G119" s="13">
        <f t="shared" si="12"/>
        <v>1.0677339999999971E-4</v>
      </c>
      <c r="H119" s="13">
        <f t="shared" si="13"/>
        <v>1.2405740000000001E-4</v>
      </c>
      <c r="I119" s="13">
        <f t="shared" si="14"/>
        <v>1.181084558E-4</v>
      </c>
      <c r="J119" s="13">
        <f t="shared" si="15"/>
        <v>1.139080861999997E-4</v>
      </c>
      <c r="K119" s="13">
        <f t="shared" si="16"/>
        <v>8.0299586600000004E-5</v>
      </c>
      <c r="L119" s="13">
        <f t="shared" si="17"/>
        <v>4.9214252999999999E-5</v>
      </c>
      <c r="M119" s="13">
        <f t="shared" si="18"/>
        <v>4.72214078E-5</v>
      </c>
      <c r="N119" s="13">
        <f t="shared" si="19"/>
        <v>4.7446338200000001E-5</v>
      </c>
      <c r="O119" s="13">
        <f t="shared" si="20"/>
        <v>4.7281723000000001E-5</v>
      </c>
      <c r="P119" s="13">
        <f t="shared" si="21"/>
        <v>4.6778699000000004E-5</v>
      </c>
      <c r="Q119" s="13">
        <f t="shared" si="22"/>
        <v>4.5781322799999703E-5</v>
      </c>
      <c r="R119" s="13" t="s">
        <v>239</v>
      </c>
      <c r="T119" s="63">
        <v>3.5829999999999902E-7</v>
      </c>
      <c r="U119" s="63">
        <v>4.1629999999999999E-7</v>
      </c>
      <c r="V119" s="63">
        <v>3.9633709999999998E-7</v>
      </c>
      <c r="W119" s="63">
        <v>3.8224189999999902E-7</v>
      </c>
      <c r="X119" s="63">
        <v>2.694617E-7</v>
      </c>
      <c r="Y119" s="63">
        <v>1.651485E-7</v>
      </c>
      <c r="Z119" s="63">
        <v>1.584611E-7</v>
      </c>
      <c r="AA119" s="63">
        <v>1.592159E-7</v>
      </c>
      <c r="AB119" s="63">
        <v>1.5866350000000001E-7</v>
      </c>
      <c r="AC119" s="63">
        <v>1.569755E-7</v>
      </c>
      <c r="AD119" s="63">
        <v>1.53628599999999E-7</v>
      </c>
      <c r="AE119" t="s">
        <v>93</v>
      </c>
    </row>
    <row r="120" spans="1:31">
      <c r="A120" t="s">
        <v>267</v>
      </c>
      <c r="B120" t="s">
        <v>1</v>
      </c>
      <c r="C120" t="s">
        <v>223</v>
      </c>
      <c r="D120" s="13" t="str">
        <f>IFERROR(VLOOKUP(C120,ghg_sort!$A$86:$B$512,2,0),0)</f>
        <v>Agriculture</v>
      </c>
      <c r="E120" t="s">
        <v>202</v>
      </c>
      <c r="F120" s="13">
        <f>IFERROR(VLOOKUP($E120,ghg_sort!$A$3:$B$21,2,0),0)</f>
        <v>0</v>
      </c>
      <c r="G120" s="13">
        <f t="shared" si="12"/>
        <v>0</v>
      </c>
      <c r="H120" s="13">
        <f t="shared" si="13"/>
        <v>0</v>
      </c>
      <c r="I120" s="13">
        <f t="shared" si="14"/>
        <v>0</v>
      </c>
      <c r="J120" s="13">
        <f t="shared" si="15"/>
        <v>0</v>
      </c>
      <c r="K120" s="13">
        <f t="shared" si="16"/>
        <v>0</v>
      </c>
      <c r="L120" s="13">
        <f t="shared" si="17"/>
        <v>0</v>
      </c>
      <c r="M120" s="13">
        <f t="shared" si="18"/>
        <v>0</v>
      </c>
      <c r="N120" s="13">
        <f t="shared" si="19"/>
        <v>0</v>
      </c>
      <c r="O120" s="13">
        <f t="shared" si="20"/>
        <v>0</v>
      </c>
      <c r="P120" s="13">
        <f t="shared" si="21"/>
        <v>0</v>
      </c>
      <c r="Q120" s="13">
        <f t="shared" si="22"/>
        <v>0</v>
      </c>
      <c r="R120" s="13" t="s">
        <v>239</v>
      </c>
      <c r="T120" s="62">
        <v>1.7591499999999999E-3</v>
      </c>
      <c r="U120" s="62">
        <v>2.4462440000000002E-3</v>
      </c>
      <c r="V120" s="62">
        <v>2.4226309999999902E-3</v>
      </c>
      <c r="W120" s="62">
        <v>2.6378669999999999E-3</v>
      </c>
      <c r="X120" s="62">
        <v>2.7015809999999898E-3</v>
      </c>
      <c r="Y120" s="62">
        <v>2.718851E-3</v>
      </c>
      <c r="Z120" s="62">
        <v>2.7338839999999998E-3</v>
      </c>
      <c r="AA120" s="62">
        <v>2.7468989999999902E-3</v>
      </c>
      <c r="AB120" s="62">
        <v>2.7373619999999902E-3</v>
      </c>
      <c r="AC120" s="62">
        <v>2.7082360000000002E-3</v>
      </c>
      <c r="AD120" s="62">
        <v>2.6504839999999998E-3</v>
      </c>
      <c r="AE120" t="s">
        <v>93</v>
      </c>
    </row>
    <row r="121" spans="1:31">
      <c r="A121" t="s">
        <v>267</v>
      </c>
      <c r="B121" t="s">
        <v>1</v>
      </c>
      <c r="C121" t="s">
        <v>223</v>
      </c>
      <c r="D121" s="13" t="str">
        <f>IFERROR(VLOOKUP(C121,ghg_sort!$A$86:$B$512,2,0),0)</f>
        <v>Agriculture</v>
      </c>
      <c r="E121" t="s">
        <v>209</v>
      </c>
      <c r="F121" s="13">
        <f>IFERROR(VLOOKUP($E121,ghg_sort!$A$3:$B$21,2,0),0)</f>
        <v>0</v>
      </c>
      <c r="G121" s="13">
        <f t="shared" si="12"/>
        <v>0</v>
      </c>
      <c r="H121" s="13">
        <f t="shared" si="13"/>
        <v>0</v>
      </c>
      <c r="I121" s="13">
        <f t="shared" si="14"/>
        <v>0</v>
      </c>
      <c r="J121" s="13">
        <f t="shared" si="15"/>
        <v>0</v>
      </c>
      <c r="K121" s="13">
        <f t="shared" si="16"/>
        <v>0</v>
      </c>
      <c r="L121" s="13">
        <f t="shared" si="17"/>
        <v>0</v>
      </c>
      <c r="M121" s="13">
        <f t="shared" si="18"/>
        <v>0</v>
      </c>
      <c r="N121" s="13">
        <f t="shared" si="19"/>
        <v>0</v>
      </c>
      <c r="O121" s="13">
        <f t="shared" si="20"/>
        <v>0</v>
      </c>
      <c r="P121" s="13">
        <f t="shared" si="21"/>
        <v>0</v>
      </c>
      <c r="Q121" s="13">
        <f t="shared" si="22"/>
        <v>0</v>
      </c>
      <c r="R121" s="13" t="s">
        <v>239</v>
      </c>
      <c r="T121" s="63">
        <v>7.7743999999999996E-6</v>
      </c>
      <c r="U121" s="63">
        <v>9.0344999999999996E-6</v>
      </c>
      <c r="V121" s="63">
        <v>8.6012899999999994E-6</v>
      </c>
      <c r="W121" s="63">
        <v>8.2953899999999995E-6</v>
      </c>
      <c r="X121" s="63">
        <v>5.8478499999999901E-6</v>
      </c>
      <c r="Y121" s="63">
        <v>3.58404899999999E-6</v>
      </c>
      <c r="Z121" s="63">
        <v>3.438929E-6</v>
      </c>
      <c r="AA121" s="63">
        <v>3.4552969999999999E-6</v>
      </c>
      <c r="AB121" s="63">
        <v>3.4433070000000001E-6</v>
      </c>
      <c r="AC121" s="63">
        <v>3.4066679999999999E-6</v>
      </c>
      <c r="AD121" s="63">
        <v>3.3340249999999998E-6</v>
      </c>
      <c r="AE121" t="s">
        <v>93</v>
      </c>
    </row>
    <row r="122" spans="1:31">
      <c r="A122" t="s">
        <v>267</v>
      </c>
      <c r="B122" t="s">
        <v>1</v>
      </c>
      <c r="C122" t="s">
        <v>223</v>
      </c>
      <c r="D122" s="13" t="str">
        <f>IFERROR(VLOOKUP(C122,ghg_sort!$A$86:$B$512,2,0),0)</f>
        <v>Agriculture</v>
      </c>
      <c r="E122" t="s">
        <v>210</v>
      </c>
      <c r="F122" s="13">
        <f>IFERROR(VLOOKUP($E122,ghg_sort!$A$3:$B$21,2,0),0)</f>
        <v>0</v>
      </c>
      <c r="G122" s="13">
        <f t="shared" si="12"/>
        <v>0</v>
      </c>
      <c r="H122" s="13">
        <f t="shared" si="13"/>
        <v>0</v>
      </c>
      <c r="I122" s="13">
        <f t="shared" si="14"/>
        <v>0</v>
      </c>
      <c r="J122" s="13">
        <f t="shared" si="15"/>
        <v>0</v>
      </c>
      <c r="K122" s="13">
        <f t="shared" si="16"/>
        <v>0</v>
      </c>
      <c r="L122" s="13">
        <f t="shared" si="17"/>
        <v>0</v>
      </c>
      <c r="M122" s="13">
        <f t="shared" si="18"/>
        <v>0</v>
      </c>
      <c r="N122" s="13">
        <f t="shared" si="19"/>
        <v>0</v>
      </c>
      <c r="O122" s="13">
        <f t="shared" si="20"/>
        <v>0</v>
      </c>
      <c r="P122" s="13">
        <f t="shared" si="21"/>
        <v>0</v>
      </c>
      <c r="Q122" s="13">
        <f t="shared" si="22"/>
        <v>0</v>
      </c>
      <c r="R122" s="13" t="s">
        <v>239</v>
      </c>
      <c r="T122" s="63">
        <v>8.7598999999999999E-5</v>
      </c>
      <c r="U122" s="63">
        <v>1.016193E-4</v>
      </c>
      <c r="V122" s="63">
        <v>9.6746499999999898E-5</v>
      </c>
      <c r="W122" s="63">
        <v>9.3305800000000004E-5</v>
      </c>
      <c r="X122" s="63">
        <v>6.5776099999999995E-5</v>
      </c>
      <c r="Y122" s="63">
        <v>4.0313079999999997E-5</v>
      </c>
      <c r="Z122" s="63">
        <v>3.8680780000000003E-5</v>
      </c>
      <c r="AA122" s="63">
        <v>3.886498E-5</v>
      </c>
      <c r="AB122" s="63">
        <v>3.8729999999999997E-5</v>
      </c>
      <c r="AC122" s="63">
        <v>3.8317949999999998E-5</v>
      </c>
      <c r="AD122" s="63">
        <v>3.7500799999999998E-5</v>
      </c>
      <c r="AE122" t="s">
        <v>93</v>
      </c>
    </row>
    <row r="123" spans="1:31">
      <c r="A123" t="s">
        <v>267</v>
      </c>
      <c r="B123" t="s">
        <v>1</v>
      </c>
      <c r="C123" t="s">
        <v>223</v>
      </c>
      <c r="D123" s="13" t="str">
        <f>IFERROR(VLOOKUP(C123,ghg_sort!$A$86:$B$512,2,0),0)</f>
        <v>Agriculture</v>
      </c>
      <c r="E123" t="s">
        <v>204</v>
      </c>
      <c r="F123" s="13">
        <f>IFERROR(VLOOKUP($E123,ghg_sort!$A$3:$B$21,2,0),0)</f>
        <v>0</v>
      </c>
      <c r="G123" s="13">
        <f t="shared" si="12"/>
        <v>0</v>
      </c>
      <c r="H123" s="13">
        <f t="shared" si="13"/>
        <v>0</v>
      </c>
      <c r="I123" s="13">
        <f t="shared" si="14"/>
        <v>0</v>
      </c>
      <c r="J123" s="13">
        <f t="shared" si="15"/>
        <v>0</v>
      </c>
      <c r="K123" s="13">
        <f t="shared" si="16"/>
        <v>0</v>
      </c>
      <c r="L123" s="13">
        <f t="shared" si="17"/>
        <v>0</v>
      </c>
      <c r="M123" s="13">
        <f t="shared" si="18"/>
        <v>0</v>
      </c>
      <c r="N123" s="13">
        <f t="shared" si="19"/>
        <v>0</v>
      </c>
      <c r="O123" s="13">
        <f t="shared" si="20"/>
        <v>0</v>
      </c>
      <c r="P123" s="13">
        <f t="shared" si="21"/>
        <v>0</v>
      </c>
      <c r="Q123" s="13">
        <f t="shared" si="22"/>
        <v>0</v>
      </c>
      <c r="R123" s="13" t="s">
        <v>239</v>
      </c>
      <c r="T123" s="63">
        <v>1.4755700000000001E-4</v>
      </c>
      <c r="U123" s="63">
        <v>1.573003E-4</v>
      </c>
      <c r="V123" s="63">
        <v>1.64928799999999E-4</v>
      </c>
      <c r="W123" s="63">
        <v>1.5266699999999999E-4</v>
      </c>
      <c r="X123" s="63">
        <v>1.5635430000000001E-4</v>
      </c>
      <c r="Y123" s="63">
        <v>1.573539E-4</v>
      </c>
      <c r="Z123" s="63">
        <v>1.5822399999999999E-4</v>
      </c>
      <c r="AA123" s="63">
        <v>1.5897710000000001E-4</v>
      </c>
      <c r="AB123" s="63">
        <v>1.584252E-4</v>
      </c>
      <c r="AC123" s="63">
        <v>1.5673940000000001E-4</v>
      </c>
      <c r="AD123" s="63">
        <v>1.533971E-4</v>
      </c>
      <c r="AE123" t="s">
        <v>93</v>
      </c>
    </row>
    <row r="124" spans="1:31">
      <c r="A124" t="s">
        <v>267</v>
      </c>
      <c r="B124" t="s">
        <v>1</v>
      </c>
      <c r="C124" t="s">
        <v>223</v>
      </c>
      <c r="D124" s="13" t="str">
        <f>IFERROR(VLOOKUP(C124,ghg_sort!$A$86:$B$512,2,0),0)</f>
        <v>Agriculture</v>
      </c>
      <c r="E124" t="s">
        <v>211</v>
      </c>
      <c r="F124" s="13">
        <f>IFERROR(VLOOKUP($E124,ghg_sort!$A$3:$B$21,2,0),0)</f>
        <v>0</v>
      </c>
      <c r="G124" s="13">
        <f t="shared" si="12"/>
        <v>0</v>
      </c>
      <c r="H124" s="13">
        <f t="shared" si="13"/>
        <v>0</v>
      </c>
      <c r="I124" s="13">
        <f t="shared" si="14"/>
        <v>0</v>
      </c>
      <c r="J124" s="13">
        <f t="shared" si="15"/>
        <v>0</v>
      </c>
      <c r="K124" s="13">
        <f t="shared" si="16"/>
        <v>0</v>
      </c>
      <c r="L124" s="13">
        <f t="shared" si="17"/>
        <v>0</v>
      </c>
      <c r="M124" s="13">
        <f t="shared" si="18"/>
        <v>0</v>
      </c>
      <c r="N124" s="13">
        <f t="shared" si="19"/>
        <v>0</v>
      </c>
      <c r="O124" s="13">
        <f t="shared" si="20"/>
        <v>0</v>
      </c>
      <c r="P124" s="13">
        <f t="shared" si="21"/>
        <v>0</v>
      </c>
      <c r="Q124" s="13">
        <f t="shared" si="22"/>
        <v>0</v>
      </c>
      <c r="R124" s="13" t="s">
        <v>239</v>
      </c>
      <c r="T124" s="63">
        <v>1.11421E-5</v>
      </c>
      <c r="U124" s="63">
        <v>1.29479E-5</v>
      </c>
      <c r="V124" s="63">
        <v>1.232702E-5</v>
      </c>
      <c r="W124" s="63">
        <v>1.188863E-5</v>
      </c>
      <c r="X124" s="63">
        <v>8.3808999999999997E-6</v>
      </c>
      <c r="Y124" s="63">
        <v>5.1365239999999997E-6</v>
      </c>
      <c r="Z124" s="63">
        <v>4.9285460000000003E-6</v>
      </c>
      <c r="AA124" s="63">
        <v>4.9520029999999899E-6</v>
      </c>
      <c r="AB124" s="63">
        <v>4.9348169999999996E-6</v>
      </c>
      <c r="AC124" s="63">
        <v>4.8822999999999998E-6</v>
      </c>
      <c r="AD124" s="63">
        <v>4.7782000000000003E-6</v>
      </c>
      <c r="AE124" t="s">
        <v>93</v>
      </c>
    </row>
    <row r="125" spans="1:31">
      <c r="A125" t="s">
        <v>267</v>
      </c>
      <c r="B125" t="s">
        <v>1</v>
      </c>
      <c r="C125" t="s">
        <v>223</v>
      </c>
      <c r="D125" s="13" t="str">
        <f>IFERROR(VLOOKUP(C125,ghg_sort!$A$86:$B$512,2,0),0)</f>
        <v>Agriculture</v>
      </c>
      <c r="E125" t="s">
        <v>212</v>
      </c>
      <c r="F125" s="13">
        <f>IFERROR(VLOOKUP($E125,ghg_sort!$A$3:$B$21,2,0),0)</f>
        <v>0</v>
      </c>
      <c r="G125" s="13">
        <f t="shared" si="12"/>
        <v>0</v>
      </c>
      <c r="H125" s="13">
        <f t="shared" si="13"/>
        <v>0</v>
      </c>
      <c r="I125" s="13">
        <f t="shared" si="14"/>
        <v>0</v>
      </c>
      <c r="J125" s="13">
        <f t="shared" si="15"/>
        <v>0</v>
      </c>
      <c r="K125" s="13">
        <f t="shared" si="16"/>
        <v>0</v>
      </c>
      <c r="L125" s="13">
        <f t="shared" si="17"/>
        <v>0</v>
      </c>
      <c r="M125" s="13">
        <f t="shared" si="18"/>
        <v>0</v>
      </c>
      <c r="N125" s="13">
        <f t="shared" si="19"/>
        <v>0</v>
      </c>
      <c r="O125" s="13">
        <f t="shared" si="20"/>
        <v>0</v>
      </c>
      <c r="P125" s="13">
        <f t="shared" si="21"/>
        <v>0</v>
      </c>
      <c r="Q125" s="13">
        <f t="shared" si="22"/>
        <v>0</v>
      </c>
      <c r="R125" s="13" t="s">
        <v>239</v>
      </c>
      <c r="T125" s="63">
        <v>8.2400999999999993E-6</v>
      </c>
      <c r="U125" s="63">
        <v>9.5757000000000005E-6</v>
      </c>
      <c r="V125" s="63">
        <v>2.299046E-4</v>
      </c>
      <c r="W125" s="63">
        <v>2.2172819999999999E-4</v>
      </c>
      <c r="X125" s="63">
        <v>1.563077E-4</v>
      </c>
      <c r="Y125" s="63">
        <v>9.5798500000000001E-5</v>
      </c>
      <c r="Z125" s="63">
        <v>9.1919500000000007E-5</v>
      </c>
      <c r="AA125" s="63">
        <v>9.2357199999999997E-5</v>
      </c>
      <c r="AB125" s="63">
        <v>9.2036499999999897E-5</v>
      </c>
      <c r="AC125" s="63">
        <v>9.1057099999999999E-5</v>
      </c>
      <c r="AD125" s="63">
        <v>8.9115499999999997E-5</v>
      </c>
      <c r="AE125" t="s">
        <v>93</v>
      </c>
    </row>
    <row r="126" spans="1:31">
      <c r="A126" t="s">
        <v>267</v>
      </c>
      <c r="B126" t="s">
        <v>1</v>
      </c>
      <c r="C126" t="s">
        <v>223</v>
      </c>
      <c r="D126" s="13" t="str">
        <f>IFERROR(VLOOKUP(C126,ghg_sort!$A$86:$B$512,2,0),0)</f>
        <v>Agriculture</v>
      </c>
      <c r="E126" t="s">
        <v>213</v>
      </c>
      <c r="F126" s="13">
        <f>IFERROR(VLOOKUP($E126,ghg_sort!$A$3:$B$21,2,0),0)</f>
        <v>0</v>
      </c>
      <c r="G126" s="13">
        <f t="shared" si="12"/>
        <v>0</v>
      </c>
      <c r="H126" s="13">
        <f t="shared" si="13"/>
        <v>0</v>
      </c>
      <c r="I126" s="13">
        <f t="shared" si="14"/>
        <v>0</v>
      </c>
      <c r="J126" s="13">
        <f t="shared" si="15"/>
        <v>0</v>
      </c>
      <c r="K126" s="13">
        <f t="shared" si="16"/>
        <v>0</v>
      </c>
      <c r="L126" s="13">
        <f t="shared" si="17"/>
        <v>0</v>
      </c>
      <c r="M126" s="13">
        <f t="shared" si="18"/>
        <v>0</v>
      </c>
      <c r="N126" s="13">
        <f t="shared" si="19"/>
        <v>0</v>
      </c>
      <c r="O126" s="13">
        <f t="shared" si="20"/>
        <v>0</v>
      </c>
      <c r="P126" s="13">
        <f t="shared" si="21"/>
        <v>0</v>
      </c>
      <c r="Q126" s="13">
        <f t="shared" si="22"/>
        <v>0</v>
      </c>
      <c r="R126" s="13" t="s">
        <v>239</v>
      </c>
      <c r="T126" s="63">
        <v>1.4330999999999899E-6</v>
      </c>
      <c r="U126" s="63">
        <v>1.6654E-6</v>
      </c>
      <c r="V126" s="63">
        <v>1.585541E-6</v>
      </c>
      <c r="W126" s="63">
        <v>1.5291520000000001E-6</v>
      </c>
      <c r="X126" s="63">
        <v>1.0779789999999999E-6</v>
      </c>
      <c r="Y126" s="63">
        <v>6.6067699999999998E-7</v>
      </c>
      <c r="Z126" s="63">
        <v>6.3392400000000001E-7</v>
      </c>
      <c r="AA126" s="63">
        <v>6.3694199999999999E-7</v>
      </c>
      <c r="AB126" s="63">
        <v>6.3473199999999997E-7</v>
      </c>
      <c r="AC126" s="63">
        <v>6.2797799999999999E-7</v>
      </c>
      <c r="AD126" s="63">
        <v>6.1458699999999997E-7</v>
      </c>
      <c r="AE126" t="s">
        <v>93</v>
      </c>
    </row>
    <row r="127" spans="1:31">
      <c r="A127" t="s">
        <v>267</v>
      </c>
      <c r="B127" t="s">
        <v>1</v>
      </c>
      <c r="C127" t="s">
        <v>224</v>
      </c>
      <c r="D127" s="13" t="str">
        <f>IFERROR(VLOOKUP(C127,ghg_sort!$A$86:$B$512,2,0),0)</f>
        <v>Agriculture</v>
      </c>
      <c r="E127" t="s">
        <v>104</v>
      </c>
      <c r="F127" s="13">
        <f>IFERROR(VLOOKUP($E127,ghg_sort!$A$3:$B$21,2,0),0)</f>
        <v>25</v>
      </c>
      <c r="G127" s="13">
        <f t="shared" si="12"/>
        <v>1.9216240000000002E-2</v>
      </c>
      <c r="H127" s="13">
        <f t="shared" si="13"/>
        <v>3.3804214999999999E-2</v>
      </c>
      <c r="I127" s="13">
        <f t="shared" si="14"/>
        <v>2.1192517500000001E-2</v>
      </c>
      <c r="J127" s="13">
        <f t="shared" si="15"/>
        <v>1.2404274999999999E-2</v>
      </c>
      <c r="K127" s="13">
        <f t="shared" si="16"/>
        <v>1.354928E-2</v>
      </c>
      <c r="L127" s="13">
        <f t="shared" si="17"/>
        <v>1.4808829000000001E-2</v>
      </c>
      <c r="M127" s="13">
        <f t="shared" si="18"/>
        <v>1.5873648000000001E-2</v>
      </c>
      <c r="N127" s="13">
        <f t="shared" si="19"/>
        <v>1.6791946500000002E-2</v>
      </c>
      <c r="O127" s="13">
        <f t="shared" si="20"/>
        <v>1.7580954499999999E-2</v>
      </c>
      <c r="P127" s="13">
        <f t="shared" si="21"/>
        <v>1.8454146749999973E-2</v>
      </c>
      <c r="Q127" s="13">
        <f t="shared" si="22"/>
        <v>1.8781708000000001E-2</v>
      </c>
      <c r="R127" s="13" t="s">
        <v>239</v>
      </c>
      <c r="T127" s="63">
        <v>7.6864960000000003E-4</v>
      </c>
      <c r="U127" s="62">
        <v>1.3521685999999999E-3</v>
      </c>
      <c r="V127" s="63">
        <v>8.4770069999999997E-4</v>
      </c>
      <c r="W127" s="63">
        <v>4.96171E-4</v>
      </c>
      <c r="X127" s="63">
        <v>5.4197119999999999E-4</v>
      </c>
      <c r="Y127" s="63">
        <v>5.9235316000000001E-4</v>
      </c>
      <c r="Z127" s="63">
        <v>6.3494592000000005E-4</v>
      </c>
      <c r="AA127" s="63">
        <v>6.7167786000000001E-4</v>
      </c>
      <c r="AB127" s="63">
        <v>7.0323817999999995E-4</v>
      </c>
      <c r="AC127" s="63">
        <v>7.3816586999999895E-4</v>
      </c>
      <c r="AD127" s="63">
        <v>7.5126832000000005E-4</v>
      </c>
      <c r="AE127" t="s">
        <v>93</v>
      </c>
    </row>
    <row r="128" spans="1:31">
      <c r="A128" t="s">
        <v>267</v>
      </c>
      <c r="B128" t="s">
        <v>1</v>
      </c>
      <c r="C128" t="s">
        <v>224</v>
      </c>
      <c r="D128" s="13" t="str">
        <f>IFERROR(VLOOKUP(C128,ghg_sort!$A$86:$B$512,2,0),0)</f>
        <v>Agriculture</v>
      </c>
      <c r="E128" t="s">
        <v>101</v>
      </c>
      <c r="F128" s="13">
        <f>IFERROR(VLOOKUP($E128,ghg_sort!$A$3:$B$21,2,0),0)</f>
        <v>298</v>
      </c>
      <c r="G128" s="13">
        <f t="shared" si="12"/>
        <v>7.4895743999999704E-3</v>
      </c>
      <c r="H128" s="13">
        <f t="shared" si="13"/>
        <v>1.46500972E-2</v>
      </c>
      <c r="I128" s="13">
        <f t="shared" si="14"/>
        <v>9.2784683999999999E-3</v>
      </c>
      <c r="J128" s="13">
        <f t="shared" si="15"/>
        <v>5.4435659999999995E-3</v>
      </c>
      <c r="K128" s="13">
        <f t="shared" si="16"/>
        <v>5.94603592859997E-3</v>
      </c>
      <c r="L128" s="13">
        <f t="shared" si="17"/>
        <v>6.4988008667999702E-3</v>
      </c>
      <c r="M128" s="13">
        <f t="shared" si="18"/>
        <v>6.9660933257999994E-3</v>
      </c>
      <c r="N128" s="13">
        <f t="shared" si="19"/>
        <v>7.3690707096000004E-3</v>
      </c>
      <c r="O128" s="13">
        <f t="shared" si="20"/>
        <v>7.7153443852000002E-3</v>
      </c>
      <c r="P128" s="13">
        <f t="shared" si="21"/>
        <v>8.0985181492000003E-3</v>
      </c>
      <c r="Q128" s="13">
        <f t="shared" si="22"/>
        <v>8.2422554691999692E-3</v>
      </c>
      <c r="R128" s="13" t="s">
        <v>239</v>
      </c>
      <c r="T128" s="63">
        <v>2.5132799999999899E-5</v>
      </c>
      <c r="U128" s="63">
        <v>4.91614E-5</v>
      </c>
      <c r="V128" s="63">
        <v>3.1135800000000001E-5</v>
      </c>
      <c r="W128" s="63">
        <v>1.8267E-5</v>
      </c>
      <c r="X128" s="63">
        <v>1.9953140699999899E-5</v>
      </c>
      <c r="Y128" s="63">
        <v>2.18080565999999E-5</v>
      </c>
      <c r="Z128" s="63">
        <v>2.3376152099999999E-5</v>
      </c>
      <c r="AA128" s="63">
        <v>2.47284252E-5</v>
      </c>
      <c r="AB128" s="63">
        <v>2.5890417400000002E-5</v>
      </c>
      <c r="AC128" s="63">
        <v>2.7176235400000001E-5</v>
      </c>
      <c r="AD128" s="63">
        <v>2.76585753999999E-5</v>
      </c>
      <c r="AE128" t="s">
        <v>93</v>
      </c>
    </row>
    <row r="129" spans="1:31">
      <c r="A129" t="s">
        <v>267</v>
      </c>
      <c r="B129" t="s">
        <v>1</v>
      </c>
      <c r="C129" t="s">
        <v>224</v>
      </c>
      <c r="D129" s="13" t="str">
        <f>IFERROR(VLOOKUP(C129,ghg_sort!$A$86:$B$512,2,0),0)</f>
        <v>Agriculture</v>
      </c>
      <c r="E129" t="s">
        <v>202</v>
      </c>
      <c r="F129" s="13">
        <f>IFERROR(VLOOKUP($E129,ghg_sort!$A$3:$B$21,2,0),0)</f>
        <v>0</v>
      </c>
      <c r="G129" s="13">
        <f t="shared" si="12"/>
        <v>0</v>
      </c>
      <c r="H129" s="13">
        <f t="shared" si="13"/>
        <v>0</v>
      </c>
      <c r="I129" s="13">
        <f t="shared" si="14"/>
        <v>0</v>
      </c>
      <c r="J129" s="13">
        <f t="shared" si="15"/>
        <v>0</v>
      </c>
      <c r="K129" s="13">
        <f t="shared" si="16"/>
        <v>0</v>
      </c>
      <c r="L129" s="13">
        <f t="shared" si="17"/>
        <v>0</v>
      </c>
      <c r="M129" s="13">
        <f t="shared" si="18"/>
        <v>0</v>
      </c>
      <c r="N129" s="13">
        <f t="shared" si="19"/>
        <v>0</v>
      </c>
      <c r="O129" s="13">
        <f t="shared" si="20"/>
        <v>0</v>
      </c>
      <c r="P129" s="13">
        <f t="shared" si="21"/>
        <v>0</v>
      </c>
      <c r="Q129" s="13">
        <f t="shared" si="22"/>
        <v>0</v>
      </c>
      <c r="R129" s="13" t="s">
        <v>239</v>
      </c>
      <c r="T129" s="63">
        <v>2.2662060000000001E-4</v>
      </c>
      <c r="U129" s="63">
        <v>3.9621049999999998E-4</v>
      </c>
      <c r="V129" s="63">
        <v>2.026586E-4</v>
      </c>
      <c r="W129" s="63">
        <v>1.2609449999999899E-4</v>
      </c>
      <c r="X129" s="63">
        <v>1.3923758300000001E-4</v>
      </c>
      <c r="Y129" s="63">
        <v>1.53861518E-4</v>
      </c>
      <c r="Z129" s="63">
        <v>1.6676572E-4</v>
      </c>
      <c r="AA129" s="63">
        <v>1.7840454799999999E-4</v>
      </c>
      <c r="AB129" s="63">
        <v>1.88919167E-4</v>
      </c>
      <c r="AC129" s="63">
        <v>1.98302122E-4</v>
      </c>
      <c r="AD129" s="63">
        <v>2.01822148E-4</v>
      </c>
      <c r="AE129" t="s">
        <v>93</v>
      </c>
    </row>
    <row r="130" spans="1:31">
      <c r="A130" t="s">
        <v>267</v>
      </c>
      <c r="B130" t="s">
        <v>1</v>
      </c>
      <c r="C130" t="s">
        <v>224</v>
      </c>
      <c r="D130" s="13" t="str">
        <f>IFERROR(VLOOKUP(C130,ghg_sort!$A$86:$B$512,2,0),0)</f>
        <v>Agriculture</v>
      </c>
      <c r="E130" t="s">
        <v>203</v>
      </c>
      <c r="F130" s="13">
        <f>IFERROR(VLOOKUP($E130,ghg_sort!$A$3:$B$21,2,0),0)</f>
        <v>0</v>
      </c>
      <c r="G130" s="13">
        <f t="shared" si="12"/>
        <v>0</v>
      </c>
      <c r="H130" s="13">
        <f t="shared" si="13"/>
        <v>0</v>
      </c>
      <c r="I130" s="13">
        <f t="shared" si="14"/>
        <v>0</v>
      </c>
      <c r="J130" s="13">
        <f t="shared" si="15"/>
        <v>0</v>
      </c>
      <c r="K130" s="13">
        <f t="shared" si="16"/>
        <v>0</v>
      </c>
      <c r="L130" s="13">
        <f t="shared" si="17"/>
        <v>0</v>
      </c>
      <c r="M130" s="13">
        <f t="shared" si="18"/>
        <v>0</v>
      </c>
      <c r="N130" s="13">
        <f t="shared" si="19"/>
        <v>0</v>
      </c>
      <c r="O130" s="13">
        <f t="shared" si="20"/>
        <v>0</v>
      </c>
      <c r="P130" s="13">
        <f t="shared" si="21"/>
        <v>0</v>
      </c>
      <c r="Q130" s="13">
        <f t="shared" si="22"/>
        <v>0</v>
      </c>
      <c r="R130" s="13" t="s">
        <v>239</v>
      </c>
      <c r="T130" s="63">
        <v>8.84212E-5</v>
      </c>
      <c r="U130" s="63">
        <v>2.2683619999999999E-4</v>
      </c>
      <c r="V130" s="63">
        <v>1.459787E-4</v>
      </c>
      <c r="W130" s="63">
        <v>8.9328899999999896E-5</v>
      </c>
      <c r="X130" s="63">
        <v>9.8639784999999996E-5</v>
      </c>
      <c r="Y130" s="63">
        <v>1.0899968099999999E-4</v>
      </c>
      <c r="Z130" s="63">
        <v>1.1814123999999901E-4</v>
      </c>
      <c r="AA130" s="63">
        <v>1.2638653500000001E-4</v>
      </c>
      <c r="AB130" s="63">
        <v>1.3383573300000001E-4</v>
      </c>
      <c r="AC130" s="63">
        <v>1.40482934E-4</v>
      </c>
      <c r="AD130" s="63">
        <v>1.4297634399999999E-4</v>
      </c>
      <c r="AE130" t="s">
        <v>93</v>
      </c>
    </row>
    <row r="131" spans="1:31">
      <c r="A131" t="s">
        <v>267</v>
      </c>
      <c r="B131" t="s">
        <v>1</v>
      </c>
      <c r="C131" t="s">
        <v>224</v>
      </c>
      <c r="D131" s="13" t="str">
        <f>IFERROR(VLOOKUP(C131,ghg_sort!$A$86:$B$512,2,0),0)</f>
        <v>Agriculture</v>
      </c>
      <c r="E131" t="s">
        <v>204</v>
      </c>
      <c r="F131" s="13">
        <f>IFERROR(VLOOKUP($E131,ghg_sort!$A$3:$B$21,2,0),0)</f>
        <v>0</v>
      </c>
      <c r="G131" s="13">
        <f t="shared" si="12"/>
        <v>0</v>
      </c>
      <c r="H131" s="13">
        <f t="shared" si="13"/>
        <v>0</v>
      </c>
      <c r="I131" s="13">
        <f t="shared" si="14"/>
        <v>0</v>
      </c>
      <c r="J131" s="13">
        <f t="shared" si="15"/>
        <v>0</v>
      </c>
      <c r="K131" s="13">
        <f t="shared" si="16"/>
        <v>0</v>
      </c>
      <c r="L131" s="13">
        <f t="shared" si="17"/>
        <v>0</v>
      </c>
      <c r="M131" s="13">
        <f t="shared" si="18"/>
        <v>0</v>
      </c>
      <c r="N131" s="13">
        <f t="shared" si="19"/>
        <v>0</v>
      </c>
      <c r="O131" s="13">
        <f t="shared" si="20"/>
        <v>0</v>
      </c>
      <c r="P131" s="13">
        <f t="shared" si="21"/>
        <v>0</v>
      </c>
      <c r="Q131" s="13">
        <f t="shared" si="22"/>
        <v>0</v>
      </c>
      <c r="R131" s="13" t="s">
        <v>239</v>
      </c>
      <c r="T131" s="63">
        <v>1.0527699999999999E-5</v>
      </c>
      <c r="U131" s="63">
        <v>2.30758E-5</v>
      </c>
      <c r="V131" s="63">
        <v>1.46995E-5</v>
      </c>
      <c r="W131" s="63">
        <v>8.5674999999999904E-6</v>
      </c>
      <c r="X131" s="63">
        <v>9.4605101999999992E-6</v>
      </c>
      <c r="Y131" s="63">
        <v>1.0454115999999999E-5</v>
      </c>
      <c r="Z131" s="63">
        <v>1.13308862E-5</v>
      </c>
      <c r="AA131" s="63">
        <v>1.21216791E-5</v>
      </c>
      <c r="AB131" s="63">
        <v>1.28361348E-5</v>
      </c>
      <c r="AC131" s="63">
        <v>1.3473653500000001E-5</v>
      </c>
      <c r="AD131" s="63">
        <v>1.3712804800000001E-5</v>
      </c>
      <c r="AE131" t="s">
        <v>93</v>
      </c>
    </row>
    <row r="132" spans="1:31">
      <c r="A132" t="s">
        <v>267</v>
      </c>
      <c r="B132" t="s">
        <v>1</v>
      </c>
      <c r="C132" t="s">
        <v>225</v>
      </c>
      <c r="D132" s="13" t="str">
        <f>IFERROR(VLOOKUP(C132,ghg_sort!$A$86:$B$512,2,0),0)</f>
        <v>Agriculture</v>
      </c>
      <c r="E132" t="s">
        <v>83</v>
      </c>
      <c r="F132" s="13">
        <f>IFERROR(VLOOKUP($E132,ghg_sort!$A$3:$B$21,2,0),0)</f>
        <v>0</v>
      </c>
      <c r="G132" s="13">
        <f t="shared" ref="G132:G195" si="23">T132*$F132</f>
        <v>0</v>
      </c>
      <c r="H132" s="13">
        <f t="shared" ref="H132:H195" si="24">U132*$F132</f>
        <v>0</v>
      </c>
      <c r="I132" s="13">
        <f t="shared" ref="I132:I195" si="25">V132*$F132</f>
        <v>0</v>
      </c>
      <c r="J132" s="13">
        <f t="shared" ref="J132:J195" si="26">W132*$F132</f>
        <v>0</v>
      </c>
      <c r="K132" s="13">
        <f t="shared" ref="K132:K195" si="27">X132*$F132</f>
        <v>0</v>
      </c>
      <c r="L132" s="13">
        <f t="shared" ref="L132:L195" si="28">Y132*$F132</f>
        <v>0</v>
      </c>
      <c r="M132" s="13">
        <f t="shared" ref="M132:M195" si="29">Z132*$F132</f>
        <v>0</v>
      </c>
      <c r="N132" s="13">
        <f t="shared" ref="N132:N195" si="30">AA132*$F132</f>
        <v>0</v>
      </c>
      <c r="O132" s="13">
        <f t="shared" ref="O132:O195" si="31">AB132*$F132</f>
        <v>0</v>
      </c>
      <c r="P132" s="13">
        <f t="shared" ref="P132:P195" si="32">AC132*$F132</f>
        <v>0</v>
      </c>
      <c r="Q132" s="13">
        <f t="shared" ref="Q132:Q195" si="33">AD132*$F132</f>
        <v>0</v>
      </c>
      <c r="R132" s="13" t="s">
        <v>239</v>
      </c>
      <c r="T132" s="63">
        <v>2.0811009999999999E-4</v>
      </c>
      <c r="U132" s="63">
        <v>2.6835162000000002E-4</v>
      </c>
      <c r="V132" s="63">
        <v>2.7506043487000002E-4</v>
      </c>
      <c r="W132" s="63">
        <v>3.8987529999999899E-4</v>
      </c>
      <c r="X132" s="63">
        <v>3.8835029999999997E-4</v>
      </c>
      <c r="Y132" s="63">
        <v>3.0940934999999998E-4</v>
      </c>
      <c r="Z132" s="63">
        <v>2.8785488999999898E-4</v>
      </c>
      <c r="AA132" s="63">
        <v>3.0556335999999999E-4</v>
      </c>
      <c r="AB132" s="63">
        <v>2.7943453999999899E-4</v>
      </c>
      <c r="AC132" s="63">
        <v>2.7282313999999998E-4</v>
      </c>
      <c r="AD132" s="63">
        <v>2.7360090000000002E-4</v>
      </c>
      <c r="AE132" t="s">
        <v>93</v>
      </c>
    </row>
    <row r="133" spans="1:31">
      <c r="A133" t="s">
        <v>267</v>
      </c>
      <c r="B133" t="s">
        <v>1</v>
      </c>
      <c r="C133" t="s">
        <v>225</v>
      </c>
      <c r="D133" s="13" t="str">
        <f>IFERROR(VLOOKUP(C133,ghg_sort!$A$86:$B$512,2,0),0)</f>
        <v>Agriculture</v>
      </c>
      <c r="E133" t="s">
        <v>84</v>
      </c>
      <c r="F133" s="13">
        <f>IFERROR(VLOOKUP($E133,ghg_sort!$A$3:$B$21,2,0),0)</f>
        <v>25</v>
      </c>
      <c r="G133" s="13">
        <f t="shared" si="23"/>
        <v>3.4054540000000001E-2</v>
      </c>
      <c r="H133" s="13">
        <f t="shared" si="24"/>
        <v>4.4202959999999999E-2</v>
      </c>
      <c r="I133" s="13">
        <f t="shared" si="25"/>
        <v>4.5376724374999997E-2</v>
      </c>
      <c r="J133" s="13">
        <f t="shared" si="26"/>
        <v>7.3254970000000003E-2</v>
      </c>
      <c r="K133" s="13">
        <f t="shared" si="27"/>
        <v>7.3013284999999997E-2</v>
      </c>
      <c r="L133" s="13">
        <f t="shared" si="28"/>
        <v>5.3811339999999756E-2</v>
      </c>
      <c r="M133" s="13">
        <f t="shared" si="29"/>
        <v>4.8573319999999996E-2</v>
      </c>
      <c r="N133" s="13">
        <f t="shared" si="30"/>
        <v>5.2926730000000005E-2</v>
      </c>
      <c r="O133" s="13">
        <f t="shared" si="31"/>
        <v>4.6565222499999753E-2</v>
      </c>
      <c r="P133" s="13">
        <f t="shared" si="32"/>
        <v>4.493113E-2</v>
      </c>
      <c r="Q133" s="13">
        <f t="shared" si="33"/>
        <v>4.5059985000000004E-2</v>
      </c>
      <c r="R133" s="13" t="s">
        <v>239</v>
      </c>
      <c r="T133" s="62">
        <v>1.3621816000000001E-3</v>
      </c>
      <c r="U133" s="62">
        <v>1.7681184000000001E-3</v>
      </c>
      <c r="V133" s="62">
        <v>1.815068975E-3</v>
      </c>
      <c r="W133" s="62">
        <v>2.9301988E-3</v>
      </c>
      <c r="X133" s="62">
        <v>2.9205313999999998E-3</v>
      </c>
      <c r="Y133" s="62">
        <v>2.1524535999999901E-3</v>
      </c>
      <c r="Z133" s="62">
        <v>1.9429327999999999E-3</v>
      </c>
      <c r="AA133" s="62">
        <v>2.1170692000000001E-3</v>
      </c>
      <c r="AB133" s="62">
        <v>1.8626088999999901E-3</v>
      </c>
      <c r="AC133" s="62">
        <v>1.7972451999999999E-3</v>
      </c>
      <c r="AD133" s="62">
        <v>1.8023994E-3</v>
      </c>
      <c r="AE133" t="s">
        <v>93</v>
      </c>
    </row>
    <row r="134" spans="1:31">
      <c r="A134" t="s">
        <v>267</v>
      </c>
      <c r="B134" t="s">
        <v>1</v>
      </c>
      <c r="C134" t="s">
        <v>225</v>
      </c>
      <c r="D134" s="13" t="str">
        <f>IFERROR(VLOOKUP(C134,ghg_sort!$A$86:$B$512,2,0),0)</f>
        <v>Agriculture</v>
      </c>
      <c r="E134" t="s">
        <v>85</v>
      </c>
      <c r="F134" s="13">
        <f>IFERROR(VLOOKUP($E134,ghg_sort!$A$3:$B$21,2,0),0)</f>
        <v>0</v>
      </c>
      <c r="G134" s="13">
        <f t="shared" si="23"/>
        <v>0</v>
      </c>
      <c r="H134" s="13">
        <f t="shared" si="24"/>
        <v>0</v>
      </c>
      <c r="I134" s="13">
        <f t="shared" si="25"/>
        <v>0</v>
      </c>
      <c r="J134" s="13">
        <f t="shared" si="26"/>
        <v>0</v>
      </c>
      <c r="K134" s="13">
        <f t="shared" si="27"/>
        <v>0</v>
      </c>
      <c r="L134" s="13">
        <f t="shared" si="28"/>
        <v>0</v>
      </c>
      <c r="M134" s="13">
        <f t="shared" si="29"/>
        <v>0</v>
      </c>
      <c r="N134" s="13">
        <f t="shared" si="30"/>
        <v>0</v>
      </c>
      <c r="O134" s="13">
        <f t="shared" si="31"/>
        <v>0</v>
      </c>
      <c r="P134" s="13">
        <f t="shared" si="32"/>
        <v>0</v>
      </c>
      <c r="Q134" s="13">
        <f t="shared" si="33"/>
        <v>0</v>
      </c>
      <c r="R134" s="13" t="s">
        <v>239</v>
      </c>
      <c r="T134" s="62">
        <v>3.6486437999999899E-2</v>
      </c>
      <c r="U134" s="62">
        <v>4.7093305999999897E-2</v>
      </c>
      <c r="V134" s="62">
        <v>4.828124927E-2</v>
      </c>
      <c r="W134" s="62">
        <v>6.8802675999999993E-2</v>
      </c>
      <c r="X134" s="62">
        <v>6.8535362000000002E-2</v>
      </c>
      <c r="Y134" s="62">
        <v>5.4418569E-2</v>
      </c>
      <c r="Z134" s="62">
        <v>5.0564249999999998E-2</v>
      </c>
      <c r="AA134" s="62">
        <v>5.3732825999999997E-2</v>
      </c>
      <c r="AB134" s="62">
        <v>4.9060077000000001E-2</v>
      </c>
      <c r="AC134" s="62">
        <v>4.7876716999999999E-2</v>
      </c>
      <c r="AD134" s="62">
        <v>4.8013319999999998E-2</v>
      </c>
      <c r="AE134" t="s">
        <v>93</v>
      </c>
    </row>
    <row r="135" spans="1:31">
      <c r="A135" t="s">
        <v>267</v>
      </c>
      <c r="B135" t="s">
        <v>1</v>
      </c>
      <c r="C135" t="s">
        <v>225</v>
      </c>
      <c r="D135" s="13" t="str">
        <f>IFERROR(VLOOKUP(C135,ghg_sort!$A$86:$B$512,2,0),0)</f>
        <v>Agriculture</v>
      </c>
      <c r="E135" t="s">
        <v>226</v>
      </c>
      <c r="F135" s="13">
        <f>IFERROR(VLOOKUP($E135,ghg_sort!$A$3:$B$21,2,0),0)</f>
        <v>0</v>
      </c>
      <c r="G135" s="13">
        <f t="shared" si="23"/>
        <v>0</v>
      </c>
      <c r="H135" s="13">
        <f t="shared" si="24"/>
        <v>0</v>
      </c>
      <c r="I135" s="13">
        <f t="shared" si="25"/>
        <v>0</v>
      </c>
      <c r="J135" s="13">
        <f t="shared" si="26"/>
        <v>0</v>
      </c>
      <c r="K135" s="13">
        <f t="shared" si="27"/>
        <v>0</v>
      </c>
      <c r="L135" s="13">
        <f t="shared" si="28"/>
        <v>0</v>
      </c>
      <c r="M135" s="13">
        <f t="shared" si="29"/>
        <v>0</v>
      </c>
      <c r="N135" s="13">
        <f t="shared" si="30"/>
        <v>0</v>
      </c>
      <c r="O135" s="13">
        <f t="shared" si="31"/>
        <v>0</v>
      </c>
      <c r="P135" s="13">
        <f t="shared" si="32"/>
        <v>0</v>
      </c>
      <c r="Q135" s="13">
        <f t="shared" si="33"/>
        <v>0</v>
      </c>
      <c r="R135" s="13" t="s">
        <v>239</v>
      </c>
      <c r="T135" s="63">
        <v>9.0532109999999998E-4</v>
      </c>
      <c r="U135" s="62">
        <v>1.1471362000000001E-3</v>
      </c>
      <c r="V135" s="62">
        <v>1.1737729363999899E-3</v>
      </c>
      <c r="W135" s="62">
        <v>1.9741635999999999E-3</v>
      </c>
      <c r="X135" s="62">
        <v>1.9681071999999998E-3</v>
      </c>
      <c r="Y135" s="62">
        <v>1.4186593E-3</v>
      </c>
      <c r="Z135" s="62">
        <v>1.2688211000000001E-3</v>
      </c>
      <c r="AA135" s="62">
        <v>1.3937086E-3</v>
      </c>
      <c r="AB135" s="62">
        <v>1.2116418999999999E-3</v>
      </c>
      <c r="AC135" s="62">
        <v>1.1647199999999999E-3</v>
      </c>
      <c r="AD135" s="62">
        <v>1.1680213999999999E-3</v>
      </c>
      <c r="AE135" t="s">
        <v>93</v>
      </c>
    </row>
    <row r="136" spans="1:31">
      <c r="A136" t="s">
        <v>267</v>
      </c>
      <c r="B136" t="s">
        <v>1</v>
      </c>
      <c r="C136" t="s">
        <v>225</v>
      </c>
      <c r="D136" s="13" t="str">
        <f>IFERROR(VLOOKUP(C136,ghg_sort!$A$86:$B$512,2,0),0)</f>
        <v>Agriculture</v>
      </c>
      <c r="E136" t="s">
        <v>87</v>
      </c>
      <c r="F136" s="13">
        <f>IFERROR(VLOOKUP($E136,ghg_sort!$A$3:$B$21,2,0),0)</f>
        <v>298</v>
      </c>
      <c r="G136" s="13">
        <f t="shared" si="23"/>
        <v>2.1461364E-2</v>
      </c>
      <c r="H136" s="13">
        <f t="shared" si="24"/>
        <v>2.7156576100000003E-2</v>
      </c>
      <c r="I136" s="13">
        <f t="shared" si="25"/>
        <v>2.7714133283480002E-2</v>
      </c>
      <c r="J136" s="13">
        <f t="shared" si="26"/>
        <v>4.0995809340000001E-2</v>
      </c>
      <c r="K136" s="13">
        <f t="shared" si="27"/>
        <v>4.0847482819999704E-2</v>
      </c>
      <c r="L136" s="13">
        <f t="shared" si="28"/>
        <v>3.1808233919999998E-2</v>
      </c>
      <c r="M136" s="13">
        <f t="shared" si="29"/>
        <v>2.9341485279999968E-2</v>
      </c>
      <c r="N136" s="13">
        <f t="shared" si="30"/>
        <v>3.1378872539999998E-2</v>
      </c>
      <c r="O136" s="13">
        <f t="shared" si="31"/>
        <v>2.8385882719999998E-2</v>
      </c>
      <c r="P136" s="13">
        <f t="shared" si="32"/>
        <v>2.7623893739999999E-2</v>
      </c>
      <c r="Q136" s="13">
        <f t="shared" si="33"/>
        <v>2.7701284339999997E-2</v>
      </c>
      <c r="R136" s="13" t="s">
        <v>239</v>
      </c>
      <c r="T136" s="63">
        <v>7.2018000000000001E-5</v>
      </c>
      <c r="U136" s="63">
        <v>9.1129450000000006E-5</v>
      </c>
      <c r="V136" s="63">
        <v>9.3000447260000002E-5</v>
      </c>
      <c r="W136" s="63">
        <v>1.3756983E-4</v>
      </c>
      <c r="X136" s="63">
        <v>1.3707208999999901E-4</v>
      </c>
      <c r="Y136" s="63">
        <v>1.0673904E-4</v>
      </c>
      <c r="Z136" s="63">
        <v>9.8461359999999894E-5</v>
      </c>
      <c r="AA136" s="63">
        <v>1.0529823E-4</v>
      </c>
      <c r="AB136" s="63">
        <v>9.5254639999999997E-5</v>
      </c>
      <c r="AC136" s="63">
        <v>9.269763E-5</v>
      </c>
      <c r="AD136" s="63">
        <v>9.2957329999999994E-5</v>
      </c>
      <c r="AE136" t="s">
        <v>93</v>
      </c>
    </row>
    <row r="137" spans="1:31">
      <c r="A137" t="s">
        <v>267</v>
      </c>
      <c r="B137" t="s">
        <v>1</v>
      </c>
      <c r="C137" t="s">
        <v>225</v>
      </c>
      <c r="D137" s="13" t="str">
        <f>IFERROR(VLOOKUP(C137,ghg_sort!$A$86:$B$512,2,0),0)</f>
        <v>Agriculture</v>
      </c>
      <c r="E137" t="s">
        <v>88</v>
      </c>
      <c r="F137" s="13">
        <f>IFERROR(VLOOKUP($E137,ghg_sort!$A$3:$B$21,2,0),0)</f>
        <v>0</v>
      </c>
      <c r="G137" s="13">
        <f t="shared" si="23"/>
        <v>0</v>
      </c>
      <c r="H137" s="13">
        <f t="shared" si="24"/>
        <v>0</v>
      </c>
      <c r="I137" s="13">
        <f t="shared" si="25"/>
        <v>0</v>
      </c>
      <c r="J137" s="13">
        <f t="shared" si="26"/>
        <v>0</v>
      </c>
      <c r="K137" s="13">
        <f t="shared" si="27"/>
        <v>0</v>
      </c>
      <c r="L137" s="13">
        <f t="shared" si="28"/>
        <v>0</v>
      </c>
      <c r="M137" s="13">
        <f t="shared" si="29"/>
        <v>0</v>
      </c>
      <c r="N137" s="13">
        <f t="shared" si="30"/>
        <v>0</v>
      </c>
      <c r="O137" s="13">
        <f t="shared" si="31"/>
        <v>0</v>
      </c>
      <c r="P137" s="13">
        <f t="shared" si="32"/>
        <v>0</v>
      </c>
      <c r="Q137" s="13">
        <f t="shared" si="33"/>
        <v>0</v>
      </c>
      <c r="R137" s="13" t="s">
        <v>239</v>
      </c>
      <c r="T137" s="63">
        <v>3.4287195000000002E-4</v>
      </c>
      <c r="U137" s="63">
        <v>4.4428529000000003E-4</v>
      </c>
      <c r="V137" s="63">
        <v>4.5590529729999999E-4</v>
      </c>
      <c r="W137" s="63">
        <v>7.4862112000000005E-4</v>
      </c>
      <c r="X137" s="63">
        <v>7.4621273999999997E-4</v>
      </c>
      <c r="Y137" s="63">
        <v>5.4476627999999999E-4</v>
      </c>
      <c r="Z137" s="63">
        <v>4.8982012999999999E-4</v>
      </c>
      <c r="AA137" s="63">
        <v>5.3553778999999998E-4</v>
      </c>
      <c r="AB137" s="63">
        <v>4.6879362000000003E-4</v>
      </c>
      <c r="AC137" s="63">
        <v>4.5162555000000001E-4</v>
      </c>
      <c r="AD137" s="63">
        <v>4.5291869000000002E-4</v>
      </c>
      <c r="AE137" t="s">
        <v>93</v>
      </c>
    </row>
    <row r="138" spans="1:31">
      <c r="A138" t="s">
        <v>267</v>
      </c>
      <c r="B138" t="s">
        <v>1</v>
      </c>
      <c r="C138" t="s">
        <v>225</v>
      </c>
      <c r="D138" s="13" t="str">
        <f>IFERROR(VLOOKUP(C138,ghg_sort!$A$86:$B$512,2,0),0)</f>
        <v>Agriculture</v>
      </c>
      <c r="E138" t="s">
        <v>89</v>
      </c>
      <c r="F138" s="13">
        <f>IFERROR(VLOOKUP($E138,ghg_sort!$A$3:$B$21,2,0),0)</f>
        <v>0</v>
      </c>
      <c r="G138" s="13">
        <f t="shared" si="23"/>
        <v>0</v>
      </c>
      <c r="H138" s="13">
        <f t="shared" si="24"/>
        <v>0</v>
      </c>
      <c r="I138" s="13">
        <f t="shared" si="25"/>
        <v>0</v>
      </c>
      <c r="J138" s="13">
        <f t="shared" si="26"/>
        <v>0</v>
      </c>
      <c r="K138" s="13">
        <f t="shared" si="27"/>
        <v>0</v>
      </c>
      <c r="L138" s="13">
        <f t="shared" si="28"/>
        <v>0</v>
      </c>
      <c r="M138" s="13">
        <f t="shared" si="29"/>
        <v>0</v>
      </c>
      <c r="N138" s="13">
        <f t="shared" si="30"/>
        <v>0</v>
      </c>
      <c r="O138" s="13">
        <f t="shared" si="31"/>
        <v>0</v>
      </c>
      <c r="P138" s="13">
        <f t="shared" si="32"/>
        <v>0</v>
      </c>
      <c r="Q138" s="13">
        <f t="shared" si="33"/>
        <v>0</v>
      </c>
      <c r="R138" s="13" t="s">
        <v>239</v>
      </c>
      <c r="T138" s="62">
        <v>6.4266441999999901E-3</v>
      </c>
      <c r="U138" s="62">
        <v>8.42423629999999E-3</v>
      </c>
      <c r="V138" s="62">
        <v>8.6509853889999901E-3</v>
      </c>
      <c r="W138" s="62">
        <v>1.2907079599999999E-2</v>
      </c>
      <c r="X138" s="62">
        <v>1.28595638999999E-2</v>
      </c>
      <c r="Y138" s="62">
        <v>9.9337535999999994E-3</v>
      </c>
      <c r="Z138" s="62">
        <v>9.1352016999999997E-3</v>
      </c>
      <c r="AA138" s="62">
        <v>9.7947117999999892E-3</v>
      </c>
      <c r="AB138" s="62">
        <v>8.8258841000000005E-3</v>
      </c>
      <c r="AC138" s="62">
        <v>8.5790235999999992E-3</v>
      </c>
      <c r="AD138" s="62">
        <v>8.6036164999999994E-3</v>
      </c>
      <c r="AE138" t="s">
        <v>93</v>
      </c>
    </row>
    <row r="139" spans="1:31">
      <c r="A139" t="s">
        <v>267</v>
      </c>
      <c r="B139" t="s">
        <v>1</v>
      </c>
      <c r="C139" t="s">
        <v>225</v>
      </c>
      <c r="D139" s="13" t="str">
        <f>IFERROR(VLOOKUP(C139,ghg_sort!$A$86:$B$512,2,0),0)</f>
        <v>Agriculture</v>
      </c>
      <c r="E139" t="s">
        <v>90</v>
      </c>
      <c r="F139" s="13">
        <f>IFERROR(VLOOKUP($E139,ghg_sort!$A$3:$B$21,2,0),0)</f>
        <v>0</v>
      </c>
      <c r="G139" s="13">
        <f t="shared" si="23"/>
        <v>0</v>
      </c>
      <c r="H139" s="13">
        <f t="shared" si="24"/>
        <v>0</v>
      </c>
      <c r="I139" s="13">
        <f t="shared" si="25"/>
        <v>0</v>
      </c>
      <c r="J139" s="13">
        <f t="shared" si="26"/>
        <v>0</v>
      </c>
      <c r="K139" s="13">
        <f t="shared" si="27"/>
        <v>0</v>
      </c>
      <c r="L139" s="13">
        <f t="shared" si="28"/>
        <v>0</v>
      </c>
      <c r="M139" s="13">
        <f t="shared" si="29"/>
        <v>0</v>
      </c>
      <c r="N139" s="13">
        <f t="shared" si="30"/>
        <v>0</v>
      </c>
      <c r="O139" s="13">
        <f t="shared" si="31"/>
        <v>0</v>
      </c>
      <c r="P139" s="13">
        <f t="shared" si="32"/>
        <v>0</v>
      </c>
      <c r="Q139" s="13">
        <f t="shared" si="33"/>
        <v>0</v>
      </c>
      <c r="R139" s="13" t="s">
        <v>239</v>
      </c>
      <c r="T139" s="63">
        <v>9.6389999999999996E-4</v>
      </c>
      <c r="U139" s="62">
        <v>1.1901911E-3</v>
      </c>
      <c r="V139" s="62">
        <v>1.2075641075E-3</v>
      </c>
      <c r="W139" s="62">
        <v>1.7834616999999899E-3</v>
      </c>
      <c r="X139" s="62">
        <v>1.7771738E-3</v>
      </c>
      <c r="Y139" s="62">
        <v>1.3904712E-3</v>
      </c>
      <c r="Z139" s="62">
        <v>1.2849641999999901E-3</v>
      </c>
      <c r="AA139" s="62">
        <v>1.3721629999999901E-3</v>
      </c>
      <c r="AB139" s="62">
        <v>1.2441252000000001E-3</v>
      </c>
      <c r="AC139" s="62">
        <v>1.2115318999999999E-3</v>
      </c>
      <c r="AD139" s="62">
        <v>1.214847E-3</v>
      </c>
      <c r="AE139" t="s">
        <v>93</v>
      </c>
    </row>
    <row r="140" spans="1:31">
      <c r="A140" t="s">
        <v>267</v>
      </c>
      <c r="B140" t="s">
        <v>1</v>
      </c>
      <c r="C140" t="s">
        <v>225</v>
      </c>
      <c r="D140" s="13" t="str">
        <f>IFERROR(VLOOKUP(C140,ghg_sort!$A$86:$B$512,2,0),0)</f>
        <v>Agriculture</v>
      </c>
      <c r="E140" t="s">
        <v>91</v>
      </c>
      <c r="F140" s="13">
        <f>IFERROR(VLOOKUP($E140,ghg_sort!$A$3:$B$21,2,0),0)</f>
        <v>0</v>
      </c>
      <c r="G140" s="13">
        <f t="shared" si="23"/>
        <v>0</v>
      </c>
      <c r="H140" s="13">
        <f t="shared" si="24"/>
        <v>0</v>
      </c>
      <c r="I140" s="13">
        <f t="shared" si="25"/>
        <v>0</v>
      </c>
      <c r="J140" s="13">
        <f t="shared" si="26"/>
        <v>0</v>
      </c>
      <c r="K140" s="13">
        <f t="shared" si="27"/>
        <v>0</v>
      </c>
      <c r="L140" s="13">
        <f t="shared" si="28"/>
        <v>0</v>
      </c>
      <c r="M140" s="13">
        <f t="shared" si="29"/>
        <v>0</v>
      </c>
      <c r="N140" s="13">
        <f t="shared" si="30"/>
        <v>0</v>
      </c>
      <c r="O140" s="13">
        <f t="shared" si="31"/>
        <v>0</v>
      </c>
      <c r="P140" s="13">
        <f t="shared" si="32"/>
        <v>0</v>
      </c>
      <c r="Q140" s="13">
        <f t="shared" si="33"/>
        <v>0</v>
      </c>
      <c r="R140" s="13" t="s">
        <v>239</v>
      </c>
      <c r="T140" s="62">
        <v>3.6977167E-3</v>
      </c>
      <c r="U140" s="62">
        <v>4.8634713E-3</v>
      </c>
      <c r="V140" s="62">
        <v>5.0074025938999997E-3</v>
      </c>
      <c r="W140" s="62">
        <v>6.0277934999999998E-3</v>
      </c>
      <c r="X140" s="62">
        <v>5.9981213E-3</v>
      </c>
      <c r="Y140" s="62">
        <v>5.2780763999999997E-3</v>
      </c>
      <c r="Z140" s="62">
        <v>5.0807849000000004E-3</v>
      </c>
      <c r="AA140" s="62">
        <v>5.2366124999999996E-3</v>
      </c>
      <c r="AB140" s="62">
        <v>4.9989822E-3</v>
      </c>
      <c r="AC140" s="62">
        <v>4.9417747999999997E-3</v>
      </c>
      <c r="AD140" s="62">
        <v>4.9561122000000004E-3</v>
      </c>
      <c r="AE140" t="s">
        <v>93</v>
      </c>
    </row>
    <row r="141" spans="1:31">
      <c r="A141" t="s">
        <v>267</v>
      </c>
      <c r="B141" t="s">
        <v>1</v>
      </c>
      <c r="C141" t="s">
        <v>225</v>
      </c>
      <c r="D141" s="13" t="str">
        <f>IFERROR(VLOOKUP(C141,ghg_sort!$A$86:$B$512,2,0),0)</f>
        <v>Agriculture</v>
      </c>
      <c r="E141" t="s">
        <v>92</v>
      </c>
      <c r="F141" s="13">
        <f>IFERROR(VLOOKUP($E141,ghg_sort!$A$3:$B$21,2,0),0)</f>
        <v>0</v>
      </c>
      <c r="G141" s="13">
        <f t="shared" si="23"/>
        <v>0</v>
      </c>
      <c r="H141" s="13">
        <f t="shared" si="24"/>
        <v>0</v>
      </c>
      <c r="I141" s="13">
        <f t="shared" si="25"/>
        <v>0</v>
      </c>
      <c r="J141" s="13">
        <f t="shared" si="26"/>
        <v>0</v>
      </c>
      <c r="K141" s="13">
        <f t="shared" si="27"/>
        <v>0</v>
      </c>
      <c r="L141" s="13">
        <f t="shared" si="28"/>
        <v>0</v>
      </c>
      <c r="M141" s="13">
        <f t="shared" si="29"/>
        <v>0</v>
      </c>
      <c r="N141" s="13">
        <f t="shared" si="30"/>
        <v>0</v>
      </c>
      <c r="O141" s="13">
        <f t="shared" si="31"/>
        <v>0</v>
      </c>
      <c r="P141" s="13">
        <f t="shared" si="32"/>
        <v>0</v>
      </c>
      <c r="Q141" s="13">
        <f t="shared" si="33"/>
        <v>0</v>
      </c>
      <c r="R141" s="13" t="s">
        <v>239</v>
      </c>
      <c r="T141" s="63">
        <v>4.3564472E-4</v>
      </c>
      <c r="U141" s="63">
        <v>5.6885498999999999E-4</v>
      </c>
      <c r="V141" s="63">
        <v>5.8473679450999998E-4</v>
      </c>
      <c r="W141" s="63">
        <v>6.7190353999999996E-4</v>
      </c>
      <c r="X141" s="63">
        <v>6.6842126999999999E-4</v>
      </c>
      <c r="Y141" s="63">
        <v>6.0697295999999996E-4</v>
      </c>
      <c r="Z141" s="63">
        <v>5.9009895999999904E-4</v>
      </c>
      <c r="AA141" s="63">
        <v>6.0305821999999995E-4</v>
      </c>
      <c r="AB141" s="63">
        <v>5.8282203999999896E-4</v>
      </c>
      <c r="AC141" s="63">
        <v>5.7813015999999995E-4</v>
      </c>
      <c r="AD141" s="63">
        <v>5.7979689999999905E-4</v>
      </c>
      <c r="AE141" t="s">
        <v>93</v>
      </c>
    </row>
    <row r="142" spans="1:31">
      <c r="A142" t="s">
        <v>267</v>
      </c>
      <c r="B142" t="s">
        <v>1</v>
      </c>
      <c r="C142" t="s">
        <v>227</v>
      </c>
      <c r="D142" s="13" t="str">
        <f>IFERROR(VLOOKUP(C142,ghg_sort!$A$86:$B$512,2,0),0)</f>
        <v>Agriculture</v>
      </c>
      <c r="E142" t="s">
        <v>206</v>
      </c>
      <c r="F142" s="13">
        <f>IFERROR(VLOOKUP($E142,ghg_sort!$A$3:$B$21,2,0),0)</f>
        <v>0</v>
      </c>
      <c r="G142" s="13">
        <f t="shared" si="23"/>
        <v>0</v>
      </c>
      <c r="H142" s="13">
        <f t="shared" si="24"/>
        <v>0</v>
      </c>
      <c r="I142" s="13">
        <f t="shared" si="25"/>
        <v>0</v>
      </c>
      <c r="J142" s="13">
        <f t="shared" si="26"/>
        <v>0</v>
      </c>
      <c r="K142" s="13">
        <f t="shared" si="27"/>
        <v>0</v>
      </c>
      <c r="L142" s="13">
        <f t="shared" si="28"/>
        <v>0</v>
      </c>
      <c r="M142" s="13">
        <f t="shared" si="29"/>
        <v>0</v>
      </c>
      <c r="N142" s="13">
        <f t="shared" si="30"/>
        <v>0</v>
      </c>
      <c r="O142" s="13">
        <f t="shared" si="31"/>
        <v>0</v>
      </c>
      <c r="P142" s="13">
        <f t="shared" si="32"/>
        <v>0</v>
      </c>
      <c r="Q142" s="13">
        <f t="shared" si="33"/>
        <v>0</v>
      </c>
      <c r="R142" s="13" t="s">
        <v>239</v>
      </c>
      <c r="T142" s="63">
        <v>2.18E-8</v>
      </c>
      <c r="U142" s="63">
        <v>2.0029999999999999E-7</v>
      </c>
      <c r="V142" s="63">
        <v>1.1578279999999999E-5</v>
      </c>
      <c r="W142" s="63">
        <v>1.6238120000000001E-5</v>
      </c>
      <c r="X142" s="63">
        <v>1.091895E-5</v>
      </c>
      <c r="Y142" s="63">
        <v>6.6463100000000001E-6</v>
      </c>
      <c r="Z142" s="63">
        <v>6.3619799999999997E-6</v>
      </c>
      <c r="AA142" s="63">
        <v>6.7377199999999996E-6</v>
      </c>
      <c r="AB142" s="63">
        <v>7.13519E-6</v>
      </c>
      <c r="AC142" s="63">
        <v>7.6480599999999994E-6</v>
      </c>
      <c r="AD142" s="63">
        <v>8.1776900000000006E-6</v>
      </c>
      <c r="AE142" t="s">
        <v>93</v>
      </c>
    </row>
    <row r="143" spans="1:31">
      <c r="A143" t="s">
        <v>267</v>
      </c>
      <c r="B143" t="s">
        <v>1</v>
      </c>
      <c r="C143" t="s">
        <v>227</v>
      </c>
      <c r="D143" s="13" t="str">
        <f>IFERROR(VLOOKUP(C143,ghg_sort!$A$86:$B$512,2,0),0)</f>
        <v>Agriculture</v>
      </c>
      <c r="E143" t="s">
        <v>105</v>
      </c>
      <c r="F143" s="13">
        <f>IFERROR(VLOOKUP($E143,ghg_sort!$A$3:$B$21,2,0),0)</f>
        <v>25</v>
      </c>
      <c r="G143" s="13">
        <f t="shared" si="23"/>
        <v>4.2374999999999997E-6</v>
      </c>
      <c r="H143" s="13">
        <f t="shared" si="24"/>
        <v>3.8854999999999749E-5</v>
      </c>
      <c r="I143" s="13">
        <f t="shared" si="25"/>
        <v>1.3908074999999999E-4</v>
      </c>
      <c r="J143" s="13">
        <f t="shared" si="26"/>
        <v>1.9505600000000001E-4</v>
      </c>
      <c r="K143" s="13">
        <f t="shared" si="27"/>
        <v>1.31161E-4</v>
      </c>
      <c r="L143" s="13">
        <f t="shared" si="28"/>
        <v>7.9837250000000005E-5</v>
      </c>
      <c r="M143" s="13">
        <f t="shared" si="29"/>
        <v>7.64215E-5</v>
      </c>
      <c r="N143" s="13">
        <f t="shared" si="30"/>
        <v>8.0934999999999753E-5</v>
      </c>
      <c r="O143" s="13">
        <f t="shared" si="31"/>
        <v>8.5709499999999997E-5</v>
      </c>
      <c r="P143" s="13">
        <f t="shared" si="32"/>
        <v>9.187049999999975E-5</v>
      </c>
      <c r="Q143" s="13">
        <f t="shared" si="33"/>
        <v>9.8232499999999998E-5</v>
      </c>
      <c r="R143" s="13" t="s">
        <v>239</v>
      </c>
      <c r="T143" s="63">
        <v>1.695E-7</v>
      </c>
      <c r="U143" s="63">
        <v>1.5541999999999899E-6</v>
      </c>
      <c r="V143" s="63">
        <v>5.5632299999999999E-6</v>
      </c>
      <c r="W143" s="63">
        <v>7.8022400000000007E-6</v>
      </c>
      <c r="X143" s="63">
        <v>5.2464399999999997E-6</v>
      </c>
      <c r="Y143" s="63">
        <v>3.1934900000000001E-6</v>
      </c>
      <c r="Z143" s="63">
        <v>3.0568600000000001E-6</v>
      </c>
      <c r="AA143" s="63">
        <v>3.23739999999999E-6</v>
      </c>
      <c r="AB143" s="63">
        <v>3.4283799999999999E-6</v>
      </c>
      <c r="AC143" s="63">
        <v>3.6748199999999899E-6</v>
      </c>
      <c r="AD143" s="63">
        <v>3.9292999999999998E-6</v>
      </c>
      <c r="AE143" t="s">
        <v>93</v>
      </c>
    </row>
    <row r="144" spans="1:31">
      <c r="A144" t="s">
        <v>267</v>
      </c>
      <c r="B144" t="s">
        <v>1</v>
      </c>
      <c r="C144" t="s">
        <v>227</v>
      </c>
      <c r="D144" s="13" t="str">
        <f>IFERROR(VLOOKUP(C144,ghg_sort!$A$86:$B$512,2,0),0)</f>
        <v>Agriculture</v>
      </c>
      <c r="E144" t="s">
        <v>207</v>
      </c>
      <c r="F144" s="13">
        <f>IFERROR(VLOOKUP($E144,ghg_sort!$A$3:$B$21,2,0),0)</f>
        <v>0</v>
      </c>
      <c r="G144" s="13">
        <f t="shared" si="23"/>
        <v>0</v>
      </c>
      <c r="H144" s="13">
        <f t="shared" si="24"/>
        <v>0</v>
      </c>
      <c r="I144" s="13">
        <f t="shared" si="25"/>
        <v>0</v>
      </c>
      <c r="J144" s="13">
        <f t="shared" si="26"/>
        <v>0</v>
      </c>
      <c r="K144" s="13">
        <f t="shared" si="27"/>
        <v>0</v>
      </c>
      <c r="L144" s="13">
        <f t="shared" si="28"/>
        <v>0</v>
      </c>
      <c r="M144" s="13">
        <f t="shared" si="29"/>
        <v>0</v>
      </c>
      <c r="N144" s="13">
        <f t="shared" si="30"/>
        <v>0</v>
      </c>
      <c r="O144" s="13">
        <f t="shared" si="31"/>
        <v>0</v>
      </c>
      <c r="P144" s="13">
        <f t="shared" si="32"/>
        <v>0</v>
      </c>
      <c r="Q144" s="13">
        <f t="shared" si="33"/>
        <v>0</v>
      </c>
      <c r="R144" s="13" t="s">
        <v>239</v>
      </c>
      <c r="T144" s="63">
        <v>2.9706E-6</v>
      </c>
      <c r="U144" s="63">
        <v>2.7238099999999999E-5</v>
      </c>
      <c r="V144" s="63">
        <v>9.7498399999999995E-5</v>
      </c>
      <c r="W144" s="63">
        <v>1.3673799999999999E-4</v>
      </c>
      <c r="X144" s="63">
        <v>9.1946299999999998E-5</v>
      </c>
      <c r="Y144" s="63">
        <v>5.59672999999999E-5</v>
      </c>
      <c r="Z144" s="63">
        <v>5.3572999999999997E-5</v>
      </c>
      <c r="AA144" s="63">
        <v>5.6736999999999901E-5</v>
      </c>
      <c r="AB144" s="63">
        <v>6.0084000000000003E-5</v>
      </c>
      <c r="AC144" s="63">
        <v>6.4402900000000006E-5</v>
      </c>
      <c r="AD144" s="63">
        <v>6.8862700000000001E-5</v>
      </c>
      <c r="AE144" t="s">
        <v>93</v>
      </c>
    </row>
    <row r="145" spans="1:31">
      <c r="A145" t="s">
        <v>267</v>
      </c>
      <c r="B145" t="s">
        <v>1</v>
      </c>
      <c r="C145" t="s">
        <v>227</v>
      </c>
      <c r="D145" s="13" t="str">
        <f>IFERROR(VLOOKUP(C145,ghg_sort!$A$86:$B$512,2,0),0)</f>
        <v>Agriculture</v>
      </c>
      <c r="E145" t="s">
        <v>208</v>
      </c>
      <c r="F145" s="13">
        <f>IFERROR(VLOOKUP($E145,ghg_sort!$A$3:$B$21,2,0),0)</f>
        <v>0</v>
      </c>
      <c r="G145" s="13">
        <f t="shared" si="23"/>
        <v>0</v>
      </c>
      <c r="H145" s="13">
        <f t="shared" si="24"/>
        <v>0</v>
      </c>
      <c r="I145" s="13">
        <f t="shared" si="25"/>
        <v>0</v>
      </c>
      <c r="J145" s="13">
        <f t="shared" si="26"/>
        <v>0</v>
      </c>
      <c r="K145" s="13">
        <f t="shared" si="27"/>
        <v>0</v>
      </c>
      <c r="L145" s="13">
        <f t="shared" si="28"/>
        <v>0</v>
      </c>
      <c r="M145" s="13">
        <f t="shared" si="29"/>
        <v>0</v>
      </c>
      <c r="N145" s="13">
        <f t="shared" si="30"/>
        <v>0</v>
      </c>
      <c r="O145" s="13">
        <f t="shared" si="31"/>
        <v>0</v>
      </c>
      <c r="P145" s="13">
        <f t="shared" si="32"/>
        <v>0</v>
      </c>
      <c r="Q145" s="13">
        <f t="shared" si="33"/>
        <v>0</v>
      </c>
      <c r="R145" s="13" t="s">
        <v>239</v>
      </c>
      <c r="T145" s="63">
        <v>6.8799999999999994E-8</v>
      </c>
      <c r="U145" s="63">
        <v>6.3160000000000002E-7</v>
      </c>
      <c r="V145" s="63">
        <v>2.2608029999999999E-6</v>
      </c>
      <c r="W145" s="63">
        <v>3.1706900000000001E-6</v>
      </c>
      <c r="X145" s="63">
        <v>2.1320620000000001E-6</v>
      </c>
      <c r="Y145" s="63">
        <v>1.297775E-6</v>
      </c>
      <c r="Z145" s="63">
        <v>1.242257E-6</v>
      </c>
      <c r="AA145" s="63">
        <v>1.3156229999999999E-6</v>
      </c>
      <c r="AB145" s="63">
        <v>1.393235E-6</v>
      </c>
      <c r="AC145" s="63">
        <v>1.4933799999999901E-6</v>
      </c>
      <c r="AD145" s="63">
        <v>1.596796E-6</v>
      </c>
      <c r="AE145" t="s">
        <v>93</v>
      </c>
    </row>
    <row r="146" spans="1:31">
      <c r="A146" t="s">
        <v>267</v>
      </c>
      <c r="B146" t="s">
        <v>1</v>
      </c>
      <c r="C146" t="s">
        <v>227</v>
      </c>
      <c r="D146" s="13" t="str">
        <f>IFERROR(VLOOKUP(C146,ghg_sort!$A$86:$B$512,2,0),0)</f>
        <v>Agriculture</v>
      </c>
      <c r="E146" t="s">
        <v>101</v>
      </c>
      <c r="F146" s="13">
        <f>IFERROR(VLOOKUP($E146,ghg_sort!$A$3:$B$21,2,0),0)</f>
        <v>298</v>
      </c>
      <c r="G146" s="13">
        <f t="shared" si="23"/>
        <v>6.9782660000000001E-4</v>
      </c>
      <c r="H146" s="13">
        <f t="shared" si="24"/>
        <v>7.5977782000000004E-3</v>
      </c>
      <c r="I146" s="13">
        <f t="shared" si="25"/>
        <v>2.33283936E-2</v>
      </c>
      <c r="J146" s="13">
        <f t="shared" si="26"/>
        <v>3.6367919999999998E-2</v>
      </c>
      <c r="K146" s="13">
        <f t="shared" si="27"/>
        <v>3.4817277000000001E-2</v>
      </c>
      <c r="L146" s="13">
        <f t="shared" si="28"/>
        <v>3.4090157000000003E-2</v>
      </c>
      <c r="M146" s="13">
        <f t="shared" si="29"/>
        <v>3.3484442199999701E-2</v>
      </c>
      <c r="N146" s="13">
        <f t="shared" si="30"/>
        <v>3.4707493800000003E-2</v>
      </c>
      <c r="O146" s="13">
        <f t="shared" si="31"/>
        <v>3.5955935000000001E-2</v>
      </c>
      <c r="P146" s="13">
        <f t="shared" si="32"/>
        <v>3.8540459200000002E-2</v>
      </c>
      <c r="Q146" s="13">
        <f t="shared" si="33"/>
        <v>4.1209376999999998E-2</v>
      </c>
      <c r="R146" s="13" t="s">
        <v>239</v>
      </c>
      <c r="T146" s="63">
        <v>2.3417E-6</v>
      </c>
      <c r="U146" s="63">
        <v>2.5495900000000001E-5</v>
      </c>
      <c r="V146" s="63">
        <v>7.8283199999999996E-5</v>
      </c>
      <c r="W146" s="63">
        <v>1.2204E-4</v>
      </c>
      <c r="X146" s="63">
        <v>1.168365E-4</v>
      </c>
      <c r="Y146" s="63">
        <v>1.143965E-4</v>
      </c>
      <c r="Z146" s="63">
        <v>1.12363899999999E-4</v>
      </c>
      <c r="AA146" s="63">
        <v>1.164681E-4</v>
      </c>
      <c r="AB146" s="63">
        <v>1.206575E-4</v>
      </c>
      <c r="AC146" s="63">
        <v>1.2933040000000001E-4</v>
      </c>
      <c r="AD146" s="63">
        <v>1.382865E-4</v>
      </c>
      <c r="AE146" t="s">
        <v>93</v>
      </c>
    </row>
    <row r="147" spans="1:31">
      <c r="A147" t="s">
        <v>267</v>
      </c>
      <c r="B147" t="s">
        <v>1</v>
      </c>
      <c r="C147" t="s">
        <v>227</v>
      </c>
      <c r="D147" s="13" t="str">
        <f>IFERROR(VLOOKUP(C147,ghg_sort!$A$86:$B$512,2,0),0)</f>
        <v>Agriculture</v>
      </c>
      <c r="E147" t="s">
        <v>102</v>
      </c>
      <c r="F147" s="13">
        <f>IFERROR(VLOOKUP($E147,ghg_sort!$A$3:$B$21,2,0),0)</f>
        <v>298</v>
      </c>
      <c r="G147" s="13">
        <f t="shared" si="23"/>
        <v>8.6420000000000002E-7</v>
      </c>
      <c r="H147" s="13">
        <f t="shared" si="24"/>
        <v>7.956600000000001E-6</v>
      </c>
      <c r="I147" s="13">
        <f t="shared" si="25"/>
        <v>2.84805156E-5</v>
      </c>
      <c r="J147" s="13">
        <f t="shared" si="26"/>
        <v>3.9942936600000002E-5</v>
      </c>
      <c r="K147" s="13">
        <f t="shared" si="27"/>
        <v>2.6858710199999998E-5</v>
      </c>
      <c r="L147" s="13">
        <f t="shared" si="28"/>
        <v>1.6348756799999998E-5</v>
      </c>
      <c r="M147" s="13">
        <f t="shared" si="29"/>
        <v>1.5649380600000001E-5</v>
      </c>
      <c r="N147" s="13">
        <f t="shared" si="30"/>
        <v>1.6573597799999998E-5</v>
      </c>
      <c r="O147" s="13">
        <f t="shared" si="31"/>
        <v>1.7551305999999999E-5</v>
      </c>
      <c r="P147" s="13">
        <f t="shared" si="32"/>
        <v>1.8812918799999999E-5</v>
      </c>
      <c r="Q147" s="13">
        <f t="shared" si="33"/>
        <v>2.01156854E-5</v>
      </c>
      <c r="R147" s="13" t="s">
        <v>239</v>
      </c>
      <c r="T147" s="63">
        <v>2.8999999999999999E-9</v>
      </c>
      <c r="U147" s="63">
        <v>2.6700000000000001E-8</v>
      </c>
      <c r="V147" s="63">
        <v>9.5572200000000001E-8</v>
      </c>
      <c r="W147" s="63">
        <v>1.3403669999999999E-7</v>
      </c>
      <c r="X147" s="63">
        <v>9.0129899999999995E-8</v>
      </c>
      <c r="Y147" s="63">
        <v>5.4861599999999997E-8</v>
      </c>
      <c r="Z147" s="63">
        <v>5.2514700000000001E-8</v>
      </c>
      <c r="AA147" s="63">
        <v>5.5616099999999999E-8</v>
      </c>
      <c r="AB147" s="63">
        <v>5.8897000000000001E-8</v>
      </c>
      <c r="AC147" s="63">
        <v>6.3130600000000003E-8</v>
      </c>
      <c r="AD147" s="63">
        <v>6.7502299999999994E-8</v>
      </c>
      <c r="AE147" t="s">
        <v>93</v>
      </c>
    </row>
    <row r="148" spans="1:31">
      <c r="A148" t="s">
        <v>267</v>
      </c>
      <c r="B148" t="s">
        <v>1</v>
      </c>
      <c r="C148" t="s">
        <v>227</v>
      </c>
      <c r="D148" s="13" t="str">
        <f>IFERROR(VLOOKUP(C148,ghg_sort!$A$86:$B$512,2,0),0)</f>
        <v>Agriculture</v>
      </c>
      <c r="E148" t="s">
        <v>202</v>
      </c>
      <c r="F148" s="13">
        <f>IFERROR(VLOOKUP($E148,ghg_sort!$A$3:$B$21,2,0),0)</f>
        <v>0</v>
      </c>
      <c r="G148" s="13">
        <f t="shared" si="23"/>
        <v>0</v>
      </c>
      <c r="H148" s="13">
        <f t="shared" si="24"/>
        <v>0</v>
      </c>
      <c r="I148" s="13">
        <f t="shared" si="25"/>
        <v>0</v>
      </c>
      <c r="J148" s="13">
        <f t="shared" si="26"/>
        <v>0</v>
      </c>
      <c r="K148" s="13">
        <f t="shared" si="27"/>
        <v>0</v>
      </c>
      <c r="L148" s="13">
        <f t="shared" si="28"/>
        <v>0</v>
      </c>
      <c r="M148" s="13">
        <f t="shared" si="29"/>
        <v>0</v>
      </c>
      <c r="N148" s="13">
        <f t="shared" si="30"/>
        <v>0</v>
      </c>
      <c r="O148" s="13">
        <f t="shared" si="31"/>
        <v>0</v>
      </c>
      <c r="P148" s="13">
        <f t="shared" si="32"/>
        <v>0</v>
      </c>
      <c r="Q148" s="13">
        <f t="shared" si="33"/>
        <v>0</v>
      </c>
      <c r="R148" s="13" t="s">
        <v>239</v>
      </c>
      <c r="T148" s="63">
        <v>1.34902999999999E-5</v>
      </c>
      <c r="U148" s="63">
        <v>1.543653E-4</v>
      </c>
      <c r="V148" s="63">
        <v>5.1850300000000002E-4</v>
      </c>
      <c r="W148" s="63">
        <v>7.6729000000000001E-4</v>
      </c>
      <c r="X148" s="63">
        <v>7.4956599999999904E-4</v>
      </c>
      <c r="Y148" s="63">
        <v>7.4920200000000003E-4</v>
      </c>
      <c r="Z148" s="63">
        <v>7.5154699999999998E-4</v>
      </c>
      <c r="AA148" s="63">
        <v>7.9593299999999997E-4</v>
      </c>
      <c r="AB148" s="63">
        <v>8.4288699999999995E-4</v>
      </c>
      <c r="AC148" s="63">
        <v>9.0347400000000003E-4</v>
      </c>
      <c r="AD148" s="63">
        <v>9.6603900000000003E-4</v>
      </c>
      <c r="AE148" t="s">
        <v>93</v>
      </c>
    </row>
    <row r="149" spans="1:31">
      <c r="A149" t="s">
        <v>267</v>
      </c>
      <c r="B149" t="s">
        <v>1</v>
      </c>
      <c r="C149" t="s">
        <v>227</v>
      </c>
      <c r="D149" s="13" t="str">
        <f>IFERROR(VLOOKUP(C149,ghg_sort!$A$86:$B$512,2,0),0)</f>
        <v>Agriculture</v>
      </c>
      <c r="E149" t="s">
        <v>209</v>
      </c>
      <c r="F149" s="13">
        <f>IFERROR(VLOOKUP($E149,ghg_sort!$A$3:$B$21,2,0),0)</f>
        <v>0</v>
      </c>
      <c r="G149" s="13">
        <f t="shared" si="23"/>
        <v>0</v>
      </c>
      <c r="H149" s="13">
        <f t="shared" si="24"/>
        <v>0</v>
      </c>
      <c r="I149" s="13">
        <f t="shared" si="25"/>
        <v>0</v>
      </c>
      <c r="J149" s="13">
        <f t="shared" si="26"/>
        <v>0</v>
      </c>
      <c r="K149" s="13">
        <f t="shared" si="27"/>
        <v>0</v>
      </c>
      <c r="L149" s="13">
        <f t="shared" si="28"/>
        <v>0</v>
      </c>
      <c r="M149" s="13">
        <f t="shared" si="29"/>
        <v>0</v>
      </c>
      <c r="N149" s="13">
        <f t="shared" si="30"/>
        <v>0</v>
      </c>
      <c r="O149" s="13">
        <f t="shared" si="31"/>
        <v>0</v>
      </c>
      <c r="P149" s="13">
        <f t="shared" si="32"/>
        <v>0</v>
      </c>
      <c r="Q149" s="13">
        <f t="shared" si="33"/>
        <v>0</v>
      </c>
      <c r="R149" s="13" t="s">
        <v>239</v>
      </c>
      <c r="T149" s="63">
        <v>6.3199999999999997E-8</v>
      </c>
      <c r="U149" s="63">
        <v>5.7950000000000002E-7</v>
      </c>
      <c r="V149" s="63">
        <v>2.0743159999999998E-6</v>
      </c>
      <c r="W149" s="63">
        <v>2.9091499999999999E-6</v>
      </c>
      <c r="X149" s="63">
        <v>1.95619199999999E-6</v>
      </c>
      <c r="Y149" s="63">
        <v>1.1907229999999899E-6</v>
      </c>
      <c r="Z149" s="63">
        <v>1.1397850000000001E-6</v>
      </c>
      <c r="AA149" s="63">
        <v>1.207099E-6</v>
      </c>
      <c r="AB149" s="63">
        <v>1.2783079999999999E-6</v>
      </c>
      <c r="AC149" s="63">
        <v>1.370193E-6</v>
      </c>
      <c r="AD149" s="63">
        <v>1.465078E-6</v>
      </c>
      <c r="AE149" t="s">
        <v>93</v>
      </c>
    </row>
    <row r="150" spans="1:31">
      <c r="A150" t="s">
        <v>267</v>
      </c>
      <c r="B150" t="s">
        <v>1</v>
      </c>
      <c r="C150" t="s">
        <v>227</v>
      </c>
      <c r="D150" s="13" t="str">
        <f>IFERROR(VLOOKUP(C150,ghg_sort!$A$86:$B$512,2,0),0)</f>
        <v>Agriculture</v>
      </c>
      <c r="E150" t="s">
        <v>210</v>
      </c>
      <c r="F150" s="13">
        <f>IFERROR(VLOOKUP($E150,ghg_sort!$A$3:$B$21,2,0),0)</f>
        <v>0</v>
      </c>
      <c r="G150" s="13">
        <f t="shared" si="23"/>
        <v>0</v>
      </c>
      <c r="H150" s="13">
        <f t="shared" si="24"/>
        <v>0</v>
      </c>
      <c r="I150" s="13">
        <f t="shared" si="25"/>
        <v>0</v>
      </c>
      <c r="J150" s="13">
        <f t="shared" si="26"/>
        <v>0</v>
      </c>
      <c r="K150" s="13">
        <f t="shared" si="27"/>
        <v>0</v>
      </c>
      <c r="L150" s="13">
        <f t="shared" si="28"/>
        <v>0</v>
      </c>
      <c r="M150" s="13">
        <f t="shared" si="29"/>
        <v>0</v>
      </c>
      <c r="N150" s="13">
        <f t="shared" si="30"/>
        <v>0</v>
      </c>
      <c r="O150" s="13">
        <f t="shared" si="31"/>
        <v>0</v>
      </c>
      <c r="P150" s="13">
        <f t="shared" si="32"/>
        <v>0</v>
      </c>
      <c r="Q150" s="13">
        <f t="shared" si="33"/>
        <v>0</v>
      </c>
      <c r="R150" s="13" t="s">
        <v>239</v>
      </c>
      <c r="T150" s="63">
        <v>7.1209999999999897E-7</v>
      </c>
      <c r="U150" s="63">
        <v>6.5180000000000001E-6</v>
      </c>
      <c r="V150" s="63">
        <v>2.3331060000000002E-5</v>
      </c>
      <c r="W150" s="63">
        <v>3.2721100000000001E-5</v>
      </c>
      <c r="X150" s="63">
        <v>2.200252E-5</v>
      </c>
      <c r="Y150" s="63">
        <v>1.3392810000000001E-5</v>
      </c>
      <c r="Z150" s="63">
        <v>1.281987E-5</v>
      </c>
      <c r="AA150" s="63">
        <v>1.3577000000000001E-5</v>
      </c>
      <c r="AB150" s="63">
        <v>1.4377939999999999E-5</v>
      </c>
      <c r="AC150" s="63">
        <v>1.5411430000000002E-5</v>
      </c>
      <c r="AD150" s="63">
        <v>1.6478659999999999E-5</v>
      </c>
      <c r="AE150" t="s">
        <v>93</v>
      </c>
    </row>
    <row r="151" spans="1:31">
      <c r="A151" t="s">
        <v>267</v>
      </c>
      <c r="B151" t="s">
        <v>1</v>
      </c>
      <c r="C151" t="s">
        <v>227</v>
      </c>
      <c r="D151" s="13" t="str">
        <f>IFERROR(VLOOKUP(C151,ghg_sort!$A$86:$B$512,2,0),0)</f>
        <v>Agriculture</v>
      </c>
      <c r="E151" t="s">
        <v>204</v>
      </c>
      <c r="F151" s="13">
        <f>IFERROR(VLOOKUP($E151,ghg_sort!$A$3:$B$21,2,0),0)</f>
        <v>0</v>
      </c>
      <c r="G151" s="13">
        <f t="shared" si="23"/>
        <v>0</v>
      </c>
      <c r="H151" s="13">
        <f t="shared" si="24"/>
        <v>0</v>
      </c>
      <c r="I151" s="13">
        <f t="shared" si="25"/>
        <v>0</v>
      </c>
      <c r="J151" s="13">
        <f t="shared" si="26"/>
        <v>0</v>
      </c>
      <c r="K151" s="13">
        <f t="shared" si="27"/>
        <v>0</v>
      </c>
      <c r="L151" s="13">
        <f t="shared" si="28"/>
        <v>0</v>
      </c>
      <c r="M151" s="13">
        <f t="shared" si="29"/>
        <v>0</v>
      </c>
      <c r="N151" s="13">
        <f t="shared" si="30"/>
        <v>0</v>
      </c>
      <c r="O151" s="13">
        <f t="shared" si="31"/>
        <v>0</v>
      </c>
      <c r="P151" s="13">
        <f t="shared" si="32"/>
        <v>0</v>
      </c>
      <c r="Q151" s="13">
        <f t="shared" si="33"/>
        <v>0</v>
      </c>
      <c r="R151" s="13" t="s">
        <v>239</v>
      </c>
      <c r="T151" s="63">
        <v>1.1316000000000001E-6</v>
      </c>
      <c r="U151" s="63">
        <v>9.9260999999999997E-6</v>
      </c>
      <c r="V151" s="63">
        <v>3.5298800000000002E-5</v>
      </c>
      <c r="W151" s="63">
        <v>4.4406999999999997E-5</v>
      </c>
      <c r="X151" s="63">
        <v>4.3381199999999997E-5</v>
      </c>
      <c r="Y151" s="63">
        <v>4.3360099999999998E-5</v>
      </c>
      <c r="Z151" s="63">
        <v>4.3495899999999998E-5</v>
      </c>
      <c r="AA151" s="63">
        <v>4.60647E-5</v>
      </c>
      <c r="AB151" s="63">
        <v>4.8782200000000002E-5</v>
      </c>
      <c r="AC151" s="63">
        <v>5.22887E-5</v>
      </c>
      <c r="AD151" s="63">
        <v>5.5909599999999997E-5</v>
      </c>
      <c r="AE151" t="s">
        <v>93</v>
      </c>
    </row>
    <row r="152" spans="1:31">
      <c r="A152" t="s">
        <v>267</v>
      </c>
      <c r="B152" t="s">
        <v>1</v>
      </c>
      <c r="C152" t="s">
        <v>227</v>
      </c>
      <c r="D152" s="13" t="str">
        <f>IFERROR(VLOOKUP(C152,ghg_sort!$A$86:$B$512,2,0),0)</f>
        <v>Agriculture</v>
      </c>
      <c r="E152" t="s">
        <v>211</v>
      </c>
      <c r="F152" s="13">
        <f>IFERROR(VLOOKUP($E152,ghg_sort!$A$3:$B$21,2,0),0)</f>
        <v>0</v>
      </c>
      <c r="G152" s="13">
        <f t="shared" si="23"/>
        <v>0</v>
      </c>
      <c r="H152" s="13">
        <f t="shared" si="24"/>
        <v>0</v>
      </c>
      <c r="I152" s="13">
        <f t="shared" si="25"/>
        <v>0</v>
      </c>
      <c r="J152" s="13">
        <f t="shared" si="26"/>
        <v>0</v>
      </c>
      <c r="K152" s="13">
        <f t="shared" si="27"/>
        <v>0</v>
      </c>
      <c r="L152" s="13">
        <f t="shared" si="28"/>
        <v>0</v>
      </c>
      <c r="M152" s="13">
        <f t="shared" si="29"/>
        <v>0</v>
      </c>
      <c r="N152" s="13">
        <f t="shared" si="30"/>
        <v>0</v>
      </c>
      <c r="O152" s="13">
        <f t="shared" si="31"/>
        <v>0</v>
      </c>
      <c r="P152" s="13">
        <f t="shared" si="32"/>
        <v>0</v>
      </c>
      <c r="Q152" s="13">
        <f t="shared" si="33"/>
        <v>0</v>
      </c>
      <c r="R152" s="13" t="s">
        <v>239</v>
      </c>
      <c r="T152" s="63">
        <v>9.0600000000000004E-8</v>
      </c>
      <c r="U152" s="63">
        <v>8.3049999999999897E-7</v>
      </c>
      <c r="V152" s="63">
        <v>2.9727599999999999E-6</v>
      </c>
      <c r="W152" s="63">
        <v>4.1691999999999998E-6</v>
      </c>
      <c r="X152" s="63">
        <v>2.8034799999999998E-6</v>
      </c>
      <c r="Y152" s="63">
        <v>1.70646E-6</v>
      </c>
      <c r="Z152" s="63">
        <v>1.6334610000000001E-6</v>
      </c>
      <c r="AA152" s="63">
        <v>1.729932E-6</v>
      </c>
      <c r="AB152" s="63">
        <v>1.831984E-6</v>
      </c>
      <c r="AC152" s="63">
        <v>1.9636729999999998E-6</v>
      </c>
      <c r="AD152" s="63">
        <v>2.099654E-6</v>
      </c>
      <c r="AE152" t="s">
        <v>93</v>
      </c>
    </row>
    <row r="153" spans="1:31">
      <c r="A153" t="s">
        <v>267</v>
      </c>
      <c r="B153" t="s">
        <v>1</v>
      </c>
      <c r="C153" t="s">
        <v>227</v>
      </c>
      <c r="D153" s="13" t="str">
        <f>IFERROR(VLOOKUP(C153,ghg_sort!$A$86:$B$512,2,0),0)</f>
        <v>Agriculture</v>
      </c>
      <c r="E153" t="s">
        <v>212</v>
      </c>
      <c r="F153" s="13">
        <f>IFERROR(VLOOKUP($E153,ghg_sort!$A$3:$B$21,2,0),0)</f>
        <v>0</v>
      </c>
      <c r="G153" s="13">
        <f t="shared" si="23"/>
        <v>0</v>
      </c>
      <c r="H153" s="13">
        <f t="shared" si="24"/>
        <v>0</v>
      </c>
      <c r="I153" s="13">
        <f t="shared" si="25"/>
        <v>0</v>
      </c>
      <c r="J153" s="13">
        <f t="shared" si="26"/>
        <v>0</v>
      </c>
      <c r="K153" s="13">
        <f t="shared" si="27"/>
        <v>0</v>
      </c>
      <c r="L153" s="13">
        <f t="shared" si="28"/>
        <v>0</v>
      </c>
      <c r="M153" s="13">
        <f t="shared" si="29"/>
        <v>0</v>
      </c>
      <c r="N153" s="13">
        <f t="shared" si="30"/>
        <v>0</v>
      </c>
      <c r="O153" s="13">
        <f t="shared" si="31"/>
        <v>0</v>
      </c>
      <c r="P153" s="13">
        <f t="shared" si="32"/>
        <v>0</v>
      </c>
      <c r="Q153" s="13">
        <f t="shared" si="33"/>
        <v>0</v>
      </c>
      <c r="R153" s="13" t="s">
        <v>239</v>
      </c>
      <c r="T153" s="63">
        <v>6.7000000000000004E-8</v>
      </c>
      <c r="U153" s="63">
        <v>6.1419999999999998E-7</v>
      </c>
      <c r="V153" s="63">
        <v>5.5442699999999997E-5</v>
      </c>
      <c r="W153" s="63">
        <v>7.77565E-5</v>
      </c>
      <c r="X153" s="63">
        <v>5.22856E-5</v>
      </c>
      <c r="Y153" s="63">
        <v>3.1826000000000003E-5</v>
      </c>
      <c r="Z153" s="63">
        <v>3.0464499999999999E-5</v>
      </c>
      <c r="AA153" s="63">
        <v>3.2263600000000001E-5</v>
      </c>
      <c r="AB153" s="63">
        <v>3.4167E-5</v>
      </c>
      <c r="AC153" s="63">
        <v>3.6622899999999998E-5</v>
      </c>
      <c r="AD153" s="63">
        <v>3.9159100000000003E-5</v>
      </c>
      <c r="AE153" t="s">
        <v>93</v>
      </c>
    </row>
    <row r="154" spans="1:31">
      <c r="A154" t="s">
        <v>267</v>
      </c>
      <c r="B154" t="s">
        <v>1</v>
      </c>
      <c r="C154" t="s">
        <v>227</v>
      </c>
      <c r="D154" s="13" t="str">
        <f>IFERROR(VLOOKUP(C154,ghg_sort!$A$86:$B$512,2,0),0)</f>
        <v>Agriculture</v>
      </c>
      <c r="E154" t="s">
        <v>213</v>
      </c>
      <c r="F154" s="13">
        <f>IFERROR(VLOOKUP($E154,ghg_sort!$A$3:$B$21,2,0),0)</f>
        <v>0</v>
      </c>
      <c r="G154" s="13">
        <f t="shared" si="23"/>
        <v>0</v>
      </c>
      <c r="H154" s="13">
        <f t="shared" si="24"/>
        <v>0</v>
      </c>
      <c r="I154" s="13">
        <f t="shared" si="25"/>
        <v>0</v>
      </c>
      <c r="J154" s="13">
        <f t="shared" si="26"/>
        <v>0</v>
      </c>
      <c r="K154" s="13">
        <f t="shared" si="27"/>
        <v>0</v>
      </c>
      <c r="L154" s="13">
        <f t="shared" si="28"/>
        <v>0</v>
      </c>
      <c r="M154" s="13">
        <f t="shared" si="29"/>
        <v>0</v>
      </c>
      <c r="N154" s="13">
        <f t="shared" si="30"/>
        <v>0</v>
      </c>
      <c r="O154" s="13">
        <f t="shared" si="31"/>
        <v>0</v>
      </c>
      <c r="P154" s="13">
        <f t="shared" si="32"/>
        <v>0</v>
      </c>
      <c r="Q154" s="13">
        <f t="shared" si="33"/>
        <v>0</v>
      </c>
      <c r="R154" s="13" t="s">
        <v>239</v>
      </c>
      <c r="T154" s="63">
        <v>1.16E-8</v>
      </c>
      <c r="U154" s="63">
        <v>1.068E-7</v>
      </c>
      <c r="V154" s="63">
        <v>3.8228899999999999E-7</v>
      </c>
      <c r="W154" s="63">
        <v>5.3614699999999996E-7</v>
      </c>
      <c r="X154" s="63">
        <v>3.6052E-7</v>
      </c>
      <c r="Y154" s="63">
        <v>2.1944680000000001E-7</v>
      </c>
      <c r="Z154" s="63">
        <v>2.1005829999999999E-7</v>
      </c>
      <c r="AA154" s="63">
        <v>2.224643E-7</v>
      </c>
      <c r="AB154" s="63">
        <v>2.3558779999999999E-7</v>
      </c>
      <c r="AC154" s="63">
        <v>2.525219E-7</v>
      </c>
      <c r="AD154" s="63">
        <v>2.7000899999999999E-7</v>
      </c>
      <c r="AE154" t="s">
        <v>93</v>
      </c>
    </row>
    <row r="155" spans="1:31">
      <c r="A155" t="s">
        <v>267</v>
      </c>
      <c r="B155" t="s">
        <v>1</v>
      </c>
      <c r="C155" t="s">
        <v>64</v>
      </c>
      <c r="D155" s="13" t="str">
        <f>IFERROR(VLOOKUP(C155,ghg_sort!$A$86:$B$512,2,0),0)</f>
        <v>Industry</v>
      </c>
      <c r="E155" t="s">
        <v>83</v>
      </c>
      <c r="F155" s="13">
        <f>IFERROR(VLOOKUP($E155,ghg_sort!$A$3:$B$21,2,0),0)</f>
        <v>0</v>
      </c>
      <c r="G155" s="13">
        <f t="shared" si="23"/>
        <v>0</v>
      </c>
      <c r="H155" s="13">
        <f t="shared" si="24"/>
        <v>0</v>
      </c>
      <c r="I155" s="13">
        <f t="shared" si="25"/>
        <v>0</v>
      </c>
      <c r="J155" s="13">
        <f t="shared" si="26"/>
        <v>0</v>
      </c>
      <c r="K155" s="13">
        <f t="shared" si="27"/>
        <v>0</v>
      </c>
      <c r="L155" s="13">
        <f t="shared" si="28"/>
        <v>0</v>
      </c>
      <c r="M155" s="13">
        <f t="shared" si="29"/>
        <v>0</v>
      </c>
      <c r="N155" s="13">
        <f t="shared" si="30"/>
        <v>0</v>
      </c>
      <c r="O155" s="13">
        <f t="shared" si="31"/>
        <v>0</v>
      </c>
      <c r="P155" s="13">
        <f t="shared" si="32"/>
        <v>0</v>
      </c>
      <c r="Q155" s="13">
        <f t="shared" si="33"/>
        <v>0</v>
      </c>
      <c r="R155" s="13" t="s">
        <v>239</v>
      </c>
      <c r="T155" s="62">
        <v>3.60925E-3</v>
      </c>
      <c r="U155" s="62">
        <v>5.0382600000000001E-3</v>
      </c>
      <c r="V155" s="62">
        <v>4.7232400000000001E-3</v>
      </c>
      <c r="W155" s="62">
        <v>2.5491899999999998E-3</v>
      </c>
      <c r="X155" s="62">
        <v>1.7511318E-3</v>
      </c>
      <c r="Y155" s="62">
        <v>1.2679989000000001E-3</v>
      </c>
      <c r="Z155" s="63">
        <v>1.1081671300000001E-3</v>
      </c>
      <c r="AA155" s="63">
        <v>9.5060363999999902E-4</v>
      </c>
      <c r="AB155" s="63">
        <v>8.2069219999999902E-4</v>
      </c>
      <c r="AC155" s="63">
        <v>7.4776436999999998E-4</v>
      </c>
      <c r="AD155" s="63">
        <v>6.6314238999999999E-4</v>
      </c>
      <c r="AE155" t="s">
        <v>93</v>
      </c>
    </row>
    <row r="156" spans="1:31">
      <c r="A156" t="s">
        <v>267</v>
      </c>
      <c r="B156" t="s">
        <v>1</v>
      </c>
      <c r="C156" t="s">
        <v>64</v>
      </c>
      <c r="D156" s="13" t="str">
        <f>IFERROR(VLOOKUP(C156,ghg_sort!$A$86:$B$512,2,0),0)</f>
        <v>Industry</v>
      </c>
      <c r="E156" t="s">
        <v>84</v>
      </c>
      <c r="F156" s="13">
        <f>IFERROR(VLOOKUP($E156,ghg_sort!$A$3:$B$21,2,0),0)</f>
        <v>25</v>
      </c>
      <c r="G156" s="13">
        <f t="shared" si="23"/>
        <v>2.2499999999999999E-2</v>
      </c>
      <c r="H156" s="13">
        <f t="shared" si="24"/>
        <v>5.2500000000000003E-3</v>
      </c>
      <c r="I156" s="13">
        <f t="shared" si="25"/>
        <v>4.2500000000000003E-3</v>
      </c>
      <c r="J156" s="13">
        <f t="shared" si="26"/>
        <v>7.4999999999999997E-3</v>
      </c>
      <c r="K156" s="13">
        <f t="shared" si="27"/>
        <v>7.6232000000000001E-3</v>
      </c>
      <c r="L156" s="13">
        <f t="shared" si="28"/>
        <v>9.8195849999999987E-3</v>
      </c>
      <c r="M156" s="13">
        <f t="shared" si="29"/>
        <v>1.16464675E-2</v>
      </c>
      <c r="N156" s="13">
        <f t="shared" si="30"/>
        <v>1.2800745750000002E-2</v>
      </c>
      <c r="O156" s="13">
        <f t="shared" si="31"/>
        <v>1.3431962499999974E-2</v>
      </c>
      <c r="P156" s="13">
        <f t="shared" si="32"/>
        <v>1.3880852499999999E-2</v>
      </c>
      <c r="Q156" s="13">
        <f t="shared" si="33"/>
        <v>1.39693275E-2</v>
      </c>
      <c r="R156" s="13" t="s">
        <v>239</v>
      </c>
      <c r="T156" s="63">
        <v>8.9999999999999998E-4</v>
      </c>
      <c r="U156" s="63">
        <v>2.1000000000000001E-4</v>
      </c>
      <c r="V156" s="63">
        <v>1.7000000000000001E-4</v>
      </c>
      <c r="W156" s="63">
        <v>2.9999999999999997E-4</v>
      </c>
      <c r="X156" s="63">
        <v>3.0492799999999999E-4</v>
      </c>
      <c r="Y156" s="63">
        <v>3.9278339999999998E-4</v>
      </c>
      <c r="Z156" s="63">
        <v>4.6585870000000001E-4</v>
      </c>
      <c r="AA156" s="63">
        <v>5.1202983000000004E-4</v>
      </c>
      <c r="AB156" s="63">
        <v>5.3727849999999895E-4</v>
      </c>
      <c r="AC156" s="63">
        <v>5.5523409999999997E-4</v>
      </c>
      <c r="AD156" s="63">
        <v>5.5877309999999996E-4</v>
      </c>
      <c r="AE156" t="s">
        <v>93</v>
      </c>
    </row>
    <row r="157" spans="1:31">
      <c r="A157" t="s">
        <v>267</v>
      </c>
      <c r="B157" t="s">
        <v>1</v>
      </c>
      <c r="C157" t="s">
        <v>64</v>
      </c>
      <c r="D157" s="13" t="str">
        <f>IFERROR(VLOOKUP(C157,ghg_sort!$A$86:$B$512,2,0),0)</f>
        <v>Industry</v>
      </c>
      <c r="E157" t="s">
        <v>85</v>
      </c>
      <c r="F157" s="13">
        <f>IFERROR(VLOOKUP($E157,ghg_sort!$A$3:$B$21,2,0),0)</f>
        <v>0</v>
      </c>
      <c r="G157" s="13">
        <f t="shared" si="23"/>
        <v>0</v>
      </c>
      <c r="H157" s="13">
        <f t="shared" si="24"/>
        <v>0</v>
      </c>
      <c r="I157" s="13">
        <f t="shared" si="25"/>
        <v>0</v>
      </c>
      <c r="J157" s="13">
        <f t="shared" si="26"/>
        <v>0</v>
      </c>
      <c r="K157" s="13">
        <f t="shared" si="27"/>
        <v>0</v>
      </c>
      <c r="L157" s="13">
        <f t="shared" si="28"/>
        <v>0</v>
      </c>
      <c r="M157" s="13">
        <f t="shared" si="29"/>
        <v>0</v>
      </c>
      <c r="N157" s="13">
        <f t="shared" si="30"/>
        <v>0</v>
      </c>
      <c r="O157" s="13">
        <f t="shared" si="31"/>
        <v>0</v>
      </c>
      <c r="P157" s="13">
        <f t="shared" si="32"/>
        <v>0</v>
      </c>
      <c r="Q157" s="13">
        <f t="shared" si="33"/>
        <v>0</v>
      </c>
      <c r="R157" s="13" t="s">
        <v>239</v>
      </c>
      <c r="T157" s="62">
        <v>2.8559999999999999E-2</v>
      </c>
      <c r="U157" s="62">
        <v>2.8709999999999999E-2</v>
      </c>
      <c r="V157" s="62">
        <v>3.2719999999999999E-2</v>
      </c>
      <c r="W157" s="62">
        <v>3.5869999999999999E-2</v>
      </c>
      <c r="X157" s="62">
        <v>2.477335449E-2</v>
      </c>
      <c r="Y157" s="62">
        <v>1.8380853664999999E-2</v>
      </c>
      <c r="Z157" s="62">
        <v>1.6534068393999998E-2</v>
      </c>
      <c r="AA157" s="62">
        <v>1.4586689306199999E-2</v>
      </c>
      <c r="AB157" s="62">
        <v>1.2847506772E-2</v>
      </c>
      <c r="AC157" s="62">
        <v>1.1956808021E-2</v>
      </c>
      <c r="AD157" s="62">
        <v>1.0762992411E-2</v>
      </c>
      <c r="AE157" t="s">
        <v>93</v>
      </c>
    </row>
    <row r="158" spans="1:31">
      <c r="A158" t="s">
        <v>267</v>
      </c>
      <c r="B158" t="s">
        <v>1</v>
      </c>
      <c r="C158" t="s">
        <v>64</v>
      </c>
      <c r="D158" s="13" t="str">
        <f>IFERROR(VLOOKUP(C158,ghg_sort!$A$86:$B$512,2,0),0)</f>
        <v>Industry</v>
      </c>
      <c r="E158" s="12" t="s">
        <v>86</v>
      </c>
      <c r="F158" s="13">
        <f>IFERROR(VLOOKUP($E158,ghg_sort!$A$3:$B$21,2,0),0)</f>
        <v>3.6666666666666701</v>
      </c>
      <c r="G158" s="13">
        <f t="shared" si="23"/>
        <v>4.605773333333337</v>
      </c>
      <c r="H158" s="13">
        <f t="shared" si="24"/>
        <v>4.3082611000000046</v>
      </c>
      <c r="I158" s="13">
        <f t="shared" si="25"/>
        <v>3.7811659600000036</v>
      </c>
      <c r="J158" s="13">
        <f t="shared" si="26"/>
        <v>1.6353986733333312</v>
      </c>
      <c r="K158" s="13">
        <f t="shared" si="27"/>
        <v>1.6359956360000016</v>
      </c>
      <c r="L158" s="13">
        <f t="shared" si="28"/>
        <v>1.9669894530000016</v>
      </c>
      <c r="M158" s="13">
        <f t="shared" si="29"/>
        <v>2.1624290453333352</v>
      </c>
      <c r="N158" s="13">
        <f t="shared" si="30"/>
        <v>2.2190176748666652</v>
      </c>
      <c r="O158" s="13">
        <f t="shared" si="31"/>
        <v>2.223040006000002</v>
      </c>
      <c r="P158" s="13">
        <f t="shared" si="32"/>
        <v>2.1920632690000019</v>
      </c>
      <c r="Q158" s="13">
        <f t="shared" si="33"/>
        <v>2.1371325140000019</v>
      </c>
      <c r="R158" s="13" t="s">
        <v>239</v>
      </c>
      <c r="T158" s="62">
        <v>1.2561199999999999</v>
      </c>
      <c r="U158" s="62">
        <v>1.1749803000000001</v>
      </c>
      <c r="V158" s="62">
        <v>1.0312270800000001</v>
      </c>
      <c r="W158" s="62">
        <v>0.44601781999999901</v>
      </c>
      <c r="X158" s="62">
        <v>0.44618062800000002</v>
      </c>
      <c r="Y158" s="62">
        <v>0.53645166899999996</v>
      </c>
      <c r="Z158" s="62">
        <v>0.589753376</v>
      </c>
      <c r="AA158" s="62">
        <v>0.60518663859999899</v>
      </c>
      <c r="AB158" s="62">
        <v>0.60628363799999996</v>
      </c>
      <c r="AC158" s="62">
        <v>0.59783543699999997</v>
      </c>
      <c r="AD158" s="62">
        <v>0.58285432199999998</v>
      </c>
      <c r="AE158" t="s">
        <v>94</v>
      </c>
    </row>
    <row r="159" spans="1:31">
      <c r="A159" t="s">
        <v>267</v>
      </c>
      <c r="B159" t="s">
        <v>1</v>
      </c>
      <c r="C159" t="s">
        <v>64</v>
      </c>
      <c r="D159" s="13" t="str">
        <f>IFERROR(VLOOKUP(C159,ghg_sort!$A$86:$B$512,2,0),0)</f>
        <v>Industry</v>
      </c>
      <c r="E159" t="s">
        <v>87</v>
      </c>
      <c r="F159" s="13">
        <f>IFERROR(VLOOKUP($E159,ghg_sort!$A$3:$B$21,2,0),0)</f>
        <v>298</v>
      </c>
      <c r="G159" s="13">
        <f t="shared" si="23"/>
        <v>3.576E-2</v>
      </c>
      <c r="H159" s="13">
        <f t="shared" si="24"/>
        <v>5.0660000000000004E-2</v>
      </c>
      <c r="I159" s="13">
        <f t="shared" si="25"/>
        <v>4.7680000000000007E-2</v>
      </c>
      <c r="J159" s="13">
        <f t="shared" si="26"/>
        <v>2.6819999999999969E-2</v>
      </c>
      <c r="K159" s="13">
        <f t="shared" si="27"/>
        <v>2.6913011759999998E-2</v>
      </c>
      <c r="L159" s="13">
        <f t="shared" si="28"/>
        <v>3.2803685039999995E-2</v>
      </c>
      <c r="M159" s="13">
        <f t="shared" si="29"/>
        <v>3.6639159599999999E-2</v>
      </c>
      <c r="N159" s="13">
        <f t="shared" si="30"/>
        <v>3.8170128640000002E-2</v>
      </c>
      <c r="O159" s="13">
        <f t="shared" si="31"/>
        <v>3.8650868199999994E-2</v>
      </c>
      <c r="P159" s="13">
        <f t="shared" si="32"/>
        <v>3.8541806159999997E-2</v>
      </c>
      <c r="Q159" s="13">
        <f t="shared" si="33"/>
        <v>3.7871711439999997E-2</v>
      </c>
      <c r="R159" s="13" t="s">
        <v>239</v>
      </c>
      <c r="T159" s="63">
        <v>1.2E-4</v>
      </c>
      <c r="U159" s="63">
        <v>1.7000000000000001E-4</v>
      </c>
      <c r="V159" s="63">
        <v>1.6000000000000001E-4</v>
      </c>
      <c r="W159" s="63">
        <v>8.9999999999999897E-5</v>
      </c>
      <c r="X159" s="63">
        <v>9.0312119999999993E-5</v>
      </c>
      <c r="Y159" s="63">
        <v>1.1007947999999999E-4</v>
      </c>
      <c r="Z159" s="63">
        <v>1.2295019999999999E-4</v>
      </c>
      <c r="AA159" s="63">
        <v>1.2808768E-4</v>
      </c>
      <c r="AB159" s="63">
        <v>1.2970089999999999E-4</v>
      </c>
      <c r="AC159" s="63">
        <v>1.2933492E-4</v>
      </c>
      <c r="AD159" s="63">
        <v>1.2708627999999999E-4</v>
      </c>
      <c r="AE159" t="s">
        <v>93</v>
      </c>
    </row>
    <row r="160" spans="1:31">
      <c r="A160" t="s">
        <v>267</v>
      </c>
      <c r="B160" t="s">
        <v>1</v>
      </c>
      <c r="C160" t="s">
        <v>64</v>
      </c>
      <c r="D160" s="13" t="str">
        <f>IFERROR(VLOOKUP(C160,ghg_sort!$A$86:$B$512,2,0),0)</f>
        <v>Industry</v>
      </c>
      <c r="E160" t="s">
        <v>88</v>
      </c>
      <c r="F160" s="13">
        <f>IFERROR(VLOOKUP($E160,ghg_sort!$A$3:$B$21,2,0),0)</f>
        <v>0</v>
      </c>
      <c r="G160" s="13">
        <f t="shared" si="23"/>
        <v>0</v>
      </c>
      <c r="H160" s="13">
        <f t="shared" si="24"/>
        <v>0</v>
      </c>
      <c r="I160" s="13">
        <f t="shared" si="25"/>
        <v>0</v>
      </c>
      <c r="J160" s="13">
        <f t="shared" si="26"/>
        <v>0</v>
      </c>
      <c r="K160" s="13">
        <f t="shared" si="27"/>
        <v>0</v>
      </c>
      <c r="L160" s="13">
        <f t="shared" si="28"/>
        <v>0</v>
      </c>
      <c r="M160" s="13">
        <f t="shared" si="29"/>
        <v>0</v>
      </c>
      <c r="N160" s="13">
        <f t="shared" si="30"/>
        <v>0</v>
      </c>
      <c r="O160" s="13">
        <f t="shared" si="31"/>
        <v>0</v>
      </c>
      <c r="P160" s="13">
        <f t="shared" si="32"/>
        <v>0</v>
      </c>
      <c r="Q160" s="13">
        <f t="shared" si="33"/>
        <v>0</v>
      </c>
      <c r="R160" s="13" t="s">
        <v>239</v>
      </c>
      <c r="T160" s="63">
        <v>3.0000000000000001E-5</v>
      </c>
      <c r="U160" s="63">
        <v>3.0000000000000001E-5</v>
      </c>
      <c r="V160" s="63">
        <v>2.0000000000000002E-5</v>
      </c>
      <c r="W160" s="63">
        <v>5.0000000000000002E-5</v>
      </c>
      <c r="X160" s="63">
        <v>4.9755369999999999E-5</v>
      </c>
      <c r="Y160" s="63">
        <v>5.8375619999999999E-5</v>
      </c>
      <c r="Z160" s="63">
        <v>6.2281589999999996E-5</v>
      </c>
      <c r="AA160" s="63">
        <v>6.2012590000000003E-5</v>
      </c>
      <c r="AB160" s="63">
        <v>6.07719E-5</v>
      </c>
      <c r="AC160" s="63">
        <v>5.8506639999999901E-5</v>
      </c>
      <c r="AD160" s="63">
        <v>5.6071079999999998E-5</v>
      </c>
      <c r="AE160" t="s">
        <v>93</v>
      </c>
    </row>
    <row r="161" spans="1:31">
      <c r="A161" t="s">
        <v>267</v>
      </c>
      <c r="B161" t="s">
        <v>1</v>
      </c>
      <c r="C161" t="s">
        <v>64</v>
      </c>
      <c r="D161" s="13" t="str">
        <f>IFERROR(VLOOKUP(C161,ghg_sort!$A$86:$B$512,2,0),0)</f>
        <v>Industry</v>
      </c>
      <c r="E161" t="s">
        <v>89</v>
      </c>
      <c r="F161" s="13">
        <f>IFERROR(VLOOKUP($E161,ghg_sort!$A$3:$B$21,2,0),0)</f>
        <v>0</v>
      </c>
      <c r="G161" s="13">
        <f t="shared" si="23"/>
        <v>0</v>
      </c>
      <c r="H161" s="13">
        <f t="shared" si="24"/>
        <v>0</v>
      </c>
      <c r="I161" s="13">
        <f t="shared" si="25"/>
        <v>0</v>
      </c>
      <c r="J161" s="13">
        <f t="shared" si="26"/>
        <v>0</v>
      </c>
      <c r="K161" s="13">
        <f t="shared" si="27"/>
        <v>0</v>
      </c>
      <c r="L161" s="13">
        <f t="shared" si="28"/>
        <v>0</v>
      </c>
      <c r="M161" s="13">
        <f t="shared" si="29"/>
        <v>0</v>
      </c>
      <c r="N161" s="13">
        <f t="shared" si="30"/>
        <v>0</v>
      </c>
      <c r="O161" s="13">
        <f t="shared" si="31"/>
        <v>0</v>
      </c>
      <c r="P161" s="13">
        <f t="shared" si="32"/>
        <v>0</v>
      </c>
      <c r="Q161" s="13">
        <f t="shared" si="33"/>
        <v>0</v>
      </c>
      <c r="R161" s="13" t="s">
        <v>239</v>
      </c>
      <c r="T161" s="62">
        <v>1.6E-2</v>
      </c>
      <c r="U161" s="62">
        <v>1.1769999999999999E-2</v>
      </c>
      <c r="V161" s="62">
        <v>9.1400000000000006E-3</v>
      </c>
      <c r="W161" s="62">
        <v>1.095E-2</v>
      </c>
      <c r="X161" s="62">
        <v>7.532927E-3</v>
      </c>
      <c r="Y161" s="62">
        <v>5.4911031999999999E-3</v>
      </c>
      <c r="Z161" s="62">
        <v>4.8377253999999899E-3</v>
      </c>
      <c r="AA161" s="62">
        <v>4.1831446E-3</v>
      </c>
      <c r="AB161" s="62">
        <v>3.63243809999999E-3</v>
      </c>
      <c r="AC161" s="62">
        <v>3.3303462999999902E-3</v>
      </c>
      <c r="AD161" s="62">
        <v>2.9665821999999998E-3</v>
      </c>
      <c r="AE161" t="s">
        <v>93</v>
      </c>
    </row>
    <row r="162" spans="1:31">
      <c r="A162" t="s">
        <v>267</v>
      </c>
      <c r="B162" t="s">
        <v>1</v>
      </c>
      <c r="C162" t="s">
        <v>64</v>
      </c>
      <c r="D162" s="13" t="str">
        <f>IFERROR(VLOOKUP(C162,ghg_sort!$A$86:$B$512,2,0),0)</f>
        <v>Industry</v>
      </c>
      <c r="E162" t="s">
        <v>90</v>
      </c>
      <c r="F162" s="13">
        <f>IFERROR(VLOOKUP($E162,ghg_sort!$A$3:$B$21,2,0),0)</f>
        <v>0</v>
      </c>
      <c r="G162" s="13">
        <f t="shared" si="23"/>
        <v>0</v>
      </c>
      <c r="H162" s="13">
        <f t="shared" si="24"/>
        <v>0</v>
      </c>
      <c r="I162" s="13">
        <f t="shared" si="25"/>
        <v>0</v>
      </c>
      <c r="J162" s="13">
        <f t="shared" si="26"/>
        <v>0</v>
      </c>
      <c r="K162" s="13">
        <f t="shared" si="27"/>
        <v>0</v>
      </c>
      <c r="L162" s="13">
        <f t="shared" si="28"/>
        <v>0</v>
      </c>
      <c r="M162" s="13">
        <f t="shared" si="29"/>
        <v>0</v>
      </c>
      <c r="N162" s="13">
        <f t="shared" si="30"/>
        <v>0</v>
      </c>
      <c r="O162" s="13">
        <f t="shared" si="31"/>
        <v>0</v>
      </c>
      <c r="P162" s="13">
        <f t="shared" si="32"/>
        <v>0</v>
      </c>
      <c r="Q162" s="13">
        <f t="shared" si="33"/>
        <v>0</v>
      </c>
      <c r="R162" s="13" t="s">
        <v>239</v>
      </c>
      <c r="T162" s="62">
        <v>5.2499999999999998E-2</v>
      </c>
      <c r="U162" s="62">
        <v>0.10158</v>
      </c>
      <c r="V162" s="62">
        <v>7.9339999999999994E-2</v>
      </c>
      <c r="W162" s="62">
        <v>5.2389999999999999E-2</v>
      </c>
      <c r="X162" s="62">
        <v>3.6027533389999998E-2</v>
      </c>
      <c r="Y162" s="62">
        <v>2.6023100896999898E-2</v>
      </c>
      <c r="Z162" s="62">
        <v>2.2605945047E-2</v>
      </c>
      <c r="AA162" s="62">
        <v>1.9298391935999901E-2</v>
      </c>
      <c r="AB162" s="62">
        <v>1.6649603712E-2</v>
      </c>
      <c r="AC162" s="62">
        <v>1.5115316455E-2</v>
      </c>
      <c r="AD162" s="62">
        <v>1.34159507659999E-2</v>
      </c>
      <c r="AE162" t="s">
        <v>93</v>
      </c>
    </row>
    <row r="163" spans="1:31">
      <c r="A163" t="s">
        <v>267</v>
      </c>
      <c r="B163" t="s">
        <v>1</v>
      </c>
      <c r="C163" t="s">
        <v>64</v>
      </c>
      <c r="D163" s="13" t="str">
        <f>IFERROR(VLOOKUP(C163,ghg_sort!$A$86:$B$512,2,0),0)</f>
        <v>Industry</v>
      </c>
      <c r="E163" t="s">
        <v>91</v>
      </c>
      <c r="F163" s="13">
        <f>IFERROR(VLOOKUP($E163,ghg_sort!$A$3:$B$21,2,0),0)</f>
        <v>0</v>
      </c>
      <c r="G163" s="13">
        <f t="shared" si="23"/>
        <v>0</v>
      </c>
      <c r="H163" s="13">
        <f t="shared" si="24"/>
        <v>0</v>
      </c>
      <c r="I163" s="13">
        <f t="shared" si="25"/>
        <v>0</v>
      </c>
      <c r="J163" s="13">
        <f t="shared" si="26"/>
        <v>0</v>
      </c>
      <c r="K163" s="13">
        <f t="shared" si="27"/>
        <v>0</v>
      </c>
      <c r="L163" s="13">
        <f t="shared" si="28"/>
        <v>0</v>
      </c>
      <c r="M163" s="13">
        <f t="shared" si="29"/>
        <v>0</v>
      </c>
      <c r="N163" s="13">
        <f t="shared" si="30"/>
        <v>0</v>
      </c>
      <c r="O163" s="13">
        <f t="shared" si="31"/>
        <v>0</v>
      </c>
      <c r="P163" s="13">
        <f t="shared" si="32"/>
        <v>0</v>
      </c>
      <c r="Q163" s="13">
        <f t="shared" si="33"/>
        <v>0</v>
      </c>
      <c r="R163" s="13" t="s">
        <v>239</v>
      </c>
      <c r="T163" s="62">
        <v>1.32E-3</v>
      </c>
      <c r="U163" s="62">
        <v>1.8600000000000001E-3</v>
      </c>
      <c r="V163" s="62">
        <v>1.74E-3</v>
      </c>
      <c r="W163" s="62">
        <v>1.3799999999999999E-3</v>
      </c>
      <c r="X163" s="63">
        <v>9.5844959999999999E-4</v>
      </c>
      <c r="Y163" s="63">
        <v>7.2886009999999896E-4</v>
      </c>
      <c r="Z163" s="63">
        <v>6.7400100000000003E-4</v>
      </c>
      <c r="AA163" s="63">
        <v>6.0992935999999904E-4</v>
      </c>
      <c r="AB163" s="63">
        <v>5.4659499999999998E-4</v>
      </c>
      <c r="AC163" s="63">
        <v>5.1777889999999997E-4</v>
      </c>
      <c r="AD163" s="63">
        <v>4.7171300000000002E-4</v>
      </c>
      <c r="AE163" t="s">
        <v>93</v>
      </c>
    </row>
    <row r="164" spans="1:31">
      <c r="A164" t="s">
        <v>267</v>
      </c>
      <c r="B164" t="s">
        <v>1</v>
      </c>
      <c r="C164" t="s">
        <v>64</v>
      </c>
      <c r="D164" s="13" t="str">
        <f>IFERROR(VLOOKUP(C164,ghg_sort!$A$86:$B$512,2,0),0)</f>
        <v>Industry</v>
      </c>
      <c r="E164" t="s">
        <v>92</v>
      </c>
      <c r="F164" s="13">
        <f>IFERROR(VLOOKUP($E164,ghg_sort!$A$3:$B$21,2,0),0)</f>
        <v>0</v>
      </c>
      <c r="G164" s="13">
        <f t="shared" si="23"/>
        <v>0</v>
      </c>
      <c r="H164" s="13">
        <f t="shared" si="24"/>
        <v>0</v>
      </c>
      <c r="I164" s="13">
        <f t="shared" si="25"/>
        <v>0</v>
      </c>
      <c r="J164" s="13">
        <f t="shared" si="26"/>
        <v>0</v>
      </c>
      <c r="K164" s="13">
        <f t="shared" si="27"/>
        <v>0</v>
      </c>
      <c r="L164" s="13">
        <f t="shared" si="28"/>
        <v>0</v>
      </c>
      <c r="M164" s="13">
        <f t="shared" si="29"/>
        <v>0</v>
      </c>
      <c r="N164" s="13">
        <f t="shared" si="30"/>
        <v>0</v>
      </c>
      <c r="O164" s="13">
        <f t="shared" si="31"/>
        <v>0</v>
      </c>
      <c r="P164" s="13">
        <f t="shared" si="32"/>
        <v>0</v>
      </c>
      <c r="Q164" s="13">
        <f t="shared" si="33"/>
        <v>0</v>
      </c>
      <c r="R164" s="13" t="s">
        <v>239</v>
      </c>
      <c r="T164" s="62">
        <v>1.18239E-2</v>
      </c>
      <c r="U164" s="62">
        <v>8.7990911769999999E-3</v>
      </c>
      <c r="V164" s="62">
        <v>4.4193080999999999E-3</v>
      </c>
      <c r="W164" s="63">
        <v>4.6679817E-5</v>
      </c>
      <c r="X164" s="63">
        <v>3.2471933670999999E-5</v>
      </c>
      <c r="Y164" s="63">
        <v>2.417490647E-5</v>
      </c>
      <c r="Z164" s="63">
        <v>2.1597426286999901E-5</v>
      </c>
      <c r="AA164" s="63">
        <v>1.9014228298999999E-5</v>
      </c>
      <c r="AB164" s="63">
        <v>1.688835711E-5</v>
      </c>
      <c r="AC164" s="63">
        <v>1.5703646099E-5</v>
      </c>
      <c r="AD164" s="63">
        <v>1.42868592589999E-5</v>
      </c>
      <c r="AE164" t="s">
        <v>93</v>
      </c>
    </row>
    <row r="165" spans="1:31">
      <c r="A165" t="s">
        <v>267</v>
      </c>
      <c r="B165" t="s">
        <v>1</v>
      </c>
      <c r="C165" t="s">
        <v>142</v>
      </c>
      <c r="D165" s="13" t="str">
        <f>IFERROR(VLOOKUP(C165,ghg_sort!$A$86:$B$512,2,0),0)</f>
        <v>Electricity</v>
      </c>
      <c r="E165" s="12" t="s">
        <v>86</v>
      </c>
      <c r="F165" s="13">
        <f>IFERROR(VLOOKUP($E165,ghg_sort!$A$3:$B$21,2,0),0)</f>
        <v>3.6666666666666701</v>
      </c>
      <c r="G165" s="13">
        <f>T165*$F165</f>
        <v>0</v>
      </c>
      <c r="H165" s="13">
        <f>U165*$F165</f>
        <v>0</v>
      </c>
      <c r="I165" s="13">
        <f t="shared" si="25"/>
        <v>0</v>
      </c>
      <c r="J165" s="13">
        <f t="shared" si="26"/>
        <v>0</v>
      </c>
      <c r="K165" s="13">
        <f t="shared" si="27"/>
        <v>0.12033120000000012</v>
      </c>
      <c r="L165" s="13">
        <f t="shared" si="28"/>
        <v>0.20922256666666686</v>
      </c>
      <c r="M165" s="13">
        <f t="shared" si="29"/>
        <v>0.3476077000000003</v>
      </c>
      <c r="N165" s="13">
        <f t="shared" si="30"/>
        <v>0.66811433333333403</v>
      </c>
      <c r="O165" s="13">
        <f t="shared" si="31"/>
        <v>1.1933790000000011</v>
      </c>
      <c r="P165" s="13">
        <f t="shared" si="32"/>
        <v>2.1258600000000016</v>
      </c>
      <c r="Q165" s="13">
        <f t="shared" si="33"/>
        <v>2.6151876666666691</v>
      </c>
      <c r="R165" s="13" t="s">
        <v>239</v>
      </c>
      <c r="T165" s="62">
        <v>0</v>
      </c>
      <c r="U165" s="62">
        <v>0</v>
      </c>
      <c r="V165" s="62">
        <v>0</v>
      </c>
      <c r="W165" s="62">
        <v>0</v>
      </c>
      <c r="X165" s="62">
        <v>3.2817600000000002E-2</v>
      </c>
      <c r="Y165" s="62">
        <v>5.7060699999999999E-2</v>
      </c>
      <c r="Z165" s="62">
        <v>9.48021E-2</v>
      </c>
      <c r="AA165" s="62">
        <v>0.18221300000000001</v>
      </c>
      <c r="AB165" s="62">
        <v>0.32546700000000001</v>
      </c>
      <c r="AC165" s="62">
        <v>0.57977999999999996</v>
      </c>
      <c r="AD165" s="62">
        <v>0.71323300000000001</v>
      </c>
      <c r="AE165" t="s">
        <v>94</v>
      </c>
    </row>
    <row r="166" spans="1:31">
      <c r="A166" t="s">
        <v>267</v>
      </c>
      <c r="B166" t="s">
        <v>1</v>
      </c>
      <c r="C166" t="s">
        <v>57</v>
      </c>
      <c r="D166" s="13" t="s">
        <v>256</v>
      </c>
      <c r="E166" t="s">
        <v>101</v>
      </c>
      <c r="F166" s="13">
        <f>IFERROR(VLOOKUP($E166,ghg_sort!$A$3:$B$21,2,0),0)</f>
        <v>298</v>
      </c>
      <c r="G166" s="13">
        <f t="shared" si="23"/>
        <v>0</v>
      </c>
      <c r="H166" s="13">
        <f t="shared" si="24"/>
        <v>0</v>
      </c>
      <c r="I166" s="13">
        <f t="shared" si="25"/>
        <v>0</v>
      </c>
      <c r="J166" s="13">
        <f t="shared" si="26"/>
        <v>0</v>
      </c>
      <c r="K166" s="13">
        <f t="shared" si="27"/>
        <v>7.3094515779999702E-4</v>
      </c>
      <c r="L166" s="13">
        <f t="shared" si="28"/>
        <v>1.685494556E-3</v>
      </c>
      <c r="M166" s="13">
        <f t="shared" si="29"/>
        <v>3.2926332899999998E-3</v>
      </c>
      <c r="N166" s="13">
        <f t="shared" si="30"/>
        <v>5.5267810099999997E-3</v>
      </c>
      <c r="O166" s="13">
        <f t="shared" si="31"/>
        <v>8.4265090480000002E-3</v>
      </c>
      <c r="P166" s="13">
        <f t="shared" si="32"/>
        <v>1.2887298762E-2</v>
      </c>
      <c r="Q166" s="13">
        <f t="shared" si="33"/>
        <v>1.8298893236000001E-2</v>
      </c>
      <c r="R166" s="13" t="s">
        <v>239</v>
      </c>
      <c r="T166" s="62">
        <v>0</v>
      </c>
      <c r="U166" s="62">
        <v>0</v>
      </c>
      <c r="V166" s="62">
        <v>0</v>
      </c>
      <c r="W166" s="62">
        <v>0</v>
      </c>
      <c r="X166" s="63">
        <v>2.45283609999999E-6</v>
      </c>
      <c r="Y166" s="63">
        <v>5.6560219999999999E-6</v>
      </c>
      <c r="Z166" s="63">
        <v>1.1049104999999999E-5</v>
      </c>
      <c r="AA166" s="63">
        <v>1.8546244999999998E-5</v>
      </c>
      <c r="AB166" s="63">
        <v>2.8276876000000001E-5</v>
      </c>
      <c r="AC166" s="63">
        <v>4.3245969000000001E-5</v>
      </c>
      <c r="AD166" s="63">
        <v>6.1405681999999998E-5</v>
      </c>
      <c r="AE166" t="s">
        <v>93</v>
      </c>
    </row>
    <row r="167" spans="1:31">
      <c r="A167" t="s">
        <v>267</v>
      </c>
      <c r="B167" t="s">
        <v>1</v>
      </c>
      <c r="C167" t="s">
        <v>61</v>
      </c>
      <c r="D167" s="13" t="str">
        <f>IFERROR(VLOOKUP(C167,ghg_sort!$A$86:$B$512,2,0),0)</f>
        <v>Industry</v>
      </c>
      <c r="E167" s="12" t="s">
        <v>86</v>
      </c>
      <c r="F167" s="13">
        <f>IFERROR(VLOOKUP($E167,ghg_sort!$A$3:$B$21,2,0),0)</f>
        <v>3.6666666666666701</v>
      </c>
      <c r="G167" s="13">
        <f t="shared" si="23"/>
        <v>16.756666666666682</v>
      </c>
      <c r="H167" s="13">
        <f t="shared" si="24"/>
        <v>25.626333333333356</v>
      </c>
      <c r="I167" s="13">
        <f t="shared" si="25"/>
        <v>24.99566666666669</v>
      </c>
      <c r="J167" s="13">
        <f t="shared" si="26"/>
        <v>24.99566666666669</v>
      </c>
      <c r="K167" s="13">
        <f t="shared" si="27"/>
        <v>25.897186333333359</v>
      </c>
      <c r="L167" s="13">
        <f t="shared" si="28"/>
        <v>30.21917433333336</v>
      </c>
      <c r="M167" s="13">
        <f t="shared" si="29"/>
        <v>31.531331333333362</v>
      </c>
      <c r="N167" s="13">
        <f t="shared" si="30"/>
        <v>32.333807000000029</v>
      </c>
      <c r="O167" s="13">
        <f t="shared" si="31"/>
        <v>33.414989666666699</v>
      </c>
      <c r="P167" s="13">
        <f t="shared" si="32"/>
        <v>34.932141200000032</v>
      </c>
      <c r="Q167" s="13">
        <f t="shared" si="33"/>
        <v>36.730255100000029</v>
      </c>
      <c r="R167" s="13" t="s">
        <v>239</v>
      </c>
      <c r="T167" s="62">
        <v>4.57</v>
      </c>
      <c r="U167" s="62">
        <v>6.9889999999999999</v>
      </c>
      <c r="V167" s="62">
        <v>6.8170000000000002</v>
      </c>
      <c r="W167" s="62">
        <v>6.8170000000000002</v>
      </c>
      <c r="X167" s="62">
        <v>7.0628690000000001</v>
      </c>
      <c r="Y167" s="62">
        <v>8.2415929999999999</v>
      </c>
      <c r="Z167" s="62">
        <v>8.5994539999999997</v>
      </c>
      <c r="AA167" s="62">
        <v>8.8183109999999996</v>
      </c>
      <c r="AB167" s="62">
        <v>9.1131790000000006</v>
      </c>
      <c r="AC167" s="62">
        <v>9.5269475999999997</v>
      </c>
      <c r="AD167" s="62">
        <v>10.017342299999999</v>
      </c>
      <c r="AE167" t="s">
        <v>94</v>
      </c>
    </row>
    <row r="168" spans="1:31">
      <c r="A168" t="s">
        <v>267</v>
      </c>
      <c r="B168" t="s">
        <v>1</v>
      </c>
      <c r="C168" t="s">
        <v>56</v>
      </c>
      <c r="D168" s="13" t="str">
        <f>IFERROR(VLOOKUP(C168,ghg_sort!$A$86:$B$512,2,0),0)</f>
        <v>Industry</v>
      </c>
      <c r="E168" t="s">
        <v>83</v>
      </c>
      <c r="F168" s="13">
        <f>IFERROR(VLOOKUP($E168,ghg_sort!$A$3:$B$21,2,0),0)</f>
        <v>0</v>
      </c>
      <c r="G168" s="13">
        <f t="shared" si="23"/>
        <v>0</v>
      </c>
      <c r="H168" s="13">
        <f t="shared" si="24"/>
        <v>0</v>
      </c>
      <c r="I168" s="13">
        <f t="shared" si="25"/>
        <v>0</v>
      </c>
      <c r="J168" s="13">
        <f t="shared" si="26"/>
        <v>0</v>
      </c>
      <c r="K168" s="13">
        <f t="shared" si="27"/>
        <v>0</v>
      </c>
      <c r="L168" s="13">
        <f t="shared" si="28"/>
        <v>0</v>
      </c>
      <c r="M168" s="13">
        <f t="shared" si="29"/>
        <v>0</v>
      </c>
      <c r="N168" s="13">
        <f t="shared" si="30"/>
        <v>0</v>
      </c>
      <c r="O168" s="13">
        <f t="shared" si="31"/>
        <v>0</v>
      </c>
      <c r="P168" s="13">
        <f t="shared" si="32"/>
        <v>0</v>
      </c>
      <c r="Q168" s="13">
        <f t="shared" si="33"/>
        <v>0</v>
      </c>
      <c r="R168" s="13" t="s">
        <v>239</v>
      </c>
      <c r="T168" s="63">
        <v>6.7783260000000005E-4</v>
      </c>
      <c r="U168" s="63">
        <v>6.6252019999999995E-4</v>
      </c>
      <c r="V168" s="63">
        <v>4.147396E-4</v>
      </c>
      <c r="W168" s="63">
        <v>4.3127870000000002E-4</v>
      </c>
      <c r="X168" s="63">
        <v>3.3817042E-4</v>
      </c>
      <c r="Y168" s="63">
        <v>2.89227266E-4</v>
      </c>
      <c r="Z168" s="63">
        <v>2.9096682000000001E-4</v>
      </c>
      <c r="AA168" s="63">
        <v>3.1720807200000001E-4</v>
      </c>
      <c r="AB168" s="63">
        <v>3.5962806299999999E-4</v>
      </c>
      <c r="AC168" s="63">
        <v>3.9829289199999997E-4</v>
      </c>
      <c r="AD168" s="63">
        <v>4.2382399529999898E-4</v>
      </c>
      <c r="AE168" t="s">
        <v>93</v>
      </c>
    </row>
    <row r="169" spans="1:31">
      <c r="A169" t="s">
        <v>267</v>
      </c>
      <c r="B169" t="s">
        <v>1</v>
      </c>
      <c r="C169" t="s">
        <v>56</v>
      </c>
      <c r="D169" s="13" t="str">
        <f>IFERROR(VLOOKUP(C169,ghg_sort!$A$86:$B$512,2,0),0)</f>
        <v>Industry</v>
      </c>
      <c r="E169" t="s">
        <v>84</v>
      </c>
      <c r="F169" s="13">
        <f>IFERROR(VLOOKUP($E169,ghg_sort!$A$3:$B$21,2,0),0)</f>
        <v>25</v>
      </c>
      <c r="G169" s="13">
        <f t="shared" si="23"/>
        <v>1.0500000000000001E-2</v>
      </c>
      <c r="H169" s="13">
        <f t="shared" si="24"/>
        <v>0.01</v>
      </c>
      <c r="I169" s="13">
        <f t="shared" si="25"/>
        <v>2.5250000000000002E-2</v>
      </c>
      <c r="J169" s="13">
        <f t="shared" si="26"/>
        <v>2.2249999999999999E-2</v>
      </c>
      <c r="K169" s="13">
        <f t="shared" si="27"/>
        <v>2.4032704599999975E-2</v>
      </c>
      <c r="L169" s="13">
        <f t="shared" si="28"/>
        <v>3.0209602725000003E-2</v>
      </c>
      <c r="M169" s="13">
        <f t="shared" si="29"/>
        <v>3.5163727174999999E-2</v>
      </c>
      <c r="N169" s="13">
        <f t="shared" si="30"/>
        <v>4.2101426174999998E-2</v>
      </c>
      <c r="O169" s="13">
        <f t="shared" si="31"/>
        <v>5.0114253549999752E-2</v>
      </c>
      <c r="P169" s="13">
        <f t="shared" si="32"/>
        <v>5.709047094999975E-2</v>
      </c>
      <c r="Q169" s="13">
        <f t="shared" si="33"/>
        <v>6.3272620490000001E-2</v>
      </c>
      <c r="R169" s="13" t="s">
        <v>239</v>
      </c>
      <c r="T169" s="63">
        <v>4.2000000000000002E-4</v>
      </c>
      <c r="U169" s="63">
        <v>4.0000000000000002E-4</v>
      </c>
      <c r="V169" s="62">
        <v>1.01E-3</v>
      </c>
      <c r="W169" s="63">
        <v>8.8999999999999995E-4</v>
      </c>
      <c r="X169" s="63">
        <v>9.6130818399999896E-4</v>
      </c>
      <c r="Y169" s="63">
        <v>1.2083841090000001E-3</v>
      </c>
      <c r="Z169" s="63">
        <v>1.4065490870000001E-3</v>
      </c>
      <c r="AA169" s="62">
        <v>1.6840570469999999E-3</v>
      </c>
      <c r="AB169" s="62">
        <v>2.0045701419999901E-3</v>
      </c>
      <c r="AC169" s="62">
        <v>2.28361883799999E-3</v>
      </c>
      <c r="AD169" s="62">
        <v>2.5309048195999999E-3</v>
      </c>
      <c r="AE169" t="s">
        <v>93</v>
      </c>
    </row>
    <row r="170" spans="1:31">
      <c r="A170" t="s">
        <v>267</v>
      </c>
      <c r="B170" t="s">
        <v>1</v>
      </c>
      <c r="C170" t="s">
        <v>56</v>
      </c>
      <c r="D170" s="13" t="str">
        <f>IFERROR(VLOOKUP(C170,ghg_sort!$A$86:$B$512,2,0),0)</f>
        <v>Industry</v>
      </c>
      <c r="E170" t="s">
        <v>85</v>
      </c>
      <c r="F170" s="13">
        <f>IFERROR(VLOOKUP($E170,ghg_sort!$A$3:$B$21,2,0),0)</f>
        <v>0</v>
      </c>
      <c r="G170" s="13">
        <f t="shared" si="23"/>
        <v>0</v>
      </c>
      <c r="H170" s="13">
        <f t="shared" si="24"/>
        <v>0</v>
      </c>
      <c r="I170" s="13">
        <f t="shared" si="25"/>
        <v>0</v>
      </c>
      <c r="J170" s="13">
        <f t="shared" si="26"/>
        <v>0</v>
      </c>
      <c r="K170" s="13">
        <f t="shared" si="27"/>
        <v>0</v>
      </c>
      <c r="L170" s="13">
        <f t="shared" si="28"/>
        <v>0</v>
      </c>
      <c r="M170" s="13">
        <f t="shared" si="29"/>
        <v>0</v>
      </c>
      <c r="N170" s="13">
        <f t="shared" si="30"/>
        <v>0</v>
      </c>
      <c r="O170" s="13">
        <f t="shared" si="31"/>
        <v>0</v>
      </c>
      <c r="P170" s="13">
        <f t="shared" si="32"/>
        <v>0</v>
      </c>
      <c r="Q170" s="13">
        <f t="shared" si="33"/>
        <v>0</v>
      </c>
      <c r="R170" s="13" t="s">
        <v>239</v>
      </c>
      <c r="T170" s="62">
        <v>1.25E-3</v>
      </c>
      <c r="U170" s="63">
        <v>8.5999999999999998E-4</v>
      </c>
      <c r="V170" s="62">
        <v>1.2199999999999999E-3</v>
      </c>
      <c r="W170" s="62">
        <v>1.2700000000000001E-3</v>
      </c>
      <c r="X170" s="63">
        <v>9.8510264999999899E-4</v>
      </c>
      <c r="Y170" s="63">
        <v>8.6666908000000004E-4</v>
      </c>
      <c r="Z170" s="63">
        <v>9.2420233000000004E-4</v>
      </c>
      <c r="AA170" s="63">
        <v>1.06594081E-3</v>
      </c>
      <c r="AB170" s="63">
        <v>1.25998465E-3</v>
      </c>
      <c r="AC170" s="63">
        <v>1.43213227E-3</v>
      </c>
      <c r="AD170" s="63">
        <v>1.57743746799999E-3</v>
      </c>
      <c r="AE170" t="s">
        <v>93</v>
      </c>
    </row>
    <row r="171" spans="1:31">
      <c r="A171" t="s">
        <v>267</v>
      </c>
      <c r="B171" t="s">
        <v>1</v>
      </c>
      <c r="C171" t="s">
        <v>56</v>
      </c>
      <c r="D171" s="13" t="str">
        <f>IFERROR(VLOOKUP(C171,ghg_sort!$A$86:$B$512,2,0),0)</f>
        <v>Industry</v>
      </c>
      <c r="E171" s="12" t="s">
        <v>86</v>
      </c>
      <c r="F171" s="13">
        <f>IFERROR(VLOOKUP($E171,ghg_sort!$A$3:$B$21,2,0),0)</f>
        <v>3.6666666666666701</v>
      </c>
      <c r="G171" s="13">
        <f t="shared" si="23"/>
        <v>7.3113223333333401</v>
      </c>
      <c r="H171" s="13">
        <f t="shared" si="24"/>
        <v>6.0646820666666716</v>
      </c>
      <c r="I171" s="13">
        <f t="shared" si="25"/>
        <v>7.2354003333333399</v>
      </c>
      <c r="J171" s="13">
        <f t="shared" si="26"/>
        <v>5.8556776666666721</v>
      </c>
      <c r="K171" s="13">
        <f t="shared" si="27"/>
        <v>6.3488021666666725</v>
      </c>
      <c r="L171" s="13">
        <f t="shared" si="28"/>
        <v>8.0772677333333398</v>
      </c>
      <c r="M171" s="13">
        <f t="shared" si="29"/>
        <v>9.4928771666666378</v>
      </c>
      <c r="N171" s="13">
        <f t="shared" si="30"/>
        <v>11.513347963333343</v>
      </c>
      <c r="O171" s="13">
        <f t="shared" si="31"/>
        <v>14.024374210000014</v>
      </c>
      <c r="P171" s="13">
        <f t="shared" si="32"/>
        <v>16.15616570333335</v>
      </c>
      <c r="Q171" s="13">
        <f t="shared" si="33"/>
        <v>18.108010448000016</v>
      </c>
      <c r="R171" s="13" t="s">
        <v>239</v>
      </c>
      <c r="T171" s="62">
        <v>1.993997</v>
      </c>
      <c r="U171" s="62">
        <v>1.6540041999999999</v>
      </c>
      <c r="V171" s="62">
        <v>1.9732909999999999</v>
      </c>
      <c r="W171" s="62">
        <v>1.597003</v>
      </c>
      <c r="X171" s="62">
        <v>1.7314915</v>
      </c>
      <c r="Y171" s="62">
        <v>2.2028911999999998</v>
      </c>
      <c r="Z171" s="62">
        <v>2.58896649999999</v>
      </c>
      <c r="AA171" s="62">
        <v>3.1400039899999999</v>
      </c>
      <c r="AB171" s="62">
        <v>3.82482933</v>
      </c>
      <c r="AC171" s="62">
        <v>4.4062270100000003</v>
      </c>
      <c r="AD171" s="62">
        <v>4.9385483040000002</v>
      </c>
      <c r="AE171" t="s">
        <v>94</v>
      </c>
    </row>
    <row r="172" spans="1:31">
      <c r="A172" t="s">
        <v>267</v>
      </c>
      <c r="B172" t="s">
        <v>1</v>
      </c>
      <c r="C172" t="s">
        <v>56</v>
      </c>
      <c r="D172" s="13" t="str">
        <f>IFERROR(VLOOKUP(C172,ghg_sort!$A$86:$B$512,2,0),0)</f>
        <v>Industry</v>
      </c>
      <c r="E172" t="s">
        <v>87</v>
      </c>
      <c r="F172" s="13">
        <f>IFERROR(VLOOKUP($E172,ghg_sort!$A$3:$B$21,2,0),0)</f>
        <v>298</v>
      </c>
      <c r="G172" s="13">
        <f t="shared" si="23"/>
        <v>2.0859999999999997E-2</v>
      </c>
      <c r="H172" s="13">
        <f t="shared" si="24"/>
        <v>1.788E-2</v>
      </c>
      <c r="I172" s="13">
        <f t="shared" si="25"/>
        <v>2.0859999999999997E-2</v>
      </c>
      <c r="J172" s="13">
        <f t="shared" si="26"/>
        <v>2.3840000000000004E-2</v>
      </c>
      <c r="K172" s="13">
        <f t="shared" si="27"/>
        <v>2.5950845452E-2</v>
      </c>
      <c r="L172" s="13">
        <f t="shared" si="28"/>
        <v>3.3264191889999996E-2</v>
      </c>
      <c r="M172" s="13">
        <f t="shared" si="29"/>
        <v>3.9247785443999997E-2</v>
      </c>
      <c r="N172" s="13">
        <f t="shared" si="30"/>
        <v>4.7777138762000002E-2</v>
      </c>
      <c r="O172" s="13">
        <f t="shared" si="31"/>
        <v>5.8853751975999999E-2</v>
      </c>
      <c r="P172" s="13">
        <f t="shared" si="32"/>
        <v>6.7781508347999703E-2</v>
      </c>
      <c r="Q172" s="13">
        <f t="shared" si="33"/>
        <v>7.5603290763999992E-2</v>
      </c>
      <c r="R172" s="13" t="s">
        <v>239</v>
      </c>
      <c r="T172" s="63">
        <v>6.9999999999999994E-5</v>
      </c>
      <c r="U172" s="63">
        <v>6.0000000000000002E-5</v>
      </c>
      <c r="V172" s="63">
        <v>6.9999999999999994E-5</v>
      </c>
      <c r="W172" s="63">
        <v>8.0000000000000007E-5</v>
      </c>
      <c r="X172" s="63">
        <v>8.7083374000000003E-5</v>
      </c>
      <c r="Y172" s="63">
        <v>1.11624805E-4</v>
      </c>
      <c r="Z172" s="63">
        <v>1.3170397799999999E-4</v>
      </c>
      <c r="AA172" s="63">
        <v>1.6032596900000001E-4</v>
      </c>
      <c r="AB172" s="63">
        <v>1.9749581199999999E-4</v>
      </c>
      <c r="AC172" s="63">
        <v>2.27454725999999E-4</v>
      </c>
      <c r="AD172" s="63">
        <v>2.5370231799999999E-4</v>
      </c>
      <c r="AE172" t="s">
        <v>93</v>
      </c>
    </row>
    <row r="173" spans="1:31">
      <c r="A173" t="s">
        <v>267</v>
      </c>
      <c r="B173" t="s">
        <v>1</v>
      </c>
      <c r="C173" t="s">
        <v>56</v>
      </c>
      <c r="D173" s="13" t="str">
        <f>IFERROR(VLOOKUP(C173,ghg_sort!$A$86:$B$512,2,0),0)</f>
        <v>Industry</v>
      </c>
      <c r="E173" t="s">
        <v>88</v>
      </c>
      <c r="F173" s="13">
        <f>IFERROR(VLOOKUP($E173,ghg_sort!$A$3:$B$21,2,0),0)</f>
        <v>0</v>
      </c>
      <c r="G173" s="13">
        <f t="shared" si="23"/>
        <v>0</v>
      </c>
      <c r="H173" s="13">
        <f t="shared" si="24"/>
        <v>0</v>
      </c>
      <c r="I173" s="13">
        <f t="shared" si="25"/>
        <v>0</v>
      </c>
      <c r="J173" s="13">
        <f t="shared" si="26"/>
        <v>0</v>
      </c>
      <c r="K173" s="13">
        <f t="shared" si="27"/>
        <v>0</v>
      </c>
      <c r="L173" s="13">
        <f t="shared" si="28"/>
        <v>0</v>
      </c>
      <c r="M173" s="13">
        <f t="shared" si="29"/>
        <v>0</v>
      </c>
      <c r="N173" s="13">
        <f t="shared" si="30"/>
        <v>0</v>
      </c>
      <c r="O173" s="13">
        <f t="shared" si="31"/>
        <v>0</v>
      </c>
      <c r="P173" s="13">
        <f t="shared" si="32"/>
        <v>0</v>
      </c>
      <c r="Q173" s="13">
        <f t="shared" si="33"/>
        <v>0</v>
      </c>
      <c r="R173" s="13" t="s">
        <v>239</v>
      </c>
      <c r="T173" s="63">
        <v>1.2E-4</v>
      </c>
      <c r="U173" s="63">
        <v>1.7999999999999901E-4</v>
      </c>
      <c r="V173" s="63">
        <v>1.4999999999999999E-4</v>
      </c>
      <c r="W173" s="63">
        <v>1.7999999999999901E-4</v>
      </c>
      <c r="X173" s="63">
        <v>1.9629715999999999E-4</v>
      </c>
      <c r="Y173" s="63">
        <v>2.5389459999999999E-4</v>
      </c>
      <c r="Z173" s="63">
        <v>3.0238512000000002E-4</v>
      </c>
      <c r="AA173" s="63">
        <v>3.7319596999999899E-4</v>
      </c>
      <c r="AB173" s="63">
        <v>4.6565580099999998E-4</v>
      </c>
      <c r="AC173" s="63">
        <v>5.4032338799999996E-4</v>
      </c>
      <c r="AD173" s="63">
        <v>6.07778735E-4</v>
      </c>
      <c r="AE173" t="s">
        <v>93</v>
      </c>
    </row>
    <row r="174" spans="1:31">
      <c r="A174" t="s">
        <v>267</v>
      </c>
      <c r="B174" t="s">
        <v>1</v>
      </c>
      <c r="C174" t="s">
        <v>56</v>
      </c>
      <c r="D174" s="13" t="str">
        <f>IFERROR(VLOOKUP(C174,ghg_sort!$A$86:$B$512,2,0),0)</f>
        <v>Industry</v>
      </c>
      <c r="E174" t="s">
        <v>89</v>
      </c>
      <c r="F174" s="13">
        <f>IFERROR(VLOOKUP($E174,ghg_sort!$A$3:$B$21,2,0),0)</f>
        <v>0</v>
      </c>
      <c r="G174" s="13">
        <f t="shared" si="23"/>
        <v>0</v>
      </c>
      <c r="H174" s="13">
        <f t="shared" si="24"/>
        <v>0</v>
      </c>
      <c r="I174" s="13">
        <f t="shared" si="25"/>
        <v>0</v>
      </c>
      <c r="J174" s="13">
        <f t="shared" si="26"/>
        <v>0</v>
      </c>
      <c r="K174" s="13">
        <f t="shared" si="27"/>
        <v>0</v>
      </c>
      <c r="L174" s="13">
        <f t="shared" si="28"/>
        <v>0</v>
      </c>
      <c r="M174" s="13">
        <f t="shared" si="29"/>
        <v>0</v>
      </c>
      <c r="N174" s="13">
        <f t="shared" si="30"/>
        <v>0</v>
      </c>
      <c r="O174" s="13">
        <f t="shared" si="31"/>
        <v>0</v>
      </c>
      <c r="P174" s="13">
        <f t="shared" si="32"/>
        <v>0</v>
      </c>
      <c r="Q174" s="13">
        <f t="shared" si="33"/>
        <v>0</v>
      </c>
      <c r="R174" s="13" t="s">
        <v>239</v>
      </c>
      <c r="T174" s="63">
        <v>2.5999999999999998E-4</v>
      </c>
      <c r="U174" s="63">
        <v>1.4999999999999999E-4</v>
      </c>
      <c r="V174" s="63">
        <v>1.7000000000000001E-4</v>
      </c>
      <c r="W174" s="63">
        <v>1.7000000000000001E-4</v>
      </c>
      <c r="X174" s="63">
        <v>1.4752164399999999E-4</v>
      </c>
      <c r="Y174" s="63">
        <v>1.6778401900000001E-4</v>
      </c>
      <c r="Z174" s="63">
        <v>1.9800907699999901E-4</v>
      </c>
      <c r="AA174" s="63">
        <v>2.4134618699999999E-4</v>
      </c>
      <c r="AB174" s="63">
        <v>2.9670192199999899E-4</v>
      </c>
      <c r="AC174" s="63">
        <v>3.4234498299999999E-4</v>
      </c>
      <c r="AD174" s="63">
        <v>3.8342041959999899E-4</v>
      </c>
      <c r="AE174" t="s">
        <v>93</v>
      </c>
    </row>
    <row r="175" spans="1:31">
      <c r="A175" t="s">
        <v>267</v>
      </c>
      <c r="B175" t="s">
        <v>1</v>
      </c>
      <c r="C175" t="s">
        <v>56</v>
      </c>
      <c r="D175" s="13" t="str">
        <f>IFERROR(VLOOKUP(C175,ghg_sort!$A$86:$B$512,2,0),0)</f>
        <v>Industry</v>
      </c>
      <c r="E175" t="s">
        <v>90</v>
      </c>
      <c r="F175" s="13">
        <f>IFERROR(VLOOKUP($E175,ghg_sort!$A$3:$B$21,2,0),0)</f>
        <v>0</v>
      </c>
      <c r="G175" s="13">
        <f t="shared" si="23"/>
        <v>0</v>
      </c>
      <c r="H175" s="13">
        <f t="shared" si="24"/>
        <v>0</v>
      </c>
      <c r="I175" s="13">
        <f t="shared" si="25"/>
        <v>0</v>
      </c>
      <c r="J175" s="13">
        <f t="shared" si="26"/>
        <v>0</v>
      </c>
      <c r="K175" s="13">
        <f t="shared" si="27"/>
        <v>0</v>
      </c>
      <c r="L175" s="13">
        <f t="shared" si="28"/>
        <v>0</v>
      </c>
      <c r="M175" s="13">
        <f t="shared" si="29"/>
        <v>0</v>
      </c>
      <c r="N175" s="13">
        <f t="shared" si="30"/>
        <v>0</v>
      </c>
      <c r="O175" s="13">
        <f t="shared" si="31"/>
        <v>0</v>
      </c>
      <c r="P175" s="13">
        <f t="shared" si="32"/>
        <v>0</v>
      </c>
      <c r="Q175" s="13">
        <f t="shared" si="33"/>
        <v>0</v>
      </c>
      <c r="R175" s="13" t="s">
        <v>239</v>
      </c>
      <c r="T175" s="62">
        <v>1.8959999999999901E-2</v>
      </c>
      <c r="U175" s="62">
        <v>9.1599999999999997E-3</v>
      </c>
      <c r="V175" s="62">
        <v>1.264E-2</v>
      </c>
      <c r="W175" s="62">
        <v>1.0789999999999999E-2</v>
      </c>
      <c r="X175" s="62">
        <v>8.0568371999999999E-3</v>
      </c>
      <c r="Y175" s="62">
        <v>6.2548003000000001E-3</v>
      </c>
      <c r="Z175" s="62">
        <v>5.9878507999999997E-3</v>
      </c>
      <c r="AA175" s="62">
        <v>6.3613428000000001E-3</v>
      </c>
      <c r="AB175" s="62">
        <v>6.9695969999999897E-3</v>
      </c>
      <c r="AC175" s="62">
        <v>7.6244141299999998E-3</v>
      </c>
      <c r="AD175" s="62">
        <v>8.0002004480000007E-3</v>
      </c>
      <c r="AE175" t="s">
        <v>93</v>
      </c>
    </row>
    <row r="176" spans="1:31">
      <c r="A176" t="s">
        <v>267</v>
      </c>
      <c r="B176" t="s">
        <v>1</v>
      </c>
      <c r="C176" t="s">
        <v>56</v>
      </c>
      <c r="D176" s="13" t="str">
        <f>IFERROR(VLOOKUP(C176,ghg_sort!$A$86:$B$512,2,0),0)</f>
        <v>Industry</v>
      </c>
      <c r="E176" t="s">
        <v>91</v>
      </c>
      <c r="F176" s="13">
        <f>IFERROR(VLOOKUP($E176,ghg_sort!$A$3:$B$21,2,0),0)</f>
        <v>0</v>
      </c>
      <c r="G176" s="13">
        <f t="shared" si="23"/>
        <v>0</v>
      </c>
      <c r="H176" s="13">
        <f t="shared" si="24"/>
        <v>0</v>
      </c>
      <c r="I176" s="13">
        <f t="shared" si="25"/>
        <v>0</v>
      </c>
      <c r="J176" s="13">
        <f t="shared" si="26"/>
        <v>0</v>
      </c>
      <c r="K176" s="13">
        <f t="shared" si="27"/>
        <v>0</v>
      </c>
      <c r="L176" s="13">
        <f t="shared" si="28"/>
        <v>0</v>
      </c>
      <c r="M176" s="13">
        <f t="shared" si="29"/>
        <v>0</v>
      </c>
      <c r="N176" s="13">
        <f t="shared" si="30"/>
        <v>0</v>
      </c>
      <c r="O176" s="13">
        <f t="shared" si="31"/>
        <v>0</v>
      </c>
      <c r="P176" s="13">
        <f t="shared" si="32"/>
        <v>0</v>
      </c>
      <c r="Q176" s="13">
        <f t="shared" si="33"/>
        <v>0</v>
      </c>
      <c r="R176" s="13" t="s">
        <v>239</v>
      </c>
      <c r="T176" s="63">
        <v>7.2000000000000005E-4</v>
      </c>
      <c r="U176" s="62">
        <v>1.2600000000000001E-3</v>
      </c>
      <c r="V176" s="63">
        <v>8.4000000000000003E-4</v>
      </c>
      <c r="W176" s="62">
        <v>2.2799999999999999E-3</v>
      </c>
      <c r="X176" s="62">
        <v>1.7124376799999999E-3</v>
      </c>
      <c r="Y176" s="62">
        <v>1.3466482069999901E-3</v>
      </c>
      <c r="Z176" s="63">
        <v>1.29078548999999E-3</v>
      </c>
      <c r="AA176" s="63">
        <v>1.343823833E-3</v>
      </c>
      <c r="AB176" s="63">
        <v>1.453375827E-3</v>
      </c>
      <c r="AC176" s="63">
        <v>1.5638178279999901E-3</v>
      </c>
      <c r="AD176" s="63">
        <v>1.59529484169999E-3</v>
      </c>
      <c r="AE176" t="s">
        <v>93</v>
      </c>
    </row>
    <row r="177" spans="1:31">
      <c r="A177" t="s">
        <v>267</v>
      </c>
      <c r="B177" t="s">
        <v>1</v>
      </c>
      <c r="C177" t="s">
        <v>56</v>
      </c>
      <c r="D177" s="13" t="str">
        <f>IFERROR(VLOOKUP(C177,ghg_sort!$A$86:$B$512,2,0),0)</f>
        <v>Industry</v>
      </c>
      <c r="E177" t="s">
        <v>92</v>
      </c>
      <c r="F177" s="13">
        <f>IFERROR(VLOOKUP($E177,ghg_sort!$A$3:$B$21,2,0),0)</f>
        <v>0</v>
      </c>
      <c r="G177" s="13">
        <f t="shared" si="23"/>
        <v>0</v>
      </c>
      <c r="H177" s="13">
        <f t="shared" si="24"/>
        <v>0</v>
      </c>
      <c r="I177" s="13">
        <f t="shared" si="25"/>
        <v>0</v>
      </c>
      <c r="J177" s="13">
        <f t="shared" si="26"/>
        <v>0</v>
      </c>
      <c r="K177" s="13">
        <f t="shared" si="27"/>
        <v>0</v>
      </c>
      <c r="L177" s="13">
        <f t="shared" si="28"/>
        <v>0</v>
      </c>
      <c r="M177" s="13">
        <f t="shared" si="29"/>
        <v>0</v>
      </c>
      <c r="N177" s="13">
        <f t="shared" si="30"/>
        <v>0</v>
      </c>
      <c r="O177" s="13">
        <f t="shared" si="31"/>
        <v>0</v>
      </c>
      <c r="P177" s="13">
        <f t="shared" si="32"/>
        <v>0</v>
      </c>
      <c r="Q177" s="13">
        <f t="shared" si="33"/>
        <v>0</v>
      </c>
      <c r="R177" s="13" t="s">
        <v>239</v>
      </c>
      <c r="T177" s="62">
        <v>5.4744053799999998E-2</v>
      </c>
      <c r="U177" s="62">
        <v>7.1907422699999998E-3</v>
      </c>
      <c r="V177" s="62">
        <v>6.1273737999999996E-3</v>
      </c>
      <c r="W177" s="62">
        <v>2.3294593500000002E-3</v>
      </c>
      <c r="X177" s="62">
        <v>1.770044471E-3</v>
      </c>
      <c r="Y177" s="62">
        <v>1.4255978999999999E-3</v>
      </c>
      <c r="Z177" s="63">
        <v>1.38114779799999E-3</v>
      </c>
      <c r="AA177" s="63">
        <v>1.4502425860000001E-3</v>
      </c>
      <c r="AB177" s="63">
        <v>1.71784819399999E-3</v>
      </c>
      <c r="AC177" s="63">
        <v>1.9635576363E-3</v>
      </c>
      <c r="AD177" s="63">
        <v>2.1771366916E-3</v>
      </c>
      <c r="AE177" t="s">
        <v>93</v>
      </c>
    </row>
    <row r="178" spans="1:31">
      <c r="A178" t="s">
        <v>267</v>
      </c>
      <c r="B178" t="s">
        <v>1</v>
      </c>
      <c r="C178" t="s">
        <v>20</v>
      </c>
      <c r="D178" s="13" t="str">
        <f>IFERROR(VLOOKUP(C178,ghg_sort!$A$86:$B$512,2,0),0)</f>
        <v>Industry</v>
      </c>
      <c r="E178" s="12" t="s">
        <v>86</v>
      </c>
      <c r="F178" s="13">
        <f>IFERROR(VLOOKUP($E178,ghg_sort!$A$3:$B$21,2,0),0)</f>
        <v>3.6666666666666701</v>
      </c>
      <c r="G178" s="13">
        <f t="shared" si="23"/>
        <v>1.6988876666666681</v>
      </c>
      <c r="H178" s="13">
        <f t="shared" si="24"/>
        <v>8.5437000000000065</v>
      </c>
      <c r="I178" s="13">
        <f t="shared" si="25"/>
        <v>12.500565000000011</v>
      </c>
      <c r="J178" s="13">
        <f t="shared" si="26"/>
        <v>15.819514333333348</v>
      </c>
      <c r="K178" s="13">
        <f t="shared" si="27"/>
        <v>15.529411333333346</v>
      </c>
      <c r="L178" s="13">
        <f t="shared" si="28"/>
        <v>17.504142333333348</v>
      </c>
      <c r="M178" s="13">
        <f t="shared" si="29"/>
        <v>18.300755000000017</v>
      </c>
      <c r="N178" s="13">
        <f t="shared" si="30"/>
        <v>18.933383333333349</v>
      </c>
      <c r="O178" s="13">
        <f t="shared" si="31"/>
        <v>16.207590666666679</v>
      </c>
      <c r="P178" s="13">
        <f t="shared" si="32"/>
        <v>11.503106999999973</v>
      </c>
      <c r="Q178" s="13">
        <f t="shared" si="33"/>
        <v>11.969987333333307</v>
      </c>
      <c r="R178" s="13" t="s">
        <v>239</v>
      </c>
      <c r="T178" s="62">
        <v>0.46333299999999999</v>
      </c>
      <c r="U178" s="62">
        <v>2.3300999999999998</v>
      </c>
      <c r="V178" s="62">
        <v>3.4092449999999999</v>
      </c>
      <c r="W178" s="62">
        <v>4.3144130000000001</v>
      </c>
      <c r="X178" s="62">
        <v>4.2352939999999997</v>
      </c>
      <c r="Y178" s="62">
        <v>4.7738569999999996</v>
      </c>
      <c r="Z178" s="62">
        <v>4.9911149999999997</v>
      </c>
      <c r="AA178" s="62">
        <v>5.1636499999999996</v>
      </c>
      <c r="AB178" s="62">
        <v>4.4202519999999996</v>
      </c>
      <c r="AC178" s="62">
        <v>3.13721099999999</v>
      </c>
      <c r="AD178" s="62">
        <v>3.2645419999999898</v>
      </c>
      <c r="AE178" t="s">
        <v>94</v>
      </c>
    </row>
    <row r="179" spans="1:31">
      <c r="A179" t="s">
        <v>267</v>
      </c>
      <c r="B179" t="s">
        <v>1</v>
      </c>
      <c r="C179" t="s">
        <v>143</v>
      </c>
      <c r="D179" s="13" t="str">
        <f>IFERROR(VLOOKUP(C179,ghg_sort!$A$86:$B$512,2,0),0)</f>
        <v>Building</v>
      </c>
      <c r="E179" t="s">
        <v>84</v>
      </c>
      <c r="F179" s="13">
        <f>IFERROR(VLOOKUP($E179,ghg_sort!$A$3:$B$21,2,0),0)</f>
        <v>25</v>
      </c>
      <c r="G179" s="13">
        <f t="shared" si="23"/>
        <v>2.2799224999999999E-3</v>
      </c>
      <c r="H179" s="13">
        <f t="shared" si="24"/>
        <v>5.9421500000000002E-3</v>
      </c>
      <c r="I179" s="13">
        <f t="shared" si="25"/>
        <v>6.1396249999999992E-3</v>
      </c>
      <c r="J179" s="13">
        <f t="shared" si="26"/>
        <v>8.0964249999999991E-3</v>
      </c>
      <c r="K179" s="13">
        <f t="shared" si="27"/>
        <v>8.4353999999999991E-3</v>
      </c>
      <c r="L179" s="13">
        <f t="shared" si="28"/>
        <v>7.8227499999999998E-3</v>
      </c>
      <c r="M179" s="13">
        <f t="shared" si="29"/>
        <v>7.70705E-3</v>
      </c>
      <c r="N179" s="13">
        <f t="shared" si="30"/>
        <v>7.0317000000000001E-3</v>
      </c>
      <c r="O179" s="13">
        <f t="shared" si="31"/>
        <v>6.3470000000000002E-3</v>
      </c>
      <c r="P179" s="13">
        <f t="shared" si="32"/>
        <v>5.7821749999999996E-3</v>
      </c>
      <c r="Q179" s="13">
        <f t="shared" si="33"/>
        <v>5.0810000000000004E-3</v>
      </c>
      <c r="R179" s="13" t="s">
        <v>239</v>
      </c>
      <c r="T179" s="63">
        <v>9.1196899999999994E-5</v>
      </c>
      <c r="U179" s="63">
        <v>2.37686E-4</v>
      </c>
      <c r="V179" s="63">
        <v>2.4558499999999999E-4</v>
      </c>
      <c r="W179" s="63">
        <v>3.2385699999999999E-4</v>
      </c>
      <c r="X179" s="63">
        <v>3.37416E-4</v>
      </c>
      <c r="Y179" s="63">
        <v>3.1291000000000001E-4</v>
      </c>
      <c r="Z179" s="63">
        <v>3.08282E-4</v>
      </c>
      <c r="AA179" s="63">
        <v>2.8126799999999999E-4</v>
      </c>
      <c r="AB179" s="63">
        <v>2.5388E-4</v>
      </c>
      <c r="AC179" s="63">
        <v>2.31287E-4</v>
      </c>
      <c r="AD179" s="63">
        <v>2.0324000000000001E-4</v>
      </c>
      <c r="AE179" t="s">
        <v>93</v>
      </c>
    </row>
    <row r="180" spans="1:31">
      <c r="A180" t="s">
        <v>267</v>
      </c>
      <c r="B180" t="s">
        <v>1</v>
      </c>
      <c r="C180" t="s">
        <v>143</v>
      </c>
      <c r="D180" s="13" t="str">
        <f>IFERROR(VLOOKUP(C180,ghg_sort!$A$86:$B$512,2,0),0)</f>
        <v>Building</v>
      </c>
      <c r="E180" t="s">
        <v>85</v>
      </c>
      <c r="F180" s="13">
        <f>IFERROR(VLOOKUP($E180,ghg_sort!$A$3:$B$21,2,0),0)</f>
        <v>0</v>
      </c>
      <c r="G180" s="13">
        <f t="shared" si="23"/>
        <v>0</v>
      </c>
      <c r="H180" s="13">
        <f t="shared" si="24"/>
        <v>0</v>
      </c>
      <c r="I180" s="13">
        <f t="shared" si="25"/>
        <v>0</v>
      </c>
      <c r="J180" s="13">
        <f t="shared" si="26"/>
        <v>0</v>
      </c>
      <c r="K180" s="13">
        <f t="shared" si="27"/>
        <v>0</v>
      </c>
      <c r="L180" s="13">
        <f t="shared" si="28"/>
        <v>0</v>
      </c>
      <c r="M180" s="13">
        <f t="shared" si="29"/>
        <v>0</v>
      </c>
      <c r="N180" s="13">
        <f t="shared" si="30"/>
        <v>0</v>
      </c>
      <c r="O180" s="13">
        <f t="shared" si="31"/>
        <v>0</v>
      </c>
      <c r="P180" s="13">
        <f t="shared" si="32"/>
        <v>0</v>
      </c>
      <c r="Q180" s="13">
        <f t="shared" si="33"/>
        <v>0</v>
      </c>
      <c r="R180" s="13" t="s">
        <v>239</v>
      </c>
      <c r="T180" s="63">
        <v>3.5904299999999999E-6</v>
      </c>
      <c r="U180" s="63">
        <v>4.73937E-5</v>
      </c>
      <c r="V180" s="63">
        <v>5.2420299999999997E-5</v>
      </c>
      <c r="W180" s="63">
        <v>6.8936299999999999E-5</v>
      </c>
      <c r="X180" s="63">
        <v>7.1822400000000005E-5</v>
      </c>
      <c r="Y180" s="63">
        <v>6.6606200000000006E-5</v>
      </c>
      <c r="Z180" s="63">
        <v>6.5621099999999994E-5</v>
      </c>
      <c r="AA180" s="63">
        <v>5.9870700000000003E-5</v>
      </c>
      <c r="AB180" s="63">
        <v>5.40409E-5</v>
      </c>
      <c r="AC180" s="63">
        <v>4.9231799999999998E-5</v>
      </c>
      <c r="AD180" s="63">
        <v>4.32617E-5</v>
      </c>
      <c r="AE180" t="s">
        <v>93</v>
      </c>
    </row>
    <row r="181" spans="1:31">
      <c r="A181" t="s">
        <v>267</v>
      </c>
      <c r="B181" t="s">
        <v>1</v>
      </c>
      <c r="C181" t="s">
        <v>143</v>
      </c>
      <c r="D181" s="13" t="str">
        <f>IFERROR(VLOOKUP(C181,ghg_sort!$A$86:$B$512,2,0),0)</f>
        <v>Building</v>
      </c>
      <c r="E181" s="12" t="s">
        <v>86</v>
      </c>
      <c r="F181" s="13">
        <f>IFERROR(VLOOKUP($E181,ghg_sort!$A$3:$B$21,2,0),0)</f>
        <v>3.6666666666666701</v>
      </c>
      <c r="G181" s="13">
        <f t="shared" si="23"/>
        <v>2.2222236666666687E-2</v>
      </c>
      <c r="H181" s="13">
        <f t="shared" si="24"/>
        <v>0.4887116666666671</v>
      </c>
      <c r="I181" s="13">
        <f t="shared" si="25"/>
        <v>0.56483166666666718</v>
      </c>
      <c r="J181" s="13">
        <f t="shared" si="26"/>
        <v>0.58806733333333383</v>
      </c>
      <c r="K181" s="13">
        <f t="shared" si="27"/>
        <v>0.61268900000000059</v>
      </c>
      <c r="L181" s="13">
        <f t="shared" si="28"/>
        <v>0.5681903333333338</v>
      </c>
      <c r="M181" s="13">
        <f t="shared" si="29"/>
        <v>0.55978633333333383</v>
      </c>
      <c r="N181" s="13">
        <f t="shared" si="30"/>
        <v>0.51073366666666709</v>
      </c>
      <c r="O181" s="13">
        <f t="shared" si="31"/>
        <v>0.46100266666666712</v>
      </c>
      <c r="P181" s="13">
        <f t="shared" si="32"/>
        <v>0.41997633333333373</v>
      </c>
      <c r="Q181" s="13">
        <f t="shared" si="33"/>
        <v>0.3690463333333337</v>
      </c>
      <c r="R181" s="13" t="s">
        <v>239</v>
      </c>
      <c r="T181" s="62">
        <v>6.0606100000000001E-3</v>
      </c>
      <c r="U181" s="62">
        <v>0.13328499999999999</v>
      </c>
      <c r="V181" s="62">
        <v>0.15404499999999999</v>
      </c>
      <c r="W181" s="62">
        <v>0.160382</v>
      </c>
      <c r="X181" s="62">
        <v>0.167097</v>
      </c>
      <c r="Y181" s="62">
        <v>0.15496099999999999</v>
      </c>
      <c r="Z181" s="62">
        <v>0.152669</v>
      </c>
      <c r="AA181" s="62">
        <v>0.139291</v>
      </c>
      <c r="AB181" s="62">
        <v>0.12572800000000001</v>
      </c>
      <c r="AC181" s="62">
        <v>0.114539</v>
      </c>
      <c r="AD181" s="62">
        <v>0.100649</v>
      </c>
      <c r="AE181" t="s">
        <v>94</v>
      </c>
    </row>
    <row r="182" spans="1:31">
      <c r="A182" t="s">
        <v>267</v>
      </c>
      <c r="B182" t="s">
        <v>1</v>
      </c>
      <c r="C182" t="s">
        <v>143</v>
      </c>
      <c r="D182" s="13" t="str">
        <f>IFERROR(VLOOKUP(C182,ghg_sort!$A$86:$B$512,2,0),0)</f>
        <v>Building</v>
      </c>
      <c r="E182" t="s">
        <v>228</v>
      </c>
      <c r="F182" s="13">
        <f>IFERROR(VLOOKUP($E182,ghg_sort!$A$3:$B$21,2,0),0)</f>
        <v>3.5</v>
      </c>
      <c r="G182" s="13">
        <f t="shared" si="23"/>
        <v>0</v>
      </c>
      <c r="H182" s="13">
        <f t="shared" si="24"/>
        <v>0.8851675</v>
      </c>
      <c r="I182" s="13">
        <f t="shared" si="25"/>
        <v>2.2011395</v>
      </c>
      <c r="J182" s="13">
        <f t="shared" si="26"/>
        <v>2.5098254999999998</v>
      </c>
      <c r="K182" s="13">
        <f t="shared" si="27"/>
        <v>2.6169989999999999</v>
      </c>
      <c r="L182" s="13">
        <f t="shared" si="28"/>
        <v>2.7846384999999998</v>
      </c>
      <c r="M182" s="13">
        <f t="shared" si="29"/>
        <v>2.6767020000000001</v>
      </c>
      <c r="N182" s="13">
        <f t="shared" si="30"/>
        <v>2.5300940000000001</v>
      </c>
      <c r="O182" s="13">
        <f t="shared" si="31"/>
        <v>2.462523</v>
      </c>
      <c r="P182" s="13">
        <f t="shared" si="32"/>
        <v>2.2304135</v>
      </c>
      <c r="Q182" s="13">
        <f t="shared" si="33"/>
        <v>2.1623420000000002</v>
      </c>
      <c r="R182" s="13" t="s">
        <v>239</v>
      </c>
      <c r="T182" s="62">
        <v>0</v>
      </c>
      <c r="U182" s="62">
        <v>0.25290499999999999</v>
      </c>
      <c r="V182" s="62">
        <v>0.62889700000000004</v>
      </c>
      <c r="W182" s="62">
        <v>0.71709299999999998</v>
      </c>
      <c r="X182" s="62">
        <v>0.74771399999999999</v>
      </c>
      <c r="Y182" s="62">
        <v>0.79561099999999996</v>
      </c>
      <c r="Z182" s="62">
        <v>0.76477200000000001</v>
      </c>
      <c r="AA182" s="62">
        <v>0.72288399999999997</v>
      </c>
      <c r="AB182" s="62">
        <v>0.70357800000000004</v>
      </c>
      <c r="AC182" s="62">
        <v>0.63726099999999997</v>
      </c>
      <c r="AD182" s="62">
        <v>0.61781200000000003</v>
      </c>
      <c r="AE182" t="s">
        <v>131</v>
      </c>
    </row>
    <row r="183" spans="1:31">
      <c r="A183" t="s">
        <v>267</v>
      </c>
      <c r="B183" t="s">
        <v>1</v>
      </c>
      <c r="C183" t="s">
        <v>143</v>
      </c>
      <c r="D183" s="13" t="str">
        <f>IFERROR(VLOOKUP(C183,ghg_sort!$A$86:$B$512,2,0),0)</f>
        <v>Building</v>
      </c>
      <c r="E183" t="s">
        <v>97</v>
      </c>
      <c r="F183" s="13">
        <f>IFERROR(VLOOKUP($E183,ghg_sort!$A$3:$B$21,2,0),0)</f>
        <v>1.4300000000000002</v>
      </c>
      <c r="G183" s="13">
        <f t="shared" si="23"/>
        <v>0</v>
      </c>
      <c r="H183" s="13">
        <f t="shared" si="24"/>
        <v>2.1349757000000005</v>
      </c>
      <c r="I183" s="13">
        <f t="shared" si="25"/>
        <v>4.1020551000000003</v>
      </c>
      <c r="J183" s="13">
        <f t="shared" si="26"/>
        <v>4.6773298000000008</v>
      </c>
      <c r="K183" s="13">
        <f t="shared" si="27"/>
        <v>4.8770579000000005</v>
      </c>
      <c r="L183" s="13">
        <f t="shared" si="28"/>
        <v>5.1894700000000009</v>
      </c>
      <c r="M183" s="13">
        <f t="shared" si="29"/>
        <v>4.9883119000000002</v>
      </c>
      <c r="N183" s="13">
        <f t="shared" si="30"/>
        <v>4.7150961000000011</v>
      </c>
      <c r="O183" s="13">
        <f t="shared" si="31"/>
        <v>4.589170300000001</v>
      </c>
      <c r="P183" s="13">
        <f t="shared" si="32"/>
        <v>4.1566096000000003</v>
      </c>
      <c r="Q183" s="13">
        <f t="shared" si="33"/>
        <v>4.0297543000000005</v>
      </c>
      <c r="R183" s="13" t="s">
        <v>239</v>
      </c>
      <c r="T183" s="62">
        <v>0</v>
      </c>
      <c r="U183" s="62">
        <v>1.49299</v>
      </c>
      <c r="V183" s="62">
        <v>2.8685700000000001</v>
      </c>
      <c r="W183" s="62">
        <v>3.2708599999999999</v>
      </c>
      <c r="X183" s="62">
        <v>3.4105300000000001</v>
      </c>
      <c r="Y183" s="62">
        <v>3.629</v>
      </c>
      <c r="Z183" s="62">
        <v>3.4883299999999999</v>
      </c>
      <c r="AA183" s="62">
        <v>3.2972700000000001</v>
      </c>
      <c r="AB183" s="62">
        <v>3.2092100000000001</v>
      </c>
      <c r="AC183" s="62">
        <v>2.90672</v>
      </c>
      <c r="AD183" s="62">
        <v>2.8180100000000001</v>
      </c>
      <c r="AE183" t="s">
        <v>131</v>
      </c>
    </row>
    <row r="184" spans="1:31">
      <c r="A184" t="s">
        <v>267</v>
      </c>
      <c r="B184" t="s">
        <v>1</v>
      </c>
      <c r="C184" t="s">
        <v>143</v>
      </c>
      <c r="D184" s="13" t="str">
        <f>IFERROR(VLOOKUP(C184,ghg_sort!$A$86:$B$512,2,0),0)</f>
        <v>Building</v>
      </c>
      <c r="E184" t="s">
        <v>98</v>
      </c>
      <c r="F184" s="13">
        <f>IFERROR(VLOOKUP($E184,ghg_sort!$A$3:$B$21,2,0),0)</f>
        <v>4.47</v>
      </c>
      <c r="G184" s="13">
        <f t="shared" si="23"/>
        <v>0</v>
      </c>
      <c r="H184" s="13">
        <f t="shared" si="24"/>
        <v>1.3904963099999998</v>
      </c>
      <c r="I184" s="13">
        <f t="shared" si="25"/>
        <v>3.0452634899999995</v>
      </c>
      <c r="J184" s="13">
        <f t="shared" si="26"/>
        <v>3.47232729</v>
      </c>
      <c r="K184" s="13">
        <f t="shared" si="27"/>
        <v>3.6206016599999997</v>
      </c>
      <c r="L184" s="13">
        <f t="shared" si="28"/>
        <v>3.8525320799999996</v>
      </c>
      <c r="M184" s="13">
        <f t="shared" si="29"/>
        <v>3.7032027899999997</v>
      </c>
      <c r="N184" s="13">
        <f t="shared" si="30"/>
        <v>3.5003675999999997</v>
      </c>
      <c r="O184" s="13">
        <f t="shared" si="31"/>
        <v>3.4068864899999998</v>
      </c>
      <c r="P184" s="13">
        <f t="shared" si="32"/>
        <v>3.0857661599999999</v>
      </c>
      <c r="Q184" s="13">
        <f t="shared" si="33"/>
        <v>2.99158773</v>
      </c>
      <c r="R184" s="13" t="s">
        <v>239</v>
      </c>
      <c r="T184" s="62">
        <v>0</v>
      </c>
      <c r="U184" s="62">
        <v>0.31107299999999999</v>
      </c>
      <c r="V184" s="62">
        <v>0.68126699999999996</v>
      </c>
      <c r="W184" s="62">
        <v>0.77680700000000003</v>
      </c>
      <c r="X184" s="62">
        <v>0.80997799999999998</v>
      </c>
      <c r="Y184" s="62">
        <v>0.86186399999999996</v>
      </c>
      <c r="Z184" s="62">
        <v>0.828457</v>
      </c>
      <c r="AA184" s="62">
        <v>0.78308</v>
      </c>
      <c r="AB184" s="62">
        <v>0.76216700000000004</v>
      </c>
      <c r="AC184" s="62">
        <v>0.69032800000000005</v>
      </c>
      <c r="AD184" s="62">
        <v>0.66925900000000005</v>
      </c>
      <c r="AE184" t="s">
        <v>131</v>
      </c>
    </row>
    <row r="185" spans="1:31">
      <c r="A185" t="s">
        <v>267</v>
      </c>
      <c r="B185" t="s">
        <v>1</v>
      </c>
      <c r="C185" t="s">
        <v>143</v>
      </c>
      <c r="D185" s="13" t="str">
        <f>IFERROR(VLOOKUP(C185,ghg_sort!$A$86:$B$512,2,0),0)</f>
        <v>Building</v>
      </c>
      <c r="E185" t="s">
        <v>99</v>
      </c>
      <c r="F185" s="13">
        <f>IFERROR(VLOOKUP($E185,ghg_sort!$A$3:$B$21,2,0),0)</f>
        <v>14.8</v>
      </c>
      <c r="G185" s="13">
        <f t="shared" si="23"/>
        <v>0</v>
      </c>
      <c r="H185" s="13">
        <f t="shared" si="24"/>
        <v>3.4354056000000001E-2</v>
      </c>
      <c r="I185" s="13">
        <f t="shared" si="25"/>
        <v>1.3831266E-2</v>
      </c>
      <c r="J185" s="13">
        <f t="shared" si="26"/>
        <v>1.5771028000000003E-2</v>
      </c>
      <c r="K185" s="13">
        <f t="shared" si="27"/>
        <v>1.6444428000000001E-2</v>
      </c>
      <c r="L185" s="13">
        <f t="shared" si="28"/>
        <v>1.7497743999999999E-2</v>
      </c>
      <c r="M185" s="13">
        <f t="shared" si="29"/>
        <v>1.6819608E-2</v>
      </c>
      <c r="N185" s="13">
        <f t="shared" si="30"/>
        <v>1.5898308E-2</v>
      </c>
      <c r="O185" s="13">
        <f t="shared" si="31"/>
        <v>1.5473696000000002E-2</v>
      </c>
      <c r="P185" s="13">
        <f t="shared" si="32"/>
        <v>1.40152152E-2</v>
      </c>
      <c r="Q185" s="13">
        <f t="shared" si="33"/>
        <v>1.3587480400000001E-2</v>
      </c>
      <c r="R185" s="13" t="s">
        <v>239</v>
      </c>
      <c r="T185" s="62">
        <v>0</v>
      </c>
      <c r="U185" s="62">
        <v>2.3212200000000001E-3</v>
      </c>
      <c r="V185" s="63">
        <v>9.3454499999999995E-4</v>
      </c>
      <c r="W185" s="62">
        <v>1.06561E-3</v>
      </c>
      <c r="X185" s="62">
        <v>1.11111E-3</v>
      </c>
      <c r="Y185" s="62">
        <v>1.18228E-3</v>
      </c>
      <c r="Z185" s="62">
        <v>1.1364599999999999E-3</v>
      </c>
      <c r="AA185" s="63">
        <v>1.0742099999999999E-3</v>
      </c>
      <c r="AB185" s="63">
        <v>1.0455200000000001E-3</v>
      </c>
      <c r="AC185" s="63">
        <v>9.4697399999999995E-4</v>
      </c>
      <c r="AD185" s="63">
        <v>9.1807300000000004E-4</v>
      </c>
      <c r="AE185" t="s">
        <v>131</v>
      </c>
    </row>
    <row r="186" spans="1:31">
      <c r="A186" t="s">
        <v>267</v>
      </c>
      <c r="B186" t="s">
        <v>1</v>
      </c>
      <c r="C186" t="s">
        <v>143</v>
      </c>
      <c r="D186" s="13" t="str">
        <f>IFERROR(VLOOKUP(C186,ghg_sort!$A$86:$B$512,2,0),0)</f>
        <v>Building</v>
      </c>
      <c r="E186" t="s">
        <v>100</v>
      </c>
      <c r="F186" s="13">
        <f>IFERROR(VLOOKUP($E186,ghg_sort!$A$3:$B$21,2,0),0)</f>
        <v>0.67500000000000004</v>
      </c>
      <c r="G186" s="13">
        <f t="shared" si="23"/>
        <v>0</v>
      </c>
      <c r="H186" s="13">
        <f t="shared" si="24"/>
        <v>1.5278895000000001E-2</v>
      </c>
      <c r="I186" s="13">
        <f t="shared" si="25"/>
        <v>3.3444427500000005E-2</v>
      </c>
      <c r="J186" s="13">
        <f t="shared" si="26"/>
        <v>3.8134665000000005E-2</v>
      </c>
      <c r="K186" s="13">
        <f t="shared" si="27"/>
        <v>3.9763035000000002E-2</v>
      </c>
      <c r="L186" s="13">
        <f t="shared" si="28"/>
        <v>4.2310214999999998E-2</v>
      </c>
      <c r="M186" s="13">
        <f t="shared" si="29"/>
        <v>4.0670234999999999E-2</v>
      </c>
      <c r="N186" s="13">
        <f t="shared" si="30"/>
        <v>3.8442600000000007E-2</v>
      </c>
      <c r="O186" s="13">
        <f t="shared" si="31"/>
        <v>3.7415925000000003E-2</v>
      </c>
      <c r="P186" s="13">
        <f t="shared" si="32"/>
        <v>3.3889252500000001E-2</v>
      </c>
      <c r="Q186" s="13">
        <f t="shared" si="33"/>
        <v>3.2854950000000001E-2</v>
      </c>
      <c r="R186" s="13" t="s">
        <v>239</v>
      </c>
      <c r="T186" s="62">
        <v>0</v>
      </c>
      <c r="U186" s="62">
        <v>2.26354E-2</v>
      </c>
      <c r="V186" s="62">
        <v>4.9547300000000002E-2</v>
      </c>
      <c r="W186" s="62">
        <v>5.6495799999999999E-2</v>
      </c>
      <c r="X186" s="62">
        <v>5.8908200000000001E-2</v>
      </c>
      <c r="Y186" s="62">
        <v>6.2681799999999996E-2</v>
      </c>
      <c r="Z186" s="62">
        <v>6.0252199999999999E-2</v>
      </c>
      <c r="AA186" s="62">
        <v>5.6952000000000003E-2</v>
      </c>
      <c r="AB186" s="62">
        <v>5.5431000000000001E-2</v>
      </c>
      <c r="AC186" s="62">
        <v>5.0206300000000002E-2</v>
      </c>
      <c r="AD186" s="62">
        <v>4.8674000000000002E-2</v>
      </c>
      <c r="AE186" t="s">
        <v>131</v>
      </c>
    </row>
    <row r="187" spans="1:31">
      <c r="A187" t="s">
        <v>267</v>
      </c>
      <c r="B187" t="s">
        <v>1</v>
      </c>
      <c r="C187" t="s">
        <v>143</v>
      </c>
      <c r="D187" s="13" t="str">
        <f>IFERROR(VLOOKUP(C187,ghg_sort!$A$86:$B$512,2,0),0)</f>
        <v>Building</v>
      </c>
      <c r="E187" t="s">
        <v>87</v>
      </c>
      <c r="F187" s="13">
        <f>IFERROR(VLOOKUP($E187,ghg_sort!$A$3:$B$21,2,0),0)</f>
        <v>298</v>
      </c>
      <c r="G187" s="13">
        <f t="shared" si="23"/>
        <v>0</v>
      </c>
      <c r="H187" s="13">
        <f t="shared" si="24"/>
        <v>8.5595731999999999E-4</v>
      </c>
      <c r="I187" s="13">
        <f t="shared" si="25"/>
        <v>8.5595731999999999E-4</v>
      </c>
      <c r="J187" s="13">
        <f t="shared" si="26"/>
        <v>8.5595731999999999E-4</v>
      </c>
      <c r="K187" s="13">
        <f t="shared" si="27"/>
        <v>8.9179479999999995E-4</v>
      </c>
      <c r="L187" s="13">
        <f t="shared" si="28"/>
        <v>8.2702748000000007E-4</v>
      </c>
      <c r="M187" s="13">
        <f t="shared" si="29"/>
        <v>8.1479457999999994E-4</v>
      </c>
      <c r="N187" s="13">
        <f t="shared" si="30"/>
        <v>7.4339377999999999E-4</v>
      </c>
      <c r="O187" s="13">
        <f t="shared" si="31"/>
        <v>6.7100660000000002E-4</v>
      </c>
      <c r="P187" s="13">
        <f t="shared" si="32"/>
        <v>6.1129335999999992E-4</v>
      </c>
      <c r="Q187" s="13">
        <f t="shared" si="33"/>
        <v>5.3716585999999996E-4</v>
      </c>
      <c r="R187" s="13" t="s">
        <v>239</v>
      </c>
      <c r="T187" s="62">
        <v>0</v>
      </c>
      <c r="U187" s="63">
        <v>2.8723399999999998E-6</v>
      </c>
      <c r="V187" s="63">
        <v>2.8723399999999998E-6</v>
      </c>
      <c r="W187" s="63">
        <v>2.8723399999999998E-6</v>
      </c>
      <c r="X187" s="63">
        <v>2.9925999999999999E-6</v>
      </c>
      <c r="Y187" s="63">
        <v>2.7752600000000001E-6</v>
      </c>
      <c r="Z187" s="63">
        <v>2.7342099999999999E-6</v>
      </c>
      <c r="AA187" s="63">
        <v>2.4946100000000001E-6</v>
      </c>
      <c r="AB187" s="63">
        <v>2.2517E-6</v>
      </c>
      <c r="AC187" s="63">
        <v>2.0513199999999999E-6</v>
      </c>
      <c r="AD187" s="63">
        <v>1.8025699999999999E-6</v>
      </c>
      <c r="AE187" t="s">
        <v>93</v>
      </c>
    </row>
    <row r="188" spans="1:31">
      <c r="A188" t="s">
        <v>267</v>
      </c>
      <c r="B188" t="s">
        <v>1</v>
      </c>
      <c r="C188" t="s">
        <v>143</v>
      </c>
      <c r="D188" s="13" t="str">
        <f>IFERROR(VLOOKUP(C188,ghg_sort!$A$86:$B$512,2,0),0)</f>
        <v>Building</v>
      </c>
      <c r="E188" t="s">
        <v>88</v>
      </c>
      <c r="F188" s="13">
        <f>IFERROR(VLOOKUP($E188,ghg_sort!$A$3:$B$21,2,0),0)</f>
        <v>0</v>
      </c>
      <c r="G188" s="13">
        <f t="shared" si="23"/>
        <v>0</v>
      </c>
      <c r="H188" s="13">
        <f t="shared" si="24"/>
        <v>0</v>
      </c>
      <c r="I188" s="13">
        <f t="shared" si="25"/>
        <v>0</v>
      </c>
      <c r="J188" s="13">
        <f t="shared" si="26"/>
        <v>0</v>
      </c>
      <c r="K188" s="13">
        <f t="shared" si="27"/>
        <v>0</v>
      </c>
      <c r="L188" s="13">
        <f t="shared" si="28"/>
        <v>0</v>
      </c>
      <c r="M188" s="13">
        <f t="shared" si="29"/>
        <v>0</v>
      </c>
      <c r="N188" s="13">
        <f t="shared" si="30"/>
        <v>0</v>
      </c>
      <c r="O188" s="13">
        <f t="shared" si="31"/>
        <v>0</v>
      </c>
      <c r="P188" s="13">
        <f t="shared" si="32"/>
        <v>0</v>
      </c>
      <c r="Q188" s="13">
        <f t="shared" si="33"/>
        <v>0</v>
      </c>
      <c r="R188" s="13" t="s">
        <v>239</v>
      </c>
      <c r="T188" s="62">
        <v>0</v>
      </c>
      <c r="U188" s="63">
        <v>7.1808599999999999E-7</v>
      </c>
      <c r="V188" s="63">
        <v>7.1808599999999999E-7</v>
      </c>
      <c r="W188" s="63">
        <v>2.15426E-6</v>
      </c>
      <c r="X188" s="63">
        <v>2.2444500000000002E-6</v>
      </c>
      <c r="Y188" s="63">
        <v>2.0814399999999999E-6</v>
      </c>
      <c r="Z188" s="63">
        <v>2.0506599999999999E-6</v>
      </c>
      <c r="AA188" s="63">
        <v>1.8709599999999999E-6</v>
      </c>
      <c r="AB188" s="63">
        <v>1.6887799999999999E-6</v>
      </c>
      <c r="AC188" s="63">
        <v>1.5384899999999999E-6</v>
      </c>
      <c r="AD188" s="63">
        <v>1.3519299999999999E-6</v>
      </c>
      <c r="AE188" t="s">
        <v>93</v>
      </c>
    </row>
    <row r="189" spans="1:31">
      <c r="A189" t="s">
        <v>267</v>
      </c>
      <c r="B189" t="s">
        <v>1</v>
      </c>
      <c r="C189" t="s">
        <v>143</v>
      </c>
      <c r="D189" s="13" t="str">
        <f>IFERROR(VLOOKUP(C189,ghg_sort!$A$86:$B$512,2,0),0)</f>
        <v>Building</v>
      </c>
      <c r="E189" t="s">
        <v>89</v>
      </c>
      <c r="F189" s="13">
        <f>IFERROR(VLOOKUP($E189,ghg_sort!$A$3:$B$21,2,0),0)</f>
        <v>0</v>
      </c>
      <c r="G189" s="13">
        <f t="shared" si="23"/>
        <v>0</v>
      </c>
      <c r="H189" s="13">
        <f t="shared" si="24"/>
        <v>0</v>
      </c>
      <c r="I189" s="13">
        <f t="shared" si="25"/>
        <v>0</v>
      </c>
      <c r="J189" s="13">
        <f t="shared" si="26"/>
        <v>0</v>
      </c>
      <c r="K189" s="13">
        <f t="shared" si="27"/>
        <v>0</v>
      </c>
      <c r="L189" s="13">
        <f t="shared" si="28"/>
        <v>0</v>
      </c>
      <c r="M189" s="13">
        <f t="shared" si="29"/>
        <v>0</v>
      </c>
      <c r="N189" s="13">
        <f t="shared" si="30"/>
        <v>0</v>
      </c>
      <c r="O189" s="13">
        <f t="shared" si="31"/>
        <v>0</v>
      </c>
      <c r="P189" s="13">
        <f t="shared" si="32"/>
        <v>0</v>
      </c>
      <c r="Q189" s="13">
        <f t="shared" si="33"/>
        <v>0</v>
      </c>
      <c r="R189" s="13" t="s">
        <v>239</v>
      </c>
      <c r="T189" s="62">
        <v>0</v>
      </c>
      <c r="U189" s="63">
        <v>2.15426E-6</v>
      </c>
      <c r="V189" s="63">
        <v>2.8723399999999998E-6</v>
      </c>
      <c r="W189" s="63">
        <v>4.30852E-6</v>
      </c>
      <c r="X189" s="63">
        <v>4.4889000000000003E-6</v>
      </c>
      <c r="Y189" s="63">
        <v>4.1628899999999997E-6</v>
      </c>
      <c r="Z189" s="63">
        <v>4.1013199999999997E-6</v>
      </c>
      <c r="AA189" s="63">
        <v>3.7419199999999998E-6</v>
      </c>
      <c r="AB189" s="63">
        <v>3.3775599999999998E-6</v>
      </c>
      <c r="AC189" s="63">
        <v>3.0769799999999998E-6</v>
      </c>
      <c r="AD189" s="63">
        <v>2.7038599999999998E-6</v>
      </c>
      <c r="AE189" t="s">
        <v>93</v>
      </c>
    </row>
    <row r="190" spans="1:31">
      <c r="A190" t="s">
        <v>267</v>
      </c>
      <c r="B190" t="s">
        <v>1</v>
      </c>
      <c r="C190" t="s">
        <v>143</v>
      </c>
      <c r="D190" s="13" t="str">
        <f>IFERROR(VLOOKUP(C190,ghg_sort!$A$86:$B$512,2,0),0)</f>
        <v>Building</v>
      </c>
      <c r="E190" t="s">
        <v>90</v>
      </c>
      <c r="F190" s="13">
        <f>IFERROR(VLOOKUP($E190,ghg_sort!$A$3:$B$21,2,0),0)</f>
        <v>0</v>
      </c>
      <c r="G190" s="13">
        <f t="shared" si="23"/>
        <v>0</v>
      </c>
      <c r="H190" s="13">
        <f t="shared" si="24"/>
        <v>0</v>
      </c>
      <c r="I190" s="13">
        <f t="shared" si="25"/>
        <v>0</v>
      </c>
      <c r="J190" s="13">
        <f t="shared" si="26"/>
        <v>0</v>
      </c>
      <c r="K190" s="13">
        <f t="shared" si="27"/>
        <v>0</v>
      </c>
      <c r="L190" s="13">
        <f t="shared" si="28"/>
        <v>0</v>
      </c>
      <c r="M190" s="13">
        <f t="shared" si="29"/>
        <v>0</v>
      </c>
      <c r="N190" s="13">
        <f t="shared" si="30"/>
        <v>0</v>
      </c>
      <c r="O190" s="13">
        <f t="shared" si="31"/>
        <v>0</v>
      </c>
      <c r="P190" s="13">
        <f t="shared" si="32"/>
        <v>0</v>
      </c>
      <c r="Q190" s="13">
        <f t="shared" si="33"/>
        <v>0</v>
      </c>
      <c r="R190" s="13" t="s">
        <v>239</v>
      </c>
      <c r="T190" s="63">
        <v>1.43617E-5</v>
      </c>
      <c r="U190" s="63">
        <v>2.8292600000000002E-4</v>
      </c>
      <c r="V190" s="63">
        <v>3.9422900000000001E-4</v>
      </c>
      <c r="W190" s="63">
        <v>3.76277E-4</v>
      </c>
      <c r="X190" s="63">
        <v>3.9203000000000003E-4</v>
      </c>
      <c r="Y190" s="63">
        <v>3.6355900000000001E-4</v>
      </c>
      <c r="Z190" s="63">
        <v>3.5818200000000002E-4</v>
      </c>
      <c r="AA190" s="63">
        <v>3.2679399999999999E-4</v>
      </c>
      <c r="AB190" s="63">
        <v>2.9497300000000002E-4</v>
      </c>
      <c r="AC190" s="63">
        <v>2.6872300000000001E-4</v>
      </c>
      <c r="AD190" s="63">
        <v>2.3613700000000001E-4</v>
      </c>
      <c r="AE190" t="s">
        <v>93</v>
      </c>
    </row>
    <row r="191" spans="1:31">
      <c r="A191" t="s">
        <v>267</v>
      </c>
      <c r="B191" t="s">
        <v>1</v>
      </c>
      <c r="C191" t="s">
        <v>143</v>
      </c>
      <c r="D191" s="13" t="str">
        <f>IFERROR(VLOOKUP(C191,ghg_sort!$A$86:$B$512,2,0),0)</f>
        <v>Building</v>
      </c>
      <c r="E191" t="s">
        <v>92</v>
      </c>
      <c r="F191" s="13">
        <f>IFERROR(VLOOKUP($E191,ghg_sort!$A$3:$B$21,2,0),0)</f>
        <v>0</v>
      </c>
      <c r="G191" s="13">
        <f t="shared" si="23"/>
        <v>0</v>
      </c>
      <c r="H191" s="13">
        <f t="shared" si="24"/>
        <v>0</v>
      </c>
      <c r="I191" s="13">
        <f t="shared" si="25"/>
        <v>0</v>
      </c>
      <c r="J191" s="13">
        <f t="shared" si="26"/>
        <v>0</v>
      </c>
      <c r="K191" s="13">
        <f t="shared" si="27"/>
        <v>0</v>
      </c>
      <c r="L191" s="13">
        <f t="shared" si="28"/>
        <v>0</v>
      </c>
      <c r="M191" s="13">
        <f t="shared" si="29"/>
        <v>0</v>
      </c>
      <c r="N191" s="13">
        <f t="shared" si="30"/>
        <v>0</v>
      </c>
      <c r="O191" s="13">
        <f t="shared" si="31"/>
        <v>0</v>
      </c>
      <c r="P191" s="13">
        <f t="shared" si="32"/>
        <v>0</v>
      </c>
      <c r="Q191" s="13">
        <f t="shared" si="33"/>
        <v>0</v>
      </c>
      <c r="R191" s="13" t="s">
        <v>239</v>
      </c>
      <c r="T191" s="63">
        <v>4.9718600000000002E-8</v>
      </c>
      <c r="U191" s="63">
        <v>7.4903899999999996E-7</v>
      </c>
      <c r="V191" s="63">
        <v>3.1027500000000001E-6</v>
      </c>
      <c r="W191" s="63">
        <v>1.28727E-6</v>
      </c>
      <c r="X191" s="63">
        <v>1.3411599999999999E-6</v>
      </c>
      <c r="Y191" s="63">
        <v>1.24376E-6</v>
      </c>
      <c r="Z191" s="63">
        <v>1.22537E-6</v>
      </c>
      <c r="AA191" s="63">
        <v>1.1179900000000001E-6</v>
      </c>
      <c r="AB191" s="63">
        <v>1.00913E-6</v>
      </c>
      <c r="AC191" s="63">
        <v>9.19322E-7</v>
      </c>
      <c r="AD191" s="63">
        <v>8.0784200000000002E-7</v>
      </c>
      <c r="AE191" t="s">
        <v>93</v>
      </c>
    </row>
    <row r="192" spans="1:31">
      <c r="A192" t="s">
        <v>267</v>
      </c>
      <c r="B192" t="s">
        <v>1</v>
      </c>
      <c r="C192" t="s">
        <v>144</v>
      </c>
      <c r="D192" s="13" t="str">
        <f>IFERROR(VLOOKUP(C192,ghg_sort!$A$86:$B$512,2,0),0)</f>
        <v>Building</v>
      </c>
      <c r="E192" t="s">
        <v>83</v>
      </c>
      <c r="F192" s="13">
        <f>IFERROR(VLOOKUP($E192,ghg_sort!$A$3:$B$21,2,0),0)</f>
        <v>0</v>
      </c>
      <c r="G192" s="13">
        <f t="shared" si="23"/>
        <v>0</v>
      </c>
      <c r="H192" s="13">
        <f t="shared" si="24"/>
        <v>0</v>
      </c>
      <c r="I192" s="13">
        <f t="shared" si="25"/>
        <v>0</v>
      </c>
      <c r="J192" s="13">
        <f t="shared" si="26"/>
        <v>0</v>
      </c>
      <c r="K192" s="13">
        <f t="shared" si="27"/>
        <v>0</v>
      </c>
      <c r="L192" s="13">
        <f t="shared" si="28"/>
        <v>0</v>
      </c>
      <c r="M192" s="13">
        <f t="shared" si="29"/>
        <v>0</v>
      </c>
      <c r="N192" s="13">
        <f t="shared" si="30"/>
        <v>0</v>
      </c>
      <c r="O192" s="13">
        <f t="shared" si="31"/>
        <v>0</v>
      </c>
      <c r="P192" s="13">
        <f t="shared" si="32"/>
        <v>0</v>
      </c>
      <c r="Q192" s="13">
        <f t="shared" si="33"/>
        <v>0</v>
      </c>
      <c r="R192" s="13" t="s">
        <v>239</v>
      </c>
      <c r="T192" s="62">
        <v>2.847273E-3</v>
      </c>
      <c r="U192" s="62">
        <v>1.7607580000000001E-3</v>
      </c>
      <c r="V192" s="62">
        <v>1.7894499999999999E-3</v>
      </c>
      <c r="W192" s="62">
        <v>4.27977999999999E-3</v>
      </c>
      <c r="X192" s="62">
        <v>3.9579610000000003E-3</v>
      </c>
      <c r="Y192" s="62">
        <v>2.3379329999999999E-3</v>
      </c>
      <c r="Z192" s="62">
        <v>1.8602803000000001E-3</v>
      </c>
      <c r="AA192" s="62">
        <v>1.4972624E-3</v>
      </c>
      <c r="AB192" s="63">
        <v>1.2596009999999999E-3</v>
      </c>
      <c r="AC192" s="63">
        <v>1.0213657E-3</v>
      </c>
      <c r="AD192" s="63">
        <v>8.1201899999999998E-4</v>
      </c>
      <c r="AE192" t="s">
        <v>93</v>
      </c>
    </row>
    <row r="193" spans="1:31">
      <c r="A193" t="s">
        <v>267</v>
      </c>
      <c r="B193" t="s">
        <v>1</v>
      </c>
      <c r="C193" t="s">
        <v>144</v>
      </c>
      <c r="D193" s="13" t="str">
        <f>IFERROR(VLOOKUP(C193,ghg_sort!$A$86:$B$512,2,0),0)</f>
        <v>Building</v>
      </c>
      <c r="E193" t="s">
        <v>84</v>
      </c>
      <c r="F193" s="13">
        <f>IFERROR(VLOOKUP($E193,ghg_sort!$A$3:$B$21,2,0),0)</f>
        <v>25</v>
      </c>
      <c r="G193" s="13">
        <f t="shared" si="23"/>
        <v>5.7499799999999997E-2</v>
      </c>
      <c r="H193" s="13">
        <f t="shared" si="24"/>
        <v>5.2977025000000004E-2</v>
      </c>
      <c r="I193" s="13">
        <f t="shared" si="25"/>
        <v>5.4438424999999992E-2</v>
      </c>
      <c r="J193" s="13">
        <f t="shared" si="26"/>
        <v>7.6899059999999991E-2</v>
      </c>
      <c r="K193" s="13">
        <f t="shared" si="27"/>
        <v>0.10630945500000001</v>
      </c>
      <c r="L193" s="13">
        <f t="shared" si="28"/>
        <v>0.119939185</v>
      </c>
      <c r="M193" s="13">
        <f t="shared" si="29"/>
        <v>0.130288395</v>
      </c>
      <c r="N193" s="13">
        <f t="shared" si="30"/>
        <v>0.1350582525</v>
      </c>
      <c r="O193" s="13">
        <f t="shared" si="31"/>
        <v>0.13483653749999999</v>
      </c>
      <c r="P193" s="13">
        <f t="shared" si="32"/>
        <v>0.13350871749999998</v>
      </c>
      <c r="Q193" s="13">
        <f t="shared" si="33"/>
        <v>0.1296843</v>
      </c>
      <c r="R193" s="13" t="s">
        <v>239</v>
      </c>
      <c r="T193" s="62">
        <v>2.2999919999999998E-3</v>
      </c>
      <c r="U193" s="62">
        <v>2.1190810000000001E-3</v>
      </c>
      <c r="V193" s="62">
        <v>2.1775369999999998E-3</v>
      </c>
      <c r="W193" s="62">
        <v>3.0759623999999999E-3</v>
      </c>
      <c r="X193" s="62">
        <v>4.2523782000000003E-3</v>
      </c>
      <c r="Y193" s="62">
        <v>4.7975674000000001E-3</v>
      </c>
      <c r="Z193" s="62">
        <v>5.2115358000000001E-3</v>
      </c>
      <c r="AA193" s="62">
        <v>5.4023300999999999E-3</v>
      </c>
      <c r="AB193" s="62">
        <v>5.3934615000000002E-3</v>
      </c>
      <c r="AC193" s="62">
        <v>5.3403486999999998E-3</v>
      </c>
      <c r="AD193" s="62">
        <v>5.187372E-3</v>
      </c>
      <c r="AE193" t="s">
        <v>93</v>
      </c>
    </row>
    <row r="194" spans="1:31">
      <c r="A194" t="s">
        <v>267</v>
      </c>
      <c r="B194" t="s">
        <v>1</v>
      </c>
      <c r="C194" t="s">
        <v>144</v>
      </c>
      <c r="D194" s="13" t="str">
        <f>IFERROR(VLOOKUP(C194,ghg_sort!$A$86:$B$512,2,0),0)</f>
        <v>Building</v>
      </c>
      <c r="E194" t="s">
        <v>85</v>
      </c>
      <c r="F194" s="13">
        <f>IFERROR(VLOOKUP($E194,ghg_sort!$A$3:$B$21,2,0),0)</f>
        <v>0</v>
      </c>
      <c r="G194" s="13">
        <f t="shared" si="23"/>
        <v>0</v>
      </c>
      <c r="H194" s="13">
        <f t="shared" si="24"/>
        <v>0</v>
      </c>
      <c r="I194" s="13">
        <f t="shared" si="25"/>
        <v>0</v>
      </c>
      <c r="J194" s="13">
        <f t="shared" si="26"/>
        <v>0</v>
      </c>
      <c r="K194" s="13">
        <f t="shared" si="27"/>
        <v>0</v>
      </c>
      <c r="L194" s="13">
        <f t="shared" si="28"/>
        <v>0</v>
      </c>
      <c r="M194" s="13">
        <f t="shared" si="29"/>
        <v>0</v>
      </c>
      <c r="N194" s="13">
        <f t="shared" si="30"/>
        <v>0</v>
      </c>
      <c r="O194" s="13">
        <f t="shared" si="31"/>
        <v>0</v>
      </c>
      <c r="P194" s="13">
        <f t="shared" si="32"/>
        <v>0</v>
      </c>
      <c r="Q194" s="13">
        <f t="shared" si="33"/>
        <v>0</v>
      </c>
      <c r="R194" s="13" t="s">
        <v>239</v>
      </c>
      <c r="T194" s="62">
        <v>4.0436949000000003E-3</v>
      </c>
      <c r="U194" s="62">
        <v>2.335873E-3</v>
      </c>
      <c r="V194" s="62">
        <v>1.8404440000000001E-3</v>
      </c>
      <c r="W194" s="62">
        <v>3.2230139999999902E-3</v>
      </c>
      <c r="X194" s="62">
        <v>2.95634E-3</v>
      </c>
      <c r="Y194" s="62">
        <v>2.2496700000000001E-3</v>
      </c>
      <c r="Z194" s="62">
        <v>2.0857459999999999E-3</v>
      </c>
      <c r="AA194" s="62">
        <v>1.918683E-3</v>
      </c>
      <c r="AB194" s="62">
        <v>1.7728710000000001E-3</v>
      </c>
      <c r="AC194" s="62">
        <v>1.6446837000000001E-3</v>
      </c>
      <c r="AD194" s="62">
        <v>1.507286E-3</v>
      </c>
      <c r="AE194" t="s">
        <v>93</v>
      </c>
    </row>
    <row r="195" spans="1:31">
      <c r="A195" t="s">
        <v>267</v>
      </c>
      <c r="B195" t="s">
        <v>1</v>
      </c>
      <c r="C195" t="s">
        <v>144</v>
      </c>
      <c r="D195" s="13" t="str">
        <f>IFERROR(VLOOKUP(C195,ghg_sort!$A$86:$B$512,2,0),0)</f>
        <v>Building</v>
      </c>
      <c r="E195" s="12" t="s">
        <v>86</v>
      </c>
      <c r="F195" s="13">
        <f>IFERROR(VLOOKUP($E195,ghg_sort!$A$3:$B$21,2,0),0)</f>
        <v>3.6666666666666701</v>
      </c>
      <c r="G195" s="13">
        <f t="shared" si="23"/>
        <v>11.53162010000001</v>
      </c>
      <c r="H195" s="13">
        <f t="shared" si="24"/>
        <v>14.592303000000014</v>
      </c>
      <c r="I195" s="13">
        <f t="shared" si="25"/>
        <v>12.335436666666677</v>
      </c>
      <c r="J195" s="13">
        <f t="shared" si="26"/>
        <v>14.33890333333331</v>
      </c>
      <c r="K195" s="13">
        <f t="shared" si="27"/>
        <v>15.847241666666681</v>
      </c>
      <c r="L195" s="13">
        <f t="shared" si="28"/>
        <v>16.572801666666681</v>
      </c>
      <c r="M195" s="13">
        <f t="shared" si="29"/>
        <v>16.970774333333349</v>
      </c>
      <c r="N195" s="13">
        <f t="shared" si="30"/>
        <v>16.618187666666682</v>
      </c>
      <c r="O195" s="13">
        <f t="shared" si="31"/>
        <v>16.027300666666644</v>
      </c>
      <c r="P195" s="13">
        <f t="shared" si="32"/>
        <v>14.725150000000014</v>
      </c>
      <c r="Q195" s="13">
        <f t="shared" si="33"/>
        <v>13.362140000000011</v>
      </c>
      <c r="R195" s="13" t="s">
        <v>239</v>
      </c>
      <c r="T195" s="62">
        <v>3.1449872999999999</v>
      </c>
      <c r="U195" s="62">
        <v>3.9797189999999998</v>
      </c>
      <c r="V195" s="62">
        <v>3.3642099999999999</v>
      </c>
      <c r="W195" s="62">
        <v>3.9106099999999899</v>
      </c>
      <c r="X195" s="62">
        <v>4.3219750000000001</v>
      </c>
      <c r="Y195" s="62">
        <v>4.5198549999999997</v>
      </c>
      <c r="Z195" s="62">
        <v>4.628393</v>
      </c>
      <c r="AA195" s="62">
        <v>4.5322329999999997</v>
      </c>
      <c r="AB195" s="62">
        <v>4.3710819999999897</v>
      </c>
      <c r="AC195" s="62">
        <v>4.0159500000000001</v>
      </c>
      <c r="AD195" s="62">
        <v>3.6442199999999998</v>
      </c>
      <c r="AE195" t="s">
        <v>94</v>
      </c>
    </row>
    <row r="196" spans="1:31">
      <c r="A196" t="s">
        <v>267</v>
      </c>
      <c r="B196" t="s">
        <v>1</v>
      </c>
      <c r="C196" t="s">
        <v>144</v>
      </c>
      <c r="D196" s="13" t="str">
        <f>IFERROR(VLOOKUP(C196,ghg_sort!$A$86:$B$512,2,0),0)</f>
        <v>Building</v>
      </c>
      <c r="E196" t="s">
        <v>87</v>
      </c>
      <c r="F196" s="13">
        <f>IFERROR(VLOOKUP($E196,ghg_sort!$A$3:$B$21,2,0),0)</f>
        <v>298</v>
      </c>
      <c r="G196" s="13">
        <f t="shared" ref="G196:G260" si="34">T196*$F196</f>
        <v>8.5924425999999998E-2</v>
      </c>
      <c r="H196" s="13">
        <f t="shared" ref="H196:H260" si="35">U196*$F196</f>
        <v>9.3760038000000004E-2</v>
      </c>
      <c r="I196" s="13">
        <f t="shared" ref="I196:I260" si="36">V196*$F196</f>
        <v>0.101401354</v>
      </c>
      <c r="J196" s="13">
        <f t="shared" ref="J196:J260" si="37">W196*$F196</f>
        <v>0.16415011139999999</v>
      </c>
      <c r="K196" s="13">
        <f t="shared" ref="K196:K260" si="38">X196*$F196</f>
        <v>0.22512246099999969</v>
      </c>
      <c r="L196" s="13">
        <f t="shared" ref="L196:L260" si="39">Y196*$F196</f>
        <v>0.22016016499999999</v>
      </c>
      <c r="M196" s="13">
        <f t="shared" ref="M196:M260" si="40">Z196*$F196</f>
        <v>0.2189606852</v>
      </c>
      <c r="N196" s="13">
        <f t="shared" ref="N196:N260" si="41">AA196*$F196</f>
        <v>0.20953378300000003</v>
      </c>
      <c r="O196" s="13">
        <f t="shared" ref="O196:O260" si="42">AB196*$F196</f>
        <v>0.2026312388</v>
      </c>
      <c r="P196" s="13">
        <f t="shared" ref="P196:P260" si="43">AC196*$F196</f>
        <v>0.1782818733599997</v>
      </c>
      <c r="Q196" s="13">
        <f t="shared" ref="Q196:Q260" si="44">AD196*$F196</f>
        <v>0.1572065325999997</v>
      </c>
      <c r="R196" s="13" t="s">
        <v>239</v>
      </c>
      <c r="T196" s="63">
        <v>2.88337E-4</v>
      </c>
      <c r="U196" s="63">
        <v>3.14631E-4</v>
      </c>
      <c r="V196" s="63">
        <v>3.4027299999999999E-4</v>
      </c>
      <c r="W196" s="63">
        <v>5.5083930000000001E-4</v>
      </c>
      <c r="X196" s="63">
        <v>7.5544449999999895E-4</v>
      </c>
      <c r="Y196" s="63">
        <v>7.387925E-4</v>
      </c>
      <c r="Z196" s="63">
        <v>7.3476740000000002E-4</v>
      </c>
      <c r="AA196" s="63">
        <v>7.0313350000000005E-4</v>
      </c>
      <c r="AB196" s="63">
        <v>6.799706E-4</v>
      </c>
      <c r="AC196" s="63">
        <v>5.9826131999999904E-4</v>
      </c>
      <c r="AD196" s="63">
        <v>5.2753869999999897E-4</v>
      </c>
      <c r="AE196" t="s">
        <v>93</v>
      </c>
    </row>
    <row r="197" spans="1:31">
      <c r="A197" t="s">
        <v>267</v>
      </c>
      <c r="B197" t="s">
        <v>1</v>
      </c>
      <c r="C197" t="s">
        <v>144</v>
      </c>
      <c r="D197" s="13" t="str">
        <f>IFERROR(VLOOKUP(C197,ghg_sort!$A$86:$B$512,2,0),0)</f>
        <v>Building</v>
      </c>
      <c r="E197" t="s">
        <v>88</v>
      </c>
      <c r="F197" s="13">
        <f>IFERROR(VLOOKUP($E197,ghg_sort!$A$3:$B$21,2,0),0)</f>
        <v>0</v>
      </c>
      <c r="G197" s="13">
        <f t="shared" si="34"/>
        <v>0</v>
      </c>
      <c r="H197" s="13">
        <f t="shared" si="35"/>
        <v>0</v>
      </c>
      <c r="I197" s="13">
        <f t="shared" si="36"/>
        <v>0</v>
      </c>
      <c r="J197" s="13">
        <f t="shared" si="37"/>
        <v>0</v>
      </c>
      <c r="K197" s="13">
        <f t="shared" si="38"/>
        <v>0</v>
      </c>
      <c r="L197" s="13">
        <f t="shared" si="39"/>
        <v>0</v>
      </c>
      <c r="M197" s="13">
        <f t="shared" si="40"/>
        <v>0</v>
      </c>
      <c r="N197" s="13">
        <f t="shared" si="41"/>
        <v>0</v>
      </c>
      <c r="O197" s="13">
        <f t="shared" si="42"/>
        <v>0</v>
      </c>
      <c r="P197" s="13">
        <f t="shared" si="43"/>
        <v>0</v>
      </c>
      <c r="Q197" s="13">
        <f t="shared" si="44"/>
        <v>0</v>
      </c>
      <c r="R197" s="13" t="s">
        <v>239</v>
      </c>
      <c r="T197" s="63">
        <v>3.2094100000000002E-5</v>
      </c>
      <c r="U197" s="63">
        <v>1.9563589999999999E-5</v>
      </c>
      <c r="V197" s="63">
        <v>1.4808989999999999E-5</v>
      </c>
      <c r="W197" s="63">
        <v>8.9766499999999893E-5</v>
      </c>
      <c r="X197" s="63">
        <v>1.1355034000000001E-4</v>
      </c>
      <c r="Y197" s="63">
        <v>1.1457102E-4</v>
      </c>
      <c r="Z197" s="63">
        <v>1.157398E-4</v>
      </c>
      <c r="AA197" s="63">
        <v>1.1224067E-4</v>
      </c>
      <c r="AB197" s="63">
        <v>1.0865096E-4</v>
      </c>
      <c r="AC197" s="63">
        <v>9.7927450000000004E-5</v>
      </c>
      <c r="AD197" s="63">
        <v>8.7914999999999906E-5</v>
      </c>
      <c r="AE197" t="s">
        <v>93</v>
      </c>
    </row>
    <row r="198" spans="1:31">
      <c r="A198" t="s">
        <v>267</v>
      </c>
      <c r="B198" t="s">
        <v>1</v>
      </c>
      <c r="C198" t="s">
        <v>144</v>
      </c>
      <c r="D198" s="13" t="str">
        <f>IFERROR(VLOOKUP(C198,ghg_sort!$A$86:$B$512,2,0),0)</f>
        <v>Building</v>
      </c>
      <c r="E198" t="s">
        <v>89</v>
      </c>
      <c r="F198" s="13">
        <f>IFERROR(VLOOKUP($E198,ghg_sort!$A$3:$B$21,2,0),0)</f>
        <v>0</v>
      </c>
      <c r="G198" s="13">
        <f t="shared" si="34"/>
        <v>0</v>
      </c>
      <c r="H198" s="13">
        <f t="shared" si="35"/>
        <v>0</v>
      </c>
      <c r="I198" s="13">
        <f t="shared" si="36"/>
        <v>0</v>
      </c>
      <c r="J198" s="13">
        <f t="shared" si="37"/>
        <v>0</v>
      </c>
      <c r="K198" s="13">
        <f t="shared" si="38"/>
        <v>0</v>
      </c>
      <c r="L198" s="13">
        <f t="shared" si="39"/>
        <v>0</v>
      </c>
      <c r="M198" s="13">
        <f t="shared" si="40"/>
        <v>0</v>
      </c>
      <c r="N198" s="13">
        <f t="shared" si="41"/>
        <v>0</v>
      </c>
      <c r="O198" s="13">
        <f t="shared" si="42"/>
        <v>0</v>
      </c>
      <c r="P198" s="13">
        <f t="shared" si="43"/>
        <v>0</v>
      </c>
      <c r="Q198" s="13">
        <f t="shared" si="44"/>
        <v>0</v>
      </c>
      <c r="R198" s="13" t="s">
        <v>239</v>
      </c>
      <c r="T198" s="63">
        <v>8.4786099999999999E-4</v>
      </c>
      <c r="U198" s="63">
        <v>4.2412199999999998E-4</v>
      </c>
      <c r="V198" s="63">
        <v>3.8714000000000001E-4</v>
      </c>
      <c r="W198" s="63">
        <v>8.5775789999999999E-4</v>
      </c>
      <c r="X198" s="63">
        <v>7.4555509999999999E-4</v>
      </c>
      <c r="Y198" s="63">
        <v>4.8730810000000002E-4</v>
      </c>
      <c r="Z198" s="63">
        <v>4.1120399999999997E-4</v>
      </c>
      <c r="AA198" s="63">
        <v>3.462653E-4</v>
      </c>
      <c r="AB198" s="63">
        <v>2.9823749999999998E-4</v>
      </c>
      <c r="AC198" s="63">
        <v>2.4668090000000003E-4</v>
      </c>
      <c r="AD198" s="63">
        <v>1.9899499999999999E-4</v>
      </c>
      <c r="AE198" t="s">
        <v>93</v>
      </c>
    </row>
    <row r="199" spans="1:31">
      <c r="A199" t="s">
        <v>267</v>
      </c>
      <c r="B199" t="s">
        <v>1</v>
      </c>
      <c r="C199" t="s">
        <v>144</v>
      </c>
      <c r="D199" s="13" t="str">
        <f>IFERROR(VLOOKUP(C199,ghg_sort!$A$86:$B$512,2,0),0)</f>
        <v>Building</v>
      </c>
      <c r="E199" t="s">
        <v>90</v>
      </c>
      <c r="F199" s="13">
        <f>IFERROR(VLOOKUP($E199,ghg_sort!$A$3:$B$21,2,0),0)</f>
        <v>0</v>
      </c>
      <c r="G199" s="13">
        <f t="shared" si="34"/>
        <v>0</v>
      </c>
      <c r="H199" s="13">
        <f t="shared" si="35"/>
        <v>0</v>
      </c>
      <c r="I199" s="13">
        <f t="shared" si="36"/>
        <v>0</v>
      </c>
      <c r="J199" s="13">
        <f t="shared" si="37"/>
        <v>0</v>
      </c>
      <c r="K199" s="13">
        <f t="shared" si="38"/>
        <v>0</v>
      </c>
      <c r="L199" s="13">
        <f t="shared" si="39"/>
        <v>0</v>
      </c>
      <c r="M199" s="13">
        <f t="shared" si="40"/>
        <v>0</v>
      </c>
      <c r="N199" s="13">
        <f t="shared" si="41"/>
        <v>0</v>
      </c>
      <c r="O199" s="13">
        <f t="shared" si="42"/>
        <v>0</v>
      </c>
      <c r="P199" s="13">
        <f t="shared" si="43"/>
        <v>0</v>
      </c>
      <c r="Q199" s="13">
        <f t="shared" si="44"/>
        <v>0</v>
      </c>
      <c r="R199" s="13" t="s">
        <v>239</v>
      </c>
      <c r="T199" s="62">
        <v>1.530368E-2</v>
      </c>
      <c r="U199" s="62">
        <v>1.14630599999999E-2</v>
      </c>
      <c r="V199" s="62">
        <v>9.6534599999999905E-3</v>
      </c>
      <c r="W199" s="62">
        <v>1.03311599999999E-2</v>
      </c>
      <c r="X199" s="62">
        <v>9.6287999999999999E-3</v>
      </c>
      <c r="Y199" s="62">
        <v>1.0020640000000001E-2</v>
      </c>
      <c r="Z199" s="62">
        <v>1.0322949999999999E-2</v>
      </c>
      <c r="AA199" s="62">
        <v>1.0175142999999999E-2</v>
      </c>
      <c r="AB199" s="62">
        <v>9.8649440000000005E-3</v>
      </c>
      <c r="AC199" s="62">
        <v>9.1444200000000003E-3</v>
      </c>
      <c r="AD199" s="62">
        <v>8.3770900000000002E-3</v>
      </c>
      <c r="AE199" t="s">
        <v>93</v>
      </c>
    </row>
    <row r="200" spans="1:31">
      <c r="A200" t="s">
        <v>267</v>
      </c>
      <c r="B200" t="s">
        <v>1</v>
      </c>
      <c r="C200" t="s">
        <v>144</v>
      </c>
      <c r="D200" s="13" t="str">
        <f>IFERROR(VLOOKUP(C200,ghg_sort!$A$86:$B$512,2,0),0)</f>
        <v>Building</v>
      </c>
      <c r="E200" t="s">
        <v>91</v>
      </c>
      <c r="F200" s="13">
        <f>IFERROR(VLOOKUP($E200,ghg_sort!$A$3:$B$21,2,0),0)</f>
        <v>0</v>
      </c>
      <c r="G200" s="13">
        <f t="shared" si="34"/>
        <v>0</v>
      </c>
      <c r="H200" s="13">
        <f t="shared" si="35"/>
        <v>0</v>
      </c>
      <c r="I200" s="13">
        <f t="shared" si="36"/>
        <v>0</v>
      </c>
      <c r="J200" s="13">
        <f t="shared" si="37"/>
        <v>0</v>
      </c>
      <c r="K200" s="13">
        <f t="shared" si="38"/>
        <v>0</v>
      </c>
      <c r="L200" s="13">
        <f t="shared" si="39"/>
        <v>0</v>
      </c>
      <c r="M200" s="13">
        <f t="shared" si="40"/>
        <v>0</v>
      </c>
      <c r="N200" s="13">
        <f t="shared" si="41"/>
        <v>0</v>
      </c>
      <c r="O200" s="13">
        <f t="shared" si="42"/>
        <v>0</v>
      </c>
      <c r="P200" s="13">
        <f t="shared" si="43"/>
        <v>0</v>
      </c>
      <c r="Q200" s="13">
        <f t="shared" si="44"/>
        <v>0</v>
      </c>
      <c r="R200" s="13" t="s">
        <v>239</v>
      </c>
      <c r="T200" s="62">
        <v>1.5663299999999999E-3</v>
      </c>
      <c r="U200" s="62">
        <v>2.3646169999999998E-3</v>
      </c>
      <c r="V200" s="62">
        <v>3.6324309999999898E-3</v>
      </c>
      <c r="W200" s="62">
        <v>1.0054356E-2</v>
      </c>
      <c r="X200" s="62">
        <v>1.003446E-2</v>
      </c>
      <c r="Y200" s="62">
        <v>5.9297728999999997E-3</v>
      </c>
      <c r="Z200" s="62">
        <v>4.7436594999999996E-3</v>
      </c>
      <c r="AA200" s="62">
        <v>3.8441484000000001E-3</v>
      </c>
      <c r="AB200" s="62">
        <v>3.2458609E-3</v>
      </c>
      <c r="AC200" s="62">
        <v>2.6602609000000001E-3</v>
      </c>
      <c r="AD200" s="63">
        <v>2.1492E-3</v>
      </c>
      <c r="AE200" t="s">
        <v>93</v>
      </c>
    </row>
    <row r="201" spans="1:31">
      <c r="A201" t="s">
        <v>267</v>
      </c>
      <c r="B201" t="s">
        <v>1</v>
      </c>
      <c r="C201" t="s">
        <v>144</v>
      </c>
      <c r="D201" s="13" t="str">
        <f>IFERROR(VLOOKUP(C201,ghg_sort!$A$86:$B$512,2,0),0)</f>
        <v>Building</v>
      </c>
      <c r="E201" t="s">
        <v>92</v>
      </c>
      <c r="F201" s="13">
        <f>IFERROR(VLOOKUP($E201,ghg_sort!$A$3:$B$21,2,0),0)</f>
        <v>0</v>
      </c>
      <c r="G201" s="13">
        <f t="shared" si="34"/>
        <v>0</v>
      </c>
      <c r="H201" s="13">
        <f t="shared" si="35"/>
        <v>0</v>
      </c>
      <c r="I201" s="13">
        <f t="shared" si="36"/>
        <v>0</v>
      </c>
      <c r="J201" s="13">
        <f t="shared" si="37"/>
        <v>0</v>
      </c>
      <c r="K201" s="13">
        <f t="shared" si="38"/>
        <v>0</v>
      </c>
      <c r="L201" s="13">
        <f t="shared" si="39"/>
        <v>0</v>
      </c>
      <c r="M201" s="13">
        <f t="shared" si="40"/>
        <v>0</v>
      </c>
      <c r="N201" s="13">
        <f t="shared" si="41"/>
        <v>0</v>
      </c>
      <c r="O201" s="13">
        <f t="shared" si="42"/>
        <v>0</v>
      </c>
      <c r="P201" s="13">
        <f t="shared" si="43"/>
        <v>0</v>
      </c>
      <c r="Q201" s="13">
        <f t="shared" si="44"/>
        <v>0</v>
      </c>
      <c r="R201" s="13" t="s">
        <v>239</v>
      </c>
      <c r="T201" s="62">
        <v>7.3074880009999996E-3</v>
      </c>
      <c r="U201" s="62">
        <v>2.4704751799999999E-3</v>
      </c>
      <c r="V201" s="62">
        <v>4.7803327999999898E-3</v>
      </c>
      <c r="W201" s="62">
        <v>2.2094174000000001E-3</v>
      </c>
      <c r="X201" s="62">
        <v>1.1853613999999999E-3</v>
      </c>
      <c r="Y201" s="63">
        <v>9.0741140000000003E-4</v>
      </c>
      <c r="Z201" s="63">
        <v>7.9326159999999995E-4</v>
      </c>
      <c r="AA201" s="63">
        <v>6.8273450000000001E-4</v>
      </c>
      <c r="AB201" s="63">
        <v>6.0719789999999995E-4</v>
      </c>
      <c r="AC201" s="63">
        <v>4.9086870000000001E-4</v>
      </c>
      <c r="AD201" s="63">
        <v>3.9249210000000002E-4</v>
      </c>
      <c r="AE201" t="s">
        <v>93</v>
      </c>
    </row>
    <row r="202" spans="1:31">
      <c r="A202" t="s">
        <v>267</v>
      </c>
      <c r="B202" t="s">
        <v>1</v>
      </c>
      <c r="C202" t="s">
        <v>145</v>
      </c>
      <c r="D202" s="13" t="str">
        <f>IFERROR(VLOOKUP(C202,ghg_sort!$A$86:$B$512,2,0),0)</f>
        <v>Building</v>
      </c>
      <c r="E202" t="s">
        <v>83</v>
      </c>
      <c r="F202" s="13">
        <f>IFERROR(VLOOKUP($E202,ghg_sort!$A$3:$B$21,2,0),0)</f>
        <v>0</v>
      </c>
      <c r="G202" s="13">
        <f t="shared" si="34"/>
        <v>0</v>
      </c>
      <c r="H202" s="13">
        <f t="shared" si="35"/>
        <v>0</v>
      </c>
      <c r="I202" s="13">
        <f t="shared" si="36"/>
        <v>0</v>
      </c>
      <c r="J202" s="13">
        <f t="shared" si="37"/>
        <v>0</v>
      </c>
      <c r="K202" s="13">
        <f t="shared" si="38"/>
        <v>0</v>
      </c>
      <c r="L202" s="13">
        <f t="shared" si="39"/>
        <v>0</v>
      </c>
      <c r="M202" s="13">
        <f t="shared" si="40"/>
        <v>0</v>
      </c>
      <c r="N202" s="13">
        <f t="shared" si="41"/>
        <v>0</v>
      </c>
      <c r="O202" s="13">
        <f t="shared" si="42"/>
        <v>0</v>
      </c>
      <c r="P202" s="13">
        <f t="shared" si="43"/>
        <v>0</v>
      </c>
      <c r="Q202" s="13">
        <f t="shared" si="44"/>
        <v>0</v>
      </c>
      <c r="R202" s="13" t="s">
        <v>239</v>
      </c>
      <c r="T202" s="62">
        <v>3.3025208E-3</v>
      </c>
      <c r="U202" s="62">
        <v>1.3627797E-3</v>
      </c>
      <c r="V202" s="63">
        <v>7.5371800000000001E-4</v>
      </c>
      <c r="W202" s="62">
        <v>1.1180960000000001E-3</v>
      </c>
      <c r="X202" s="63">
        <v>8.7482599999999999E-4</v>
      </c>
      <c r="Y202" s="63">
        <v>4.6425600000000002E-4</v>
      </c>
      <c r="Z202" s="63">
        <v>3.45125E-4</v>
      </c>
      <c r="AA202" s="63">
        <v>2.3838700000000001E-4</v>
      </c>
      <c r="AB202" s="63">
        <v>1.8002759999999999E-4</v>
      </c>
      <c r="AC202" s="63">
        <v>1.2190599999999999E-4</v>
      </c>
      <c r="AD202" s="63">
        <v>7.09236E-5</v>
      </c>
      <c r="AE202" t="s">
        <v>93</v>
      </c>
    </row>
    <row r="203" spans="1:31">
      <c r="A203" t="s">
        <v>267</v>
      </c>
      <c r="B203" t="s">
        <v>1</v>
      </c>
      <c r="C203" t="s">
        <v>145</v>
      </c>
      <c r="D203" s="13" t="str">
        <f>IFERROR(VLOOKUP(C203,ghg_sort!$A$86:$B$512,2,0),0)</f>
        <v>Building</v>
      </c>
      <c r="E203" t="s">
        <v>84</v>
      </c>
      <c r="F203" s="13">
        <f>IFERROR(VLOOKUP($E203,ghg_sort!$A$3:$B$21,2,0),0)</f>
        <v>25</v>
      </c>
      <c r="G203" s="13">
        <f t="shared" si="34"/>
        <v>5.6220299999999744E-2</v>
      </c>
      <c r="H203" s="13">
        <f t="shared" si="35"/>
        <v>3.3330974999999999E-2</v>
      </c>
      <c r="I203" s="13">
        <f t="shared" si="36"/>
        <v>3.2921825000000002E-2</v>
      </c>
      <c r="J203" s="13">
        <f t="shared" si="37"/>
        <v>4.2754449999999999E-2</v>
      </c>
      <c r="K203" s="13">
        <f t="shared" si="38"/>
        <v>5.1443720000000005E-2</v>
      </c>
      <c r="L203" s="13">
        <f t="shared" si="39"/>
        <v>5.7383984999999749E-2</v>
      </c>
      <c r="M203" s="13">
        <f t="shared" si="40"/>
        <v>6.4780055000000003E-2</v>
      </c>
      <c r="N203" s="13">
        <f t="shared" si="41"/>
        <v>6.486038999999999E-2</v>
      </c>
      <c r="O203" s="13">
        <f t="shared" si="42"/>
        <v>6.3330915000000002E-2</v>
      </c>
      <c r="P203" s="13">
        <f t="shared" si="43"/>
        <v>6.0885727499999993E-2</v>
      </c>
      <c r="Q203" s="13">
        <f t="shared" si="44"/>
        <v>5.6458367500000002E-2</v>
      </c>
      <c r="R203" s="13" t="s">
        <v>239</v>
      </c>
      <c r="T203" s="62">
        <v>2.2488119999999898E-3</v>
      </c>
      <c r="U203" s="62">
        <v>1.333239E-3</v>
      </c>
      <c r="V203" s="62">
        <v>1.3168730000000001E-3</v>
      </c>
      <c r="W203" s="62">
        <v>1.7101779999999999E-3</v>
      </c>
      <c r="X203" s="62">
        <v>2.0577488000000001E-3</v>
      </c>
      <c r="Y203" s="62">
        <v>2.29535939999999E-3</v>
      </c>
      <c r="Z203" s="62">
        <v>2.5912022E-3</v>
      </c>
      <c r="AA203" s="62">
        <v>2.5944155999999999E-3</v>
      </c>
      <c r="AB203" s="62">
        <v>2.5332366000000001E-3</v>
      </c>
      <c r="AC203" s="62">
        <v>2.4354290999999998E-3</v>
      </c>
      <c r="AD203" s="62">
        <v>2.2583347000000001E-3</v>
      </c>
      <c r="AE203" t="s">
        <v>93</v>
      </c>
    </row>
    <row r="204" spans="1:31">
      <c r="A204" t="s">
        <v>267</v>
      </c>
      <c r="B204" t="s">
        <v>1</v>
      </c>
      <c r="C204" t="s">
        <v>145</v>
      </c>
      <c r="D204" s="13" t="str">
        <f>IFERROR(VLOOKUP(C204,ghg_sort!$A$86:$B$512,2,0),0)</f>
        <v>Building</v>
      </c>
      <c r="E204" t="s">
        <v>85</v>
      </c>
      <c r="F204" s="13">
        <f>IFERROR(VLOOKUP($E204,ghg_sort!$A$3:$B$21,2,0),0)</f>
        <v>0</v>
      </c>
      <c r="G204" s="13">
        <f t="shared" si="34"/>
        <v>0</v>
      </c>
      <c r="H204" s="13">
        <f t="shared" si="35"/>
        <v>0</v>
      </c>
      <c r="I204" s="13">
        <f t="shared" si="36"/>
        <v>0</v>
      </c>
      <c r="J204" s="13">
        <f t="shared" si="37"/>
        <v>0</v>
      </c>
      <c r="K204" s="13">
        <f t="shared" si="38"/>
        <v>0</v>
      </c>
      <c r="L204" s="13">
        <f t="shared" si="39"/>
        <v>0</v>
      </c>
      <c r="M204" s="13">
        <f t="shared" si="40"/>
        <v>0</v>
      </c>
      <c r="N204" s="13">
        <f t="shared" si="41"/>
        <v>0</v>
      </c>
      <c r="O204" s="13">
        <f t="shared" si="42"/>
        <v>0</v>
      </c>
      <c r="P204" s="13">
        <f t="shared" si="43"/>
        <v>0</v>
      </c>
      <c r="Q204" s="13">
        <f t="shared" si="44"/>
        <v>0</v>
      </c>
      <c r="R204" s="13" t="s">
        <v>239</v>
      </c>
      <c r="T204" s="62">
        <v>4.7827145999999997E-3</v>
      </c>
      <c r="U204" s="62">
        <v>2.2367329999999999E-3</v>
      </c>
      <c r="V204" s="62">
        <v>1.3871339999999999E-3</v>
      </c>
      <c r="W204" s="62">
        <v>1.4880499999999899E-3</v>
      </c>
      <c r="X204" s="63">
        <v>1.2799109999999999E-3</v>
      </c>
      <c r="Y204" s="63">
        <v>1.046782E-3</v>
      </c>
      <c r="Z204" s="63">
        <v>1.0135433000000001E-3</v>
      </c>
      <c r="AA204" s="63">
        <v>8.7933420000000002E-4</v>
      </c>
      <c r="AB204" s="63">
        <v>7.6403599999999995E-4</v>
      </c>
      <c r="AC204" s="63">
        <v>6.3756100000000003E-4</v>
      </c>
      <c r="AD204" s="63">
        <v>5.0951450000000004E-4</v>
      </c>
      <c r="AE204" t="s">
        <v>93</v>
      </c>
    </row>
    <row r="205" spans="1:31">
      <c r="A205" t="s">
        <v>267</v>
      </c>
      <c r="B205" t="s">
        <v>1</v>
      </c>
      <c r="C205" t="s">
        <v>145</v>
      </c>
      <c r="D205" s="13" t="str">
        <f>IFERROR(VLOOKUP(C205,ghg_sort!$A$86:$B$512,2,0),0)</f>
        <v>Building</v>
      </c>
      <c r="E205" s="12" t="s">
        <v>86</v>
      </c>
      <c r="F205" s="13">
        <f>IFERROR(VLOOKUP($E205,ghg_sort!$A$3:$B$21,2,0),0)</f>
        <v>3.6666666666666701</v>
      </c>
      <c r="G205" s="13">
        <f t="shared" si="34"/>
        <v>13.468369566666679</v>
      </c>
      <c r="H205" s="13">
        <f t="shared" si="35"/>
        <v>14.051402933333346</v>
      </c>
      <c r="I205" s="13">
        <f t="shared" si="36"/>
        <v>10.20656450000001</v>
      </c>
      <c r="J205" s="13">
        <f t="shared" si="37"/>
        <v>9.372590333333342</v>
      </c>
      <c r="K205" s="13">
        <f t="shared" si="38"/>
        <v>10.517694000000009</v>
      </c>
      <c r="L205" s="13">
        <f t="shared" si="39"/>
        <v>9.7469643333333416</v>
      </c>
      <c r="M205" s="13">
        <f t="shared" si="40"/>
        <v>9.4438666666666755</v>
      </c>
      <c r="N205" s="13">
        <f t="shared" si="41"/>
        <v>8.1335833333333412</v>
      </c>
      <c r="O205" s="13">
        <f t="shared" si="42"/>
        <v>7.0057826666666729</v>
      </c>
      <c r="P205" s="13">
        <f t="shared" si="43"/>
        <v>5.7165606666666715</v>
      </c>
      <c r="Q205" s="13">
        <f t="shared" si="44"/>
        <v>4.4451256666666712</v>
      </c>
      <c r="R205" s="13" t="s">
        <v>239</v>
      </c>
      <c r="T205" s="62">
        <v>3.6731916999999998</v>
      </c>
      <c r="U205" s="62">
        <v>3.8322007999999999</v>
      </c>
      <c r="V205" s="62">
        <v>2.7836085000000002</v>
      </c>
      <c r="W205" s="62">
        <v>2.5561609999999999</v>
      </c>
      <c r="X205" s="62">
        <v>2.8684620000000001</v>
      </c>
      <c r="Y205" s="62">
        <v>2.6582629999999998</v>
      </c>
      <c r="Z205" s="62">
        <v>2.5756000000000001</v>
      </c>
      <c r="AA205" s="62">
        <v>2.2182499999999998</v>
      </c>
      <c r="AB205" s="62">
        <v>1.910668</v>
      </c>
      <c r="AC205" s="62">
        <v>1.5590619999999999</v>
      </c>
      <c r="AD205" s="62">
        <v>1.212307</v>
      </c>
      <c r="AE205" t="s">
        <v>94</v>
      </c>
    </row>
    <row r="206" spans="1:31">
      <c r="A206" t="s">
        <v>267</v>
      </c>
      <c r="B206" t="s">
        <v>1</v>
      </c>
      <c r="C206" t="s">
        <v>145</v>
      </c>
      <c r="D206" s="13" t="str">
        <f>IFERROR(VLOOKUP(C206,ghg_sort!$A$86:$B$512,2,0),0)</f>
        <v>Building</v>
      </c>
      <c r="E206" t="s">
        <v>87</v>
      </c>
      <c r="F206" s="13">
        <f>IFERROR(VLOOKUP($E206,ghg_sort!$A$3:$B$21,2,0),0)</f>
        <v>298</v>
      </c>
      <c r="G206" s="13">
        <f t="shared" si="34"/>
        <v>9.2875574000000002E-2</v>
      </c>
      <c r="H206" s="13">
        <f t="shared" si="35"/>
        <v>7.2264016599999994E-2</v>
      </c>
      <c r="I206" s="13">
        <f t="shared" si="36"/>
        <v>4.9722700599999996E-2</v>
      </c>
      <c r="J206" s="13">
        <f t="shared" si="37"/>
        <v>4.0613943200000002E-2</v>
      </c>
      <c r="K206" s="13">
        <f t="shared" si="38"/>
        <v>4.6868695000000002E-2</v>
      </c>
      <c r="L206" s="13">
        <f t="shared" si="39"/>
        <v>4.25565158E-2</v>
      </c>
      <c r="M206" s="13">
        <f t="shared" si="40"/>
        <v>4.0992820399999998E-2</v>
      </c>
      <c r="N206" s="13">
        <f t="shared" si="41"/>
        <v>3.5118703999999702E-2</v>
      </c>
      <c r="O206" s="13">
        <f t="shared" si="42"/>
        <v>3.0531023799999998E-2</v>
      </c>
      <c r="P206" s="13">
        <f t="shared" si="43"/>
        <v>2.4290158799999999E-2</v>
      </c>
      <c r="Q206" s="13">
        <f t="shared" si="44"/>
        <v>1.8502104800000002E-2</v>
      </c>
      <c r="R206" s="13" t="s">
        <v>239</v>
      </c>
      <c r="T206" s="63">
        <v>3.11663E-4</v>
      </c>
      <c r="U206" s="63">
        <v>2.424967E-4</v>
      </c>
      <c r="V206" s="63">
        <v>1.6685469999999999E-4</v>
      </c>
      <c r="W206" s="63">
        <v>1.3628840000000001E-4</v>
      </c>
      <c r="X206" s="63">
        <v>1.572775E-4</v>
      </c>
      <c r="Y206" s="63">
        <v>1.4280710000000001E-4</v>
      </c>
      <c r="Z206" s="63">
        <v>1.3755979999999999E-4</v>
      </c>
      <c r="AA206" s="63">
        <v>1.17847999999999E-4</v>
      </c>
      <c r="AB206" s="63">
        <v>1.024531E-4</v>
      </c>
      <c r="AC206" s="63">
        <v>8.1510599999999998E-5</v>
      </c>
      <c r="AD206" s="63">
        <v>6.2087600000000005E-5</v>
      </c>
      <c r="AE206" t="s">
        <v>93</v>
      </c>
    </row>
    <row r="207" spans="1:31">
      <c r="A207" t="s">
        <v>267</v>
      </c>
      <c r="B207" t="s">
        <v>1</v>
      </c>
      <c r="C207" t="s">
        <v>145</v>
      </c>
      <c r="D207" s="13" t="str">
        <f>IFERROR(VLOOKUP(C207,ghg_sort!$A$86:$B$512,2,0),0)</f>
        <v>Building</v>
      </c>
      <c r="E207" t="s">
        <v>88</v>
      </c>
      <c r="F207" s="13">
        <f>IFERROR(VLOOKUP($E207,ghg_sort!$A$3:$B$21,2,0),0)</f>
        <v>0</v>
      </c>
      <c r="G207" s="13">
        <f t="shared" si="34"/>
        <v>0</v>
      </c>
      <c r="H207" s="13">
        <f t="shared" si="35"/>
        <v>0</v>
      </c>
      <c r="I207" s="13">
        <f t="shared" si="36"/>
        <v>0</v>
      </c>
      <c r="J207" s="13">
        <f t="shared" si="37"/>
        <v>0</v>
      </c>
      <c r="K207" s="13">
        <f t="shared" si="38"/>
        <v>0</v>
      </c>
      <c r="L207" s="13">
        <f t="shared" si="39"/>
        <v>0</v>
      </c>
      <c r="M207" s="13">
        <f t="shared" si="40"/>
        <v>0</v>
      </c>
      <c r="N207" s="13">
        <f t="shared" si="41"/>
        <v>0</v>
      </c>
      <c r="O207" s="13">
        <f t="shared" si="42"/>
        <v>0</v>
      </c>
      <c r="P207" s="13">
        <f t="shared" si="43"/>
        <v>0</v>
      </c>
      <c r="Q207" s="13">
        <f t="shared" si="44"/>
        <v>0</v>
      </c>
      <c r="R207" s="13" t="s">
        <v>239</v>
      </c>
      <c r="T207" s="63">
        <v>3.7905899999999999E-5</v>
      </c>
      <c r="U207" s="63">
        <v>1.9718329999999999E-5</v>
      </c>
      <c r="V207" s="63">
        <v>4.4729299999999902E-6</v>
      </c>
      <c r="W207" s="63">
        <v>3.80793E-5</v>
      </c>
      <c r="X207" s="63">
        <v>4.3301509999999999E-5</v>
      </c>
      <c r="Y207" s="63">
        <v>4.0360859999999999E-5</v>
      </c>
      <c r="Z207" s="63">
        <v>3.9504269999999998E-5</v>
      </c>
      <c r="AA207" s="63">
        <v>3.4432209999999999E-5</v>
      </c>
      <c r="AB207" s="63">
        <v>3.012654E-5</v>
      </c>
      <c r="AC207" s="63">
        <v>2.48667E-5</v>
      </c>
      <c r="AD207" s="63">
        <v>1.9687020000000001E-5</v>
      </c>
      <c r="AE207" t="s">
        <v>93</v>
      </c>
    </row>
    <row r="208" spans="1:31">
      <c r="A208" t="s">
        <v>267</v>
      </c>
      <c r="B208" t="s">
        <v>1</v>
      </c>
      <c r="C208" t="s">
        <v>145</v>
      </c>
      <c r="D208" s="13" t="str">
        <f>IFERROR(VLOOKUP(C208,ghg_sort!$A$86:$B$512,2,0),0)</f>
        <v>Building</v>
      </c>
      <c r="E208" t="s">
        <v>89</v>
      </c>
      <c r="F208" s="13">
        <f>IFERROR(VLOOKUP($E208,ghg_sort!$A$3:$B$21,2,0),0)</f>
        <v>0</v>
      </c>
      <c r="G208" s="13">
        <f t="shared" si="34"/>
        <v>0</v>
      </c>
      <c r="H208" s="13">
        <f t="shared" si="35"/>
        <v>0</v>
      </c>
      <c r="I208" s="13">
        <f t="shared" si="36"/>
        <v>0</v>
      </c>
      <c r="J208" s="13">
        <f t="shared" si="37"/>
        <v>0</v>
      </c>
      <c r="K208" s="13">
        <f t="shared" si="38"/>
        <v>0</v>
      </c>
      <c r="L208" s="13">
        <f t="shared" si="39"/>
        <v>0</v>
      </c>
      <c r="M208" s="13">
        <f t="shared" si="40"/>
        <v>0</v>
      </c>
      <c r="N208" s="13">
        <f t="shared" si="41"/>
        <v>0</v>
      </c>
      <c r="O208" s="13">
        <f t="shared" si="42"/>
        <v>0</v>
      </c>
      <c r="P208" s="13">
        <f t="shared" si="43"/>
        <v>0</v>
      </c>
      <c r="Q208" s="13">
        <f t="shared" si="44"/>
        <v>0</v>
      </c>
      <c r="R208" s="13" t="s">
        <v>239</v>
      </c>
      <c r="T208" s="62">
        <v>1.002139E-3</v>
      </c>
      <c r="U208" s="63">
        <v>4.1372380000000001E-4</v>
      </c>
      <c r="V208" s="63">
        <v>2.7998769999999898E-4</v>
      </c>
      <c r="W208" s="63">
        <v>3.3793359999999999E-4</v>
      </c>
      <c r="X208" s="63">
        <v>2.6727970000000001E-4</v>
      </c>
      <c r="Y208" s="63">
        <v>1.9532459999999999E-4</v>
      </c>
      <c r="Z208" s="63">
        <v>1.713838E-4</v>
      </c>
      <c r="AA208" s="63">
        <v>1.323021E-4</v>
      </c>
      <c r="AB208" s="63">
        <v>1.01933399999999E-4</v>
      </c>
      <c r="AC208" s="63">
        <v>7.0006700000000002E-5</v>
      </c>
      <c r="AD208" s="63">
        <v>4.1397399999999998E-5</v>
      </c>
      <c r="AE208" t="s">
        <v>93</v>
      </c>
    </row>
    <row r="209" spans="1:31">
      <c r="A209" t="s">
        <v>267</v>
      </c>
      <c r="B209" t="s">
        <v>1</v>
      </c>
      <c r="C209" t="s">
        <v>145</v>
      </c>
      <c r="D209" s="13" t="str">
        <f>IFERROR(VLOOKUP(C209,ghg_sort!$A$86:$B$512,2,0),0)</f>
        <v>Building</v>
      </c>
      <c r="E209" t="s">
        <v>90</v>
      </c>
      <c r="F209" s="13">
        <f>IFERROR(VLOOKUP($E209,ghg_sort!$A$3:$B$21,2,0),0)</f>
        <v>0</v>
      </c>
      <c r="G209" s="13">
        <f t="shared" si="34"/>
        <v>0</v>
      </c>
      <c r="H209" s="13">
        <f t="shared" si="35"/>
        <v>0</v>
      </c>
      <c r="I209" s="13">
        <f t="shared" si="36"/>
        <v>0</v>
      </c>
      <c r="J209" s="13">
        <f t="shared" si="37"/>
        <v>0</v>
      </c>
      <c r="K209" s="13">
        <f t="shared" si="38"/>
        <v>0</v>
      </c>
      <c r="L209" s="13">
        <f t="shared" si="39"/>
        <v>0</v>
      </c>
      <c r="M209" s="13">
        <f t="shared" si="40"/>
        <v>0</v>
      </c>
      <c r="N209" s="13">
        <f t="shared" si="41"/>
        <v>0</v>
      </c>
      <c r="O209" s="13">
        <f t="shared" si="42"/>
        <v>0</v>
      </c>
      <c r="P209" s="13">
        <f t="shared" si="43"/>
        <v>0</v>
      </c>
      <c r="Q209" s="13">
        <f t="shared" si="44"/>
        <v>0</v>
      </c>
      <c r="R209" s="13" t="s">
        <v>239</v>
      </c>
      <c r="T209" s="62">
        <v>1.7971958499999999E-2</v>
      </c>
      <c r="U209" s="62">
        <v>1.168403E-2</v>
      </c>
      <c r="V209" s="62">
        <v>8.4823099999999998E-3</v>
      </c>
      <c r="W209" s="62">
        <v>6.8925599999999998E-3</v>
      </c>
      <c r="X209" s="62">
        <v>5.98447499999999E-3</v>
      </c>
      <c r="Y209" s="62">
        <v>5.3100910000000003E-3</v>
      </c>
      <c r="Z209" s="62">
        <v>5.19486899999999E-3</v>
      </c>
      <c r="AA209" s="62">
        <v>4.5353540000000001E-3</v>
      </c>
      <c r="AB209" s="62">
        <v>3.953865E-3</v>
      </c>
      <c r="AC209" s="62">
        <v>3.3073631999999999E-3</v>
      </c>
      <c r="AD209" s="62">
        <v>2.6487508999999999E-3</v>
      </c>
      <c r="AE209" t="s">
        <v>93</v>
      </c>
    </row>
    <row r="210" spans="1:31">
      <c r="A210" t="s">
        <v>267</v>
      </c>
      <c r="B210" t="s">
        <v>1</v>
      </c>
      <c r="C210" t="s">
        <v>145</v>
      </c>
      <c r="D210" s="13" t="str">
        <f>IFERROR(VLOOKUP(C210,ghg_sort!$A$86:$B$512,2,0),0)</f>
        <v>Building</v>
      </c>
      <c r="E210" t="s">
        <v>91</v>
      </c>
      <c r="F210" s="13">
        <f>IFERROR(VLOOKUP($E210,ghg_sort!$A$3:$B$21,2,0),0)</f>
        <v>0</v>
      </c>
      <c r="G210" s="13">
        <f t="shared" si="34"/>
        <v>0</v>
      </c>
      <c r="H210" s="13">
        <f t="shared" si="35"/>
        <v>0</v>
      </c>
      <c r="I210" s="13">
        <f t="shared" si="36"/>
        <v>0</v>
      </c>
      <c r="J210" s="13">
        <f t="shared" si="37"/>
        <v>0</v>
      </c>
      <c r="K210" s="13">
        <f t="shared" si="38"/>
        <v>0</v>
      </c>
      <c r="L210" s="13">
        <f t="shared" si="39"/>
        <v>0</v>
      </c>
      <c r="M210" s="13">
        <f t="shared" si="40"/>
        <v>0</v>
      </c>
      <c r="N210" s="13">
        <f t="shared" si="41"/>
        <v>0</v>
      </c>
      <c r="O210" s="13">
        <f t="shared" si="42"/>
        <v>0</v>
      </c>
      <c r="P210" s="13">
        <f t="shared" si="43"/>
        <v>0</v>
      </c>
      <c r="Q210" s="13">
        <f t="shared" si="44"/>
        <v>0</v>
      </c>
      <c r="R210" s="13" t="s">
        <v>239</v>
      </c>
      <c r="T210" s="62">
        <v>1.60367E-3</v>
      </c>
      <c r="U210" s="63">
        <v>9.0538299999999995E-4</v>
      </c>
      <c r="V210" s="63">
        <v>7.1756900000000004E-4</v>
      </c>
      <c r="W210" s="62">
        <v>1.4556440000000001E-3</v>
      </c>
      <c r="X210" s="63">
        <v>1.208347E-3</v>
      </c>
      <c r="Y210" s="63">
        <v>6.8197499999999905E-4</v>
      </c>
      <c r="Z210" s="63">
        <v>5.4756640000000001E-4</v>
      </c>
      <c r="AA210" s="63">
        <v>4.1332599999999999E-4</v>
      </c>
      <c r="AB210" s="63">
        <v>3.3084249999999998E-4</v>
      </c>
      <c r="AC210" s="63">
        <v>2.5580209999999999E-4</v>
      </c>
      <c r="AD210" s="63">
        <v>1.8771599999999999E-4</v>
      </c>
      <c r="AE210" t="s">
        <v>93</v>
      </c>
    </row>
    <row r="211" spans="1:31">
      <c r="A211" t="s">
        <v>267</v>
      </c>
      <c r="B211" t="s">
        <v>1</v>
      </c>
      <c r="C211" t="s">
        <v>145</v>
      </c>
      <c r="D211" s="13" t="str">
        <f>IFERROR(VLOOKUP(C211,ghg_sort!$A$86:$B$512,2,0),0)</f>
        <v>Building</v>
      </c>
      <c r="E211" t="s">
        <v>92</v>
      </c>
      <c r="F211" s="13">
        <f>IFERROR(VLOOKUP($E211,ghg_sort!$A$3:$B$21,2,0),0)</f>
        <v>0</v>
      </c>
      <c r="G211" s="13">
        <f t="shared" si="34"/>
        <v>0</v>
      </c>
      <c r="H211" s="13">
        <f t="shared" si="35"/>
        <v>0</v>
      </c>
      <c r="I211" s="13">
        <f t="shared" si="36"/>
        <v>0</v>
      </c>
      <c r="J211" s="13">
        <f t="shared" si="37"/>
        <v>0</v>
      </c>
      <c r="K211" s="13">
        <f t="shared" si="38"/>
        <v>0</v>
      </c>
      <c r="L211" s="13">
        <f t="shared" si="39"/>
        <v>0</v>
      </c>
      <c r="M211" s="13">
        <f t="shared" si="40"/>
        <v>0</v>
      </c>
      <c r="N211" s="13">
        <f t="shared" si="41"/>
        <v>0</v>
      </c>
      <c r="O211" s="13">
        <f t="shared" si="42"/>
        <v>0</v>
      </c>
      <c r="P211" s="13">
        <f t="shared" si="43"/>
        <v>0</v>
      </c>
      <c r="Q211" s="13">
        <f t="shared" si="44"/>
        <v>0</v>
      </c>
      <c r="R211" s="13" t="s">
        <v>239</v>
      </c>
      <c r="T211" s="62">
        <v>8.922077657E-3</v>
      </c>
      <c r="U211" s="62">
        <v>2.8654565999999999E-3</v>
      </c>
      <c r="V211" s="62">
        <v>5.2990362999999997E-3</v>
      </c>
      <c r="W211" s="62">
        <v>2.2178661100000002E-3</v>
      </c>
      <c r="X211" s="62">
        <v>1.6409432400000001E-3</v>
      </c>
      <c r="Y211" s="63">
        <v>8.1845775000000001E-4</v>
      </c>
      <c r="Z211" s="63">
        <v>5.5511899000000001E-4</v>
      </c>
      <c r="AA211" s="63">
        <v>3.3492377E-4</v>
      </c>
      <c r="AB211" s="63">
        <v>2.0020714E-4</v>
      </c>
      <c r="AC211" s="63">
        <v>9.526049E-5</v>
      </c>
      <c r="AD211" s="63">
        <v>1.579035E-5</v>
      </c>
      <c r="AE211" t="s">
        <v>93</v>
      </c>
    </row>
    <row r="212" spans="1:31">
      <c r="A212" t="s">
        <v>267</v>
      </c>
      <c r="B212" t="s">
        <v>1</v>
      </c>
      <c r="C212" t="s">
        <v>67</v>
      </c>
      <c r="D212" s="13" t="str">
        <f>IFERROR(VLOOKUP(C212,ghg_sort!$A$86:$B$512,2,0),0)</f>
        <v>Industry</v>
      </c>
      <c r="E212" t="s">
        <v>83</v>
      </c>
      <c r="F212" s="13">
        <f>IFERROR(VLOOKUP($E212,ghg_sort!$A$3:$B$21,2,0),0)</f>
        <v>0</v>
      </c>
      <c r="G212" s="13">
        <f t="shared" si="34"/>
        <v>0</v>
      </c>
      <c r="H212" s="13">
        <f t="shared" si="35"/>
        <v>0</v>
      </c>
      <c r="I212" s="13">
        <f t="shared" si="36"/>
        <v>0</v>
      </c>
      <c r="J212" s="13">
        <f t="shared" si="37"/>
        <v>0</v>
      </c>
      <c r="K212" s="13">
        <f t="shared" si="38"/>
        <v>0</v>
      </c>
      <c r="L212" s="13">
        <f t="shared" si="39"/>
        <v>0</v>
      </c>
      <c r="M212" s="13">
        <f t="shared" si="40"/>
        <v>0</v>
      </c>
      <c r="N212" s="13">
        <f t="shared" si="41"/>
        <v>0</v>
      </c>
      <c r="O212" s="13">
        <f t="shared" si="42"/>
        <v>0</v>
      </c>
      <c r="P212" s="13">
        <f t="shared" si="43"/>
        <v>0</v>
      </c>
      <c r="Q212" s="13">
        <f t="shared" si="44"/>
        <v>0</v>
      </c>
      <c r="R212" s="13" t="s">
        <v>239</v>
      </c>
      <c r="T212" s="63">
        <v>7.4510899999999998E-4</v>
      </c>
      <c r="U212" s="63">
        <v>8.63809E-4</v>
      </c>
      <c r="V212" s="62">
        <v>1.52341E-3</v>
      </c>
      <c r="W212" s="63">
        <v>3.7956390000000001E-5</v>
      </c>
      <c r="X212" s="63">
        <v>5.2532352000000001E-5</v>
      </c>
      <c r="Y212" s="63">
        <v>8.0735760999999906E-5</v>
      </c>
      <c r="Z212" s="63">
        <v>1.119988017E-4</v>
      </c>
      <c r="AA212" s="63">
        <v>1.3503662169999999E-4</v>
      </c>
      <c r="AB212" s="63">
        <v>1.423312754E-4</v>
      </c>
      <c r="AC212" s="63">
        <v>1.4528344269999999E-4</v>
      </c>
      <c r="AD212" s="63">
        <v>1.444074332E-4</v>
      </c>
      <c r="AE212" t="s">
        <v>93</v>
      </c>
    </row>
    <row r="213" spans="1:31">
      <c r="A213" t="s">
        <v>267</v>
      </c>
      <c r="B213" t="s">
        <v>1</v>
      </c>
      <c r="C213" t="s">
        <v>67</v>
      </c>
      <c r="D213" s="13" t="str">
        <f>IFERROR(VLOOKUP(C213,ghg_sort!$A$86:$B$512,2,0),0)</f>
        <v>Industry</v>
      </c>
      <c r="E213" t="s">
        <v>84</v>
      </c>
      <c r="F213" s="13">
        <f>IFERROR(VLOOKUP($E213,ghg_sort!$A$3:$B$21,2,0),0)</f>
        <v>25</v>
      </c>
      <c r="G213" s="13">
        <f t="shared" si="34"/>
        <v>1.25E-3</v>
      </c>
      <c r="H213" s="13">
        <f t="shared" si="35"/>
        <v>5.0000000000000001E-4</v>
      </c>
      <c r="I213" s="13">
        <f t="shared" si="36"/>
        <v>7.5000000000000002E-4</v>
      </c>
      <c r="J213" s="13">
        <f t="shared" si="37"/>
        <v>1.25E-3</v>
      </c>
      <c r="K213" s="13">
        <f t="shared" si="38"/>
        <v>1.4466590000000001E-3</v>
      </c>
      <c r="L213" s="13">
        <f t="shared" si="39"/>
        <v>1.7297749999999998E-3</v>
      </c>
      <c r="M213" s="13">
        <f t="shared" si="40"/>
        <v>1.99526325E-3</v>
      </c>
      <c r="N213" s="13">
        <f t="shared" si="41"/>
        <v>2.1772750249999975E-3</v>
      </c>
      <c r="O213" s="13">
        <f t="shared" si="42"/>
        <v>2.2268482000000001E-3</v>
      </c>
      <c r="P213" s="13">
        <f t="shared" si="43"/>
        <v>2.2230481749999998E-3</v>
      </c>
      <c r="Q213" s="13">
        <f t="shared" si="44"/>
        <v>2.1780026999999999E-3</v>
      </c>
      <c r="R213" s="13" t="s">
        <v>239</v>
      </c>
      <c r="T213" s="63">
        <v>5.0000000000000002E-5</v>
      </c>
      <c r="U213" s="63">
        <v>2.0000000000000002E-5</v>
      </c>
      <c r="V213" s="63">
        <v>3.0000000000000001E-5</v>
      </c>
      <c r="W213" s="63">
        <v>5.0000000000000002E-5</v>
      </c>
      <c r="X213" s="63">
        <v>5.7866360000000003E-5</v>
      </c>
      <c r="Y213" s="63">
        <v>6.9190999999999995E-5</v>
      </c>
      <c r="Z213" s="63">
        <v>7.9810530000000006E-5</v>
      </c>
      <c r="AA213" s="63">
        <v>8.7091000999999898E-5</v>
      </c>
      <c r="AB213" s="63">
        <v>8.9073927999999998E-5</v>
      </c>
      <c r="AC213" s="63">
        <v>8.8921926999999994E-5</v>
      </c>
      <c r="AD213" s="63">
        <v>8.7120107999999995E-5</v>
      </c>
      <c r="AE213" t="s">
        <v>93</v>
      </c>
    </row>
    <row r="214" spans="1:31">
      <c r="A214" t="s">
        <v>267</v>
      </c>
      <c r="B214" t="s">
        <v>1</v>
      </c>
      <c r="C214" t="s">
        <v>67</v>
      </c>
      <c r="D214" s="13" t="str">
        <f>IFERROR(VLOOKUP(C214,ghg_sort!$A$86:$B$512,2,0),0)</f>
        <v>Industry</v>
      </c>
      <c r="E214" t="s">
        <v>85</v>
      </c>
      <c r="F214" s="13">
        <f>IFERROR(VLOOKUP($E214,ghg_sort!$A$3:$B$21,2,0),0)</f>
        <v>0</v>
      </c>
      <c r="G214" s="13">
        <f t="shared" si="34"/>
        <v>0</v>
      </c>
      <c r="H214" s="13">
        <f t="shared" si="35"/>
        <v>0</v>
      </c>
      <c r="I214" s="13">
        <f t="shared" si="36"/>
        <v>0</v>
      </c>
      <c r="J214" s="13">
        <f t="shared" si="37"/>
        <v>0</v>
      </c>
      <c r="K214" s="13">
        <f t="shared" si="38"/>
        <v>0</v>
      </c>
      <c r="L214" s="13">
        <f t="shared" si="39"/>
        <v>0</v>
      </c>
      <c r="M214" s="13">
        <f t="shared" si="40"/>
        <v>0</v>
      </c>
      <c r="N214" s="13">
        <f t="shared" si="41"/>
        <v>0</v>
      </c>
      <c r="O214" s="13">
        <f t="shared" si="42"/>
        <v>0</v>
      </c>
      <c r="P214" s="13">
        <f t="shared" si="43"/>
        <v>0</v>
      </c>
      <c r="Q214" s="13">
        <f t="shared" si="44"/>
        <v>0</v>
      </c>
      <c r="R214" s="13" t="s">
        <v>239</v>
      </c>
      <c r="T214" s="62">
        <v>3.64E-3</v>
      </c>
      <c r="U214" s="62">
        <v>4.0499999999999998E-3</v>
      </c>
      <c r="V214" s="62">
        <v>8.6599999999999993E-3</v>
      </c>
      <c r="W214" s="62">
        <v>9.92E-3</v>
      </c>
      <c r="X214" s="62">
        <v>8.005191E-3</v>
      </c>
      <c r="Y214" s="62">
        <v>6.9082791999999999E-3</v>
      </c>
      <c r="Z214" s="62">
        <v>7.5986454999999904E-3</v>
      </c>
      <c r="AA214" s="62">
        <v>8.3282421999999901E-3</v>
      </c>
      <c r="AB214" s="62">
        <v>8.4284783000000002E-3</v>
      </c>
      <c r="AC214" s="62">
        <v>8.4404224999999992E-3</v>
      </c>
      <c r="AD214" s="62">
        <v>8.3042654E-3</v>
      </c>
      <c r="AE214" t="s">
        <v>93</v>
      </c>
    </row>
    <row r="215" spans="1:31">
      <c r="A215" t="s">
        <v>267</v>
      </c>
      <c r="B215" t="s">
        <v>1</v>
      </c>
      <c r="C215" t="s">
        <v>67</v>
      </c>
      <c r="D215" s="13" t="str">
        <f>IFERROR(VLOOKUP(C215,ghg_sort!$A$86:$B$512,2,0),0)</f>
        <v>Industry</v>
      </c>
      <c r="E215" s="12" t="s">
        <v>86</v>
      </c>
      <c r="F215" s="13">
        <f>IFERROR(VLOOKUP($E215,ghg_sort!$A$3:$B$21,2,0),0)</f>
        <v>3.6666666666666701</v>
      </c>
      <c r="G215" s="13">
        <f t="shared" si="34"/>
        <v>1.5342506666666682</v>
      </c>
      <c r="H215" s="13">
        <f t="shared" si="35"/>
        <v>1.8110180000000018</v>
      </c>
      <c r="I215" s="13">
        <f t="shared" si="36"/>
        <v>2.4548076666666692</v>
      </c>
      <c r="J215" s="13">
        <f t="shared" si="37"/>
        <v>2.5820731566666688</v>
      </c>
      <c r="K215" s="13">
        <f t="shared" si="38"/>
        <v>2.8113718966666692</v>
      </c>
      <c r="L215" s="13">
        <f t="shared" si="39"/>
        <v>3.0118816566666693</v>
      </c>
      <c r="M215" s="13">
        <f t="shared" si="40"/>
        <v>3.1069097950000026</v>
      </c>
      <c r="N215" s="13">
        <f t="shared" si="41"/>
        <v>3.1384340900000027</v>
      </c>
      <c r="O215" s="13">
        <f t="shared" si="42"/>
        <v>3.1381418933333363</v>
      </c>
      <c r="P215" s="13">
        <f t="shared" si="43"/>
        <v>3.1222949266666662</v>
      </c>
      <c r="Q215" s="13">
        <f t="shared" si="44"/>
        <v>3.0908611799999992</v>
      </c>
      <c r="R215" s="13" t="s">
        <v>239</v>
      </c>
      <c r="T215" s="62">
        <v>0.41843200000000003</v>
      </c>
      <c r="U215" s="62">
        <v>0.49391400000000002</v>
      </c>
      <c r="V215" s="62">
        <v>0.669493</v>
      </c>
      <c r="W215" s="62">
        <v>0.70420176999999995</v>
      </c>
      <c r="X215" s="62">
        <v>0.76673778999999997</v>
      </c>
      <c r="Y215" s="62">
        <v>0.82142227000000001</v>
      </c>
      <c r="Z215" s="62">
        <v>0.84733903499999996</v>
      </c>
      <c r="AA215" s="62">
        <v>0.85593657000000001</v>
      </c>
      <c r="AB215" s="62">
        <v>0.85585688000000004</v>
      </c>
      <c r="AC215" s="62">
        <v>0.85153497999999905</v>
      </c>
      <c r="AD215" s="62">
        <v>0.84296213999999903</v>
      </c>
      <c r="AE215" t="s">
        <v>94</v>
      </c>
    </row>
    <row r="216" spans="1:31">
      <c r="A216" t="s">
        <v>267</v>
      </c>
      <c r="B216" t="s">
        <v>1</v>
      </c>
      <c r="C216" t="s">
        <v>67</v>
      </c>
      <c r="D216" s="13" t="str">
        <f>IFERROR(VLOOKUP(C216,ghg_sort!$A$86:$B$512,2,0),0)</f>
        <v>Industry</v>
      </c>
      <c r="E216" t="s">
        <v>87</v>
      </c>
      <c r="F216" s="13">
        <f>IFERROR(VLOOKUP($E216,ghg_sort!$A$3:$B$21,2,0),0)</f>
        <v>298</v>
      </c>
      <c r="G216" s="13">
        <f t="shared" si="34"/>
        <v>2.9800000000000004E-3</v>
      </c>
      <c r="H216" s="13">
        <f t="shared" si="35"/>
        <v>2.9800000000000004E-3</v>
      </c>
      <c r="I216" s="13">
        <f t="shared" si="36"/>
        <v>5.9600000000000009E-3</v>
      </c>
      <c r="J216" s="13">
        <f t="shared" si="37"/>
        <v>8.94E-3</v>
      </c>
      <c r="K216" s="13">
        <f t="shared" si="38"/>
        <v>1.0076750799999999E-2</v>
      </c>
      <c r="L216" s="13">
        <f t="shared" si="39"/>
        <v>1.15211866E-2</v>
      </c>
      <c r="M216" s="13">
        <f t="shared" si="40"/>
        <v>1.2752048780000001E-2</v>
      </c>
      <c r="N216" s="13">
        <f t="shared" si="41"/>
        <v>1.3552242551999999E-2</v>
      </c>
      <c r="O216" s="13">
        <f t="shared" si="42"/>
        <v>1.374162781E-2</v>
      </c>
      <c r="P216" s="13">
        <f t="shared" si="43"/>
        <v>1.362823970399997E-2</v>
      </c>
      <c r="Q216" s="13">
        <f t="shared" si="44"/>
        <v>1.3293899796E-2</v>
      </c>
      <c r="R216" s="13" t="s">
        <v>239</v>
      </c>
      <c r="T216" s="63">
        <v>1.0000000000000001E-5</v>
      </c>
      <c r="U216" s="63">
        <v>1.0000000000000001E-5</v>
      </c>
      <c r="V216" s="63">
        <v>2.0000000000000002E-5</v>
      </c>
      <c r="W216" s="63">
        <v>3.0000000000000001E-5</v>
      </c>
      <c r="X216" s="63">
        <v>3.38146E-5</v>
      </c>
      <c r="Y216" s="63">
        <v>3.8661700000000003E-5</v>
      </c>
      <c r="Z216" s="63">
        <v>4.279211E-5</v>
      </c>
      <c r="AA216" s="63">
        <v>4.5477323999999998E-5</v>
      </c>
      <c r="AB216" s="63">
        <v>4.6112845E-5</v>
      </c>
      <c r="AC216" s="63">
        <v>4.5732347999999899E-5</v>
      </c>
      <c r="AD216" s="63">
        <v>4.4610402000000001E-5</v>
      </c>
      <c r="AE216" t="s">
        <v>93</v>
      </c>
    </row>
    <row r="217" spans="1:31">
      <c r="A217" t="s">
        <v>267</v>
      </c>
      <c r="B217" t="s">
        <v>1</v>
      </c>
      <c r="C217" t="s">
        <v>67</v>
      </c>
      <c r="D217" s="13" t="str">
        <f>IFERROR(VLOOKUP(C217,ghg_sort!$A$86:$B$512,2,0),0)</f>
        <v>Industry</v>
      </c>
      <c r="E217" t="s">
        <v>88</v>
      </c>
      <c r="F217" s="13">
        <f>IFERROR(VLOOKUP($E217,ghg_sort!$A$3:$B$21,2,0),0)</f>
        <v>0</v>
      </c>
      <c r="G217" s="13">
        <f t="shared" si="34"/>
        <v>0</v>
      </c>
      <c r="H217" s="13">
        <f t="shared" si="35"/>
        <v>0</v>
      </c>
      <c r="I217" s="13">
        <f t="shared" si="36"/>
        <v>0</v>
      </c>
      <c r="J217" s="13">
        <f t="shared" si="37"/>
        <v>0</v>
      </c>
      <c r="K217" s="13">
        <f t="shared" si="38"/>
        <v>0</v>
      </c>
      <c r="L217" s="13">
        <f t="shared" si="39"/>
        <v>0</v>
      </c>
      <c r="M217" s="13">
        <f t="shared" si="40"/>
        <v>0</v>
      </c>
      <c r="N217" s="13">
        <f t="shared" si="41"/>
        <v>0</v>
      </c>
      <c r="O217" s="13">
        <f t="shared" si="42"/>
        <v>0</v>
      </c>
      <c r="P217" s="13">
        <f t="shared" si="43"/>
        <v>0</v>
      </c>
      <c r="Q217" s="13">
        <f t="shared" si="44"/>
        <v>0</v>
      </c>
      <c r="R217" s="13" t="s">
        <v>239</v>
      </c>
      <c r="T217" s="63">
        <v>1.0000000000000001E-5</v>
      </c>
      <c r="U217" s="63">
        <v>1.0000000000000001E-5</v>
      </c>
      <c r="V217" s="63">
        <v>1.0000000000000001E-5</v>
      </c>
      <c r="W217" s="63">
        <v>1.0000000000000001E-5</v>
      </c>
      <c r="X217" s="63">
        <v>1.4289130000000001E-5</v>
      </c>
      <c r="Y217" s="63">
        <v>2.239687E-5</v>
      </c>
      <c r="Z217" s="63">
        <v>3.1244780000000001E-5</v>
      </c>
      <c r="AA217" s="63">
        <v>3.7750290000000003E-5</v>
      </c>
      <c r="AB217" s="63">
        <v>3.9809689999999999E-5</v>
      </c>
      <c r="AC217" s="63">
        <v>4.064672E-5</v>
      </c>
      <c r="AD217" s="63">
        <v>4.0408860000000003E-5</v>
      </c>
      <c r="AE217" t="s">
        <v>93</v>
      </c>
    </row>
    <row r="218" spans="1:31">
      <c r="A218" t="s">
        <v>267</v>
      </c>
      <c r="B218" t="s">
        <v>1</v>
      </c>
      <c r="C218" t="s">
        <v>67</v>
      </c>
      <c r="D218" s="13" t="str">
        <f>IFERROR(VLOOKUP(C218,ghg_sort!$A$86:$B$512,2,0),0)</f>
        <v>Industry</v>
      </c>
      <c r="E218" t="s">
        <v>89</v>
      </c>
      <c r="F218" s="13">
        <f>IFERROR(VLOOKUP($E218,ghg_sort!$A$3:$B$21,2,0),0)</f>
        <v>0</v>
      </c>
      <c r="G218" s="13">
        <f t="shared" si="34"/>
        <v>0</v>
      </c>
      <c r="H218" s="13">
        <f t="shared" si="35"/>
        <v>0</v>
      </c>
      <c r="I218" s="13">
        <f t="shared" si="36"/>
        <v>0</v>
      </c>
      <c r="J218" s="13">
        <f t="shared" si="37"/>
        <v>0</v>
      </c>
      <c r="K218" s="13">
        <f t="shared" si="38"/>
        <v>0</v>
      </c>
      <c r="L218" s="13">
        <f t="shared" si="39"/>
        <v>0</v>
      </c>
      <c r="M218" s="13">
        <f t="shared" si="40"/>
        <v>0</v>
      </c>
      <c r="N218" s="13">
        <f t="shared" si="41"/>
        <v>0</v>
      </c>
      <c r="O218" s="13">
        <f t="shared" si="42"/>
        <v>0</v>
      </c>
      <c r="P218" s="13">
        <f t="shared" si="43"/>
        <v>0</v>
      </c>
      <c r="Q218" s="13">
        <f t="shared" si="44"/>
        <v>0</v>
      </c>
      <c r="R218" s="13" t="s">
        <v>239</v>
      </c>
      <c r="T218" s="63">
        <v>5.1999999999999995E-4</v>
      </c>
      <c r="U218" s="63">
        <v>4.8000000000000001E-4</v>
      </c>
      <c r="V218" s="63">
        <v>4.6999999999999999E-4</v>
      </c>
      <c r="W218" s="63">
        <v>6.8999999999999997E-4</v>
      </c>
      <c r="X218" s="63">
        <v>8.1332224999999998E-4</v>
      </c>
      <c r="Y218" s="62">
        <v>1.1235073799999999E-3</v>
      </c>
      <c r="Z218" s="62">
        <v>1.51990229E-3</v>
      </c>
      <c r="AA218" s="62">
        <v>1.8189623799999999E-3</v>
      </c>
      <c r="AB218" s="62">
        <v>1.9066043899999901E-3</v>
      </c>
      <c r="AC218" s="62">
        <v>1.94230251E-3</v>
      </c>
      <c r="AD218" s="62">
        <v>1.92957305E-3</v>
      </c>
      <c r="AE218" t="s">
        <v>93</v>
      </c>
    </row>
    <row r="219" spans="1:31">
      <c r="A219" t="s">
        <v>267</v>
      </c>
      <c r="B219" t="s">
        <v>1</v>
      </c>
      <c r="C219" t="s">
        <v>67</v>
      </c>
      <c r="D219" s="13" t="str">
        <f>IFERROR(VLOOKUP(C219,ghg_sort!$A$86:$B$512,2,0),0)</f>
        <v>Industry</v>
      </c>
      <c r="E219" t="s">
        <v>90</v>
      </c>
      <c r="F219" s="13">
        <f>IFERROR(VLOOKUP($E219,ghg_sort!$A$3:$B$21,2,0),0)</f>
        <v>0</v>
      </c>
      <c r="G219" s="13">
        <f t="shared" si="34"/>
        <v>0</v>
      </c>
      <c r="H219" s="13">
        <f t="shared" si="35"/>
        <v>0</v>
      </c>
      <c r="I219" s="13">
        <f t="shared" si="36"/>
        <v>0</v>
      </c>
      <c r="J219" s="13">
        <f t="shared" si="37"/>
        <v>0</v>
      </c>
      <c r="K219" s="13">
        <f t="shared" si="38"/>
        <v>0</v>
      </c>
      <c r="L219" s="13">
        <f t="shared" si="39"/>
        <v>0</v>
      </c>
      <c r="M219" s="13">
        <f t="shared" si="40"/>
        <v>0</v>
      </c>
      <c r="N219" s="13">
        <f t="shared" si="41"/>
        <v>0</v>
      </c>
      <c r="O219" s="13">
        <f t="shared" si="42"/>
        <v>0</v>
      </c>
      <c r="P219" s="13">
        <f t="shared" si="43"/>
        <v>0</v>
      </c>
      <c r="Q219" s="13">
        <f t="shared" si="44"/>
        <v>0</v>
      </c>
      <c r="R219" s="13" t="s">
        <v>239</v>
      </c>
      <c r="T219" s="62">
        <v>5.8900000000000003E-3</v>
      </c>
      <c r="U219" s="62">
        <v>8.6899999999999998E-3</v>
      </c>
      <c r="V219" s="62">
        <v>1.307E-2</v>
      </c>
      <c r="W219" s="62">
        <v>1.9810000000000001E-2</v>
      </c>
      <c r="X219" s="62">
        <v>1.4471022E-2</v>
      </c>
      <c r="Y219" s="62">
        <v>9.8388968E-3</v>
      </c>
      <c r="Z219" s="62">
        <v>8.8620446000000005E-3</v>
      </c>
      <c r="AA219" s="62">
        <v>8.5992288000000007E-3</v>
      </c>
      <c r="AB219" s="62">
        <v>8.325275E-3</v>
      </c>
      <c r="AC219" s="62">
        <v>8.1226570000000001E-3</v>
      </c>
      <c r="AD219" s="62">
        <v>7.8482025999999996E-3</v>
      </c>
      <c r="AE219" t="s">
        <v>93</v>
      </c>
    </row>
    <row r="220" spans="1:31">
      <c r="A220" t="s">
        <v>267</v>
      </c>
      <c r="B220" t="s">
        <v>1</v>
      </c>
      <c r="C220" t="s">
        <v>67</v>
      </c>
      <c r="D220" s="13" t="str">
        <f>IFERROR(VLOOKUP(C220,ghg_sort!$A$86:$B$512,2,0),0)</f>
        <v>Industry</v>
      </c>
      <c r="E220" t="s">
        <v>91</v>
      </c>
      <c r="F220" s="13">
        <f>IFERROR(VLOOKUP($E220,ghg_sort!$A$3:$B$21,2,0),0)</f>
        <v>0</v>
      </c>
      <c r="G220" s="13">
        <f t="shared" si="34"/>
        <v>0</v>
      </c>
      <c r="H220" s="13">
        <f t="shared" si="35"/>
        <v>0</v>
      </c>
      <c r="I220" s="13">
        <f t="shared" si="36"/>
        <v>0</v>
      </c>
      <c r="J220" s="13">
        <f t="shared" si="37"/>
        <v>0</v>
      </c>
      <c r="K220" s="13">
        <f t="shared" si="38"/>
        <v>0</v>
      </c>
      <c r="L220" s="13">
        <f t="shared" si="39"/>
        <v>0</v>
      </c>
      <c r="M220" s="13">
        <f t="shared" si="40"/>
        <v>0</v>
      </c>
      <c r="N220" s="13">
        <f t="shared" si="41"/>
        <v>0</v>
      </c>
      <c r="O220" s="13">
        <f t="shared" si="42"/>
        <v>0</v>
      </c>
      <c r="P220" s="13">
        <f t="shared" si="43"/>
        <v>0</v>
      </c>
      <c r="Q220" s="13">
        <f t="shared" si="44"/>
        <v>0</v>
      </c>
      <c r="R220" s="13" t="s">
        <v>239</v>
      </c>
      <c r="T220" s="63">
        <v>2.3000000000000001E-4</v>
      </c>
      <c r="U220" s="63">
        <v>2.7E-4</v>
      </c>
      <c r="V220" s="63">
        <v>4.8000000000000001E-4</v>
      </c>
      <c r="W220" s="63">
        <v>4.7999999999999898E-4</v>
      </c>
      <c r="X220" s="63">
        <v>4.8907909999999896E-4</v>
      </c>
      <c r="Y220" s="63">
        <v>5.813646E-4</v>
      </c>
      <c r="Z220" s="63">
        <v>7.3808844E-4</v>
      </c>
      <c r="AA220" s="63">
        <v>8.5925116999999997E-4</v>
      </c>
      <c r="AB220" s="63">
        <v>8.9621351999999996E-4</v>
      </c>
      <c r="AC220" s="63">
        <v>9.0959712000000001E-4</v>
      </c>
      <c r="AD220" s="63">
        <v>9.0063001999999995E-4</v>
      </c>
      <c r="AE220" t="s">
        <v>93</v>
      </c>
    </row>
    <row r="221" spans="1:31">
      <c r="A221" t="s">
        <v>267</v>
      </c>
      <c r="B221" t="s">
        <v>1</v>
      </c>
      <c r="C221" t="s">
        <v>67</v>
      </c>
      <c r="D221" s="13" t="str">
        <f>IFERROR(VLOOKUP(C221,ghg_sort!$A$86:$B$512,2,0),0)</f>
        <v>Industry</v>
      </c>
      <c r="E221" t="s">
        <v>92</v>
      </c>
      <c r="F221" s="13">
        <f>IFERROR(VLOOKUP($E221,ghg_sort!$A$3:$B$21,2,0),0)</f>
        <v>0</v>
      </c>
      <c r="G221" s="13">
        <f t="shared" si="34"/>
        <v>0</v>
      </c>
      <c r="H221" s="13">
        <f t="shared" si="35"/>
        <v>0</v>
      </c>
      <c r="I221" s="13">
        <f t="shared" si="36"/>
        <v>0</v>
      </c>
      <c r="J221" s="13">
        <f t="shared" si="37"/>
        <v>0</v>
      </c>
      <c r="K221" s="13">
        <f t="shared" si="38"/>
        <v>0</v>
      </c>
      <c r="L221" s="13">
        <f t="shared" si="39"/>
        <v>0</v>
      </c>
      <c r="M221" s="13">
        <f t="shared" si="40"/>
        <v>0</v>
      </c>
      <c r="N221" s="13">
        <f t="shared" si="41"/>
        <v>0</v>
      </c>
      <c r="O221" s="13">
        <f t="shared" si="42"/>
        <v>0</v>
      </c>
      <c r="P221" s="13">
        <f t="shared" si="43"/>
        <v>0</v>
      </c>
      <c r="Q221" s="13">
        <f t="shared" si="44"/>
        <v>0</v>
      </c>
      <c r="R221" s="13" t="s">
        <v>239</v>
      </c>
      <c r="T221" s="62">
        <v>4.9708299999999999E-3</v>
      </c>
      <c r="U221" s="62">
        <v>2.1319199999999998E-3</v>
      </c>
      <c r="V221" s="62">
        <v>3.2409399999999999E-3</v>
      </c>
      <c r="W221" s="63">
        <v>1.2209186100000001E-4</v>
      </c>
      <c r="X221" s="63">
        <v>8.2463264760000002E-5</v>
      </c>
      <c r="Y221" s="63">
        <v>4.2673906990000001E-5</v>
      </c>
      <c r="Z221" s="63">
        <v>2.54384607189999E-5</v>
      </c>
      <c r="AA221" s="63">
        <v>1.55388210299999E-5</v>
      </c>
      <c r="AB221" s="63">
        <v>1.2991144470000001E-5</v>
      </c>
      <c r="AC221" s="63">
        <v>1.0956411400000001E-5</v>
      </c>
      <c r="AD221" s="63">
        <v>9.4322872399999998E-6</v>
      </c>
      <c r="AE221" t="s">
        <v>93</v>
      </c>
    </row>
    <row r="222" spans="1:31">
      <c r="A222" t="s">
        <v>267</v>
      </c>
      <c r="B222" t="s">
        <v>1</v>
      </c>
      <c r="C222" t="s">
        <v>146</v>
      </c>
      <c r="D222" s="13" t="str">
        <f>IFERROR(VLOOKUP(C222,ghg_sort!$A$86:$B$512,2,0),0)</f>
        <v>Electricity</v>
      </c>
      <c r="E222" s="12" t="s">
        <v>86</v>
      </c>
      <c r="F222" s="13">
        <f>IFERROR(VLOOKUP($E222,ghg_sort!$A$3:$B$21,2,0),0)</f>
        <v>3.6666666666666701</v>
      </c>
      <c r="G222" s="13">
        <f t="shared" si="34"/>
        <v>2.1897865733333318E-4</v>
      </c>
      <c r="H222" s="13">
        <f t="shared" si="35"/>
        <v>4.4073333333333371E-4</v>
      </c>
      <c r="I222" s="13">
        <f t="shared" si="36"/>
        <v>4.1789733333333373E-4</v>
      </c>
      <c r="J222" s="13">
        <f t="shared" si="37"/>
        <v>4.0461043333333007E-4</v>
      </c>
      <c r="K222" s="13">
        <f t="shared" si="38"/>
        <v>7.6448533333333399E-4</v>
      </c>
      <c r="L222" s="13">
        <f t="shared" si="39"/>
        <v>1.1220806666666675E-3</v>
      </c>
      <c r="M222" s="13">
        <f t="shared" si="40"/>
        <v>1.3358876666666678E-3</v>
      </c>
      <c r="N222" s="13">
        <f t="shared" si="41"/>
        <v>1.5001543333333347E-3</v>
      </c>
      <c r="O222" s="13">
        <f t="shared" si="42"/>
        <v>1.6293236666666681E-3</v>
      </c>
      <c r="P222" s="13">
        <f t="shared" si="43"/>
        <v>1.740757333333335E-3</v>
      </c>
      <c r="Q222" s="13">
        <f t="shared" si="44"/>
        <v>1.8256076666666684E-3</v>
      </c>
      <c r="R222" s="13" t="s">
        <v>239</v>
      </c>
      <c r="T222" s="63">
        <v>5.9721451999999901E-5</v>
      </c>
      <c r="U222" s="63">
        <v>1.2019999999999999E-4</v>
      </c>
      <c r="V222" s="63">
        <v>1.13972E-4</v>
      </c>
      <c r="W222" s="63">
        <v>1.10348299999999E-4</v>
      </c>
      <c r="X222" s="63">
        <v>2.0849599999999999E-4</v>
      </c>
      <c r="Y222" s="63">
        <v>3.0602199999999998E-4</v>
      </c>
      <c r="Z222" s="63">
        <v>3.64333E-4</v>
      </c>
      <c r="AA222" s="63">
        <v>4.09133E-4</v>
      </c>
      <c r="AB222" s="63">
        <v>4.44361E-4</v>
      </c>
      <c r="AC222" s="63">
        <v>4.74752E-4</v>
      </c>
      <c r="AD222" s="63">
        <v>4.9789300000000001E-4</v>
      </c>
      <c r="AE222" t="s">
        <v>94</v>
      </c>
    </row>
    <row r="223" spans="1:31" s="13" customFormat="1">
      <c r="A223" s="13" t="s">
        <v>405</v>
      </c>
      <c r="B223" s="13" t="s">
        <v>1</v>
      </c>
      <c r="C223" s="13" t="s">
        <v>406</v>
      </c>
      <c r="D223" s="13" t="str">
        <f>IFERROR(VLOOKUP(C223,ghg_sort!$A$86:$B$512,2,0),0)</f>
        <v>Industry</v>
      </c>
      <c r="E223" s="12" t="s">
        <v>86</v>
      </c>
      <c r="F223" s="13">
        <f>IFERROR(VLOOKUP($E223,ghg_sort!$A$3:$B$21,2,0),0)</f>
        <v>3.6666666666666701</v>
      </c>
      <c r="G223" s="13">
        <f t="shared" ref="G223:Q223" si="45">T223*$F223</f>
        <v>0</v>
      </c>
      <c r="H223" s="13">
        <f t="shared" si="45"/>
        <v>0.29288013333333363</v>
      </c>
      <c r="I223" s="13">
        <f t="shared" si="45"/>
        <v>0.41403633333333373</v>
      </c>
      <c r="J223" s="13">
        <f t="shared" si="45"/>
        <v>0.58531000000000055</v>
      </c>
      <c r="K223" s="13">
        <f t="shared" si="45"/>
        <v>0.79303766666666742</v>
      </c>
      <c r="L223" s="13">
        <f t="shared" si="45"/>
        <v>0.97570916666666396</v>
      </c>
      <c r="M223" s="13">
        <f t="shared" si="45"/>
        <v>1.0439744333333343</v>
      </c>
      <c r="N223" s="13">
        <f t="shared" si="45"/>
        <v>1.097513230000001</v>
      </c>
      <c r="O223" s="13">
        <f t="shared" si="45"/>
        <v>1.163218210000001</v>
      </c>
      <c r="P223" s="13">
        <f t="shared" si="45"/>
        <v>1.2320192500000011</v>
      </c>
      <c r="Q223" s="13">
        <f t="shared" si="45"/>
        <v>1.3050024900000012</v>
      </c>
      <c r="R223" s="13" t="s">
        <v>239</v>
      </c>
      <c r="T223" s="63">
        <v>0</v>
      </c>
      <c r="U223" s="63">
        <v>7.98764E-2</v>
      </c>
      <c r="V223" s="63">
        <v>0.11291900000000001</v>
      </c>
      <c r="W223" s="63">
        <v>0.15962999999999999</v>
      </c>
      <c r="X223" s="63">
        <v>0.216283</v>
      </c>
      <c r="Y223" s="63">
        <v>0.26610249999999902</v>
      </c>
      <c r="Z223" s="63">
        <v>0.28472029999999998</v>
      </c>
      <c r="AA223" s="63">
        <v>0.29932178999999998</v>
      </c>
      <c r="AB223" s="63">
        <v>0.31724132999999999</v>
      </c>
      <c r="AC223" s="63">
        <v>0.33600524999999998</v>
      </c>
      <c r="AD223" s="63">
        <v>0.35590977000000001</v>
      </c>
    </row>
    <row r="224" spans="1:31">
      <c r="A224" t="s">
        <v>267</v>
      </c>
      <c r="B224" t="s">
        <v>1</v>
      </c>
      <c r="C224" t="s">
        <v>122</v>
      </c>
      <c r="D224" s="13" t="str">
        <f>IFERROR(VLOOKUP(C224,ghg_sort!$A$86:$B$512,2,0),0)</f>
        <v>Electricity</v>
      </c>
      <c r="E224" s="12" t="s">
        <v>86</v>
      </c>
      <c r="F224" s="13">
        <f>IFERROR(VLOOKUP($E224,ghg_sort!$A$3:$B$21,2,0),0)</f>
        <v>3.6666666666666701</v>
      </c>
      <c r="G224" s="13">
        <f t="shared" si="34"/>
        <v>0</v>
      </c>
      <c r="H224" s="13">
        <f t="shared" si="35"/>
        <v>0</v>
      </c>
      <c r="I224" s="13">
        <f t="shared" si="36"/>
        <v>0</v>
      </c>
      <c r="J224" s="13">
        <f t="shared" si="37"/>
        <v>0</v>
      </c>
      <c r="K224" s="13">
        <f t="shared" si="38"/>
        <v>0</v>
      </c>
      <c r="L224" s="13">
        <f t="shared" si="39"/>
        <v>0.62429788666666719</v>
      </c>
      <c r="M224" s="13">
        <f t="shared" si="40"/>
        <v>1.1184399233333309</v>
      </c>
      <c r="N224" s="13">
        <f t="shared" si="41"/>
        <v>1.8990782433333353</v>
      </c>
      <c r="O224" s="13">
        <f t="shared" si="42"/>
        <v>2.8230895366666657</v>
      </c>
      <c r="P224" s="13">
        <f t="shared" si="43"/>
        <v>4.4868125866666704</v>
      </c>
      <c r="Q224" s="13">
        <f t="shared" si="44"/>
        <v>5.9395071633333023</v>
      </c>
      <c r="R224" s="13" t="s">
        <v>239</v>
      </c>
      <c r="T224" s="62">
        <v>0</v>
      </c>
      <c r="U224" s="62">
        <v>0</v>
      </c>
      <c r="V224" s="62">
        <v>0</v>
      </c>
      <c r="W224" s="62">
        <v>0</v>
      </c>
      <c r="X224" s="62">
        <v>0</v>
      </c>
      <c r="Y224" s="62">
        <v>0.17026305999999999</v>
      </c>
      <c r="Z224" s="62">
        <v>0.30502906999999901</v>
      </c>
      <c r="AA224" s="62">
        <v>0.51793043000000005</v>
      </c>
      <c r="AB224" s="62">
        <v>0.76993350999999899</v>
      </c>
      <c r="AC224" s="62">
        <v>1.2236761599999999</v>
      </c>
      <c r="AD224" s="62">
        <v>1.6198655899999901</v>
      </c>
      <c r="AE224" t="s">
        <v>94</v>
      </c>
    </row>
    <row r="225" spans="1:31">
      <c r="A225" t="s">
        <v>267</v>
      </c>
      <c r="B225" t="s">
        <v>1</v>
      </c>
      <c r="C225" t="s">
        <v>123</v>
      </c>
      <c r="D225" s="13" t="str">
        <f>IFERROR(VLOOKUP(C225,ghg_sort!$A$86:$B$512,2,0),0)</f>
        <v>Electricity</v>
      </c>
      <c r="E225" s="12" t="s">
        <v>86</v>
      </c>
      <c r="F225" s="13">
        <f>IFERROR(VLOOKUP($E225,ghg_sort!$A$3:$B$21,2,0),0)</f>
        <v>3.6666666666666701</v>
      </c>
      <c r="G225" s="13">
        <f t="shared" si="34"/>
        <v>0</v>
      </c>
      <c r="H225" s="13">
        <f t="shared" si="35"/>
        <v>3.5302914166666699E-2</v>
      </c>
      <c r="I225" s="13">
        <f t="shared" si="36"/>
        <v>0.31065643766666695</v>
      </c>
      <c r="J225" s="13">
        <f t="shared" si="37"/>
        <v>1.9439673000000015</v>
      </c>
      <c r="K225" s="13">
        <f t="shared" si="38"/>
        <v>5.5219771566666713</v>
      </c>
      <c r="L225" s="13">
        <f t="shared" si="39"/>
        <v>8.1736715866666732</v>
      </c>
      <c r="M225" s="13">
        <f t="shared" si="40"/>
        <v>10.49159507000001</v>
      </c>
      <c r="N225" s="13">
        <f t="shared" si="41"/>
        <v>13.402285409333309</v>
      </c>
      <c r="O225" s="13">
        <f t="shared" si="42"/>
        <v>16.305428791666685</v>
      </c>
      <c r="P225" s="13">
        <f t="shared" si="43"/>
        <v>21.048912774999984</v>
      </c>
      <c r="Q225" s="13">
        <f t="shared" si="44"/>
        <v>25.136172592666654</v>
      </c>
      <c r="R225" s="13" t="s">
        <v>239</v>
      </c>
      <c r="T225" s="62">
        <v>0</v>
      </c>
      <c r="U225" s="62">
        <v>9.6280675000000003E-3</v>
      </c>
      <c r="V225" s="62">
        <v>8.4724483000000003E-2</v>
      </c>
      <c r="W225" s="62">
        <v>0.53017289999999995</v>
      </c>
      <c r="X225" s="62">
        <v>1.5059937699999999</v>
      </c>
      <c r="Y225" s="62">
        <v>2.2291831599999998</v>
      </c>
      <c r="Z225" s="62">
        <v>2.8613441100000001</v>
      </c>
      <c r="AA225" s="62">
        <v>3.6551687479999901</v>
      </c>
      <c r="AB225" s="62">
        <v>4.4469351250000004</v>
      </c>
      <c r="AC225" s="62">
        <v>5.7406125749999903</v>
      </c>
      <c r="AD225" s="62">
        <v>6.8553197979999903</v>
      </c>
      <c r="AE225" t="s">
        <v>94</v>
      </c>
    </row>
    <row r="226" spans="1:31">
      <c r="A226" t="s">
        <v>267</v>
      </c>
      <c r="B226" t="s">
        <v>1</v>
      </c>
      <c r="C226" t="s">
        <v>125</v>
      </c>
      <c r="D226" s="13" t="str">
        <f>IFERROR(VLOOKUP(C226,ghg_sort!$A$86:$B$512,2,0),0)</f>
        <v>Electricity</v>
      </c>
      <c r="E226" s="12" t="s">
        <v>86</v>
      </c>
      <c r="F226" s="13">
        <f>IFERROR(VLOOKUP($E226,ghg_sort!$A$3:$B$21,2,0),0)</f>
        <v>3.6666666666666701</v>
      </c>
      <c r="G226" s="13">
        <f t="shared" si="34"/>
        <v>16.442807333333349</v>
      </c>
      <c r="H226" s="13">
        <f t="shared" si="35"/>
        <v>135.9083696666668</v>
      </c>
      <c r="I226" s="13">
        <f t="shared" si="36"/>
        <v>198.08646366666648</v>
      </c>
      <c r="J226" s="13">
        <f t="shared" si="37"/>
        <v>206.94172033333354</v>
      </c>
      <c r="K226" s="13">
        <f t="shared" si="38"/>
        <v>209.44256666666686</v>
      </c>
      <c r="L226" s="13">
        <f t="shared" si="39"/>
        <v>225.94573283333318</v>
      </c>
      <c r="M226" s="13">
        <f t="shared" si="40"/>
        <v>202.40586519999982</v>
      </c>
      <c r="N226" s="13">
        <f t="shared" si="41"/>
        <v>175.93072090000015</v>
      </c>
      <c r="O226" s="13">
        <f t="shared" si="42"/>
        <v>148.84012036666681</v>
      </c>
      <c r="P226" s="13">
        <f t="shared" si="43"/>
        <v>68.018592033333022</v>
      </c>
      <c r="Q226" s="13">
        <f t="shared" si="44"/>
        <v>30.961910466666694</v>
      </c>
      <c r="R226" s="13" t="s">
        <v>239</v>
      </c>
      <c r="T226" s="62">
        <v>4.4844020000000002</v>
      </c>
      <c r="U226" s="62">
        <v>37.065919000000001</v>
      </c>
      <c r="V226" s="62">
        <v>54.023580999999901</v>
      </c>
      <c r="W226" s="62">
        <v>56.438651</v>
      </c>
      <c r="X226" s="62">
        <v>57.120699999999999</v>
      </c>
      <c r="Y226" s="62">
        <v>61.621563499999901</v>
      </c>
      <c r="Z226" s="62">
        <v>55.201599599999902</v>
      </c>
      <c r="AA226" s="62">
        <v>47.981105700000001</v>
      </c>
      <c r="AB226" s="62">
        <v>40.5927601</v>
      </c>
      <c r="AC226" s="62">
        <v>18.550525099999899</v>
      </c>
      <c r="AD226" s="62">
        <v>8.4441573999999999</v>
      </c>
      <c r="AE226" t="s">
        <v>94</v>
      </c>
    </row>
    <row r="227" spans="1:31">
      <c r="A227" t="s">
        <v>267</v>
      </c>
      <c r="B227" t="s">
        <v>1</v>
      </c>
      <c r="C227" t="s">
        <v>126</v>
      </c>
      <c r="D227" s="13" t="str">
        <f>IFERROR(VLOOKUP(C227,ghg_sort!$A$86:$B$512,2,0),0)</f>
        <v>Electricity</v>
      </c>
      <c r="E227" s="12" t="s">
        <v>86</v>
      </c>
      <c r="F227" s="13">
        <f>IFERROR(VLOOKUP($E227,ghg_sort!$A$3:$B$21,2,0),0)</f>
        <v>3.6666666666666701</v>
      </c>
      <c r="G227" s="13">
        <f t="shared" si="34"/>
        <v>3.121930533333336</v>
      </c>
      <c r="H227" s="13">
        <f t="shared" si="35"/>
        <v>21.110759633333352</v>
      </c>
      <c r="I227" s="13">
        <f t="shared" si="36"/>
        <v>24.39629426666669</v>
      </c>
      <c r="J227" s="13">
        <f t="shared" si="37"/>
        <v>39.598740133333372</v>
      </c>
      <c r="K227" s="13">
        <f t="shared" si="38"/>
        <v>47.239775366666713</v>
      </c>
      <c r="L227" s="13">
        <f t="shared" si="39"/>
        <v>55.080269566666715</v>
      </c>
      <c r="M227" s="13">
        <f t="shared" si="40"/>
        <v>63.919597133333397</v>
      </c>
      <c r="N227" s="13">
        <f t="shared" si="41"/>
        <v>73.803935699999698</v>
      </c>
      <c r="O227" s="13">
        <f t="shared" si="42"/>
        <v>80.537765733333401</v>
      </c>
      <c r="P227" s="13">
        <f t="shared" si="43"/>
        <v>99.162871133333425</v>
      </c>
      <c r="Q227" s="13">
        <f t="shared" si="44"/>
        <v>113.45353323333345</v>
      </c>
      <c r="R227" s="13" t="s">
        <v>239</v>
      </c>
      <c r="T227" s="62">
        <v>0.85143559999999996</v>
      </c>
      <c r="U227" s="62">
        <v>5.7574798999999999</v>
      </c>
      <c r="V227" s="62">
        <v>6.6535348000000001</v>
      </c>
      <c r="W227" s="62">
        <v>10.7996564</v>
      </c>
      <c r="X227" s="62">
        <v>12.8835751</v>
      </c>
      <c r="Y227" s="62">
        <v>15.021891699999999</v>
      </c>
      <c r="Z227" s="62">
        <v>17.432617400000002</v>
      </c>
      <c r="AA227" s="62">
        <v>20.128346099999899</v>
      </c>
      <c r="AB227" s="62">
        <v>21.964845199999999</v>
      </c>
      <c r="AC227" s="62">
        <v>27.044419399999999</v>
      </c>
      <c r="AD227" s="62">
        <v>30.941872700000001</v>
      </c>
      <c r="AE227" t="s">
        <v>94</v>
      </c>
    </row>
    <row r="228" spans="1:31">
      <c r="A228" t="s">
        <v>267</v>
      </c>
      <c r="B228" t="s">
        <v>1</v>
      </c>
      <c r="C228" t="s">
        <v>127</v>
      </c>
      <c r="D228" s="13" t="str">
        <f>IFERROR(VLOOKUP(C228,ghg_sort!$A$86:$B$512,2,0),0)</f>
        <v>Electricity</v>
      </c>
      <c r="E228" s="12" t="s">
        <v>86</v>
      </c>
      <c r="F228" s="13">
        <f>IFERROR(VLOOKUP($E228,ghg_sort!$A$3:$B$21,2,0),0)</f>
        <v>3.6666666666666701</v>
      </c>
      <c r="G228" s="13">
        <f t="shared" si="34"/>
        <v>1.3178746166666679</v>
      </c>
      <c r="H228" s="13">
        <f t="shared" si="35"/>
        <v>1.6309016533333314</v>
      </c>
      <c r="I228" s="13">
        <f t="shared" si="36"/>
        <v>13.912943733333346</v>
      </c>
      <c r="J228" s="13">
        <f t="shared" si="37"/>
        <v>0.49971057033333383</v>
      </c>
      <c r="K228" s="13">
        <f t="shared" si="38"/>
        <v>0.48511359966666706</v>
      </c>
      <c r="L228" s="13">
        <f t="shared" si="39"/>
        <v>0.39785938133333365</v>
      </c>
      <c r="M228" s="13">
        <f t="shared" si="40"/>
        <v>0.41176036733333371</v>
      </c>
      <c r="N228" s="13">
        <f t="shared" si="41"/>
        <v>0.32400035800000032</v>
      </c>
      <c r="O228" s="13">
        <f t="shared" si="42"/>
        <v>0.22192320296666651</v>
      </c>
      <c r="P228" s="13">
        <f t="shared" si="43"/>
        <v>0.13082803066666679</v>
      </c>
      <c r="Q228" s="13">
        <f t="shared" si="44"/>
        <v>0</v>
      </c>
      <c r="R228" s="13" t="s">
        <v>239</v>
      </c>
      <c r="T228" s="62">
        <v>0.35942035</v>
      </c>
      <c r="U228" s="62">
        <v>0.44479135999999903</v>
      </c>
      <c r="V228" s="62">
        <v>3.7944391999999998</v>
      </c>
      <c r="W228" s="62">
        <v>0.13628470100000001</v>
      </c>
      <c r="X228" s="62">
        <v>0.13230370899999999</v>
      </c>
      <c r="Y228" s="62">
        <v>0.10850710399999999</v>
      </c>
      <c r="Z228" s="62">
        <v>0.112298282</v>
      </c>
      <c r="AA228" s="62">
        <v>8.8363733999999999E-2</v>
      </c>
      <c r="AB228" s="62">
        <v>6.0524509899999898E-2</v>
      </c>
      <c r="AC228" s="62">
        <v>3.5680372000000002E-2</v>
      </c>
      <c r="AD228" s="62">
        <v>0</v>
      </c>
      <c r="AE228" t="s">
        <v>94</v>
      </c>
    </row>
    <row r="229" spans="1:31">
      <c r="A229" t="s">
        <v>267</v>
      </c>
      <c r="B229" t="s">
        <v>1</v>
      </c>
      <c r="C229" t="s">
        <v>129</v>
      </c>
      <c r="D229" s="13" t="str">
        <f>IFERROR(VLOOKUP(C229,ghg_sort!$A$86:$B$512,2,0),0)</f>
        <v>Electricity</v>
      </c>
      <c r="E229" s="12" t="s">
        <v>86</v>
      </c>
      <c r="F229" s="13">
        <f>IFERROR(VLOOKUP($E229,ghg_sort!$A$3:$B$21,2,0),0)</f>
        <v>3.6666666666666701</v>
      </c>
      <c r="G229" s="13">
        <f t="shared" si="34"/>
        <v>13.571061533333346</v>
      </c>
      <c r="H229" s="13">
        <f t="shared" si="35"/>
        <v>15.141381200000014</v>
      </c>
      <c r="I229" s="13">
        <f t="shared" si="36"/>
        <v>9.8372376666666757</v>
      </c>
      <c r="J229" s="13">
        <f t="shared" si="37"/>
        <v>6.77068663333334</v>
      </c>
      <c r="K229" s="13">
        <f t="shared" si="38"/>
        <v>1.6031087600000014</v>
      </c>
      <c r="L229" s="13">
        <f t="shared" si="39"/>
        <v>1.5659919000000013</v>
      </c>
      <c r="M229" s="13">
        <f t="shared" si="40"/>
        <v>1.8095460166666684</v>
      </c>
      <c r="N229" s="13">
        <f t="shared" si="41"/>
        <v>1.4253558366666643</v>
      </c>
      <c r="O229" s="13">
        <f t="shared" si="42"/>
        <v>1.3031459833333345</v>
      </c>
      <c r="P229" s="13">
        <f t="shared" si="43"/>
        <v>0.93236700700000097</v>
      </c>
      <c r="Q229" s="13">
        <f t="shared" si="44"/>
        <v>0.65579125700000063</v>
      </c>
      <c r="R229" s="13" t="s">
        <v>239</v>
      </c>
      <c r="T229" s="62">
        <v>3.7011986000000001</v>
      </c>
      <c r="U229" s="62">
        <v>4.1294675999999999</v>
      </c>
      <c r="V229" s="62">
        <v>2.6828829999999999</v>
      </c>
      <c r="W229" s="62">
        <v>1.8465509</v>
      </c>
      <c r="X229" s="62">
        <v>0.43721147999999999</v>
      </c>
      <c r="Y229" s="62">
        <v>0.42708869999999999</v>
      </c>
      <c r="Z229" s="62">
        <v>0.49351254999999999</v>
      </c>
      <c r="AA229" s="62">
        <v>0.388733409999999</v>
      </c>
      <c r="AB229" s="62">
        <v>0.35540345000000001</v>
      </c>
      <c r="AC229" s="62">
        <v>0.25428191100000003</v>
      </c>
      <c r="AD229" s="62">
        <v>0.17885216100000001</v>
      </c>
      <c r="AE229" t="s">
        <v>94</v>
      </c>
    </row>
    <row r="230" spans="1:31">
      <c r="A230" t="s">
        <v>267</v>
      </c>
      <c r="B230" t="s">
        <v>1</v>
      </c>
      <c r="C230" t="s">
        <v>59</v>
      </c>
      <c r="D230" s="13" t="str">
        <f>IFERROR(VLOOKUP(C230,ghg_sort!$A$86:$B$512,2,0),0)</f>
        <v>Electricity</v>
      </c>
      <c r="E230" s="12" t="s">
        <v>83</v>
      </c>
      <c r="F230" s="13">
        <f>IFERROR(VLOOKUP($E230,ghg_sort!$A$3:$B$21,2,0),0)</f>
        <v>0</v>
      </c>
      <c r="G230" s="13">
        <f t="shared" si="34"/>
        <v>0</v>
      </c>
      <c r="H230" s="13">
        <f t="shared" si="35"/>
        <v>0</v>
      </c>
      <c r="I230" s="13">
        <f t="shared" si="36"/>
        <v>0</v>
      </c>
      <c r="J230" s="13">
        <f t="shared" si="37"/>
        <v>0</v>
      </c>
      <c r="K230" s="13">
        <f t="shared" si="38"/>
        <v>0</v>
      </c>
      <c r="L230" s="13">
        <f t="shared" si="39"/>
        <v>0</v>
      </c>
      <c r="M230" s="13">
        <f t="shared" si="40"/>
        <v>0</v>
      </c>
      <c r="N230" s="13">
        <f t="shared" si="41"/>
        <v>0</v>
      </c>
      <c r="O230" s="13">
        <f t="shared" si="42"/>
        <v>0</v>
      </c>
      <c r="P230" s="13">
        <f t="shared" si="43"/>
        <v>0</v>
      </c>
      <c r="Q230" s="13">
        <f t="shared" si="44"/>
        <v>0</v>
      </c>
      <c r="R230" s="13" t="s">
        <v>239</v>
      </c>
      <c r="T230" s="63">
        <v>5.0151600000000003E-4</v>
      </c>
      <c r="U230" s="62">
        <v>1.4306307999999901E-3</v>
      </c>
      <c r="V230" s="62">
        <v>1.932923E-3</v>
      </c>
      <c r="W230" s="62">
        <v>2.7986129999999902E-3</v>
      </c>
      <c r="X230" s="62">
        <v>2.6841222179999902E-3</v>
      </c>
      <c r="Y230" s="62">
        <v>2.1519093242500001E-3</v>
      </c>
      <c r="Z230" s="62">
        <v>2.02349641431E-3</v>
      </c>
      <c r="AA230" s="62">
        <v>2.0250454768900002E-3</v>
      </c>
      <c r="AB230" s="62">
        <v>2.0430199383999902E-3</v>
      </c>
      <c r="AC230" s="62">
        <v>2.2916278292999998E-3</v>
      </c>
      <c r="AD230" s="62">
        <v>2.4555797971E-3</v>
      </c>
      <c r="AE230" t="s">
        <v>94</v>
      </c>
    </row>
    <row r="231" spans="1:31">
      <c r="A231" t="s">
        <v>267</v>
      </c>
      <c r="B231" t="s">
        <v>1</v>
      </c>
      <c r="C231" t="s">
        <v>59</v>
      </c>
      <c r="D231" s="13" t="str">
        <f>IFERROR(VLOOKUP(C231,ghg_sort!$A$86:$B$512,2,0),0)</f>
        <v>Electricity</v>
      </c>
      <c r="E231" s="12" t="s">
        <v>84</v>
      </c>
      <c r="F231" s="13">
        <f>IFERROR(VLOOKUP($E231,ghg_sort!$A$3:$B$21,2,0),0)</f>
        <v>25</v>
      </c>
      <c r="G231" s="13">
        <f t="shared" si="34"/>
        <v>1.7249999999999998E-2</v>
      </c>
      <c r="H231" s="13">
        <f t="shared" si="35"/>
        <v>8.272703549999999E-2</v>
      </c>
      <c r="I231" s="13">
        <f t="shared" si="36"/>
        <v>0.1254970825</v>
      </c>
      <c r="J231" s="13">
        <f t="shared" si="37"/>
        <v>0.144505305</v>
      </c>
      <c r="K231" s="13">
        <f t="shared" si="38"/>
        <v>2.950069E-2</v>
      </c>
      <c r="L231" s="13">
        <f t="shared" si="39"/>
        <v>3.4618431500000005E-2</v>
      </c>
      <c r="M231" s="13">
        <f t="shared" si="40"/>
        <v>3.7890626250000004E-2</v>
      </c>
      <c r="N231" s="13">
        <f t="shared" si="41"/>
        <v>4.152225749999975E-2</v>
      </c>
      <c r="O231" s="13">
        <f t="shared" si="42"/>
        <v>4.4512332500000001E-2</v>
      </c>
      <c r="P231" s="13">
        <f t="shared" si="43"/>
        <v>4.9759649999999996E-2</v>
      </c>
      <c r="Q231" s="13">
        <f t="shared" si="44"/>
        <v>5.54081955E-2</v>
      </c>
      <c r="R231" s="13" t="s">
        <v>239</v>
      </c>
      <c r="T231" s="63">
        <v>6.8999999999999997E-4</v>
      </c>
      <c r="U231" s="62">
        <v>3.3090814199999998E-3</v>
      </c>
      <c r="V231" s="62">
        <v>5.0198832999999998E-3</v>
      </c>
      <c r="W231" s="62">
        <v>5.7802121999999999E-3</v>
      </c>
      <c r="X231" s="62">
        <v>1.1800275999999999E-3</v>
      </c>
      <c r="Y231" s="62">
        <v>1.3847372600000001E-3</v>
      </c>
      <c r="Z231" s="62">
        <v>1.5156250500000001E-3</v>
      </c>
      <c r="AA231" s="62">
        <v>1.6608902999999901E-3</v>
      </c>
      <c r="AB231" s="62">
        <v>1.7804933000000001E-3</v>
      </c>
      <c r="AC231" s="62">
        <v>1.9903859999999998E-3</v>
      </c>
      <c r="AD231" s="62">
        <v>2.2163278199999999E-3</v>
      </c>
      <c r="AE231" t="s">
        <v>94</v>
      </c>
    </row>
    <row r="232" spans="1:31">
      <c r="A232" t="s">
        <v>267</v>
      </c>
      <c r="B232" t="s">
        <v>1</v>
      </c>
      <c r="C232" t="s">
        <v>59</v>
      </c>
      <c r="D232" s="13" t="str">
        <f>IFERROR(VLOOKUP(C232,ghg_sort!$A$86:$B$512,2,0),0)</f>
        <v>Electricity</v>
      </c>
      <c r="E232" t="s">
        <v>85</v>
      </c>
      <c r="F232" s="13">
        <f>IFERROR(VLOOKUP($E232,ghg_sort!$A$3:$B$21,2,0),0)</f>
        <v>0</v>
      </c>
      <c r="G232" s="13">
        <f t="shared" si="34"/>
        <v>0</v>
      </c>
      <c r="H232" s="13">
        <f t="shared" si="35"/>
        <v>0</v>
      </c>
      <c r="I232" s="13">
        <f t="shared" si="36"/>
        <v>0</v>
      </c>
      <c r="J232" s="13">
        <f t="shared" si="37"/>
        <v>0</v>
      </c>
      <c r="K232" s="13">
        <f t="shared" si="38"/>
        <v>0</v>
      </c>
      <c r="L232" s="13">
        <f t="shared" si="39"/>
        <v>0</v>
      </c>
      <c r="M232" s="13">
        <f t="shared" si="40"/>
        <v>0</v>
      </c>
      <c r="N232" s="13">
        <f t="shared" si="41"/>
        <v>0</v>
      </c>
      <c r="O232" s="13">
        <f t="shared" si="42"/>
        <v>0</v>
      </c>
      <c r="P232" s="13">
        <f t="shared" si="43"/>
        <v>0</v>
      </c>
      <c r="Q232" s="13">
        <f t="shared" si="44"/>
        <v>0</v>
      </c>
      <c r="R232" s="13" t="s">
        <v>239</v>
      </c>
      <c r="T232" s="63">
        <v>1.21900009999999E-2</v>
      </c>
      <c r="U232" s="62">
        <v>2.470931979E-2</v>
      </c>
      <c r="V232" s="62">
        <v>2.7759407099999901E-2</v>
      </c>
      <c r="W232" s="62">
        <v>3.0410586399999998E-2</v>
      </c>
      <c r="X232" s="62">
        <v>2.4358599099999899E-2</v>
      </c>
      <c r="Y232" s="62">
        <v>1.8144119699999899E-2</v>
      </c>
      <c r="Z232" s="62">
        <v>1.7335595799999999E-2</v>
      </c>
      <c r="AA232" s="63">
        <v>1.74464085E-2</v>
      </c>
      <c r="AB232" s="63">
        <v>1.7181241499999899E-2</v>
      </c>
      <c r="AC232" s="63">
        <v>2.011197256E-2</v>
      </c>
      <c r="AD232" s="63">
        <v>2.1742560290000001E-2</v>
      </c>
      <c r="AE232" t="s">
        <v>93</v>
      </c>
    </row>
    <row r="233" spans="1:31">
      <c r="A233" t="s">
        <v>267</v>
      </c>
      <c r="B233" t="s">
        <v>1</v>
      </c>
      <c r="C233" t="s">
        <v>59</v>
      </c>
      <c r="D233" s="13" t="str">
        <f>IFERROR(VLOOKUP(C233,ghg_sort!$A$86:$B$512,2,0),0)</f>
        <v>Electricity</v>
      </c>
      <c r="E233" t="s">
        <v>87</v>
      </c>
      <c r="F233" s="13">
        <f>IFERROR(VLOOKUP($E233,ghg_sort!$A$3:$B$21,2,0),0)</f>
        <v>298</v>
      </c>
      <c r="G233" s="13">
        <f t="shared" si="34"/>
        <v>9.5360000000000014E-2</v>
      </c>
      <c r="H233" s="13">
        <f t="shared" si="35"/>
        <v>1.4445891746399973</v>
      </c>
      <c r="I233" s="13">
        <f t="shared" si="36"/>
        <v>2.0983008439999997</v>
      </c>
      <c r="J233" s="13">
        <f t="shared" si="37"/>
        <v>2.391525095999997</v>
      </c>
      <c r="K233" s="13">
        <f t="shared" si="38"/>
        <v>1.9544698626000001</v>
      </c>
      <c r="L233" s="13">
        <f t="shared" si="39"/>
        <v>2.1662378851040001</v>
      </c>
      <c r="M233" s="13">
        <f t="shared" si="40"/>
        <v>1.9937200445600001</v>
      </c>
      <c r="N233" s="13">
        <f t="shared" si="41"/>
        <v>1.799055776159997</v>
      </c>
      <c r="O233" s="13">
        <f t="shared" si="42"/>
        <v>1.59899307386</v>
      </c>
      <c r="P233" s="13">
        <f t="shared" si="43"/>
        <v>0.96105918436000004</v>
      </c>
      <c r="Q233" s="13">
        <f t="shared" si="44"/>
        <v>0.66688973298000009</v>
      </c>
      <c r="R233" s="13" t="s">
        <v>239</v>
      </c>
      <c r="T233" s="63">
        <v>3.2000000000000003E-4</v>
      </c>
      <c r="U233" s="62">
        <v>4.8476146799999904E-3</v>
      </c>
      <c r="V233" s="62">
        <v>7.0412779999999998E-3</v>
      </c>
      <c r="W233" s="62">
        <v>8.0252519999999897E-3</v>
      </c>
      <c r="X233" s="62">
        <v>6.5586237000000002E-3</v>
      </c>
      <c r="Y233" s="62">
        <v>7.2692546480000002E-3</v>
      </c>
      <c r="Z233" s="62">
        <v>6.6903357200000001E-3</v>
      </c>
      <c r="AA233" s="62">
        <v>6.03709991999999E-3</v>
      </c>
      <c r="AB233" s="62">
        <v>5.3657485700000004E-3</v>
      </c>
      <c r="AC233" s="62">
        <v>3.22503082E-3</v>
      </c>
      <c r="AD233" s="63">
        <v>2.2378850100000002E-3</v>
      </c>
      <c r="AE233" t="s">
        <v>93</v>
      </c>
    </row>
    <row r="234" spans="1:31">
      <c r="A234" t="s">
        <v>267</v>
      </c>
      <c r="B234" t="s">
        <v>1</v>
      </c>
      <c r="C234" t="s">
        <v>59</v>
      </c>
      <c r="D234" s="13" t="str">
        <f>IFERROR(VLOOKUP(C234,ghg_sort!$A$86:$B$512,2,0),0)</f>
        <v>Electricity</v>
      </c>
      <c r="E234" t="s">
        <v>88</v>
      </c>
      <c r="F234" s="13">
        <f>IFERROR(VLOOKUP($E234,ghg_sort!$A$3:$B$21,2,0),0)</f>
        <v>0</v>
      </c>
      <c r="G234" s="13">
        <f t="shared" si="34"/>
        <v>0</v>
      </c>
      <c r="H234" s="13">
        <f t="shared" si="35"/>
        <v>0</v>
      </c>
      <c r="I234" s="13">
        <f t="shared" si="36"/>
        <v>0</v>
      </c>
      <c r="J234" s="13">
        <f t="shared" si="37"/>
        <v>0</v>
      </c>
      <c r="K234" s="13">
        <f t="shared" si="38"/>
        <v>0</v>
      </c>
      <c r="L234" s="13">
        <f t="shared" si="39"/>
        <v>0</v>
      </c>
      <c r="M234" s="13">
        <f t="shared" si="40"/>
        <v>0</v>
      </c>
      <c r="N234" s="13">
        <f t="shared" si="41"/>
        <v>0</v>
      </c>
      <c r="O234" s="13">
        <f t="shared" si="42"/>
        <v>0</v>
      </c>
      <c r="P234" s="13">
        <f t="shared" si="43"/>
        <v>0</v>
      </c>
      <c r="Q234" s="13">
        <f t="shared" si="44"/>
        <v>0</v>
      </c>
      <c r="R234" s="13" t="s">
        <v>239</v>
      </c>
      <c r="T234" s="63">
        <v>3.8999999999999999E-4</v>
      </c>
      <c r="U234" s="63">
        <v>8.3848117400000003E-4</v>
      </c>
      <c r="V234" s="62">
        <v>1.40578632E-3</v>
      </c>
      <c r="W234" s="62">
        <v>1.3842823799999999E-3</v>
      </c>
      <c r="X234" s="62">
        <v>1.5053210699999999E-3</v>
      </c>
      <c r="Y234" s="62">
        <v>1.7406475599999901E-3</v>
      </c>
      <c r="Z234" s="62">
        <v>1.9027751799999999E-3</v>
      </c>
      <c r="AA234" s="62">
        <v>2.0861741200000001E-3</v>
      </c>
      <c r="AB234" s="62">
        <v>2.2134209599999999E-3</v>
      </c>
      <c r="AC234" s="62">
        <v>2.4955903999999999E-3</v>
      </c>
      <c r="AD234" s="62">
        <v>2.7766812000000001E-3</v>
      </c>
      <c r="AE234" t="s">
        <v>93</v>
      </c>
    </row>
    <row r="235" spans="1:31">
      <c r="A235" t="s">
        <v>267</v>
      </c>
      <c r="B235" t="s">
        <v>1</v>
      </c>
      <c r="C235" t="s">
        <v>59</v>
      </c>
      <c r="D235" s="13" t="str">
        <f>IFERROR(VLOOKUP(C235,ghg_sort!$A$86:$B$512,2,0),0)</f>
        <v>Electricity</v>
      </c>
      <c r="E235" t="s">
        <v>89</v>
      </c>
      <c r="F235" s="13">
        <f>IFERROR(VLOOKUP($E235,ghg_sort!$A$3:$B$21,2,0),0)</f>
        <v>0</v>
      </c>
      <c r="G235" s="13">
        <f t="shared" si="34"/>
        <v>0</v>
      </c>
      <c r="H235" s="13">
        <f t="shared" si="35"/>
        <v>0</v>
      </c>
      <c r="I235" s="13">
        <f t="shared" si="36"/>
        <v>0</v>
      </c>
      <c r="J235" s="13">
        <f t="shared" si="37"/>
        <v>0</v>
      </c>
      <c r="K235" s="13">
        <f t="shared" si="38"/>
        <v>0</v>
      </c>
      <c r="L235" s="13">
        <f t="shared" si="39"/>
        <v>0</v>
      </c>
      <c r="M235" s="13">
        <f t="shared" si="40"/>
        <v>0</v>
      </c>
      <c r="N235" s="13">
        <f t="shared" si="41"/>
        <v>0</v>
      </c>
      <c r="O235" s="13">
        <f t="shared" si="42"/>
        <v>0</v>
      </c>
      <c r="P235" s="13">
        <f t="shared" si="43"/>
        <v>0</v>
      </c>
      <c r="Q235" s="13">
        <f t="shared" si="44"/>
        <v>0</v>
      </c>
      <c r="R235" s="13" t="s">
        <v>239</v>
      </c>
      <c r="T235" s="63">
        <v>2.3499999999999901E-3</v>
      </c>
      <c r="U235" s="62">
        <v>3.4127760200000001E-3</v>
      </c>
      <c r="V235" s="62">
        <v>3.5886956E-3</v>
      </c>
      <c r="W235" s="62">
        <v>3.6490144E-3</v>
      </c>
      <c r="X235" s="63">
        <v>9.3198469999999998E-4</v>
      </c>
      <c r="Y235" s="63">
        <v>7.2875694800000001E-4</v>
      </c>
      <c r="Z235" s="63">
        <v>6.8169241999999997E-4</v>
      </c>
      <c r="AA235" s="63">
        <v>6.2644112E-4</v>
      </c>
      <c r="AB235" s="63">
        <v>5.6967604999999999E-4</v>
      </c>
      <c r="AC235" s="63">
        <v>4.1614921999999998E-4</v>
      </c>
      <c r="AD235" s="63">
        <v>3.4277667999999998E-4</v>
      </c>
      <c r="AE235" t="s">
        <v>93</v>
      </c>
    </row>
    <row r="236" spans="1:31">
      <c r="A236" t="s">
        <v>267</v>
      </c>
      <c r="B236" t="s">
        <v>1</v>
      </c>
      <c r="C236" t="s">
        <v>59</v>
      </c>
      <c r="D236" s="13" t="str">
        <f>IFERROR(VLOOKUP(C236,ghg_sort!$A$86:$B$512,2,0),0)</f>
        <v>Electricity</v>
      </c>
      <c r="E236" t="s">
        <v>90</v>
      </c>
      <c r="F236" s="13">
        <f>IFERROR(VLOOKUP($E236,ghg_sort!$A$3:$B$21,2,0),0)</f>
        <v>0</v>
      </c>
      <c r="G236" s="13">
        <f t="shared" si="34"/>
        <v>0</v>
      </c>
      <c r="H236" s="13">
        <f t="shared" si="35"/>
        <v>0</v>
      </c>
      <c r="I236" s="13">
        <f t="shared" si="36"/>
        <v>0</v>
      </c>
      <c r="J236" s="13">
        <f t="shared" si="37"/>
        <v>0</v>
      </c>
      <c r="K236" s="13">
        <f t="shared" si="38"/>
        <v>0</v>
      </c>
      <c r="L236" s="13">
        <f t="shared" si="39"/>
        <v>0</v>
      </c>
      <c r="M236" s="13">
        <f t="shared" si="40"/>
        <v>0</v>
      </c>
      <c r="N236" s="13">
        <f t="shared" si="41"/>
        <v>0</v>
      </c>
      <c r="O236" s="13">
        <f t="shared" si="42"/>
        <v>0</v>
      </c>
      <c r="P236" s="13">
        <f t="shared" si="43"/>
        <v>0</v>
      </c>
      <c r="Q236" s="13">
        <f t="shared" si="44"/>
        <v>0</v>
      </c>
      <c r="R236" s="13" t="s">
        <v>239</v>
      </c>
      <c r="T236" s="63">
        <v>0.11128005000000001</v>
      </c>
      <c r="U236" s="63">
        <v>0.31240292789999902</v>
      </c>
      <c r="V236" s="62">
        <v>9.7175248800000003E-2</v>
      </c>
      <c r="W236" s="62">
        <v>7.6949529000000003E-2</v>
      </c>
      <c r="X236" s="62">
        <v>5.2000313700000002E-2</v>
      </c>
      <c r="Y236" s="62">
        <v>3.5911072599999899E-2</v>
      </c>
      <c r="Z236" s="62">
        <v>2.89372395E-2</v>
      </c>
      <c r="AA236" s="62">
        <v>2.45152038999999E-2</v>
      </c>
      <c r="AB236" s="62">
        <v>2.1502438700000001E-2</v>
      </c>
      <c r="AC236" s="62">
        <v>1.75255897E-2</v>
      </c>
      <c r="AD236" s="62">
        <v>1.6552885E-2</v>
      </c>
      <c r="AE236" t="s">
        <v>93</v>
      </c>
    </row>
    <row r="237" spans="1:31">
      <c r="A237" t="s">
        <v>267</v>
      </c>
      <c r="B237" t="s">
        <v>1</v>
      </c>
      <c r="C237" t="s">
        <v>59</v>
      </c>
      <c r="D237" s="13" t="str">
        <f>IFERROR(VLOOKUP(C237,ghg_sort!$A$86:$B$512,2,0),0)</f>
        <v>Electricity</v>
      </c>
      <c r="E237" t="s">
        <v>91</v>
      </c>
      <c r="F237" s="13">
        <f>IFERROR(VLOOKUP($E237,ghg_sort!$A$3:$B$21,2,0),0)</f>
        <v>0</v>
      </c>
      <c r="G237" s="13">
        <f t="shared" si="34"/>
        <v>0</v>
      </c>
      <c r="H237" s="13">
        <f t="shared" si="35"/>
        <v>0</v>
      </c>
      <c r="I237" s="13">
        <f t="shared" si="36"/>
        <v>0</v>
      </c>
      <c r="J237" s="13">
        <f t="shared" si="37"/>
        <v>0</v>
      </c>
      <c r="K237" s="13">
        <f t="shared" si="38"/>
        <v>0</v>
      </c>
      <c r="L237" s="13">
        <f t="shared" si="39"/>
        <v>0</v>
      </c>
      <c r="M237" s="13">
        <f t="shared" si="40"/>
        <v>0</v>
      </c>
      <c r="N237" s="13">
        <f t="shared" si="41"/>
        <v>0</v>
      </c>
      <c r="O237" s="13">
        <f t="shared" si="42"/>
        <v>0</v>
      </c>
      <c r="P237" s="13">
        <f t="shared" si="43"/>
        <v>0</v>
      </c>
      <c r="Q237" s="13">
        <f t="shared" si="44"/>
        <v>0</v>
      </c>
      <c r="R237" s="13" t="s">
        <v>239</v>
      </c>
      <c r="T237" s="63">
        <v>3.8999999999999999E-4</v>
      </c>
      <c r="U237" s="62">
        <v>2.2721818999999902E-3</v>
      </c>
      <c r="V237" s="62">
        <v>3.5838269999999999E-3</v>
      </c>
      <c r="W237" s="62">
        <v>4.5562789999999999E-3</v>
      </c>
      <c r="X237" s="63">
        <v>5.5337180299999999E-3</v>
      </c>
      <c r="Y237" s="63">
        <v>4.6607310430999997E-3</v>
      </c>
      <c r="Z237" s="63">
        <v>4.5975296849999998E-3</v>
      </c>
      <c r="AA237" s="63">
        <v>4.8123268310000002E-3</v>
      </c>
      <c r="AB237" s="63">
        <v>5.0077148830000003E-3</v>
      </c>
      <c r="AC237" s="63">
        <v>5.8988869049999898E-3</v>
      </c>
      <c r="AD237" s="62">
        <v>6.4467443309999999E-3</v>
      </c>
      <c r="AE237" t="s">
        <v>93</v>
      </c>
    </row>
    <row r="238" spans="1:31">
      <c r="A238" t="s">
        <v>267</v>
      </c>
      <c r="B238" t="s">
        <v>1</v>
      </c>
      <c r="C238" t="s">
        <v>59</v>
      </c>
      <c r="D238" s="13" t="str">
        <f>IFERROR(VLOOKUP(C238,ghg_sort!$A$86:$B$512,2,0),0)</f>
        <v>Electricity</v>
      </c>
      <c r="E238" t="s">
        <v>92</v>
      </c>
      <c r="F238" s="13">
        <f>IFERROR(VLOOKUP($E238,ghg_sort!$A$3:$B$21,2,0),0)</f>
        <v>0</v>
      </c>
      <c r="G238" s="13">
        <f t="shared" si="34"/>
        <v>0</v>
      </c>
      <c r="H238" s="13">
        <f t="shared" si="35"/>
        <v>0</v>
      </c>
      <c r="I238" s="13">
        <f t="shared" si="36"/>
        <v>0</v>
      </c>
      <c r="J238" s="13">
        <f t="shared" si="37"/>
        <v>0</v>
      </c>
      <c r="K238" s="13">
        <f t="shared" si="38"/>
        <v>0</v>
      </c>
      <c r="L238" s="13">
        <f t="shared" si="39"/>
        <v>0</v>
      </c>
      <c r="M238" s="13">
        <f t="shared" si="40"/>
        <v>0</v>
      </c>
      <c r="N238" s="13">
        <f t="shared" si="41"/>
        <v>0</v>
      </c>
      <c r="O238" s="13">
        <f t="shared" si="42"/>
        <v>0</v>
      </c>
      <c r="P238" s="13">
        <f t="shared" si="43"/>
        <v>0</v>
      </c>
      <c r="Q238" s="13">
        <f t="shared" si="44"/>
        <v>0</v>
      </c>
      <c r="R238" s="13" t="s">
        <v>239</v>
      </c>
      <c r="T238" s="62">
        <v>0.10997651525999901</v>
      </c>
      <c r="U238" s="62">
        <v>0.106375661219999</v>
      </c>
      <c r="V238" s="62">
        <v>5.3570554100000001E-2</v>
      </c>
      <c r="W238" s="62">
        <v>6.2168590503999997E-2</v>
      </c>
      <c r="X238" s="62">
        <v>4.2722441312000002E-2</v>
      </c>
      <c r="Y238" s="62">
        <v>2.9023842064999899E-2</v>
      </c>
      <c r="Z238" s="62">
        <v>2.1645244408999901E-2</v>
      </c>
      <c r="AA238" s="62">
        <v>1.66255582909999E-2</v>
      </c>
      <c r="AB238" s="62">
        <v>1.29854947959999E-2</v>
      </c>
      <c r="AC238" s="62">
        <v>7.428214921E-3</v>
      </c>
      <c r="AD238" s="62">
        <v>4.9781452999999899E-3</v>
      </c>
      <c r="AE238" t="s">
        <v>93</v>
      </c>
    </row>
    <row r="239" spans="1:31">
      <c r="A239" t="s">
        <v>267</v>
      </c>
      <c r="B239" t="s">
        <v>1</v>
      </c>
      <c r="C239" t="s">
        <v>130</v>
      </c>
      <c r="D239" s="13" t="str">
        <f>IFERROR(VLOOKUP(C239,ghg_sort!$A$86:$B$512,2,0),0)</f>
        <v>Electricity</v>
      </c>
      <c r="E239" t="s">
        <v>103</v>
      </c>
      <c r="F239" s="13">
        <f>IFERROR(VLOOKUP($E239,ghg_sort!$A$3:$B$21,2,0),0)</f>
        <v>22.8</v>
      </c>
      <c r="G239" s="13">
        <f t="shared" si="34"/>
        <v>0.64214148000000004</v>
      </c>
      <c r="H239" s="13">
        <f t="shared" si="35"/>
        <v>2.27809164</v>
      </c>
      <c r="I239" s="13">
        <f t="shared" si="36"/>
        <v>2.9500920000000002</v>
      </c>
      <c r="J239" s="13">
        <f t="shared" si="37"/>
        <v>3.5313780000000001</v>
      </c>
      <c r="K239" s="13">
        <f t="shared" si="38"/>
        <v>3.5303520000000002</v>
      </c>
      <c r="L239" s="13">
        <f t="shared" si="39"/>
        <v>3.6951503999999997</v>
      </c>
      <c r="M239" s="13">
        <f t="shared" si="40"/>
        <v>3.4947840000000001</v>
      </c>
      <c r="N239" s="13">
        <f t="shared" si="41"/>
        <v>3.3107652000000001</v>
      </c>
      <c r="O239" s="13">
        <f t="shared" si="42"/>
        <v>3.0566591999999999</v>
      </c>
      <c r="P239" s="13">
        <f t="shared" si="43"/>
        <v>3.1454195999999999</v>
      </c>
      <c r="Q239" s="13">
        <f t="shared" si="44"/>
        <v>3.2882615999999998</v>
      </c>
      <c r="R239" s="13" t="s">
        <v>239</v>
      </c>
      <c r="T239" s="63">
        <v>2.8164100000000001E-2</v>
      </c>
      <c r="U239" s="62">
        <v>9.99163E-2</v>
      </c>
      <c r="V239" s="62">
        <v>0.12939000000000001</v>
      </c>
      <c r="W239" s="62">
        <v>0.15488499999999999</v>
      </c>
      <c r="X239" s="62">
        <v>0.15484000000000001</v>
      </c>
      <c r="Y239" s="62">
        <v>0.16206799999999999</v>
      </c>
      <c r="Z239" s="62">
        <v>0.15328</v>
      </c>
      <c r="AA239" s="62">
        <v>0.145209</v>
      </c>
      <c r="AB239" s="62">
        <v>0.13406399999999999</v>
      </c>
      <c r="AC239" s="63">
        <v>0.137957</v>
      </c>
      <c r="AD239" s="63">
        <v>0.14422199999999999</v>
      </c>
      <c r="AE239" t="s">
        <v>93</v>
      </c>
    </row>
    <row r="240" spans="1:31">
      <c r="A240" t="s">
        <v>267</v>
      </c>
      <c r="B240" t="s">
        <v>1</v>
      </c>
      <c r="C240" t="s">
        <v>147</v>
      </c>
      <c r="D240" s="13" t="str">
        <f>IFERROR(VLOOKUP(C240,ghg_sort!$A$86:$B$512,2,0),0)</f>
        <v>Industry</v>
      </c>
      <c r="E240" t="s">
        <v>86</v>
      </c>
      <c r="F240" s="13">
        <f>IFERROR(VLOOKUP($E240,ghg_sort!$A$3:$B$21,2,0),0)</f>
        <v>3.6666666666666701</v>
      </c>
      <c r="G240" s="13">
        <f t="shared" si="34"/>
        <v>4.6110166666666709E-2</v>
      </c>
      <c r="H240" s="13">
        <f t="shared" si="35"/>
        <v>0.20748896666666686</v>
      </c>
      <c r="I240" s="13">
        <f t="shared" si="36"/>
        <v>0.51742900000000047</v>
      </c>
      <c r="J240" s="13">
        <f t="shared" si="37"/>
        <v>0.47375166666666707</v>
      </c>
      <c r="K240" s="13">
        <f t="shared" si="38"/>
        <v>1.0244783999999973</v>
      </c>
      <c r="L240" s="13">
        <f t="shared" si="39"/>
        <v>1.3577773000000013</v>
      </c>
      <c r="M240" s="13">
        <f t="shared" si="40"/>
        <v>1.5610217333333347</v>
      </c>
      <c r="N240" s="13">
        <f t="shared" si="41"/>
        <v>1.8337454666666684</v>
      </c>
      <c r="O240" s="13">
        <f t="shared" si="42"/>
        <v>3.4010203333333364</v>
      </c>
      <c r="P240" s="13">
        <f t="shared" si="43"/>
        <v>4.013478333333337</v>
      </c>
      <c r="Q240" s="13">
        <f t="shared" si="44"/>
        <v>4.9791353333333381</v>
      </c>
      <c r="R240" s="13" t="s">
        <v>239</v>
      </c>
      <c r="T240" s="62">
        <v>1.25755E-2</v>
      </c>
      <c r="U240" s="62">
        <v>5.6587899999999997E-2</v>
      </c>
      <c r="V240" s="62">
        <v>0.14111699999999999</v>
      </c>
      <c r="W240" s="62">
        <v>0.12920499999999999</v>
      </c>
      <c r="X240" s="62">
        <v>0.27940319999999902</v>
      </c>
      <c r="Y240" s="62">
        <v>0.37030289999999999</v>
      </c>
      <c r="Z240" s="62">
        <v>0.42573319999999998</v>
      </c>
      <c r="AA240" s="62">
        <v>0.50011240000000001</v>
      </c>
      <c r="AB240" s="62">
        <v>0.92755100000000001</v>
      </c>
      <c r="AC240" s="62">
        <v>1.0945849999999999</v>
      </c>
      <c r="AD240" s="62">
        <v>1.3579460000000001</v>
      </c>
      <c r="AE240" t="s">
        <v>93</v>
      </c>
    </row>
    <row r="241" spans="1:31">
      <c r="A241" t="s">
        <v>267</v>
      </c>
      <c r="B241" t="s">
        <v>1</v>
      </c>
      <c r="C241" t="s">
        <v>229</v>
      </c>
      <c r="D241" s="13" t="str">
        <f>IFERROR(VLOOKUP(C241,ghg_sort!$A$86:$B$512,2,0),0)</f>
        <v>Industry</v>
      </c>
      <c r="E241" t="s">
        <v>95</v>
      </c>
      <c r="F241" s="13">
        <f>IFERROR(VLOOKUP($E241,ghg_sort!$A$3:$B$21,2,0),0)</f>
        <v>12.2</v>
      </c>
      <c r="G241" s="13">
        <f t="shared" si="34"/>
        <v>5.2916035999999995E-4</v>
      </c>
      <c r="H241" s="13">
        <f t="shared" si="35"/>
        <v>2.0582986000000001</v>
      </c>
      <c r="I241" s="13">
        <f t="shared" si="36"/>
        <v>1.8615247999999998</v>
      </c>
      <c r="J241" s="13">
        <f t="shared" si="37"/>
        <v>2.1196524000000001</v>
      </c>
      <c r="K241" s="13">
        <f t="shared" si="38"/>
        <v>2.2287935999999999</v>
      </c>
      <c r="L241" s="13">
        <f t="shared" si="39"/>
        <v>2.3715091999999998</v>
      </c>
      <c r="M241" s="13">
        <f t="shared" si="40"/>
        <v>2.4411345999999998</v>
      </c>
      <c r="N241" s="13">
        <f t="shared" si="41"/>
        <v>2.4931676</v>
      </c>
      <c r="O241" s="13">
        <f t="shared" si="42"/>
        <v>2.5202637999999999</v>
      </c>
      <c r="P241" s="13">
        <f t="shared" si="43"/>
        <v>2.5052333999999998</v>
      </c>
      <c r="Q241" s="13">
        <f t="shared" si="44"/>
        <v>2.4763438</v>
      </c>
      <c r="R241" s="13" t="s">
        <v>239</v>
      </c>
      <c r="T241" s="63">
        <v>4.3373800000000001E-5</v>
      </c>
      <c r="U241" s="62">
        <v>0.168713</v>
      </c>
      <c r="V241" s="62">
        <v>0.152584</v>
      </c>
      <c r="W241" s="62">
        <v>0.17374200000000001</v>
      </c>
      <c r="X241" s="62">
        <v>0.18268799999999999</v>
      </c>
      <c r="Y241" s="62">
        <v>0.194386</v>
      </c>
      <c r="Z241" s="62">
        <v>0.20009299999999999</v>
      </c>
      <c r="AA241" s="62">
        <v>0.20435800000000001</v>
      </c>
      <c r="AB241" s="62">
        <v>0.20657900000000001</v>
      </c>
      <c r="AC241" s="62">
        <v>0.205347</v>
      </c>
      <c r="AD241" s="62">
        <v>0.20297899999999999</v>
      </c>
      <c r="AE241" t="s">
        <v>131</v>
      </c>
    </row>
    <row r="242" spans="1:31">
      <c r="A242" t="s">
        <v>267</v>
      </c>
      <c r="B242" t="s">
        <v>1</v>
      </c>
      <c r="C242" t="s">
        <v>229</v>
      </c>
      <c r="D242" s="13" t="str">
        <f>IFERROR(VLOOKUP(C242,ghg_sort!$A$86:$B$512,2,0),0)</f>
        <v>Industry</v>
      </c>
      <c r="E242" s="12" t="s">
        <v>96</v>
      </c>
      <c r="F242" s="13">
        <f>IFERROR(VLOOKUP($E242,ghg_sort!$A$3:$B$21,2,0),0)</f>
        <v>7.39</v>
      </c>
      <c r="G242" s="13">
        <f t="shared" si="34"/>
        <v>2.3836223300000001E-4</v>
      </c>
      <c r="H242" s="13">
        <f t="shared" si="35"/>
        <v>0.77113171999999996</v>
      </c>
      <c r="I242" s="13">
        <f t="shared" si="36"/>
        <v>0.67538244599999997</v>
      </c>
      <c r="J242" s="13">
        <f t="shared" si="37"/>
        <v>0.76903295999999999</v>
      </c>
      <c r="K242" s="13">
        <f t="shared" si="38"/>
        <v>0.80863596999999998</v>
      </c>
      <c r="L242" s="13">
        <f t="shared" si="39"/>
        <v>0.86041031000000001</v>
      </c>
      <c r="M242" s="13">
        <f t="shared" si="40"/>
        <v>0.88566932999999992</v>
      </c>
      <c r="N242" s="13">
        <f t="shared" si="41"/>
        <v>0.90455077999999989</v>
      </c>
      <c r="O242" s="13">
        <f t="shared" si="42"/>
        <v>0.91437947999999991</v>
      </c>
      <c r="P242" s="13">
        <f t="shared" si="43"/>
        <v>0.90892565999999997</v>
      </c>
      <c r="Q242" s="13">
        <f t="shared" si="44"/>
        <v>0.89844663999999996</v>
      </c>
      <c r="R242" s="13" t="s">
        <v>239</v>
      </c>
      <c r="T242" s="63">
        <v>3.2254700000000001E-5</v>
      </c>
      <c r="U242" s="62">
        <v>0.104348</v>
      </c>
      <c r="V242" s="62">
        <v>9.1391399999999998E-2</v>
      </c>
      <c r="W242" s="62">
        <v>0.104064</v>
      </c>
      <c r="X242" s="62">
        <v>0.10942300000000001</v>
      </c>
      <c r="Y242" s="62">
        <v>0.116429</v>
      </c>
      <c r="Z242" s="62">
        <v>0.119847</v>
      </c>
      <c r="AA242" s="62">
        <v>0.122402</v>
      </c>
      <c r="AB242" s="62">
        <v>0.12373199999999999</v>
      </c>
      <c r="AC242" s="62">
        <v>0.12299400000000001</v>
      </c>
      <c r="AD242" s="62">
        <v>0.121576</v>
      </c>
      <c r="AE242" t="s">
        <v>94</v>
      </c>
    </row>
    <row r="243" spans="1:31">
      <c r="A243" t="s">
        <v>267</v>
      </c>
      <c r="B243" t="s">
        <v>1</v>
      </c>
      <c r="C243" t="s">
        <v>229</v>
      </c>
      <c r="D243" s="13" t="str">
        <f>IFERROR(VLOOKUP(C243,ghg_sort!$A$86:$B$512,2,0),0)</f>
        <v>Industry</v>
      </c>
      <c r="E243" t="s">
        <v>84</v>
      </c>
      <c r="F243" s="13">
        <f>IFERROR(VLOOKUP($E243,ghg_sort!$A$3:$B$21,2,0),0)</f>
        <v>25</v>
      </c>
      <c r="G243" s="13">
        <f t="shared" si="34"/>
        <v>0.04</v>
      </c>
      <c r="H243" s="13">
        <f t="shared" si="35"/>
        <v>0.11050000000000001</v>
      </c>
      <c r="I243" s="13">
        <f t="shared" si="36"/>
        <v>0.13849999999999998</v>
      </c>
      <c r="J243" s="13">
        <f t="shared" si="37"/>
        <v>0.15275</v>
      </c>
      <c r="K243" s="13">
        <f t="shared" si="38"/>
        <v>0.13121525000000001</v>
      </c>
      <c r="L243" s="13">
        <f t="shared" si="39"/>
        <v>0.1072635</v>
      </c>
      <c r="M243" s="13">
        <f t="shared" si="40"/>
        <v>7.6663999999999996E-2</v>
      </c>
      <c r="N243" s="13">
        <f t="shared" si="41"/>
        <v>4.3186249999999995E-2</v>
      </c>
      <c r="O243" s="13">
        <f t="shared" si="42"/>
        <v>7.4921249999999997E-3</v>
      </c>
      <c r="P243" s="13">
        <f t="shared" si="43"/>
        <v>7.0839499999999994E-3</v>
      </c>
      <c r="Q243" s="13">
        <f t="shared" si="44"/>
        <v>6.6422500000000006E-3</v>
      </c>
      <c r="R243" s="13" t="s">
        <v>239</v>
      </c>
      <c r="T243" s="63">
        <v>1.6000000000000001E-3</v>
      </c>
      <c r="U243" s="62">
        <v>4.4200000000000003E-3</v>
      </c>
      <c r="V243" s="62">
        <v>5.5399999999999998E-3</v>
      </c>
      <c r="W243" s="62">
        <v>6.11E-3</v>
      </c>
      <c r="X243" s="62">
        <v>5.2486099999999999E-3</v>
      </c>
      <c r="Y243" s="62">
        <v>4.2905399999999998E-3</v>
      </c>
      <c r="Z243" s="62">
        <v>3.0665599999999999E-3</v>
      </c>
      <c r="AA243" s="62">
        <v>1.7274499999999999E-3</v>
      </c>
      <c r="AB243" s="63">
        <v>2.99685E-4</v>
      </c>
      <c r="AC243" s="63">
        <v>2.8335799999999999E-4</v>
      </c>
      <c r="AD243" s="63">
        <v>2.6569000000000001E-4</v>
      </c>
      <c r="AE243" t="s">
        <v>131</v>
      </c>
    </row>
    <row r="244" spans="1:31">
      <c r="A244" t="s">
        <v>267</v>
      </c>
      <c r="B244" t="s">
        <v>1</v>
      </c>
      <c r="C244" t="s">
        <v>229</v>
      </c>
      <c r="D244" s="13" t="str">
        <f>IFERROR(VLOOKUP(C244,ghg_sort!$A$86:$B$512,2,0),0)</f>
        <v>Industry</v>
      </c>
      <c r="E244" t="s">
        <v>85</v>
      </c>
      <c r="F244" s="13">
        <f>IFERROR(VLOOKUP($E244,ghg_sort!$A$3:$B$21,2,0),0)</f>
        <v>0</v>
      </c>
      <c r="G244" s="13">
        <f t="shared" si="34"/>
        <v>0</v>
      </c>
      <c r="H244" s="13">
        <f t="shared" si="35"/>
        <v>0</v>
      </c>
      <c r="I244" s="13">
        <f t="shared" si="36"/>
        <v>0</v>
      </c>
      <c r="J244" s="13">
        <f t="shared" si="37"/>
        <v>0</v>
      </c>
      <c r="K244" s="13">
        <f t="shared" si="38"/>
        <v>0</v>
      </c>
      <c r="L244" s="13">
        <f t="shared" si="39"/>
        <v>0</v>
      </c>
      <c r="M244" s="13">
        <f t="shared" si="40"/>
        <v>0</v>
      </c>
      <c r="N244" s="13">
        <f t="shared" si="41"/>
        <v>0</v>
      </c>
      <c r="O244" s="13">
        <f t="shared" si="42"/>
        <v>0</v>
      </c>
      <c r="P244" s="13">
        <f t="shared" si="43"/>
        <v>0</v>
      </c>
      <c r="Q244" s="13">
        <f t="shared" si="44"/>
        <v>0</v>
      </c>
      <c r="R244" s="13" t="s">
        <v>239</v>
      </c>
      <c r="T244" s="63">
        <v>1.489E-2</v>
      </c>
      <c r="U244" s="62">
        <v>1.7590000000000001E-2</v>
      </c>
      <c r="V244" s="62">
        <v>1.644E-2</v>
      </c>
      <c r="W244" s="62">
        <v>1.7639999999999999E-2</v>
      </c>
      <c r="X244" s="62">
        <v>1.28833E-2</v>
      </c>
      <c r="Y244" s="62">
        <v>8.4247000000000002E-3</v>
      </c>
      <c r="Z244" s="62">
        <v>7.0522299999999996E-3</v>
      </c>
      <c r="AA244" s="62">
        <v>6.1591800000000002E-3</v>
      </c>
      <c r="AB244" s="62">
        <v>5.4683900000000001E-3</v>
      </c>
      <c r="AC244" s="62">
        <v>5.07494E-3</v>
      </c>
      <c r="AD244" s="62">
        <v>4.5964600000000001E-3</v>
      </c>
      <c r="AE244" t="s">
        <v>131</v>
      </c>
    </row>
    <row r="245" spans="1:31">
      <c r="A245" t="s">
        <v>267</v>
      </c>
      <c r="B245" t="s">
        <v>1</v>
      </c>
      <c r="C245" t="s">
        <v>229</v>
      </c>
      <c r="D245" s="13" t="str">
        <f>IFERROR(VLOOKUP(C245,ghg_sort!$A$86:$B$512,2,0),0)</f>
        <v>Industry</v>
      </c>
      <c r="E245" t="s">
        <v>99</v>
      </c>
      <c r="F245" s="13">
        <f>IFERROR(VLOOKUP($E245,ghg_sort!$A$3:$B$21,2,0),0)</f>
        <v>14.8</v>
      </c>
      <c r="G245" s="13">
        <f t="shared" si="34"/>
        <v>4.8690816000000005E-2</v>
      </c>
      <c r="H245" s="13">
        <f t="shared" si="35"/>
        <v>6.640863748000001</v>
      </c>
      <c r="I245" s="13">
        <f t="shared" si="36"/>
        <v>4.17117132</v>
      </c>
      <c r="J245" s="13">
        <f t="shared" si="37"/>
        <v>3.5912644000000005</v>
      </c>
      <c r="K245" s="13">
        <f t="shared" si="38"/>
        <v>3.8079467600000005</v>
      </c>
      <c r="L245" s="13">
        <f t="shared" si="39"/>
        <v>4.0862163599999999</v>
      </c>
      <c r="M245" s="13">
        <f t="shared" si="40"/>
        <v>4.2422572000000001</v>
      </c>
      <c r="N245" s="13">
        <f t="shared" si="41"/>
        <v>4.3702328000000001</v>
      </c>
      <c r="O245" s="13">
        <f t="shared" si="42"/>
        <v>4.456391</v>
      </c>
      <c r="P245" s="13">
        <f t="shared" si="43"/>
        <v>4.4297983600000004</v>
      </c>
      <c r="Q245" s="13">
        <f t="shared" si="44"/>
        <v>4.3787280000000006</v>
      </c>
      <c r="R245" s="13" t="s">
        <v>239</v>
      </c>
      <c r="T245" s="62">
        <v>3.28992E-3</v>
      </c>
      <c r="U245" s="62">
        <v>0.44870701000000002</v>
      </c>
      <c r="V245" s="62">
        <v>0.28183589999999997</v>
      </c>
      <c r="W245" s="62">
        <v>0.24265300000000001</v>
      </c>
      <c r="X245" s="62">
        <v>0.25729370000000001</v>
      </c>
      <c r="Y245" s="62">
        <v>0.2760957</v>
      </c>
      <c r="Z245" s="62">
        <v>0.28663899999999998</v>
      </c>
      <c r="AA245" s="62">
        <v>0.29528599999999999</v>
      </c>
      <c r="AB245" s="63">
        <v>0.30110749999999997</v>
      </c>
      <c r="AC245" s="63">
        <v>0.29931069999999999</v>
      </c>
      <c r="AD245" s="63">
        <v>0.29586000000000001</v>
      </c>
      <c r="AE245" t="s">
        <v>93</v>
      </c>
    </row>
    <row r="246" spans="1:31">
      <c r="A246" t="s">
        <v>267</v>
      </c>
      <c r="B246" t="s">
        <v>1</v>
      </c>
      <c r="C246" t="s">
        <v>229</v>
      </c>
      <c r="D246" s="13" t="str">
        <f>IFERROR(VLOOKUP(C246,ghg_sort!$A$86:$B$512,2,0),0)</f>
        <v>Industry</v>
      </c>
      <c r="E246" t="s">
        <v>230</v>
      </c>
      <c r="F246" s="13">
        <f>IFERROR(VLOOKUP($E246,ghg_sort!$A$3:$B$21,2,0),0)</f>
        <v>0</v>
      </c>
      <c r="G246" s="13">
        <f t="shared" si="34"/>
        <v>0</v>
      </c>
      <c r="H246" s="13">
        <f t="shared" si="35"/>
        <v>0</v>
      </c>
      <c r="I246" s="13">
        <f t="shared" si="36"/>
        <v>0</v>
      </c>
      <c r="J246" s="13">
        <f t="shared" si="37"/>
        <v>0</v>
      </c>
      <c r="K246" s="13">
        <f t="shared" si="38"/>
        <v>0</v>
      </c>
      <c r="L246" s="13">
        <f t="shared" si="39"/>
        <v>0</v>
      </c>
      <c r="M246" s="13">
        <f t="shared" si="40"/>
        <v>0</v>
      </c>
      <c r="N246" s="13">
        <f t="shared" si="41"/>
        <v>0</v>
      </c>
      <c r="O246" s="13">
        <f t="shared" si="42"/>
        <v>0</v>
      </c>
      <c r="P246" s="13">
        <f t="shared" si="43"/>
        <v>0</v>
      </c>
      <c r="Q246" s="13">
        <f t="shared" si="44"/>
        <v>0</v>
      </c>
      <c r="R246" s="13" t="s">
        <v>239</v>
      </c>
      <c r="T246" s="62">
        <v>0</v>
      </c>
      <c r="U246" s="62">
        <v>0.108863</v>
      </c>
      <c r="V246" s="62">
        <v>0.14657600000000001</v>
      </c>
      <c r="W246" s="62">
        <v>0.16803399999999999</v>
      </c>
      <c r="X246" s="62">
        <v>0.17796999999999999</v>
      </c>
      <c r="Y246" s="62">
        <v>0.18842700000000001</v>
      </c>
      <c r="Z246" s="62">
        <v>0.19297300000000001</v>
      </c>
      <c r="AA246" s="62">
        <v>0.19595299999999999</v>
      </c>
      <c r="AB246" s="62">
        <v>0.199572</v>
      </c>
      <c r="AC246" s="62">
        <v>0.198382</v>
      </c>
      <c r="AD246" s="62">
        <v>0.19609399999999999</v>
      </c>
      <c r="AE246" t="s">
        <v>93</v>
      </c>
    </row>
    <row r="247" spans="1:31">
      <c r="A247" t="s">
        <v>267</v>
      </c>
      <c r="B247" t="s">
        <v>1</v>
      </c>
      <c r="C247" t="s">
        <v>229</v>
      </c>
      <c r="D247" s="13" t="str">
        <f>IFERROR(VLOOKUP(C247,ghg_sort!$A$86:$B$512,2,0),0)</f>
        <v>Industry</v>
      </c>
      <c r="E247" t="s">
        <v>87</v>
      </c>
      <c r="F247" s="13">
        <f>IFERROR(VLOOKUP($E247,ghg_sort!$A$3:$B$21,2,0),0)</f>
        <v>298</v>
      </c>
      <c r="G247" s="13">
        <f t="shared" si="34"/>
        <v>1.06982</v>
      </c>
      <c r="H247" s="13">
        <f t="shared" si="35"/>
        <v>10.313780000000001</v>
      </c>
      <c r="I247" s="13">
        <f t="shared" si="36"/>
        <v>0.19966</v>
      </c>
      <c r="J247" s="13">
        <f t="shared" si="37"/>
        <v>0.35462000000000005</v>
      </c>
      <c r="K247" s="13">
        <f t="shared" si="38"/>
        <v>0.37295540360000001</v>
      </c>
      <c r="L247" s="13">
        <f t="shared" si="39"/>
        <v>0.3962061086</v>
      </c>
      <c r="M247" s="13">
        <f t="shared" si="40"/>
        <v>0.407587861</v>
      </c>
      <c r="N247" s="13">
        <f t="shared" si="41"/>
        <v>0.41598779559999999</v>
      </c>
      <c r="O247" s="13">
        <f t="shared" si="42"/>
        <v>0.42024007680000003</v>
      </c>
      <c r="P247" s="13">
        <f t="shared" si="43"/>
        <v>0.4175727682</v>
      </c>
      <c r="Q247" s="13">
        <f t="shared" si="44"/>
        <v>0.41257727499999997</v>
      </c>
      <c r="R247" s="13" t="s">
        <v>239</v>
      </c>
      <c r="T247" s="62">
        <v>3.5899999999999999E-3</v>
      </c>
      <c r="U247" s="62">
        <v>3.4610000000000002E-2</v>
      </c>
      <c r="V247" s="63">
        <v>6.7000000000000002E-4</v>
      </c>
      <c r="W247" s="62">
        <v>1.1900000000000001E-3</v>
      </c>
      <c r="X247" s="62">
        <v>1.2515282000000001E-3</v>
      </c>
      <c r="Y247" s="62">
        <v>1.3295506999999999E-3</v>
      </c>
      <c r="Z247" s="62">
        <v>1.3677444999999999E-3</v>
      </c>
      <c r="AA247" s="62">
        <v>1.3959322E-3</v>
      </c>
      <c r="AB247" s="62">
        <v>1.4102016E-3</v>
      </c>
      <c r="AC247" s="62">
        <v>1.4012509E-3</v>
      </c>
      <c r="AD247" s="62">
        <v>1.3844875E-3</v>
      </c>
      <c r="AE247" t="s">
        <v>131</v>
      </c>
    </row>
    <row r="248" spans="1:31">
      <c r="A248" t="s">
        <v>267</v>
      </c>
      <c r="B248" t="s">
        <v>1</v>
      </c>
      <c r="C248" t="s">
        <v>229</v>
      </c>
      <c r="D248" s="13" t="str">
        <f>IFERROR(VLOOKUP(C248,ghg_sort!$A$86:$B$512,2,0),0)</f>
        <v>Industry</v>
      </c>
      <c r="E248" t="s">
        <v>88</v>
      </c>
      <c r="F248" s="13">
        <f>IFERROR(VLOOKUP($E248,ghg_sort!$A$3:$B$21,2,0),0)</f>
        <v>0</v>
      </c>
      <c r="G248" s="13">
        <f t="shared" si="34"/>
        <v>0</v>
      </c>
      <c r="H248" s="13">
        <f t="shared" si="35"/>
        <v>0</v>
      </c>
      <c r="I248" s="13">
        <f t="shared" si="36"/>
        <v>0</v>
      </c>
      <c r="J248" s="13">
        <f t="shared" si="37"/>
        <v>0</v>
      </c>
      <c r="K248" s="13">
        <f t="shared" si="38"/>
        <v>0</v>
      </c>
      <c r="L248" s="13">
        <f t="shared" si="39"/>
        <v>0</v>
      </c>
      <c r="M248" s="13">
        <f t="shared" si="40"/>
        <v>0</v>
      </c>
      <c r="N248" s="13">
        <f t="shared" si="41"/>
        <v>0</v>
      </c>
      <c r="O248" s="13">
        <f t="shared" si="42"/>
        <v>0</v>
      </c>
      <c r="P248" s="13">
        <f t="shared" si="43"/>
        <v>0</v>
      </c>
      <c r="Q248" s="13">
        <f t="shared" si="44"/>
        <v>0</v>
      </c>
      <c r="R248" s="13" t="s">
        <v>239</v>
      </c>
      <c r="T248" s="62">
        <v>1.9809999999999901E-2</v>
      </c>
      <c r="U248" s="62">
        <v>4.3099999999999996E-3</v>
      </c>
      <c r="V248" s="62">
        <v>2.6099999999999999E-3</v>
      </c>
      <c r="W248" s="62">
        <v>2.6099999999999999E-3</v>
      </c>
      <c r="X248" s="62">
        <v>2.76932E-3</v>
      </c>
      <c r="Y248" s="62">
        <v>2.9736599999999999E-3</v>
      </c>
      <c r="Z248" s="62">
        <v>3.0892599999999999E-3</v>
      </c>
      <c r="AA248" s="62">
        <v>3.1845799999999998E-3</v>
      </c>
      <c r="AB248" s="62">
        <v>3.2495200000000001E-3</v>
      </c>
      <c r="AC248" s="62">
        <v>3.2301399999999998E-3</v>
      </c>
      <c r="AD248" s="62">
        <v>3.1928899999999999E-3</v>
      </c>
      <c r="AE248" t="s">
        <v>131</v>
      </c>
    </row>
    <row r="249" spans="1:31">
      <c r="A249" t="s">
        <v>267</v>
      </c>
      <c r="B249" t="s">
        <v>1</v>
      </c>
      <c r="C249" t="s">
        <v>229</v>
      </c>
      <c r="D249" s="13" t="str">
        <f>IFERROR(VLOOKUP(C249,ghg_sort!$A$86:$B$512,2,0),0)</f>
        <v>Industry</v>
      </c>
      <c r="E249" t="s">
        <v>89</v>
      </c>
      <c r="F249" s="13">
        <f>IFERROR(VLOOKUP($E249,ghg_sort!$A$3:$B$21,2,0),0)</f>
        <v>0</v>
      </c>
      <c r="G249" s="13">
        <f t="shared" si="34"/>
        <v>0</v>
      </c>
      <c r="H249" s="13">
        <f t="shared" si="35"/>
        <v>0</v>
      </c>
      <c r="I249" s="13">
        <f t="shared" si="36"/>
        <v>0</v>
      </c>
      <c r="J249" s="13">
        <f t="shared" si="37"/>
        <v>0</v>
      </c>
      <c r="K249" s="13">
        <f t="shared" si="38"/>
        <v>0</v>
      </c>
      <c r="L249" s="13">
        <f t="shared" si="39"/>
        <v>0</v>
      </c>
      <c r="M249" s="13">
        <f t="shared" si="40"/>
        <v>0</v>
      </c>
      <c r="N249" s="13">
        <f t="shared" si="41"/>
        <v>0</v>
      </c>
      <c r="O249" s="13">
        <f t="shared" si="42"/>
        <v>0</v>
      </c>
      <c r="P249" s="13">
        <f t="shared" si="43"/>
        <v>0</v>
      </c>
      <c r="Q249" s="13">
        <f t="shared" si="44"/>
        <v>0</v>
      </c>
      <c r="R249" s="13" t="s">
        <v>239</v>
      </c>
      <c r="T249" s="62">
        <v>0.38029999999999903</v>
      </c>
      <c r="U249" s="62">
        <v>0.46633999999999998</v>
      </c>
      <c r="V249" s="63">
        <v>0.43974999999999997</v>
      </c>
      <c r="W249" s="62">
        <v>0.45417999999999997</v>
      </c>
      <c r="X249" s="62">
        <v>0.33170739999999999</v>
      </c>
      <c r="Y249" s="62">
        <v>0.21691260000000001</v>
      </c>
      <c r="Z249" s="62">
        <v>0.2150318</v>
      </c>
      <c r="AA249" s="62">
        <v>0.221666</v>
      </c>
      <c r="AB249" s="62">
        <v>0.2261861</v>
      </c>
      <c r="AC249" s="62">
        <v>0.22483719999999999</v>
      </c>
      <c r="AD249" s="62">
        <v>0.22224469999999999</v>
      </c>
      <c r="AE249" t="s">
        <v>93</v>
      </c>
    </row>
    <row r="250" spans="1:31">
      <c r="A250" t="s">
        <v>267</v>
      </c>
      <c r="B250" t="s">
        <v>1</v>
      </c>
      <c r="C250" t="s">
        <v>229</v>
      </c>
      <c r="D250" s="13" t="str">
        <f>IFERROR(VLOOKUP(C250,ghg_sort!$A$86:$B$512,2,0),0)</f>
        <v>Industry</v>
      </c>
      <c r="E250" t="s">
        <v>90</v>
      </c>
      <c r="F250" s="13">
        <f>IFERROR(VLOOKUP($E250,ghg_sort!$A$3:$B$21,2,0),0)</f>
        <v>0</v>
      </c>
      <c r="G250" s="13">
        <f t="shared" si="34"/>
        <v>0</v>
      </c>
      <c r="H250" s="13">
        <f t="shared" si="35"/>
        <v>0</v>
      </c>
      <c r="I250" s="13">
        <f t="shared" si="36"/>
        <v>0</v>
      </c>
      <c r="J250" s="13">
        <f t="shared" si="37"/>
        <v>0</v>
      </c>
      <c r="K250" s="13">
        <f t="shared" si="38"/>
        <v>0</v>
      </c>
      <c r="L250" s="13">
        <f t="shared" si="39"/>
        <v>0</v>
      </c>
      <c r="M250" s="13">
        <f t="shared" si="40"/>
        <v>0</v>
      </c>
      <c r="N250" s="13">
        <f t="shared" si="41"/>
        <v>0</v>
      </c>
      <c r="O250" s="13">
        <f t="shared" si="42"/>
        <v>0</v>
      </c>
      <c r="P250" s="13">
        <f t="shared" si="43"/>
        <v>0</v>
      </c>
      <c r="Q250" s="13">
        <f t="shared" si="44"/>
        <v>0</v>
      </c>
      <c r="R250" s="13" t="s">
        <v>239</v>
      </c>
      <c r="T250" s="62">
        <v>2.0539999999999999E-2</v>
      </c>
      <c r="U250" s="62">
        <v>3.422E-2</v>
      </c>
      <c r="V250" s="62">
        <v>3.0329999999999999E-2</v>
      </c>
      <c r="W250" s="62">
        <v>3.5790000000000002E-2</v>
      </c>
      <c r="X250" s="62">
        <v>2.6138999999999999E-2</v>
      </c>
      <c r="Y250" s="62">
        <v>1.7093000000000001E-2</v>
      </c>
      <c r="Z250" s="62">
        <v>1.4308299999999999E-2</v>
      </c>
      <c r="AA250" s="62">
        <v>1.24964E-2</v>
      </c>
      <c r="AB250" s="62">
        <v>1.10949E-2</v>
      </c>
      <c r="AC250" s="62">
        <v>1.02966E-2</v>
      </c>
      <c r="AD250" s="62">
        <v>9.3258100000000003E-3</v>
      </c>
      <c r="AE250" t="s">
        <v>93</v>
      </c>
    </row>
    <row r="251" spans="1:31">
      <c r="A251" t="s">
        <v>267</v>
      </c>
      <c r="B251" t="s">
        <v>1</v>
      </c>
      <c r="C251" t="s">
        <v>229</v>
      </c>
      <c r="D251" s="13" t="str">
        <f>IFERROR(VLOOKUP(C251,ghg_sort!$A$86:$B$512,2,0),0)</f>
        <v>Industry</v>
      </c>
      <c r="E251" t="s">
        <v>103</v>
      </c>
      <c r="F251" s="13">
        <f>IFERROR(VLOOKUP($E251,ghg_sort!$A$3:$B$21,2,0),0)</f>
        <v>22.8</v>
      </c>
      <c r="G251" s="13">
        <f t="shared" si="34"/>
        <v>0.23554452000000001</v>
      </c>
      <c r="H251" s="13">
        <f t="shared" si="35"/>
        <v>1.3803006000000002</v>
      </c>
      <c r="I251" s="13">
        <f t="shared" si="36"/>
        <v>4.6277616000000004</v>
      </c>
      <c r="J251" s="13">
        <f t="shared" si="37"/>
        <v>7.2836195999999997</v>
      </c>
      <c r="K251" s="13">
        <f t="shared" si="38"/>
        <v>7.6596638759999998</v>
      </c>
      <c r="L251" s="13">
        <f t="shared" si="39"/>
        <v>8.1511894680000001</v>
      </c>
      <c r="M251" s="13">
        <f t="shared" si="40"/>
        <v>8.3915856000000009</v>
      </c>
      <c r="N251" s="13">
        <f t="shared" si="41"/>
        <v>8.5716328679999787</v>
      </c>
      <c r="O251" s="13">
        <f t="shared" si="42"/>
        <v>8.6659557839999994</v>
      </c>
      <c r="P251" s="13">
        <f t="shared" si="43"/>
        <v>8.6142713759999996</v>
      </c>
      <c r="Q251" s="13">
        <f t="shared" si="44"/>
        <v>8.5149256199999996</v>
      </c>
      <c r="R251" s="13" t="s">
        <v>239</v>
      </c>
      <c r="T251" s="62">
        <v>1.03309E-2</v>
      </c>
      <c r="U251" s="62">
        <v>6.0539500000000003E-2</v>
      </c>
      <c r="V251" s="62">
        <v>0.20297200000000001</v>
      </c>
      <c r="W251" s="62">
        <v>0.31945699999999999</v>
      </c>
      <c r="X251" s="62">
        <v>0.33595016999999999</v>
      </c>
      <c r="Y251" s="62">
        <v>0.35750831</v>
      </c>
      <c r="Z251" s="62">
        <v>0.36805199999999999</v>
      </c>
      <c r="AA251" s="62">
        <v>0.37594880999999902</v>
      </c>
      <c r="AB251" s="62">
        <v>0.38008577999999998</v>
      </c>
      <c r="AC251" s="62">
        <v>0.37781892</v>
      </c>
      <c r="AD251" s="62">
        <v>0.37346164999999998</v>
      </c>
      <c r="AE251" t="s">
        <v>93</v>
      </c>
    </row>
    <row r="252" spans="1:31">
      <c r="A252" t="s">
        <v>267</v>
      </c>
      <c r="B252" t="s">
        <v>1</v>
      </c>
      <c r="C252" t="s">
        <v>229</v>
      </c>
      <c r="D252" s="13" t="str">
        <f>IFERROR(VLOOKUP(C252,ghg_sort!$A$86:$B$512,2,0),0)</f>
        <v>Industry</v>
      </c>
      <c r="E252" t="s">
        <v>92</v>
      </c>
      <c r="F252" s="13">
        <f>IFERROR(VLOOKUP($E252,ghg_sort!$A$3:$B$21,2,0),0)</f>
        <v>0</v>
      </c>
      <c r="G252" s="13">
        <f t="shared" si="34"/>
        <v>0</v>
      </c>
      <c r="H252" s="13">
        <f t="shared" si="35"/>
        <v>0</v>
      </c>
      <c r="I252" s="13">
        <f t="shared" si="36"/>
        <v>0</v>
      </c>
      <c r="J252" s="13">
        <f t="shared" si="37"/>
        <v>0</v>
      </c>
      <c r="K252" s="13">
        <f t="shared" si="38"/>
        <v>0</v>
      </c>
      <c r="L252" s="13">
        <f t="shared" si="39"/>
        <v>0</v>
      </c>
      <c r="M252" s="13">
        <f t="shared" si="40"/>
        <v>0</v>
      </c>
      <c r="N252" s="13">
        <f t="shared" si="41"/>
        <v>0</v>
      </c>
      <c r="O252" s="13">
        <f t="shared" si="42"/>
        <v>0</v>
      </c>
      <c r="P252" s="13">
        <f t="shared" si="43"/>
        <v>0</v>
      </c>
      <c r="Q252" s="13">
        <f t="shared" si="44"/>
        <v>0</v>
      </c>
      <c r="R252" s="13" t="s">
        <v>239</v>
      </c>
      <c r="T252" s="62">
        <v>1.9611199999999999E-2</v>
      </c>
      <c r="U252" s="62">
        <v>3.83328E-2</v>
      </c>
      <c r="V252" s="62">
        <v>3.5276500000000002E-2</v>
      </c>
      <c r="W252" s="62">
        <v>4.2395299999999997E-2</v>
      </c>
      <c r="X252" s="62">
        <v>3.09632E-2</v>
      </c>
      <c r="Y252" s="62">
        <v>2.0247600000000001E-2</v>
      </c>
      <c r="Z252" s="62">
        <v>1.6949100000000002E-2</v>
      </c>
      <c r="AA252" s="62">
        <v>1.48027E-2</v>
      </c>
      <c r="AB252" s="62">
        <v>1.31425E-2</v>
      </c>
      <c r="AC252" s="62">
        <v>1.21969E-2</v>
      </c>
      <c r="AD252" s="62">
        <v>1.1047E-2</v>
      </c>
      <c r="AE252" t="s">
        <v>93</v>
      </c>
    </row>
    <row r="253" spans="1:31">
      <c r="A253" t="s">
        <v>267</v>
      </c>
      <c r="B253" t="s">
        <v>1</v>
      </c>
      <c r="C253" t="s">
        <v>32</v>
      </c>
      <c r="D253" s="13" t="str">
        <f>IFERROR(VLOOKUP(C253,ghg_sort!$A$86:$B$512,2,0),0)</f>
        <v>Industry</v>
      </c>
      <c r="E253" t="s">
        <v>83</v>
      </c>
      <c r="F253" s="13">
        <f>IFERROR(VLOOKUP($E253,ghg_sort!$A$3:$B$21,2,0),0)</f>
        <v>0</v>
      </c>
      <c r="G253" s="13">
        <f t="shared" si="34"/>
        <v>0</v>
      </c>
      <c r="H253" s="13">
        <f t="shared" si="35"/>
        <v>0</v>
      </c>
      <c r="I253" s="13">
        <f t="shared" si="36"/>
        <v>0</v>
      </c>
      <c r="J253" s="13">
        <f t="shared" si="37"/>
        <v>0</v>
      </c>
      <c r="K253" s="13">
        <f t="shared" si="38"/>
        <v>0</v>
      </c>
      <c r="L253" s="13">
        <f t="shared" si="39"/>
        <v>0</v>
      </c>
      <c r="M253" s="13">
        <f t="shared" si="40"/>
        <v>0</v>
      </c>
      <c r="N253" s="13">
        <f t="shared" si="41"/>
        <v>0</v>
      </c>
      <c r="O253" s="13">
        <f t="shared" si="42"/>
        <v>0</v>
      </c>
      <c r="P253" s="13">
        <f t="shared" si="43"/>
        <v>0</v>
      </c>
      <c r="Q253" s="13">
        <f t="shared" si="44"/>
        <v>0</v>
      </c>
      <c r="R253" s="13" t="s">
        <v>239</v>
      </c>
      <c r="T253" s="63">
        <v>1.026889E-4</v>
      </c>
      <c r="U253" s="63">
        <v>2.2381939999999999E-4</v>
      </c>
      <c r="V253" s="63">
        <v>2.4547449999999998E-4</v>
      </c>
      <c r="W253" s="63">
        <v>3.8135544500000001E-4</v>
      </c>
      <c r="X253" s="63">
        <v>2.4926739169999997E-4</v>
      </c>
      <c r="Y253" s="63">
        <v>1.633155332E-4</v>
      </c>
      <c r="Z253" s="63">
        <v>1.2703795979999901E-4</v>
      </c>
      <c r="AA253" s="63">
        <v>1.0049365098E-4</v>
      </c>
      <c r="AB253" s="63">
        <v>8.1628976199999998E-5</v>
      </c>
      <c r="AC253" s="63">
        <v>6.6896585799999998E-5</v>
      </c>
      <c r="AD253" s="63">
        <v>4.8846011589999901E-5</v>
      </c>
      <c r="AE253" t="s">
        <v>131</v>
      </c>
    </row>
    <row r="254" spans="1:31">
      <c r="A254" t="s">
        <v>267</v>
      </c>
      <c r="B254" t="s">
        <v>1</v>
      </c>
      <c r="C254" t="s">
        <v>32</v>
      </c>
      <c r="D254" s="13" t="str">
        <f>IFERROR(VLOOKUP(C254,ghg_sort!$A$86:$B$512,2,0),0)</f>
        <v>Industry</v>
      </c>
      <c r="E254" t="s">
        <v>84</v>
      </c>
      <c r="F254" s="13">
        <f>IFERROR(VLOOKUP($E254,ghg_sort!$A$3:$B$21,2,0),0)</f>
        <v>25</v>
      </c>
      <c r="G254" s="13">
        <f t="shared" si="34"/>
        <v>6.2570174999999999E-3</v>
      </c>
      <c r="H254" s="13">
        <f t="shared" si="35"/>
        <v>4.4916042249999996E-2</v>
      </c>
      <c r="I254" s="13">
        <f t="shared" si="36"/>
        <v>4.2293567499999997E-2</v>
      </c>
      <c r="J254" s="13">
        <f t="shared" si="37"/>
        <v>4.3249949999999995E-2</v>
      </c>
      <c r="K254" s="13">
        <f t="shared" si="38"/>
        <v>4.1740892499999752E-2</v>
      </c>
      <c r="L254" s="13">
        <f t="shared" si="39"/>
        <v>5.0097364999999741E-2</v>
      </c>
      <c r="M254" s="13">
        <f t="shared" si="40"/>
        <v>5.718194025E-2</v>
      </c>
      <c r="N254" s="13">
        <f t="shared" si="41"/>
        <v>6.5301794999999996E-2</v>
      </c>
      <c r="O254" s="13">
        <f t="shared" si="42"/>
        <v>7.3263410000000001E-2</v>
      </c>
      <c r="P254" s="13">
        <f t="shared" si="43"/>
        <v>8.6726295000000009E-2</v>
      </c>
      <c r="Q254" s="13">
        <f t="shared" si="44"/>
        <v>0.10732402399999999</v>
      </c>
      <c r="R254" s="13" t="s">
        <v>239</v>
      </c>
      <c r="T254" s="63">
        <v>2.5028069999999999E-4</v>
      </c>
      <c r="U254" s="62">
        <v>1.7966416899999999E-3</v>
      </c>
      <c r="V254" s="62">
        <v>1.6917427E-3</v>
      </c>
      <c r="W254" s="62">
        <v>1.729998E-3</v>
      </c>
      <c r="X254" s="62">
        <v>1.6696356999999901E-3</v>
      </c>
      <c r="Y254" s="62">
        <v>2.0038945999999898E-3</v>
      </c>
      <c r="Z254" s="62">
        <v>2.2872776100000001E-3</v>
      </c>
      <c r="AA254" s="62">
        <v>2.6120717999999999E-3</v>
      </c>
      <c r="AB254" s="62">
        <v>2.9305364000000002E-3</v>
      </c>
      <c r="AC254" s="62">
        <v>3.4690518000000002E-3</v>
      </c>
      <c r="AD254" s="62">
        <v>4.2929609599999998E-3</v>
      </c>
      <c r="AE254" t="s">
        <v>93</v>
      </c>
    </row>
    <row r="255" spans="1:31">
      <c r="A255" t="s">
        <v>267</v>
      </c>
      <c r="B255" t="s">
        <v>1</v>
      </c>
      <c r="C255" t="s">
        <v>32</v>
      </c>
      <c r="D255" s="13" t="str">
        <f>IFERROR(VLOOKUP(C255,ghg_sort!$A$86:$B$512,2,0),0)</f>
        <v>Industry</v>
      </c>
      <c r="E255" t="s">
        <v>85</v>
      </c>
      <c r="F255" s="13">
        <f>IFERROR(VLOOKUP($E255,ghg_sort!$A$3:$B$21,2,0),0)</f>
        <v>0</v>
      </c>
      <c r="G255" s="13">
        <f t="shared" si="34"/>
        <v>0</v>
      </c>
      <c r="H255" s="13">
        <f t="shared" si="35"/>
        <v>0</v>
      </c>
      <c r="I255" s="13">
        <f t="shared" si="36"/>
        <v>0</v>
      </c>
      <c r="J255" s="13">
        <f t="shared" si="37"/>
        <v>0</v>
      </c>
      <c r="K255" s="13">
        <f t="shared" si="38"/>
        <v>0</v>
      </c>
      <c r="L255" s="13">
        <f t="shared" si="39"/>
        <v>0</v>
      </c>
      <c r="M255" s="13">
        <f t="shared" si="40"/>
        <v>0</v>
      </c>
      <c r="N255" s="13">
        <f t="shared" si="41"/>
        <v>0</v>
      </c>
      <c r="O255" s="13">
        <f t="shared" si="42"/>
        <v>0</v>
      </c>
      <c r="P255" s="13">
        <f t="shared" si="43"/>
        <v>0</v>
      </c>
      <c r="Q255" s="13">
        <f t="shared" si="44"/>
        <v>0</v>
      </c>
      <c r="R255" s="13" t="s">
        <v>239</v>
      </c>
      <c r="T255" s="63">
        <v>2.5059099999999999E-4</v>
      </c>
      <c r="U255" s="63">
        <v>1.5216140999999999E-3</v>
      </c>
      <c r="V255" s="63">
        <v>1.711787E-3</v>
      </c>
      <c r="W255" s="63">
        <v>2.8799966600000001E-3</v>
      </c>
      <c r="X255" s="63">
        <v>1.900361538E-3</v>
      </c>
      <c r="Y255" s="63">
        <v>1.32810973E-3</v>
      </c>
      <c r="Z255" s="63">
        <v>1.1454747359999999E-3</v>
      </c>
      <c r="AA255" s="63">
        <v>1.0344688981999901E-3</v>
      </c>
      <c r="AB255" s="63">
        <v>9.926251960000001E-4</v>
      </c>
      <c r="AC255" s="63">
        <v>1.0780606470000001E-3</v>
      </c>
      <c r="AD255" s="63">
        <v>1.225486552E-3</v>
      </c>
      <c r="AE255" t="s">
        <v>93</v>
      </c>
    </row>
    <row r="256" spans="1:31">
      <c r="A256" t="s">
        <v>267</v>
      </c>
      <c r="B256" t="s">
        <v>1</v>
      </c>
      <c r="C256" t="s">
        <v>32</v>
      </c>
      <c r="D256" s="13" t="str">
        <f>IFERROR(VLOOKUP(C256,ghg_sort!$A$86:$B$512,2,0),0)</f>
        <v>Industry</v>
      </c>
      <c r="E256" t="s">
        <v>86</v>
      </c>
      <c r="F256" s="13">
        <f>IFERROR(VLOOKUP($E256,ghg_sort!$A$3:$B$21,2,0),0)</f>
        <v>3.6666666666666701</v>
      </c>
      <c r="G256" s="13">
        <f t="shared" si="34"/>
        <v>27.038264000000026</v>
      </c>
      <c r="H256" s="13">
        <f t="shared" si="35"/>
        <v>3.7628537833333366</v>
      </c>
      <c r="I256" s="13">
        <f t="shared" si="36"/>
        <v>4.3355430066666703</v>
      </c>
      <c r="J256" s="13">
        <f t="shared" si="37"/>
        <v>89.077264466666747</v>
      </c>
      <c r="K256" s="13">
        <f t="shared" si="38"/>
        <v>84.615215739999712</v>
      </c>
      <c r="L256" s="13">
        <f t="shared" si="39"/>
        <v>91.411779323333406</v>
      </c>
      <c r="M256" s="13">
        <f t="shared" si="40"/>
        <v>88.965618368000079</v>
      </c>
      <c r="N256" s="13">
        <f t="shared" si="41"/>
        <v>84.056489894666385</v>
      </c>
      <c r="O256" s="13">
        <f t="shared" si="42"/>
        <v>79.477667466999705</v>
      </c>
      <c r="P256" s="13">
        <f t="shared" si="43"/>
        <v>71.596203814666367</v>
      </c>
      <c r="Q256" s="13">
        <f t="shared" si="44"/>
        <v>60.155554319666727</v>
      </c>
      <c r="R256" s="13" t="s">
        <v>239</v>
      </c>
      <c r="T256" s="63">
        <v>7.374072</v>
      </c>
      <c r="U256" s="62">
        <v>1.02623285</v>
      </c>
      <c r="V256" s="62">
        <v>1.1824208199999999</v>
      </c>
      <c r="W256" s="62">
        <v>24.293799400000001</v>
      </c>
      <c r="X256" s="62">
        <v>23.076877019999898</v>
      </c>
      <c r="Y256" s="62">
        <v>24.930485269999998</v>
      </c>
      <c r="Z256" s="62">
        <v>24.263350463999998</v>
      </c>
      <c r="AA256" s="62">
        <v>22.924497243999902</v>
      </c>
      <c r="AB256" s="62">
        <v>21.6757274909999</v>
      </c>
      <c r="AC256" s="62">
        <v>19.5262374039999</v>
      </c>
      <c r="AD256" s="62">
        <v>16.406060269000001</v>
      </c>
      <c r="AE256" t="s">
        <v>93</v>
      </c>
    </row>
    <row r="257" spans="1:31">
      <c r="A257" t="s">
        <v>267</v>
      </c>
      <c r="B257" t="s">
        <v>1</v>
      </c>
      <c r="C257" t="s">
        <v>32</v>
      </c>
      <c r="D257" s="13" t="str">
        <f>IFERROR(VLOOKUP(C257,ghg_sort!$A$86:$B$512,2,0),0)</f>
        <v>Industry</v>
      </c>
      <c r="E257" t="s">
        <v>87</v>
      </c>
      <c r="F257" s="13">
        <f>IFERROR(VLOOKUP($E257,ghg_sort!$A$3:$B$21,2,0),0)</f>
        <v>298</v>
      </c>
      <c r="G257" s="13">
        <f t="shared" si="34"/>
        <v>1.125713476E-3</v>
      </c>
      <c r="H257" s="13">
        <f t="shared" si="35"/>
        <v>1.189043839999997E-2</v>
      </c>
      <c r="I257" s="13">
        <f t="shared" si="36"/>
        <v>2.8272362600000003E-2</v>
      </c>
      <c r="J257" s="13">
        <f t="shared" si="37"/>
        <v>7.1520119199999996E-2</v>
      </c>
      <c r="K257" s="13">
        <f t="shared" si="38"/>
        <v>6.7992386259999704E-2</v>
      </c>
      <c r="L257" s="13">
        <f t="shared" si="39"/>
        <v>7.3868234039999994E-2</v>
      </c>
      <c r="M257" s="13">
        <f t="shared" si="40"/>
        <v>7.2587230379999992E-2</v>
      </c>
      <c r="N257" s="13">
        <f t="shared" si="41"/>
        <v>6.9510928998000002E-2</v>
      </c>
      <c r="O257" s="13">
        <f t="shared" si="42"/>
        <v>6.666816365999971E-2</v>
      </c>
      <c r="P257" s="13">
        <f t="shared" si="43"/>
        <v>6.1750785199999998E-2</v>
      </c>
      <c r="Q257" s="13">
        <f t="shared" si="44"/>
        <v>5.4695453419999998E-2</v>
      </c>
      <c r="R257" s="13" t="s">
        <v>239</v>
      </c>
      <c r="T257" s="63">
        <v>3.7775619999999998E-6</v>
      </c>
      <c r="U257" s="63">
        <v>3.9900799999999901E-5</v>
      </c>
      <c r="V257" s="63">
        <v>9.4873700000000006E-5</v>
      </c>
      <c r="W257" s="63">
        <v>2.4000040000000001E-4</v>
      </c>
      <c r="X257" s="63">
        <v>2.28162369999999E-4</v>
      </c>
      <c r="Y257" s="63">
        <v>2.4787997999999999E-4</v>
      </c>
      <c r="Z257" s="63">
        <v>2.4358130999999999E-4</v>
      </c>
      <c r="AA257" s="63">
        <v>2.3325815099999999E-4</v>
      </c>
      <c r="AB257" s="63">
        <v>2.2371866999999901E-4</v>
      </c>
      <c r="AC257" s="63">
        <v>2.0721739999999999E-4</v>
      </c>
      <c r="AD257" s="63">
        <v>1.8354179E-4</v>
      </c>
      <c r="AE257" t="s">
        <v>93</v>
      </c>
    </row>
    <row r="258" spans="1:31">
      <c r="A258" t="s">
        <v>267</v>
      </c>
      <c r="B258" t="s">
        <v>1</v>
      </c>
      <c r="C258" t="s">
        <v>32</v>
      </c>
      <c r="D258" s="13" t="str">
        <f>IFERROR(VLOOKUP(C258,ghg_sort!$A$86:$B$512,2,0),0)</f>
        <v>Industry</v>
      </c>
      <c r="E258" s="12" t="s">
        <v>88</v>
      </c>
      <c r="F258" s="13">
        <f>IFERROR(VLOOKUP($E258,ghg_sort!$A$3:$B$21,2,0),0)</f>
        <v>0</v>
      </c>
      <c r="G258" s="13">
        <f t="shared" si="34"/>
        <v>0</v>
      </c>
      <c r="H258" s="13">
        <f t="shared" si="35"/>
        <v>0</v>
      </c>
      <c r="I258" s="13">
        <f t="shared" si="36"/>
        <v>0</v>
      </c>
      <c r="J258" s="13">
        <f t="shared" si="37"/>
        <v>0</v>
      </c>
      <c r="K258" s="13">
        <f t="shared" si="38"/>
        <v>0</v>
      </c>
      <c r="L258" s="13">
        <f t="shared" si="39"/>
        <v>0</v>
      </c>
      <c r="M258" s="13">
        <f t="shared" si="40"/>
        <v>0</v>
      </c>
      <c r="N258" s="13">
        <f t="shared" si="41"/>
        <v>0</v>
      </c>
      <c r="O258" s="13">
        <f t="shared" si="42"/>
        <v>0</v>
      </c>
      <c r="P258" s="13">
        <f t="shared" si="43"/>
        <v>0</v>
      </c>
      <c r="Q258" s="13">
        <f t="shared" si="44"/>
        <v>0</v>
      </c>
      <c r="R258" s="13" t="s">
        <v>239</v>
      </c>
      <c r="T258" s="63">
        <v>5.6663420000000002E-6</v>
      </c>
      <c r="U258" s="63">
        <v>8.4539389999999998E-5</v>
      </c>
      <c r="V258" s="63">
        <v>6.9747399999999996E-5</v>
      </c>
      <c r="W258" s="63">
        <v>9.9999999999999896E-5</v>
      </c>
      <c r="X258" s="63">
        <v>9.579209E-5</v>
      </c>
      <c r="Y258" s="63">
        <v>1.0958333999999999E-4</v>
      </c>
      <c r="Z258" s="63">
        <v>1.1691490999999999E-4</v>
      </c>
      <c r="AA258" s="63">
        <v>1.2419796999999999E-4</v>
      </c>
      <c r="AB258" s="63">
        <v>1.3146031999999999E-4</v>
      </c>
      <c r="AC258" s="63">
        <v>1.4366389999999999E-4</v>
      </c>
      <c r="AD258" s="63">
        <v>1.6266054E-4</v>
      </c>
      <c r="AE258" t="s">
        <v>94</v>
      </c>
    </row>
    <row r="259" spans="1:31">
      <c r="A259" t="s">
        <v>267</v>
      </c>
      <c r="B259" t="s">
        <v>1</v>
      </c>
      <c r="C259" t="s">
        <v>32</v>
      </c>
      <c r="D259" s="13" t="str">
        <f>IFERROR(VLOOKUP(C259,ghg_sort!$A$86:$B$512,2,0),0)</f>
        <v>Industry</v>
      </c>
      <c r="E259" t="s">
        <v>89</v>
      </c>
      <c r="F259" s="13">
        <f>IFERROR(VLOOKUP($E259,ghg_sort!$A$3:$B$21,2,0),0)</f>
        <v>0</v>
      </c>
      <c r="G259" s="13">
        <f t="shared" si="34"/>
        <v>0</v>
      </c>
      <c r="H259" s="13">
        <f t="shared" si="35"/>
        <v>0</v>
      </c>
      <c r="I259" s="13">
        <f t="shared" si="36"/>
        <v>0</v>
      </c>
      <c r="J259" s="13">
        <f t="shared" si="37"/>
        <v>0</v>
      </c>
      <c r="K259" s="13">
        <f t="shared" si="38"/>
        <v>0</v>
      </c>
      <c r="L259" s="13">
        <f t="shared" si="39"/>
        <v>0</v>
      </c>
      <c r="M259" s="13">
        <f t="shared" si="40"/>
        <v>0</v>
      </c>
      <c r="N259" s="13">
        <f t="shared" si="41"/>
        <v>0</v>
      </c>
      <c r="O259" s="13">
        <f t="shared" si="42"/>
        <v>0</v>
      </c>
      <c r="P259" s="13">
        <f t="shared" si="43"/>
        <v>0</v>
      </c>
      <c r="Q259" s="13">
        <f t="shared" si="44"/>
        <v>0</v>
      </c>
      <c r="R259" s="13" t="s">
        <v>239</v>
      </c>
      <c r="T259" s="63">
        <v>3.72294E-5</v>
      </c>
      <c r="U259" s="63">
        <v>1.4961369E-4</v>
      </c>
      <c r="V259" s="63">
        <v>1.846324E-4</v>
      </c>
      <c r="W259" s="63">
        <v>2.7E-4</v>
      </c>
      <c r="X259" s="63">
        <v>2.061233E-4</v>
      </c>
      <c r="Y259" s="63">
        <v>1.8586450999999999E-4</v>
      </c>
      <c r="Z259" s="63">
        <v>1.8630468999999999E-4</v>
      </c>
      <c r="AA259" s="63">
        <v>1.9400358999999999E-4</v>
      </c>
      <c r="AB259" s="63">
        <v>2.0489459999999999E-4</v>
      </c>
      <c r="AC259" s="63">
        <v>2.3108338000000001E-4</v>
      </c>
      <c r="AD259" s="63">
        <v>2.7324586999999899E-4</v>
      </c>
      <c r="AE259" t="s">
        <v>93</v>
      </c>
    </row>
    <row r="260" spans="1:31">
      <c r="A260" t="s">
        <v>267</v>
      </c>
      <c r="B260" t="s">
        <v>1</v>
      </c>
      <c r="C260" t="s">
        <v>32</v>
      </c>
      <c r="D260" s="13" t="str">
        <f>IFERROR(VLOOKUP(C260,ghg_sort!$A$86:$B$512,2,0),0)</f>
        <v>Industry</v>
      </c>
      <c r="E260" t="s">
        <v>90</v>
      </c>
      <c r="F260" s="13">
        <f>IFERROR(VLOOKUP($E260,ghg_sort!$A$3:$B$21,2,0),0)</f>
        <v>0</v>
      </c>
      <c r="G260" s="13">
        <f t="shared" si="34"/>
        <v>0</v>
      </c>
      <c r="H260" s="13">
        <f t="shared" si="35"/>
        <v>0</v>
      </c>
      <c r="I260" s="13">
        <f t="shared" si="36"/>
        <v>0</v>
      </c>
      <c r="J260" s="13">
        <f t="shared" si="37"/>
        <v>0</v>
      </c>
      <c r="K260" s="13">
        <f t="shared" si="38"/>
        <v>0</v>
      </c>
      <c r="L260" s="13">
        <f t="shared" si="39"/>
        <v>0</v>
      </c>
      <c r="M260" s="13">
        <f t="shared" si="40"/>
        <v>0</v>
      </c>
      <c r="N260" s="13">
        <f t="shared" si="41"/>
        <v>0</v>
      </c>
      <c r="O260" s="13">
        <f t="shared" si="42"/>
        <v>0</v>
      </c>
      <c r="P260" s="13">
        <f t="shared" si="43"/>
        <v>0</v>
      </c>
      <c r="Q260" s="13">
        <f t="shared" si="44"/>
        <v>0</v>
      </c>
      <c r="R260" s="13" t="s">
        <v>239</v>
      </c>
      <c r="T260" s="63">
        <v>2.7246199999999901E-3</v>
      </c>
      <c r="U260" s="63">
        <v>1.0983939E-2</v>
      </c>
      <c r="V260" s="63">
        <v>1.36848919999999E-2</v>
      </c>
      <c r="W260" s="63">
        <v>2.2129981E-2</v>
      </c>
      <c r="X260" s="63">
        <v>1.45968745999999E-2</v>
      </c>
      <c r="Y260" s="63">
        <v>1.019672818E-2</v>
      </c>
      <c r="Z260" s="63">
        <v>8.8024412200000002E-3</v>
      </c>
      <c r="AA260" s="63">
        <v>7.961115538E-3</v>
      </c>
      <c r="AB260" s="63">
        <v>7.5666347109999898E-3</v>
      </c>
      <c r="AC260" s="63">
        <v>8.2265108659999898E-3</v>
      </c>
      <c r="AD260" s="63">
        <v>9.36088007699999E-3</v>
      </c>
      <c r="AE260" t="s">
        <v>93</v>
      </c>
    </row>
    <row r="261" spans="1:31">
      <c r="A261" t="s">
        <v>267</v>
      </c>
      <c r="B261" t="s">
        <v>1</v>
      </c>
      <c r="C261" t="s">
        <v>32</v>
      </c>
      <c r="D261" s="13" t="str">
        <f>IFERROR(VLOOKUP(C261,ghg_sort!$A$86:$B$512,2,0),0)</f>
        <v>Industry</v>
      </c>
      <c r="E261" t="s">
        <v>91</v>
      </c>
      <c r="F261" s="13">
        <f>IFERROR(VLOOKUP($E261,ghg_sort!$A$3:$B$21,2,0),0)</f>
        <v>0</v>
      </c>
      <c r="G261" s="13">
        <f t="shared" ref="G261:G324" si="46">T261*$F261</f>
        <v>0</v>
      </c>
      <c r="H261" s="13">
        <f t="shared" ref="H261:H324" si="47">U261*$F261</f>
        <v>0</v>
      </c>
      <c r="I261" s="13">
        <f t="shared" ref="I261:I324" si="48">V261*$F261</f>
        <v>0</v>
      </c>
      <c r="J261" s="13">
        <f t="shared" ref="J261:J324" si="49">W261*$F261</f>
        <v>0</v>
      </c>
      <c r="K261" s="13">
        <f t="shared" ref="K261:K324" si="50">X261*$F261</f>
        <v>0</v>
      </c>
      <c r="L261" s="13">
        <f t="shared" ref="L261:L324" si="51">Y261*$F261</f>
        <v>0</v>
      </c>
      <c r="M261" s="13">
        <f t="shared" ref="M261:M324" si="52">Z261*$F261</f>
        <v>0</v>
      </c>
      <c r="N261" s="13">
        <f t="shared" ref="N261:N324" si="53">AA261*$F261</f>
        <v>0</v>
      </c>
      <c r="O261" s="13">
        <f t="shared" ref="O261:O324" si="54">AB261*$F261</f>
        <v>0</v>
      </c>
      <c r="P261" s="13">
        <f t="shared" ref="P261:P324" si="55">AC261*$F261</f>
        <v>0</v>
      </c>
      <c r="Q261" s="13">
        <f t="shared" ref="Q261:Q324" si="56">AD261*$F261</f>
        <v>0</v>
      </c>
      <c r="R261" s="13" t="s">
        <v>239</v>
      </c>
      <c r="T261" s="63">
        <v>5.69035999999999E-5</v>
      </c>
      <c r="U261" s="63">
        <v>1.4983680000000001E-4</v>
      </c>
      <c r="V261" s="63">
        <v>1.8991169999999901E-4</v>
      </c>
      <c r="W261" s="63">
        <v>3.1000025999999999E-4</v>
      </c>
      <c r="X261" s="63">
        <v>2.02547257E-4</v>
      </c>
      <c r="Y261" s="63">
        <v>1.32576923E-4</v>
      </c>
      <c r="Z261" s="63">
        <v>1.0303956E-4</v>
      </c>
      <c r="AA261" s="63">
        <v>8.1426937400000006E-5</v>
      </c>
      <c r="AB261" s="63">
        <v>6.6046771999999894E-5</v>
      </c>
      <c r="AC261" s="63">
        <v>5.3958005000000001E-5</v>
      </c>
      <c r="AD261" s="63">
        <v>3.91155609999999E-5</v>
      </c>
      <c r="AE261" t="s">
        <v>93</v>
      </c>
    </row>
    <row r="262" spans="1:31">
      <c r="A262" t="s">
        <v>267</v>
      </c>
      <c r="B262" t="s">
        <v>1</v>
      </c>
      <c r="C262" t="s">
        <v>32</v>
      </c>
      <c r="D262" s="13" t="str">
        <f>IFERROR(VLOOKUP(C262,ghg_sort!$A$86:$B$512,2,0),0)</f>
        <v>Industry</v>
      </c>
      <c r="E262" t="s">
        <v>92</v>
      </c>
      <c r="F262" s="13">
        <f>IFERROR(VLOOKUP($E262,ghg_sort!$A$3:$B$21,2,0),0)</f>
        <v>0</v>
      </c>
      <c r="G262" s="13">
        <f t="shared" si="46"/>
        <v>0</v>
      </c>
      <c r="H262" s="13">
        <f t="shared" si="47"/>
        <v>0</v>
      </c>
      <c r="I262" s="13">
        <f t="shared" si="48"/>
        <v>0</v>
      </c>
      <c r="J262" s="13">
        <f t="shared" si="49"/>
        <v>0</v>
      </c>
      <c r="K262" s="13">
        <f t="shared" si="50"/>
        <v>0</v>
      </c>
      <c r="L262" s="13">
        <f t="shared" si="51"/>
        <v>0</v>
      </c>
      <c r="M262" s="13">
        <f t="shared" si="52"/>
        <v>0</v>
      </c>
      <c r="N262" s="13">
        <f t="shared" si="53"/>
        <v>0</v>
      </c>
      <c r="O262" s="13">
        <f t="shared" si="54"/>
        <v>0</v>
      </c>
      <c r="P262" s="13">
        <f t="shared" si="55"/>
        <v>0</v>
      </c>
      <c r="Q262" s="13">
        <f t="shared" si="56"/>
        <v>0</v>
      </c>
      <c r="R262" s="13" t="s">
        <v>239</v>
      </c>
      <c r="T262" s="62">
        <v>5.93547E-3</v>
      </c>
      <c r="U262" s="62">
        <v>6.8387750000000001E-3</v>
      </c>
      <c r="V262" s="62">
        <v>7.9459490000000008E-3</v>
      </c>
      <c r="W262" s="62">
        <v>1.4220112300000001E-2</v>
      </c>
      <c r="X262" s="62">
        <v>9.2916956490000004E-3</v>
      </c>
      <c r="Y262" s="62">
        <v>6.0851593129999902E-3</v>
      </c>
      <c r="Z262" s="62">
        <v>4.73415628199999E-3</v>
      </c>
      <c r="AA262" s="62">
        <v>3.7470242671999998E-3</v>
      </c>
      <c r="AB262" s="62">
        <v>3.0449493439999998E-3</v>
      </c>
      <c r="AC262" s="62">
        <v>2.497417546E-3</v>
      </c>
      <c r="AD262" s="62">
        <v>1.8261305279999899E-3</v>
      </c>
      <c r="AE262" t="s">
        <v>93</v>
      </c>
    </row>
    <row r="263" spans="1:31">
      <c r="A263" t="s">
        <v>267</v>
      </c>
      <c r="B263" t="s">
        <v>1</v>
      </c>
      <c r="C263" t="s">
        <v>66</v>
      </c>
      <c r="D263" s="13" t="str">
        <f>IFERROR(VLOOKUP(C263,ghg_sort!$A$86:$B$512,2,0),0)</f>
        <v>Industry</v>
      </c>
      <c r="E263" t="s">
        <v>83</v>
      </c>
      <c r="F263" s="13">
        <f>IFERROR(VLOOKUP($E263,ghg_sort!$A$3:$B$21,2,0),0)</f>
        <v>0</v>
      </c>
      <c r="G263" s="13">
        <f t="shared" si="46"/>
        <v>0</v>
      </c>
      <c r="H263" s="13">
        <f t="shared" si="47"/>
        <v>0</v>
      </c>
      <c r="I263" s="13">
        <f t="shared" si="48"/>
        <v>0</v>
      </c>
      <c r="J263" s="13">
        <f t="shared" si="49"/>
        <v>0</v>
      </c>
      <c r="K263" s="13">
        <f t="shared" si="50"/>
        <v>0</v>
      </c>
      <c r="L263" s="13">
        <f t="shared" si="51"/>
        <v>0</v>
      </c>
      <c r="M263" s="13">
        <f t="shared" si="52"/>
        <v>0</v>
      </c>
      <c r="N263" s="13">
        <f t="shared" si="53"/>
        <v>0</v>
      </c>
      <c r="O263" s="13">
        <f t="shared" si="54"/>
        <v>0</v>
      </c>
      <c r="P263" s="13">
        <f t="shared" si="55"/>
        <v>0</v>
      </c>
      <c r="Q263" s="13">
        <f t="shared" si="56"/>
        <v>0</v>
      </c>
      <c r="R263" s="13" t="s">
        <v>239</v>
      </c>
      <c r="T263" s="63">
        <v>1.2610900000000001E-4</v>
      </c>
      <c r="U263" s="63">
        <v>7.5147400000000005E-5</v>
      </c>
      <c r="V263" s="63">
        <v>1.15871E-4</v>
      </c>
      <c r="W263" s="63">
        <v>1.3507700000000001E-6</v>
      </c>
      <c r="X263" s="63">
        <v>8.4517340000000004E-7</v>
      </c>
      <c r="Y263" s="63">
        <v>6.2187989999999996E-7</v>
      </c>
      <c r="Z263" s="63">
        <v>5.3886159999999998E-7</v>
      </c>
      <c r="AA263" s="63">
        <v>4.8864853999999997E-7</v>
      </c>
      <c r="AB263" s="63">
        <v>4.8433949999999999E-7</v>
      </c>
      <c r="AC263" s="63">
        <v>4.7109839999999899E-7</v>
      </c>
      <c r="AD263" s="63">
        <v>4.5493369999999999E-7</v>
      </c>
      <c r="AE263" t="s">
        <v>93</v>
      </c>
    </row>
    <row r="264" spans="1:31">
      <c r="A264" t="s">
        <v>267</v>
      </c>
      <c r="B264" t="s">
        <v>1</v>
      </c>
      <c r="C264" t="s">
        <v>66</v>
      </c>
      <c r="D264" s="13" t="str">
        <f>IFERROR(VLOOKUP(C264,ghg_sort!$A$86:$B$512,2,0),0)</f>
        <v>Industry</v>
      </c>
      <c r="E264" t="s">
        <v>84</v>
      </c>
      <c r="F264" s="13">
        <f>IFERROR(VLOOKUP($E264,ghg_sort!$A$3:$B$21,2,0),0)</f>
        <v>25</v>
      </c>
      <c r="G264" s="13">
        <f t="shared" si="46"/>
        <v>2.5000000000000001E-4</v>
      </c>
      <c r="H264" s="13">
        <f t="shared" si="47"/>
        <v>0</v>
      </c>
      <c r="I264" s="13">
        <f t="shared" si="48"/>
        <v>0</v>
      </c>
      <c r="J264" s="13">
        <f t="shared" si="49"/>
        <v>0</v>
      </c>
      <c r="K264" s="13">
        <f t="shared" si="50"/>
        <v>0</v>
      </c>
      <c r="L264" s="13">
        <f t="shared" si="51"/>
        <v>0</v>
      </c>
      <c r="M264" s="13">
        <f t="shared" si="52"/>
        <v>0</v>
      </c>
      <c r="N264" s="13">
        <f t="shared" si="53"/>
        <v>0</v>
      </c>
      <c r="O264" s="13">
        <f t="shared" si="54"/>
        <v>0</v>
      </c>
      <c r="P264" s="13">
        <f t="shared" si="55"/>
        <v>0</v>
      </c>
      <c r="Q264" s="13">
        <f t="shared" si="56"/>
        <v>0</v>
      </c>
      <c r="R264" s="13" t="s">
        <v>239</v>
      </c>
      <c r="T264" s="63">
        <v>1.0000000000000001E-5</v>
      </c>
      <c r="U264" s="62">
        <v>0</v>
      </c>
      <c r="V264" s="62">
        <v>0</v>
      </c>
      <c r="W264" s="62">
        <v>0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>
        <v>0</v>
      </c>
      <c r="AE264" t="s">
        <v>93</v>
      </c>
    </row>
    <row r="265" spans="1:31">
      <c r="A265" t="s">
        <v>267</v>
      </c>
      <c r="B265" t="s">
        <v>1</v>
      </c>
      <c r="C265" t="s">
        <v>66</v>
      </c>
      <c r="D265" s="13" t="str">
        <f>IFERROR(VLOOKUP(C265,ghg_sort!$A$86:$B$512,2,0),0)</f>
        <v>Industry</v>
      </c>
      <c r="E265" t="s">
        <v>85</v>
      </c>
      <c r="F265" s="13">
        <f>IFERROR(VLOOKUP($E265,ghg_sort!$A$3:$B$21,2,0),0)</f>
        <v>0</v>
      </c>
      <c r="G265" s="13">
        <f t="shared" si="46"/>
        <v>0</v>
      </c>
      <c r="H265" s="13">
        <f t="shared" si="47"/>
        <v>0</v>
      </c>
      <c r="I265" s="13">
        <f t="shared" si="48"/>
        <v>0</v>
      </c>
      <c r="J265" s="13">
        <f t="shared" si="49"/>
        <v>0</v>
      </c>
      <c r="K265" s="13">
        <f t="shared" si="50"/>
        <v>0</v>
      </c>
      <c r="L265" s="13">
        <f t="shared" si="51"/>
        <v>0</v>
      </c>
      <c r="M265" s="13">
        <f t="shared" si="52"/>
        <v>0</v>
      </c>
      <c r="N265" s="13">
        <f t="shared" si="53"/>
        <v>0</v>
      </c>
      <c r="O265" s="13">
        <f t="shared" si="54"/>
        <v>0</v>
      </c>
      <c r="P265" s="13">
        <f t="shared" si="55"/>
        <v>0</v>
      </c>
      <c r="Q265" s="13">
        <f t="shared" si="56"/>
        <v>0</v>
      </c>
      <c r="R265" s="13" t="s">
        <v>239</v>
      </c>
      <c r="T265" s="63">
        <v>4.0000000000000003E-5</v>
      </c>
      <c r="U265" s="63">
        <v>2.0000000000000002E-5</v>
      </c>
      <c r="V265" s="63">
        <v>2.0000000000000002E-5</v>
      </c>
      <c r="W265" s="63">
        <v>2.0000000000000002E-5</v>
      </c>
      <c r="X265" s="63">
        <v>1.5041630000000001E-5</v>
      </c>
      <c r="Y265" s="63">
        <v>1.8173749999999999E-5</v>
      </c>
      <c r="Z265" s="63">
        <v>1.9543751E-5</v>
      </c>
      <c r="AA265" s="63">
        <v>1.9797695000000002E-5</v>
      </c>
      <c r="AB265" s="63">
        <v>1.9623149999999999E-5</v>
      </c>
      <c r="AC265" s="63">
        <v>1.9086700000000001E-5</v>
      </c>
      <c r="AD265" s="63">
        <v>1.843177E-5</v>
      </c>
      <c r="AE265" t="s">
        <v>93</v>
      </c>
    </row>
    <row r="266" spans="1:31">
      <c r="A266" t="s">
        <v>267</v>
      </c>
      <c r="B266" t="s">
        <v>1</v>
      </c>
      <c r="C266" t="s">
        <v>66</v>
      </c>
      <c r="D266" s="13" t="str">
        <f>IFERROR(VLOOKUP(C266,ghg_sort!$A$86:$B$512,2,0),0)</f>
        <v>Industry</v>
      </c>
      <c r="E266" t="s">
        <v>86</v>
      </c>
      <c r="F266" s="13">
        <f>IFERROR(VLOOKUP($E266,ghg_sort!$A$3:$B$21,2,0),0)</f>
        <v>3.6666666666666701</v>
      </c>
      <c r="G266" s="13">
        <f t="shared" si="46"/>
        <v>0.33994510000000033</v>
      </c>
      <c r="H266" s="13">
        <f t="shared" si="47"/>
        <v>0.17749050000000016</v>
      </c>
      <c r="I266" s="13">
        <f t="shared" si="48"/>
        <v>0.25570746666666694</v>
      </c>
      <c r="J266" s="13">
        <f t="shared" si="49"/>
        <v>0.19253043333333353</v>
      </c>
      <c r="K266" s="13">
        <f t="shared" si="50"/>
        <v>0.17501238333333349</v>
      </c>
      <c r="L266" s="13">
        <f t="shared" si="51"/>
        <v>0.21145523666666649</v>
      </c>
      <c r="M266" s="13">
        <f t="shared" si="52"/>
        <v>0.22739537333333357</v>
      </c>
      <c r="N266" s="13">
        <f t="shared" si="53"/>
        <v>0.23035003199999987</v>
      </c>
      <c r="O266" s="13">
        <f t="shared" si="54"/>
        <v>0.22831926333333355</v>
      </c>
      <c r="P266" s="13">
        <f t="shared" si="55"/>
        <v>0.22207713000000021</v>
      </c>
      <c r="Q266" s="13">
        <f t="shared" si="56"/>
        <v>0.21445720999999984</v>
      </c>
      <c r="R266" s="13" t="s">
        <v>239</v>
      </c>
      <c r="T266" s="63">
        <v>9.2712299999999997E-2</v>
      </c>
      <c r="U266" s="62">
        <v>4.8406499999999998E-2</v>
      </c>
      <c r="V266" s="62">
        <v>6.9738400000000006E-2</v>
      </c>
      <c r="W266" s="62">
        <v>5.2508300000000001E-2</v>
      </c>
      <c r="X266" s="62">
        <v>4.7730649999999999E-2</v>
      </c>
      <c r="Y266" s="62">
        <v>5.7669609999999899E-2</v>
      </c>
      <c r="Z266" s="62">
        <v>6.2016920000000003E-2</v>
      </c>
      <c r="AA266" s="62">
        <v>6.2822735999999907E-2</v>
      </c>
      <c r="AB266" s="62">
        <v>6.226889E-2</v>
      </c>
      <c r="AC266" s="62">
        <v>6.0566490000000001E-2</v>
      </c>
      <c r="AD266" s="62">
        <v>5.8488329999999901E-2</v>
      </c>
      <c r="AE266" t="s">
        <v>93</v>
      </c>
    </row>
    <row r="267" spans="1:31">
      <c r="A267" t="s">
        <v>267</v>
      </c>
      <c r="B267" t="s">
        <v>1</v>
      </c>
      <c r="C267" t="s">
        <v>66</v>
      </c>
      <c r="D267" s="13" t="str">
        <f>IFERROR(VLOOKUP(C267,ghg_sort!$A$86:$B$512,2,0),0)</f>
        <v>Industry</v>
      </c>
      <c r="E267" t="s">
        <v>90</v>
      </c>
      <c r="F267" s="13">
        <f>IFERROR(VLOOKUP($E267,ghg_sort!$A$3:$B$21,2,0),0)</f>
        <v>0</v>
      </c>
      <c r="G267" s="13">
        <f t="shared" si="46"/>
        <v>0</v>
      </c>
      <c r="H267" s="13">
        <f t="shared" si="47"/>
        <v>0</v>
      </c>
      <c r="I267" s="13">
        <f t="shared" si="48"/>
        <v>0</v>
      </c>
      <c r="J267" s="13">
        <f t="shared" si="49"/>
        <v>0</v>
      </c>
      <c r="K267" s="13">
        <f t="shared" si="50"/>
        <v>0</v>
      </c>
      <c r="L267" s="13">
        <f t="shared" si="51"/>
        <v>0</v>
      </c>
      <c r="M267" s="13">
        <f t="shared" si="52"/>
        <v>0</v>
      </c>
      <c r="N267" s="13">
        <f t="shared" si="53"/>
        <v>0</v>
      </c>
      <c r="O267" s="13">
        <f t="shared" si="54"/>
        <v>0</v>
      </c>
      <c r="P267" s="13">
        <f t="shared" si="55"/>
        <v>0</v>
      </c>
      <c r="Q267" s="13">
        <f t="shared" si="56"/>
        <v>0</v>
      </c>
      <c r="R267" s="13" t="s">
        <v>239</v>
      </c>
      <c r="T267" s="63">
        <v>5.4000000000000001E-4</v>
      </c>
      <c r="U267" s="63">
        <v>1.4999999999999999E-4</v>
      </c>
      <c r="V267" s="63">
        <v>3.1E-4</v>
      </c>
      <c r="W267" s="63">
        <v>2.7999999999999998E-4</v>
      </c>
      <c r="X267" s="63">
        <v>1.7519540000000001E-4</v>
      </c>
      <c r="Y267" s="63">
        <v>1.2890874999999999E-4</v>
      </c>
      <c r="Z267" s="63">
        <v>1.11699969999999E-4</v>
      </c>
      <c r="AA267" s="63">
        <v>9.586494E-5</v>
      </c>
      <c r="AB267" s="63">
        <v>8.5287549999999996E-5</v>
      </c>
      <c r="AC267" s="63">
        <v>8.2955939999999897E-5</v>
      </c>
      <c r="AD267" s="63">
        <v>8.0109380000000001E-5</v>
      </c>
      <c r="AE267" t="s">
        <v>93</v>
      </c>
    </row>
    <row r="268" spans="1:31">
      <c r="A268" t="s">
        <v>267</v>
      </c>
      <c r="B268" t="s">
        <v>1</v>
      </c>
      <c r="C268" t="s">
        <v>66</v>
      </c>
      <c r="D268" s="13" t="str">
        <f>IFERROR(VLOOKUP(C268,ghg_sort!$A$86:$B$512,2,0),0)</f>
        <v>Industry</v>
      </c>
      <c r="E268" s="12" t="s">
        <v>91</v>
      </c>
      <c r="F268" s="13">
        <f>IFERROR(VLOOKUP($E268,ghg_sort!$A$3:$B$21,2,0),0)</f>
        <v>0</v>
      </c>
      <c r="G268" s="13">
        <f t="shared" si="46"/>
        <v>0</v>
      </c>
      <c r="H268" s="13">
        <f t="shared" si="47"/>
        <v>0</v>
      </c>
      <c r="I268" s="13">
        <f t="shared" si="48"/>
        <v>0</v>
      </c>
      <c r="J268" s="13">
        <f t="shared" si="49"/>
        <v>0</v>
      </c>
      <c r="K268" s="13">
        <f t="shared" si="50"/>
        <v>0</v>
      </c>
      <c r="L268" s="13">
        <f t="shared" si="51"/>
        <v>0</v>
      </c>
      <c r="M268" s="13">
        <f t="shared" si="52"/>
        <v>0</v>
      </c>
      <c r="N268" s="13">
        <f t="shared" si="53"/>
        <v>0</v>
      </c>
      <c r="O268" s="13">
        <f t="shared" si="54"/>
        <v>0</v>
      </c>
      <c r="P268" s="13">
        <f t="shared" si="55"/>
        <v>0</v>
      </c>
      <c r="Q268" s="13">
        <f t="shared" si="56"/>
        <v>0</v>
      </c>
      <c r="R268" s="13" t="s">
        <v>239</v>
      </c>
      <c r="T268" s="63">
        <v>4.0000000000000003E-5</v>
      </c>
      <c r="U268" s="63">
        <v>2.0000000000000002E-5</v>
      </c>
      <c r="V268" s="63">
        <v>4.0000000000000003E-5</v>
      </c>
      <c r="W268" s="63">
        <v>1.0000000000000001E-5</v>
      </c>
      <c r="X268" s="63">
        <v>6.2569649999999996E-6</v>
      </c>
      <c r="Y268" s="63">
        <v>4.6038809999999998E-6</v>
      </c>
      <c r="Z268" s="63">
        <v>3.9892849999999999E-6</v>
      </c>
      <c r="AA268" s="63">
        <v>3.4237479E-6</v>
      </c>
      <c r="AB268" s="63">
        <v>2.9527359999999998E-6</v>
      </c>
      <c r="AC268" s="63">
        <v>2.6813679999999998E-6</v>
      </c>
      <c r="AD268" s="63">
        <v>2.37259199999999E-6</v>
      </c>
      <c r="AE268" t="s">
        <v>94</v>
      </c>
    </row>
    <row r="269" spans="1:31">
      <c r="A269" t="s">
        <v>267</v>
      </c>
      <c r="B269" t="s">
        <v>1</v>
      </c>
      <c r="C269" t="s">
        <v>66</v>
      </c>
      <c r="D269" s="13" t="str">
        <f>IFERROR(VLOOKUP(C269,ghg_sort!$A$86:$B$512,2,0),0)</f>
        <v>Industry</v>
      </c>
      <c r="E269" t="s">
        <v>92</v>
      </c>
      <c r="F269" s="13">
        <f>IFERROR(VLOOKUP($E269,ghg_sort!$A$3:$B$21,2,0),0)</f>
        <v>0</v>
      </c>
      <c r="G269" s="13">
        <f t="shared" si="46"/>
        <v>0</v>
      </c>
      <c r="H269" s="13">
        <f t="shared" si="47"/>
        <v>0</v>
      </c>
      <c r="I269" s="13">
        <f t="shared" si="48"/>
        <v>0</v>
      </c>
      <c r="J269" s="13">
        <f t="shared" si="49"/>
        <v>0</v>
      </c>
      <c r="K269" s="13">
        <f t="shared" si="50"/>
        <v>0</v>
      </c>
      <c r="L269" s="13">
        <f t="shared" si="51"/>
        <v>0</v>
      </c>
      <c r="M269" s="13">
        <f t="shared" si="52"/>
        <v>0</v>
      </c>
      <c r="N269" s="13">
        <f t="shared" si="53"/>
        <v>0</v>
      </c>
      <c r="O269" s="13">
        <f t="shared" si="54"/>
        <v>0</v>
      </c>
      <c r="P269" s="13">
        <f t="shared" si="55"/>
        <v>0</v>
      </c>
      <c r="Q269" s="13">
        <f t="shared" si="56"/>
        <v>0</v>
      </c>
      <c r="R269" s="13" t="s">
        <v>239</v>
      </c>
      <c r="T269" s="63">
        <v>1.72054E-3</v>
      </c>
      <c r="U269" s="63">
        <v>2.43098E-4</v>
      </c>
      <c r="V269" s="63">
        <v>4.0765000000000002E-4</v>
      </c>
      <c r="W269" s="63">
        <v>1.17595E-4</v>
      </c>
      <c r="X269" s="63">
        <v>7.3578940000000004E-5</v>
      </c>
      <c r="Y269" s="63">
        <v>5.4139540000000002E-5</v>
      </c>
      <c r="Z269" s="63">
        <v>4.691218E-5</v>
      </c>
      <c r="AA269" s="63">
        <v>4.0261700999999997E-5</v>
      </c>
      <c r="AB269" s="63">
        <v>3.4722799999999999E-5</v>
      </c>
      <c r="AC269" s="63">
        <v>3.2797469999999997E-5</v>
      </c>
      <c r="AD269" s="63">
        <v>3.1672150000000001E-5</v>
      </c>
      <c r="AE269" t="s">
        <v>93</v>
      </c>
    </row>
    <row r="270" spans="1:31">
      <c r="A270" t="s">
        <v>267</v>
      </c>
      <c r="B270" t="s">
        <v>1</v>
      </c>
      <c r="C270" t="s">
        <v>68</v>
      </c>
      <c r="D270" s="13" t="str">
        <f>IFERROR(VLOOKUP(C270,ghg_sort!$A$86:$B$512,2,0),0)</f>
        <v>Industry</v>
      </c>
      <c r="E270" t="s">
        <v>83</v>
      </c>
      <c r="F270" s="13">
        <f>IFERROR(VLOOKUP($E270,ghg_sort!$A$3:$B$21,2,0),0)</f>
        <v>0</v>
      </c>
      <c r="G270" s="13">
        <f t="shared" si="46"/>
        <v>0</v>
      </c>
      <c r="H270" s="13">
        <f t="shared" si="47"/>
        <v>0</v>
      </c>
      <c r="I270" s="13">
        <f t="shared" si="48"/>
        <v>0</v>
      </c>
      <c r="J270" s="13">
        <f t="shared" si="49"/>
        <v>0</v>
      </c>
      <c r="K270" s="13">
        <f t="shared" si="50"/>
        <v>0</v>
      </c>
      <c r="L270" s="13">
        <f t="shared" si="51"/>
        <v>0</v>
      </c>
      <c r="M270" s="13">
        <f t="shared" si="52"/>
        <v>0</v>
      </c>
      <c r="N270" s="13">
        <f t="shared" si="53"/>
        <v>0</v>
      </c>
      <c r="O270" s="13">
        <f t="shared" si="54"/>
        <v>0</v>
      </c>
      <c r="P270" s="13">
        <f t="shared" si="55"/>
        <v>0</v>
      </c>
      <c r="Q270" s="13">
        <f t="shared" si="56"/>
        <v>0</v>
      </c>
      <c r="R270" s="13" t="s">
        <v>239</v>
      </c>
      <c r="T270" s="63">
        <v>3.8044059999999898E-3</v>
      </c>
      <c r="U270" s="63">
        <v>4.4493470000000002E-3</v>
      </c>
      <c r="V270" s="63">
        <v>4.5262719999999996E-3</v>
      </c>
      <c r="W270" s="63">
        <v>2.8680959999999901E-3</v>
      </c>
      <c r="X270" s="63">
        <v>2.9084624999999999E-3</v>
      </c>
      <c r="Y270" s="63">
        <v>3.1531794E-3</v>
      </c>
      <c r="Z270" s="63">
        <v>3.31047299999999E-3</v>
      </c>
      <c r="AA270" s="63">
        <v>3.4214912000000001E-3</v>
      </c>
      <c r="AB270" s="63">
        <v>3.4522390999999898E-3</v>
      </c>
      <c r="AC270" s="63">
        <v>3.35175100999999E-3</v>
      </c>
      <c r="AD270" s="63">
        <v>3.2115115299999998E-3</v>
      </c>
      <c r="AE270" t="s">
        <v>93</v>
      </c>
    </row>
    <row r="271" spans="1:31">
      <c r="A271" t="s">
        <v>267</v>
      </c>
      <c r="B271" t="s">
        <v>1</v>
      </c>
      <c r="C271" t="s">
        <v>68</v>
      </c>
      <c r="D271" s="13" t="str">
        <f>IFERROR(VLOOKUP(C271,ghg_sort!$A$86:$B$512,2,0),0)</f>
        <v>Industry</v>
      </c>
      <c r="E271" t="s">
        <v>84</v>
      </c>
      <c r="F271" s="13">
        <f>IFERROR(VLOOKUP($E271,ghg_sort!$A$3:$B$21,2,0),0)</f>
        <v>25</v>
      </c>
      <c r="G271" s="13">
        <f t="shared" si="46"/>
        <v>1.7729624999999999E-2</v>
      </c>
      <c r="H271" s="13">
        <f t="shared" si="47"/>
        <v>3.8151625000000002E-2</v>
      </c>
      <c r="I271" s="13">
        <f t="shared" si="48"/>
        <v>4.3969974999999752E-2</v>
      </c>
      <c r="J271" s="13">
        <f t="shared" si="49"/>
        <v>6.1713249999999997E-2</v>
      </c>
      <c r="K271" s="13">
        <f t="shared" si="50"/>
        <v>6.5935486999999751E-2</v>
      </c>
      <c r="L271" s="13">
        <f t="shared" si="51"/>
        <v>7.0115632999999997E-2</v>
      </c>
      <c r="M271" s="13">
        <f t="shared" si="52"/>
        <v>7.1033580750000005E-2</v>
      </c>
      <c r="N271" s="13">
        <f t="shared" si="53"/>
        <v>6.7484396000000002E-2</v>
      </c>
      <c r="O271" s="13">
        <f t="shared" si="54"/>
        <v>6.0819102E-2</v>
      </c>
      <c r="P271" s="13">
        <f t="shared" si="55"/>
        <v>5.48798515E-2</v>
      </c>
      <c r="Q271" s="13">
        <f t="shared" si="56"/>
        <v>4.9703539424999998E-2</v>
      </c>
      <c r="R271" s="13" t="s">
        <v>239</v>
      </c>
      <c r="T271" s="63">
        <v>7.0918499999999998E-4</v>
      </c>
      <c r="U271" s="63">
        <v>1.5260650000000001E-3</v>
      </c>
      <c r="V271" s="63">
        <v>1.7587989999999899E-3</v>
      </c>
      <c r="W271" s="63">
        <v>2.46853E-3</v>
      </c>
      <c r="X271" s="63">
        <v>2.6374194799999901E-3</v>
      </c>
      <c r="Y271" s="63">
        <v>2.8046253199999998E-3</v>
      </c>
      <c r="Z271" s="63">
        <v>2.84134323E-3</v>
      </c>
      <c r="AA271" s="63">
        <v>2.6993758400000001E-3</v>
      </c>
      <c r="AB271" s="63">
        <v>2.4327640800000001E-3</v>
      </c>
      <c r="AC271" s="63">
        <v>2.1951940599999999E-3</v>
      </c>
      <c r="AD271" s="63">
        <v>1.988141577E-3</v>
      </c>
      <c r="AE271" t="s">
        <v>93</v>
      </c>
    </row>
    <row r="272" spans="1:31">
      <c r="A272" t="s">
        <v>267</v>
      </c>
      <c r="B272" t="s">
        <v>1</v>
      </c>
      <c r="C272" t="s">
        <v>68</v>
      </c>
      <c r="D272" s="13" t="str">
        <f>IFERROR(VLOOKUP(C272,ghg_sort!$A$86:$B$512,2,0),0)</f>
        <v>Industry</v>
      </c>
      <c r="E272" t="s">
        <v>85</v>
      </c>
      <c r="F272" s="13">
        <f>IFERROR(VLOOKUP($E272,ghg_sort!$A$3:$B$21,2,0),0)</f>
        <v>0</v>
      </c>
      <c r="G272" s="13">
        <f t="shared" si="46"/>
        <v>0</v>
      </c>
      <c r="H272" s="13">
        <f t="shared" si="47"/>
        <v>0</v>
      </c>
      <c r="I272" s="13">
        <f t="shared" si="48"/>
        <v>0</v>
      </c>
      <c r="J272" s="13">
        <f t="shared" si="49"/>
        <v>0</v>
      </c>
      <c r="K272" s="13">
        <f t="shared" si="50"/>
        <v>0</v>
      </c>
      <c r="L272" s="13">
        <f t="shared" si="51"/>
        <v>0</v>
      </c>
      <c r="M272" s="13">
        <f t="shared" si="52"/>
        <v>0</v>
      </c>
      <c r="N272" s="13">
        <f t="shared" si="53"/>
        <v>0</v>
      </c>
      <c r="O272" s="13">
        <f t="shared" si="54"/>
        <v>0</v>
      </c>
      <c r="P272" s="13">
        <f t="shared" si="55"/>
        <v>0</v>
      </c>
      <c r="Q272" s="13">
        <f t="shared" si="56"/>
        <v>0</v>
      </c>
      <c r="R272" s="13" t="s">
        <v>239</v>
      </c>
      <c r="T272" s="62">
        <v>1.9473699999999999E-3</v>
      </c>
      <c r="U272" s="62">
        <v>3.7672549999999902E-3</v>
      </c>
      <c r="V272" s="62">
        <v>3.4638519999999999E-3</v>
      </c>
      <c r="W272" s="62">
        <v>4.4904489999999997E-3</v>
      </c>
      <c r="X272" s="62">
        <v>4.3193145999999997E-3</v>
      </c>
      <c r="Y272" s="62">
        <v>4.6681863000000001E-3</v>
      </c>
      <c r="Z272" s="62">
        <v>4.8342243999999904E-3</v>
      </c>
      <c r="AA272" s="62">
        <v>4.80469519999999E-3</v>
      </c>
      <c r="AB272" s="62">
        <v>4.5583773000000003E-3</v>
      </c>
      <c r="AC272" s="62">
        <v>4.2299071000000002E-3</v>
      </c>
      <c r="AD272" s="62">
        <v>3.8908854099999998E-3</v>
      </c>
      <c r="AE272" t="s">
        <v>93</v>
      </c>
    </row>
    <row r="273" spans="1:31">
      <c r="A273" t="s">
        <v>267</v>
      </c>
      <c r="B273" t="s">
        <v>1</v>
      </c>
      <c r="C273" t="s">
        <v>68</v>
      </c>
      <c r="D273" s="13" t="str">
        <f>IFERROR(VLOOKUP(C273,ghg_sort!$A$86:$B$512,2,0),0)</f>
        <v>Industry</v>
      </c>
      <c r="E273" t="s">
        <v>86</v>
      </c>
      <c r="F273" s="13">
        <f>IFERROR(VLOOKUP($E273,ghg_sort!$A$3:$B$21,2,0),0)</f>
        <v>3.6666666666666701</v>
      </c>
      <c r="G273" s="13">
        <f t="shared" si="46"/>
        <v>44.282842999999673</v>
      </c>
      <c r="H273" s="13">
        <f t="shared" si="47"/>
        <v>106.10240300000009</v>
      </c>
      <c r="I273" s="13">
        <f t="shared" si="48"/>
        <v>124.80167333333344</v>
      </c>
      <c r="J273" s="13">
        <f t="shared" si="49"/>
        <v>64.208969000000067</v>
      </c>
      <c r="K273" s="13">
        <f t="shared" si="50"/>
        <v>68.346587100000065</v>
      </c>
      <c r="L273" s="13">
        <f t="shared" si="51"/>
        <v>72.74966343333341</v>
      </c>
      <c r="M273" s="13">
        <f t="shared" si="52"/>
        <v>74.687821633333044</v>
      </c>
      <c r="N273" s="13">
        <f t="shared" si="53"/>
        <v>72.078414833333412</v>
      </c>
      <c r="O273" s="13">
        <f t="shared" si="54"/>
        <v>68.33812828333302</v>
      </c>
      <c r="P273" s="13">
        <f t="shared" si="55"/>
        <v>63.522180296666725</v>
      </c>
      <c r="Q273" s="13">
        <f t="shared" si="56"/>
        <v>58.297505771999688</v>
      </c>
      <c r="R273" s="13" t="s">
        <v>239</v>
      </c>
      <c r="T273" s="63">
        <v>12.077138999999899</v>
      </c>
      <c r="U273" s="62">
        <v>28.937018999999999</v>
      </c>
      <c r="V273" s="62">
        <v>34.036819999999999</v>
      </c>
      <c r="W273" s="62">
        <v>17.511537000000001</v>
      </c>
      <c r="X273" s="62">
        <v>18.639978299999999</v>
      </c>
      <c r="Y273" s="62">
        <v>19.840817300000001</v>
      </c>
      <c r="Z273" s="62">
        <v>20.369405899999901</v>
      </c>
      <c r="AA273" s="62">
        <v>19.657749500000001</v>
      </c>
      <c r="AB273" s="62">
        <v>18.637671349999898</v>
      </c>
      <c r="AC273" s="62">
        <v>17.32423099</v>
      </c>
      <c r="AD273" s="62">
        <v>15.899319755999899</v>
      </c>
      <c r="AE273" t="s">
        <v>93</v>
      </c>
    </row>
    <row r="274" spans="1:31">
      <c r="A274" t="s">
        <v>267</v>
      </c>
      <c r="B274" t="s">
        <v>1</v>
      </c>
      <c r="C274" t="s">
        <v>68</v>
      </c>
      <c r="D274" s="13" t="str">
        <f>IFERROR(VLOOKUP(C274,ghg_sort!$A$86:$B$512,2,0),0)</f>
        <v>Industry</v>
      </c>
      <c r="E274" t="s">
        <v>87</v>
      </c>
      <c r="F274" s="13">
        <f>IFERROR(VLOOKUP($E274,ghg_sort!$A$3:$B$21,2,0),0)</f>
        <v>298</v>
      </c>
      <c r="G274" s="13">
        <f t="shared" si="46"/>
        <v>3.4829256599999706E-2</v>
      </c>
      <c r="H274" s="13">
        <f t="shared" si="47"/>
        <v>0.11622</v>
      </c>
      <c r="I274" s="13">
        <f t="shared" si="48"/>
        <v>0.11622</v>
      </c>
      <c r="J274" s="13">
        <f t="shared" si="49"/>
        <v>0.13111999999999971</v>
      </c>
      <c r="K274" s="13">
        <f t="shared" si="50"/>
        <v>0.14210154734</v>
      </c>
      <c r="L274" s="13">
        <f t="shared" si="51"/>
        <v>0.15442046206000001</v>
      </c>
      <c r="M274" s="13">
        <f t="shared" si="52"/>
        <v>0.16221424082000002</v>
      </c>
      <c r="N274" s="13">
        <f t="shared" si="53"/>
        <v>0.16724667409999999</v>
      </c>
      <c r="O274" s="13">
        <f t="shared" si="54"/>
        <v>0.16744617616000002</v>
      </c>
      <c r="P274" s="13">
        <f t="shared" si="55"/>
        <v>0.16133455375999969</v>
      </c>
      <c r="Q274" s="13">
        <f t="shared" si="56"/>
        <v>0.15329437876599972</v>
      </c>
      <c r="R274" s="13" t="s">
        <v>239</v>
      </c>
      <c r="T274" s="63">
        <v>1.16876699999999E-4</v>
      </c>
      <c r="U274" s="63">
        <v>3.8999999999999999E-4</v>
      </c>
      <c r="V274" s="63">
        <v>3.8999999999999999E-4</v>
      </c>
      <c r="W274" s="63">
        <v>4.3999999999999899E-4</v>
      </c>
      <c r="X274" s="63">
        <v>4.7685083000000001E-4</v>
      </c>
      <c r="Y274" s="63">
        <v>5.1818947000000003E-4</v>
      </c>
      <c r="Z274" s="63">
        <v>5.4434309000000005E-4</v>
      </c>
      <c r="AA274" s="63">
        <v>5.6123044999999996E-4</v>
      </c>
      <c r="AB274" s="63">
        <v>5.6189992000000005E-4</v>
      </c>
      <c r="AC274" s="63">
        <v>5.4139111999999899E-4</v>
      </c>
      <c r="AD274" s="63">
        <v>5.1441066699999905E-4</v>
      </c>
      <c r="AE274" t="s">
        <v>93</v>
      </c>
    </row>
    <row r="275" spans="1:31">
      <c r="A275" t="s">
        <v>267</v>
      </c>
      <c r="B275" t="s">
        <v>1</v>
      </c>
      <c r="C275" t="s">
        <v>68</v>
      </c>
      <c r="D275" s="13" t="str">
        <f>IFERROR(VLOOKUP(C275,ghg_sort!$A$86:$B$512,2,0),0)</f>
        <v>Industry</v>
      </c>
      <c r="E275" s="12" t="s">
        <v>88</v>
      </c>
      <c r="F275" s="13">
        <f>IFERROR(VLOOKUP($E275,ghg_sort!$A$3:$B$21,2,0),0)</f>
        <v>0</v>
      </c>
      <c r="G275" s="13">
        <f t="shared" si="46"/>
        <v>0</v>
      </c>
      <c r="H275" s="13">
        <f t="shared" si="47"/>
        <v>0</v>
      </c>
      <c r="I275" s="13">
        <f t="shared" si="48"/>
        <v>0</v>
      </c>
      <c r="J275" s="13">
        <f t="shared" si="49"/>
        <v>0</v>
      </c>
      <c r="K275" s="13">
        <f t="shared" si="50"/>
        <v>0</v>
      </c>
      <c r="L275" s="13">
        <f t="shared" si="51"/>
        <v>0</v>
      </c>
      <c r="M275" s="13">
        <f t="shared" si="52"/>
        <v>0</v>
      </c>
      <c r="N275" s="13">
        <f t="shared" si="53"/>
        <v>0</v>
      </c>
      <c r="O275" s="13">
        <f t="shared" si="54"/>
        <v>0</v>
      </c>
      <c r="P275" s="13">
        <f t="shared" si="55"/>
        <v>0</v>
      </c>
      <c r="Q275" s="13">
        <f t="shared" si="56"/>
        <v>0</v>
      </c>
      <c r="R275" s="13" t="s">
        <v>239</v>
      </c>
      <c r="T275" s="63">
        <v>1.6783299999999999E-4</v>
      </c>
      <c r="U275" s="63">
        <v>9.8487050000000006E-4</v>
      </c>
      <c r="V275" s="63">
        <v>8.0721630000000003E-4</v>
      </c>
      <c r="W275" s="63">
        <v>8.5230919999999995E-4</v>
      </c>
      <c r="X275" s="63">
        <v>9.1632802999999999E-4</v>
      </c>
      <c r="Y275" s="63">
        <v>9.8596215E-4</v>
      </c>
      <c r="Z275" s="62">
        <v>1.02191934E-3</v>
      </c>
      <c r="AA275" s="62">
        <v>1.0252773499999999E-3</v>
      </c>
      <c r="AB275" s="63">
        <v>9.9832540099999991E-4</v>
      </c>
      <c r="AC275" s="63">
        <v>9.4792871399999997E-4</v>
      </c>
      <c r="AD275" s="63">
        <v>8.9316058569999896E-4</v>
      </c>
      <c r="AE275" t="s">
        <v>94</v>
      </c>
    </row>
    <row r="276" spans="1:31">
      <c r="A276" t="s">
        <v>267</v>
      </c>
      <c r="B276" t="s">
        <v>1</v>
      </c>
      <c r="C276" t="s">
        <v>68</v>
      </c>
      <c r="D276" s="13" t="str">
        <f>IFERROR(VLOOKUP(C276,ghg_sort!$A$86:$B$512,2,0),0)</f>
        <v>Industry</v>
      </c>
      <c r="E276" t="s">
        <v>89</v>
      </c>
      <c r="F276" s="13">
        <f>IFERROR(VLOOKUP($E276,ghg_sort!$A$3:$B$21,2,0),0)</f>
        <v>0</v>
      </c>
      <c r="G276" s="13">
        <f t="shared" si="46"/>
        <v>0</v>
      </c>
      <c r="H276" s="13">
        <f t="shared" si="47"/>
        <v>0</v>
      </c>
      <c r="I276" s="13">
        <f t="shared" si="48"/>
        <v>0</v>
      </c>
      <c r="J276" s="13">
        <f t="shared" si="49"/>
        <v>0</v>
      </c>
      <c r="K276" s="13">
        <f t="shared" si="50"/>
        <v>0</v>
      </c>
      <c r="L276" s="13">
        <f t="shared" si="51"/>
        <v>0</v>
      </c>
      <c r="M276" s="13">
        <f t="shared" si="52"/>
        <v>0</v>
      </c>
      <c r="N276" s="13">
        <f t="shared" si="53"/>
        <v>0</v>
      </c>
      <c r="O276" s="13">
        <f t="shared" si="54"/>
        <v>0</v>
      </c>
      <c r="P276" s="13">
        <f t="shared" si="55"/>
        <v>0</v>
      </c>
      <c r="Q276" s="13">
        <f t="shared" si="56"/>
        <v>0</v>
      </c>
      <c r="R276" s="13" t="s">
        <v>239</v>
      </c>
      <c r="T276" s="63">
        <v>3.7766999999999998E-4</v>
      </c>
      <c r="U276" s="63">
        <v>6.1704679999999995E-4</v>
      </c>
      <c r="V276" s="63">
        <v>6.0131919999999997E-4</v>
      </c>
      <c r="W276" s="63">
        <v>6.469275E-4</v>
      </c>
      <c r="X276" s="63">
        <v>7.0143899999999901E-4</v>
      </c>
      <c r="Y276" s="63">
        <v>7.6225643000000002E-4</v>
      </c>
      <c r="Z276" s="63">
        <v>8.0089671999999902E-4</v>
      </c>
      <c r="AA276" s="63">
        <v>8.2715191999999896E-4</v>
      </c>
      <c r="AB276" s="63">
        <v>8.2973093999999905E-4</v>
      </c>
      <c r="AC276" s="63">
        <v>8.0131532900000002E-4</v>
      </c>
      <c r="AD276" s="63">
        <v>7.6342691299999905E-4</v>
      </c>
      <c r="AE276" t="s">
        <v>93</v>
      </c>
    </row>
    <row r="277" spans="1:31">
      <c r="A277" t="s">
        <v>267</v>
      </c>
      <c r="B277" t="s">
        <v>1</v>
      </c>
      <c r="C277" t="s">
        <v>68</v>
      </c>
      <c r="D277" s="13" t="str">
        <f>IFERROR(VLOOKUP(C277,ghg_sort!$A$86:$B$512,2,0),0)</f>
        <v>Industry</v>
      </c>
      <c r="E277" t="s">
        <v>90</v>
      </c>
      <c r="F277" s="13">
        <f>IFERROR(VLOOKUP($E277,ghg_sort!$A$3:$B$21,2,0),0)</f>
        <v>0</v>
      </c>
      <c r="G277" s="13">
        <f t="shared" si="46"/>
        <v>0</v>
      </c>
      <c r="H277" s="13">
        <f t="shared" si="47"/>
        <v>0</v>
      </c>
      <c r="I277" s="13">
        <f t="shared" si="48"/>
        <v>0</v>
      </c>
      <c r="J277" s="13">
        <f t="shared" si="49"/>
        <v>0</v>
      </c>
      <c r="K277" s="13">
        <f t="shared" si="50"/>
        <v>0</v>
      </c>
      <c r="L277" s="13">
        <f t="shared" si="51"/>
        <v>0</v>
      </c>
      <c r="M277" s="13">
        <f t="shared" si="52"/>
        <v>0</v>
      </c>
      <c r="N277" s="13">
        <f t="shared" si="53"/>
        <v>0</v>
      </c>
      <c r="O277" s="13">
        <f t="shared" si="54"/>
        <v>0</v>
      </c>
      <c r="P277" s="13">
        <f t="shared" si="55"/>
        <v>0</v>
      </c>
      <c r="Q277" s="13">
        <f t="shared" si="56"/>
        <v>0</v>
      </c>
      <c r="R277" s="13" t="s">
        <v>239</v>
      </c>
      <c r="T277" s="63">
        <v>2.1783999999999901E-2</v>
      </c>
      <c r="U277" s="63">
        <v>2.9009799999999999E-2</v>
      </c>
      <c r="V277" s="63">
        <v>2.9079460000000001E-2</v>
      </c>
      <c r="W277" s="63">
        <v>2.9806840000000001E-2</v>
      </c>
      <c r="X277" s="63">
        <v>2.8585144999999999E-2</v>
      </c>
      <c r="Y277" s="63">
        <v>2.7564721999999899E-2</v>
      </c>
      <c r="Z277" s="62">
        <v>2.7558061999999901E-2</v>
      </c>
      <c r="AA277" s="62">
        <v>2.6872390999999898E-2</v>
      </c>
      <c r="AB277" s="63">
        <v>2.5158703000000001E-2</v>
      </c>
      <c r="AC277" s="63">
        <v>2.32157648E-2</v>
      </c>
      <c r="AD277" s="63">
        <v>2.1196121639999999E-2</v>
      </c>
      <c r="AE277" t="s">
        <v>93</v>
      </c>
    </row>
    <row r="278" spans="1:31">
      <c r="A278" t="s">
        <v>267</v>
      </c>
      <c r="B278" t="s">
        <v>1</v>
      </c>
      <c r="C278" t="s">
        <v>68</v>
      </c>
      <c r="D278" s="13" t="str">
        <f>IFERROR(VLOOKUP(C278,ghg_sort!$A$86:$B$512,2,0),0)</f>
        <v>Industry</v>
      </c>
      <c r="E278" t="s">
        <v>91</v>
      </c>
      <c r="F278" s="13">
        <f>IFERROR(VLOOKUP($E278,ghg_sort!$A$3:$B$21,2,0),0)</f>
        <v>0</v>
      </c>
      <c r="G278" s="13">
        <f t="shared" si="46"/>
        <v>0</v>
      </c>
      <c r="H278" s="13">
        <f t="shared" si="47"/>
        <v>0</v>
      </c>
      <c r="I278" s="13">
        <f t="shared" si="48"/>
        <v>0</v>
      </c>
      <c r="J278" s="13">
        <f t="shared" si="49"/>
        <v>0</v>
      </c>
      <c r="K278" s="13">
        <f t="shared" si="50"/>
        <v>0</v>
      </c>
      <c r="L278" s="13">
        <f t="shared" si="51"/>
        <v>0</v>
      </c>
      <c r="M278" s="13">
        <f t="shared" si="52"/>
        <v>0</v>
      </c>
      <c r="N278" s="13">
        <f t="shared" si="53"/>
        <v>0</v>
      </c>
      <c r="O278" s="13">
        <f t="shared" si="54"/>
        <v>0</v>
      </c>
      <c r="P278" s="13">
        <f t="shared" si="55"/>
        <v>0</v>
      </c>
      <c r="Q278" s="13">
        <f t="shared" si="56"/>
        <v>0</v>
      </c>
      <c r="R278" s="13" t="s">
        <v>239</v>
      </c>
      <c r="T278" s="63">
        <v>5.47614E-3</v>
      </c>
      <c r="U278" s="63">
        <v>1.06E-2</v>
      </c>
      <c r="V278" s="63">
        <v>1.0330000000000001E-2</v>
      </c>
      <c r="W278" s="63">
        <v>1.303E-2</v>
      </c>
      <c r="X278" s="63">
        <v>1.3384796399999999E-2</v>
      </c>
      <c r="Y278" s="63">
        <v>1.38928565E-2</v>
      </c>
      <c r="Z278" s="63">
        <v>1.4521185299999999E-2</v>
      </c>
      <c r="AA278" s="63">
        <v>1.5319127E-2</v>
      </c>
      <c r="AB278" s="63">
        <v>1.6041534699999999E-2</v>
      </c>
      <c r="AC278" s="63">
        <v>1.60271218699999E-2</v>
      </c>
      <c r="AD278" s="63">
        <v>1.574706985E-2</v>
      </c>
      <c r="AE278" t="s">
        <v>93</v>
      </c>
    </row>
    <row r="279" spans="1:31">
      <c r="A279" t="s">
        <v>267</v>
      </c>
      <c r="B279" t="s">
        <v>1</v>
      </c>
      <c r="C279" t="s">
        <v>68</v>
      </c>
      <c r="D279" s="13" t="str">
        <f>IFERROR(VLOOKUP(C279,ghg_sort!$A$86:$B$512,2,0),0)</f>
        <v>Industry</v>
      </c>
      <c r="E279" t="s">
        <v>92</v>
      </c>
      <c r="F279" s="13">
        <f>IFERROR(VLOOKUP($E279,ghg_sort!$A$3:$B$21,2,0),0)</f>
        <v>0</v>
      </c>
      <c r="G279" s="13">
        <f t="shared" si="46"/>
        <v>0</v>
      </c>
      <c r="H279" s="13">
        <f t="shared" si="47"/>
        <v>0</v>
      </c>
      <c r="I279" s="13">
        <f t="shared" si="48"/>
        <v>0</v>
      </c>
      <c r="J279" s="13">
        <f t="shared" si="49"/>
        <v>0</v>
      </c>
      <c r="K279" s="13">
        <f t="shared" si="50"/>
        <v>0</v>
      </c>
      <c r="L279" s="13">
        <f t="shared" si="51"/>
        <v>0</v>
      </c>
      <c r="M279" s="13">
        <f t="shared" si="52"/>
        <v>0</v>
      </c>
      <c r="N279" s="13">
        <f t="shared" si="53"/>
        <v>0</v>
      </c>
      <c r="O279" s="13">
        <f t="shared" si="54"/>
        <v>0</v>
      </c>
      <c r="P279" s="13">
        <f t="shared" si="55"/>
        <v>0</v>
      </c>
      <c r="Q279" s="13">
        <f t="shared" si="56"/>
        <v>0</v>
      </c>
      <c r="R279" s="13" t="s">
        <v>239</v>
      </c>
      <c r="T279" s="62">
        <v>5.3120923E-2</v>
      </c>
      <c r="U279" s="62">
        <v>2.678939801E-2</v>
      </c>
      <c r="V279" s="62">
        <v>2.579146999E-2</v>
      </c>
      <c r="W279" s="62">
        <v>9.7967179999999994E-3</v>
      </c>
      <c r="X279" s="62">
        <v>9.1306706349999992E-3</v>
      </c>
      <c r="Y279" s="62">
        <v>8.6617857419999996E-3</v>
      </c>
      <c r="Z279" s="62">
        <v>8.9758733039999993E-3</v>
      </c>
      <c r="AA279" s="62">
        <v>9.6843881399999894E-3</v>
      </c>
      <c r="AB279" s="62">
        <v>9.6708274919999893E-3</v>
      </c>
      <c r="AC279" s="62">
        <v>8.9587751669999993E-3</v>
      </c>
      <c r="AD279" s="62">
        <v>7.9506445613999992E-3</v>
      </c>
      <c r="AE279" t="s">
        <v>93</v>
      </c>
    </row>
    <row r="280" spans="1:31">
      <c r="A280" t="s">
        <v>267</v>
      </c>
      <c r="B280" t="s">
        <v>1</v>
      </c>
      <c r="C280" t="s">
        <v>62</v>
      </c>
      <c r="D280" s="13" t="str">
        <f>IFERROR(VLOOKUP(C280,ghg_sort!$A$86:$B$512,2,0),0)</f>
        <v>Industry</v>
      </c>
      <c r="E280" t="s">
        <v>83</v>
      </c>
      <c r="F280" s="13">
        <f>IFERROR(VLOOKUP($E280,ghg_sort!$A$3:$B$21,2,0),0)</f>
        <v>0</v>
      </c>
      <c r="G280" s="13">
        <f t="shared" si="46"/>
        <v>0</v>
      </c>
      <c r="H280" s="13">
        <f t="shared" si="47"/>
        <v>0</v>
      </c>
      <c r="I280" s="13">
        <f t="shared" si="48"/>
        <v>0</v>
      </c>
      <c r="J280" s="13">
        <f t="shared" si="49"/>
        <v>0</v>
      </c>
      <c r="K280" s="13">
        <f t="shared" si="50"/>
        <v>0</v>
      </c>
      <c r="L280" s="13">
        <f t="shared" si="51"/>
        <v>0</v>
      </c>
      <c r="M280" s="13">
        <f t="shared" si="52"/>
        <v>0</v>
      </c>
      <c r="N280" s="13">
        <f t="shared" si="53"/>
        <v>0</v>
      </c>
      <c r="O280" s="13">
        <f t="shared" si="54"/>
        <v>0</v>
      </c>
      <c r="P280" s="13">
        <f t="shared" si="55"/>
        <v>0</v>
      </c>
      <c r="Q280" s="13">
        <f t="shared" si="56"/>
        <v>0</v>
      </c>
      <c r="R280" s="13" t="s">
        <v>239</v>
      </c>
      <c r="T280" s="62">
        <v>1.641022E-3</v>
      </c>
      <c r="U280" s="62">
        <v>1.9697930000000001E-3</v>
      </c>
      <c r="V280" s="62">
        <v>2.4512380000000001E-3</v>
      </c>
      <c r="W280" s="62">
        <v>1.8004803999999901E-3</v>
      </c>
      <c r="X280" s="62">
        <v>1.9442446100000001E-3</v>
      </c>
      <c r="Y280" s="62">
        <v>2.3582038609999902E-3</v>
      </c>
      <c r="Z280" s="62">
        <v>2.4799335969999999E-3</v>
      </c>
      <c r="AA280" s="62">
        <v>2.5697372560000002E-3</v>
      </c>
      <c r="AB280" s="62">
        <v>2.6690766799999902E-3</v>
      </c>
      <c r="AC280" s="62">
        <v>2.8028695599999999E-3</v>
      </c>
      <c r="AD280" s="62">
        <v>3.0418600582999898E-3</v>
      </c>
      <c r="AE280" t="s">
        <v>93</v>
      </c>
    </row>
    <row r="281" spans="1:31">
      <c r="A281" t="s">
        <v>267</v>
      </c>
      <c r="B281" t="s">
        <v>1</v>
      </c>
      <c r="C281" t="s">
        <v>62</v>
      </c>
      <c r="D281" s="13" t="str">
        <f>IFERROR(VLOOKUP(C281,ghg_sort!$A$86:$B$512,2,0),0)</f>
        <v>Industry</v>
      </c>
      <c r="E281" t="s">
        <v>84</v>
      </c>
      <c r="F281" s="13">
        <f>IFERROR(VLOOKUP($E281,ghg_sort!$A$3:$B$21,2,0),0)</f>
        <v>25</v>
      </c>
      <c r="G281" s="13">
        <f t="shared" si="46"/>
        <v>8.2500000000000004E-3</v>
      </c>
      <c r="H281" s="13">
        <f t="shared" si="47"/>
        <v>7.7499999999999999E-3</v>
      </c>
      <c r="I281" s="13">
        <f t="shared" si="48"/>
        <v>1.4750000000000001E-2</v>
      </c>
      <c r="J281" s="13">
        <f t="shared" si="49"/>
        <v>0.02</v>
      </c>
      <c r="K281" s="13">
        <f t="shared" si="50"/>
        <v>2.1404445750000001E-2</v>
      </c>
      <c r="L281" s="13">
        <f t="shared" si="51"/>
        <v>2.5748427699999746E-2</v>
      </c>
      <c r="M281" s="13">
        <f t="shared" si="52"/>
        <v>2.7063532825E-2</v>
      </c>
      <c r="N281" s="13">
        <f t="shared" si="53"/>
        <v>2.8035208199999998E-2</v>
      </c>
      <c r="O281" s="13">
        <f t="shared" si="54"/>
        <v>2.9109930974999747E-2</v>
      </c>
      <c r="P281" s="13">
        <f t="shared" si="55"/>
        <v>3.0574417000000003E-2</v>
      </c>
      <c r="Q281" s="13">
        <f t="shared" si="56"/>
        <v>3.3228071937499999E-2</v>
      </c>
      <c r="R281" s="13" t="s">
        <v>239</v>
      </c>
      <c r="T281" s="63">
        <v>3.3E-4</v>
      </c>
      <c r="U281" s="63">
        <v>3.1E-4</v>
      </c>
      <c r="V281" s="63">
        <v>5.9000000000000003E-4</v>
      </c>
      <c r="W281" s="63">
        <v>8.0000000000000004E-4</v>
      </c>
      <c r="X281" s="63">
        <v>8.5617783E-4</v>
      </c>
      <c r="Y281" s="63">
        <v>1.0299371079999899E-3</v>
      </c>
      <c r="Z281" s="63">
        <v>1.0825413130000001E-3</v>
      </c>
      <c r="AA281" s="63">
        <v>1.1214083279999999E-3</v>
      </c>
      <c r="AB281" s="63">
        <v>1.1643972389999899E-3</v>
      </c>
      <c r="AC281" s="63">
        <v>1.2229766800000001E-3</v>
      </c>
      <c r="AD281" s="63">
        <v>1.3291228775E-3</v>
      </c>
      <c r="AE281" t="s">
        <v>93</v>
      </c>
    </row>
    <row r="282" spans="1:31">
      <c r="A282" t="s">
        <v>267</v>
      </c>
      <c r="B282" t="s">
        <v>1</v>
      </c>
      <c r="C282" t="s">
        <v>62</v>
      </c>
      <c r="D282" s="13" t="str">
        <f>IFERROR(VLOOKUP(C282,ghg_sort!$A$86:$B$512,2,0),0)</f>
        <v>Industry</v>
      </c>
      <c r="E282" t="s">
        <v>85</v>
      </c>
      <c r="F282" s="13">
        <f>IFERROR(VLOOKUP($E282,ghg_sort!$A$3:$B$21,2,0),0)</f>
        <v>0</v>
      </c>
      <c r="G282" s="13">
        <f t="shared" si="46"/>
        <v>0</v>
      </c>
      <c r="H282" s="13">
        <f t="shared" si="47"/>
        <v>0</v>
      </c>
      <c r="I282" s="13">
        <f t="shared" si="48"/>
        <v>0</v>
      </c>
      <c r="J282" s="13">
        <f t="shared" si="49"/>
        <v>0</v>
      </c>
      <c r="K282" s="13">
        <f t="shared" si="50"/>
        <v>0</v>
      </c>
      <c r="L282" s="13">
        <f t="shared" si="51"/>
        <v>0</v>
      </c>
      <c r="M282" s="13">
        <f t="shared" si="52"/>
        <v>0</v>
      </c>
      <c r="N282" s="13">
        <f t="shared" si="53"/>
        <v>0</v>
      </c>
      <c r="O282" s="13">
        <f t="shared" si="54"/>
        <v>0</v>
      </c>
      <c r="P282" s="13">
        <f t="shared" si="55"/>
        <v>0</v>
      </c>
      <c r="Q282" s="13">
        <f t="shared" si="56"/>
        <v>0</v>
      </c>
      <c r="R282" s="13" t="s">
        <v>239</v>
      </c>
      <c r="T282" s="62">
        <v>2.5599999999999898E-3</v>
      </c>
      <c r="U282" s="62">
        <v>2.8999999999999998E-3</v>
      </c>
      <c r="V282" s="62">
        <v>3.0000000000000001E-3</v>
      </c>
      <c r="W282" s="62">
        <v>3.5500000000000002E-3</v>
      </c>
      <c r="X282" s="62">
        <v>3.8124559000000001E-3</v>
      </c>
      <c r="Y282" s="62">
        <v>4.6455552699999998E-3</v>
      </c>
      <c r="Z282" s="62">
        <v>4.90785272999999E-3</v>
      </c>
      <c r="AA282" s="62">
        <v>5.08924219E-3</v>
      </c>
      <c r="AB282" s="62">
        <v>5.2429369899999996E-3</v>
      </c>
      <c r="AC282" s="62">
        <v>5.3821348689999998E-3</v>
      </c>
      <c r="AD282" s="62">
        <v>5.5191039980000004E-3</v>
      </c>
      <c r="AE282" t="s">
        <v>93</v>
      </c>
    </row>
    <row r="283" spans="1:31">
      <c r="A283" t="s">
        <v>267</v>
      </c>
      <c r="B283" t="s">
        <v>1</v>
      </c>
      <c r="C283" t="s">
        <v>62</v>
      </c>
      <c r="D283" s="13" t="str">
        <f>IFERROR(VLOOKUP(C283,ghg_sort!$A$86:$B$512,2,0),0)</f>
        <v>Industry</v>
      </c>
      <c r="E283" t="s">
        <v>86</v>
      </c>
      <c r="F283" s="13">
        <f>IFERROR(VLOOKUP($E283,ghg_sort!$A$3:$B$21,2,0),0)</f>
        <v>3.6666666666666701</v>
      </c>
      <c r="G283" s="13">
        <f t="shared" si="46"/>
        <v>12.873380666666678</v>
      </c>
      <c r="H283" s="13">
        <f t="shared" si="47"/>
        <v>16.699056000000013</v>
      </c>
      <c r="I283" s="13">
        <f t="shared" si="48"/>
        <v>16.31306233333331</v>
      </c>
      <c r="J283" s="13">
        <f t="shared" si="49"/>
        <v>16.352640333333348</v>
      </c>
      <c r="K283" s="13">
        <f t="shared" si="50"/>
        <v>17.293281133333352</v>
      </c>
      <c r="L283" s="13">
        <f t="shared" si="51"/>
        <v>20.811319466666685</v>
      </c>
      <c r="M283" s="13">
        <f t="shared" si="52"/>
        <v>21.98840721000002</v>
      </c>
      <c r="N283" s="13">
        <f t="shared" si="53"/>
        <v>22.793456986666687</v>
      </c>
      <c r="O283" s="13">
        <f t="shared" si="54"/>
        <v>23.430990366666652</v>
      </c>
      <c r="P283" s="13">
        <f t="shared" si="55"/>
        <v>23.946680413333358</v>
      </c>
      <c r="Q283" s="13">
        <f t="shared" si="56"/>
        <v>24.315821819666692</v>
      </c>
      <c r="R283" s="13" t="s">
        <v>239</v>
      </c>
      <c r="T283" s="63">
        <v>3.5109219999999999</v>
      </c>
      <c r="U283" s="63">
        <v>4.5542879999999997</v>
      </c>
      <c r="V283" s="63">
        <v>4.4490169999999898</v>
      </c>
      <c r="W283" s="63">
        <v>4.4598110000000002</v>
      </c>
      <c r="X283" s="63">
        <v>4.7163494000000004</v>
      </c>
      <c r="Y283" s="63">
        <v>5.6758144000000001</v>
      </c>
      <c r="Z283" s="63">
        <v>5.9968383300000001</v>
      </c>
      <c r="AA283" s="63">
        <v>6.2163973600000002</v>
      </c>
      <c r="AB283" s="63">
        <v>6.3902700999999897</v>
      </c>
      <c r="AC283" s="63">
        <v>6.5309128400000001</v>
      </c>
      <c r="AD283" s="63">
        <v>6.6315877690000002</v>
      </c>
      <c r="AE283" t="s">
        <v>93</v>
      </c>
    </row>
    <row r="284" spans="1:31">
      <c r="A284" t="s">
        <v>267</v>
      </c>
      <c r="B284" t="s">
        <v>1</v>
      </c>
      <c r="C284" t="s">
        <v>62</v>
      </c>
      <c r="D284" s="13" t="str">
        <f>IFERROR(VLOOKUP(C284,ghg_sort!$A$86:$B$512,2,0),0)</f>
        <v>Industry</v>
      </c>
      <c r="E284" t="s">
        <v>87</v>
      </c>
      <c r="F284" s="13">
        <f>IFERROR(VLOOKUP($E284,ghg_sort!$A$3:$B$21,2,0),0)</f>
        <v>298</v>
      </c>
      <c r="G284" s="13">
        <f t="shared" si="46"/>
        <v>3.8739999999999997E-2</v>
      </c>
      <c r="H284" s="13">
        <f t="shared" si="47"/>
        <v>6.8539999999999698E-2</v>
      </c>
      <c r="I284" s="13">
        <f t="shared" si="48"/>
        <v>8.9399999999999993E-2</v>
      </c>
      <c r="J284" s="13">
        <f t="shared" si="49"/>
        <v>0.10132000000000001</v>
      </c>
      <c r="K284" s="13">
        <f t="shared" si="50"/>
        <v>0.10934457380000001</v>
      </c>
      <c r="L284" s="13">
        <f t="shared" si="51"/>
        <v>0.13300937185199971</v>
      </c>
      <c r="M284" s="13">
        <f t="shared" si="52"/>
        <v>0.14011623289799971</v>
      </c>
      <c r="N284" s="13">
        <f t="shared" si="53"/>
        <v>0.1452343058352</v>
      </c>
      <c r="O284" s="13">
        <f t="shared" si="54"/>
        <v>0.1504150038896</v>
      </c>
      <c r="P284" s="13">
        <f t="shared" si="55"/>
        <v>0.15668529245600002</v>
      </c>
      <c r="Q284" s="13">
        <f t="shared" si="56"/>
        <v>0.16671303158339998</v>
      </c>
      <c r="R284" s="13" t="s">
        <v>239</v>
      </c>
      <c r="T284" s="63">
        <v>1.2999999999999999E-4</v>
      </c>
      <c r="U284" s="63">
        <v>2.29999999999999E-4</v>
      </c>
      <c r="V284" s="63">
        <v>2.9999999999999997E-4</v>
      </c>
      <c r="W284" s="63">
        <v>3.4000000000000002E-4</v>
      </c>
      <c r="X284" s="63">
        <v>3.6692810000000001E-4</v>
      </c>
      <c r="Y284" s="63">
        <v>4.4634017399999902E-4</v>
      </c>
      <c r="Z284" s="63">
        <v>4.7018870099999901E-4</v>
      </c>
      <c r="AA284" s="63">
        <v>4.8736344239999998E-4</v>
      </c>
      <c r="AB284" s="63">
        <v>5.0474833519999999E-4</v>
      </c>
      <c r="AC284" s="63">
        <v>5.2578957200000002E-4</v>
      </c>
      <c r="AD284" s="63">
        <v>5.5943970329999995E-4</v>
      </c>
      <c r="AE284" t="s">
        <v>93</v>
      </c>
    </row>
    <row r="285" spans="1:31">
      <c r="A285" t="s">
        <v>267</v>
      </c>
      <c r="B285" t="s">
        <v>1</v>
      </c>
      <c r="C285" t="s">
        <v>62</v>
      </c>
      <c r="D285" s="13" t="str">
        <f>IFERROR(VLOOKUP(C285,ghg_sort!$A$86:$B$512,2,0),0)</f>
        <v>Industry</v>
      </c>
      <c r="E285" s="12" t="s">
        <v>88</v>
      </c>
      <c r="F285" s="13">
        <f>IFERROR(VLOOKUP($E285,ghg_sort!$A$3:$B$21,2,0),0)</f>
        <v>0</v>
      </c>
      <c r="G285" s="13">
        <f t="shared" si="46"/>
        <v>0</v>
      </c>
      <c r="H285" s="13">
        <f t="shared" si="47"/>
        <v>0</v>
      </c>
      <c r="I285" s="13">
        <f t="shared" si="48"/>
        <v>0</v>
      </c>
      <c r="J285" s="13">
        <f t="shared" si="49"/>
        <v>0</v>
      </c>
      <c r="K285" s="13">
        <f t="shared" si="50"/>
        <v>0</v>
      </c>
      <c r="L285" s="13">
        <f t="shared" si="51"/>
        <v>0</v>
      </c>
      <c r="M285" s="13">
        <f t="shared" si="52"/>
        <v>0</v>
      </c>
      <c r="N285" s="13">
        <f t="shared" si="53"/>
        <v>0</v>
      </c>
      <c r="O285" s="13">
        <f t="shared" si="54"/>
        <v>0</v>
      </c>
      <c r="P285" s="13">
        <f t="shared" si="55"/>
        <v>0</v>
      </c>
      <c r="Q285" s="13">
        <f t="shared" si="56"/>
        <v>0</v>
      </c>
      <c r="R285" s="13" t="s">
        <v>239</v>
      </c>
      <c r="T285" s="63">
        <v>6.0000000000000002E-5</v>
      </c>
      <c r="U285" s="63">
        <v>2.1000000000000001E-4</v>
      </c>
      <c r="V285" s="63">
        <v>2.9E-4</v>
      </c>
      <c r="W285" s="63">
        <v>4.0000000000000002E-4</v>
      </c>
      <c r="X285" s="63">
        <v>4.0910100999999902E-4</v>
      </c>
      <c r="Y285" s="63">
        <v>4.7001224999999999E-4</v>
      </c>
      <c r="Z285" s="63">
        <v>4.9212223400000004E-4</v>
      </c>
      <c r="AA285" s="63">
        <v>5.0886493699999998E-4</v>
      </c>
      <c r="AB285" s="63">
        <v>5.2831081300000005E-4</v>
      </c>
      <c r="AC285" s="63">
        <v>5.5792237699999999E-4</v>
      </c>
      <c r="AD285" s="63">
        <v>6.1762006069999997E-4</v>
      </c>
      <c r="AE285" t="s">
        <v>94</v>
      </c>
    </row>
    <row r="286" spans="1:31">
      <c r="A286" t="s">
        <v>267</v>
      </c>
      <c r="B286" t="s">
        <v>1</v>
      </c>
      <c r="C286" t="s">
        <v>62</v>
      </c>
      <c r="D286" s="13" t="str">
        <f>IFERROR(VLOOKUP(C286,ghg_sort!$A$86:$B$512,2,0),0)</f>
        <v>Industry</v>
      </c>
      <c r="E286" t="s">
        <v>89</v>
      </c>
      <c r="F286" s="13">
        <f>IFERROR(VLOOKUP($E286,ghg_sort!$A$3:$B$21,2,0),0)</f>
        <v>0</v>
      </c>
      <c r="G286" s="13">
        <f t="shared" si="46"/>
        <v>0</v>
      </c>
      <c r="H286" s="13">
        <f t="shared" si="47"/>
        <v>0</v>
      </c>
      <c r="I286" s="13">
        <f t="shared" si="48"/>
        <v>0</v>
      </c>
      <c r="J286" s="13">
        <f t="shared" si="49"/>
        <v>0</v>
      </c>
      <c r="K286" s="13">
        <f t="shared" si="50"/>
        <v>0</v>
      </c>
      <c r="L286" s="13">
        <f t="shared" si="51"/>
        <v>0</v>
      </c>
      <c r="M286" s="13">
        <f t="shared" si="52"/>
        <v>0</v>
      </c>
      <c r="N286" s="13">
        <f t="shared" si="53"/>
        <v>0</v>
      </c>
      <c r="O286" s="13">
        <f t="shared" si="54"/>
        <v>0</v>
      </c>
      <c r="P286" s="13">
        <f t="shared" si="55"/>
        <v>0</v>
      </c>
      <c r="Q286" s="13">
        <f t="shared" si="56"/>
        <v>0</v>
      </c>
      <c r="R286" s="13" t="s">
        <v>239</v>
      </c>
      <c r="T286" s="63">
        <v>5.1000000000000004E-4</v>
      </c>
      <c r="U286" s="63">
        <v>4.8000000000000001E-4</v>
      </c>
      <c r="V286" s="63">
        <v>6.3000000000000003E-4</v>
      </c>
      <c r="W286" s="63">
        <v>6.0999999999999997E-4</v>
      </c>
      <c r="X286" s="63">
        <v>6.5857339000000004E-4</v>
      </c>
      <c r="Y286" s="63">
        <v>8.0263613700000001E-4</v>
      </c>
      <c r="Z286" s="63">
        <v>8.4620731299999905E-4</v>
      </c>
      <c r="AA286" s="63">
        <v>8.7725198899999996E-4</v>
      </c>
      <c r="AB286" s="63">
        <v>9.0739638899999995E-4</v>
      </c>
      <c r="AC286" s="63">
        <v>9.4178134689999998E-4</v>
      </c>
      <c r="AD286" s="63">
        <v>9.9287356779999996E-4</v>
      </c>
      <c r="AE286" t="s">
        <v>93</v>
      </c>
    </row>
    <row r="287" spans="1:31">
      <c r="A287" t="s">
        <v>267</v>
      </c>
      <c r="B287" t="s">
        <v>1</v>
      </c>
      <c r="C287" t="s">
        <v>62</v>
      </c>
      <c r="D287" s="13" t="str">
        <f>IFERROR(VLOOKUP(C287,ghg_sort!$A$86:$B$512,2,0),0)</f>
        <v>Industry</v>
      </c>
      <c r="E287" t="s">
        <v>90</v>
      </c>
      <c r="F287" s="13">
        <f>IFERROR(VLOOKUP($E287,ghg_sort!$A$3:$B$21,2,0),0)</f>
        <v>0</v>
      </c>
      <c r="G287" s="13">
        <f t="shared" si="46"/>
        <v>0</v>
      </c>
      <c r="H287" s="13">
        <f t="shared" si="47"/>
        <v>0</v>
      </c>
      <c r="I287" s="13">
        <f t="shared" si="48"/>
        <v>0</v>
      </c>
      <c r="J287" s="13">
        <f t="shared" si="49"/>
        <v>0</v>
      </c>
      <c r="K287" s="13">
        <f t="shared" si="50"/>
        <v>0</v>
      </c>
      <c r="L287" s="13">
        <f t="shared" si="51"/>
        <v>0</v>
      </c>
      <c r="M287" s="13">
        <f t="shared" si="52"/>
        <v>0</v>
      </c>
      <c r="N287" s="13">
        <f t="shared" si="53"/>
        <v>0</v>
      </c>
      <c r="O287" s="13">
        <f t="shared" si="54"/>
        <v>0</v>
      </c>
      <c r="P287" s="13">
        <f t="shared" si="55"/>
        <v>0</v>
      </c>
      <c r="Q287" s="13">
        <f t="shared" si="56"/>
        <v>0</v>
      </c>
      <c r="R287" s="13" t="s">
        <v>239</v>
      </c>
      <c r="T287" s="63">
        <v>2.8250000000000001E-2</v>
      </c>
      <c r="U287" s="63">
        <v>2.247E-2</v>
      </c>
      <c r="V287" s="63">
        <v>2.7179999999999999E-2</v>
      </c>
      <c r="W287" s="63">
        <v>2.648E-2</v>
      </c>
      <c r="X287" s="63">
        <v>2.7673430999999998E-2</v>
      </c>
      <c r="Y287" s="63">
        <v>3.2933746899999998E-2</v>
      </c>
      <c r="Z287" s="63">
        <v>3.47755675E-2</v>
      </c>
      <c r="AA287" s="63">
        <v>3.6034764799999897E-2</v>
      </c>
      <c r="AB287" s="63">
        <v>3.7018863899999997E-2</v>
      </c>
      <c r="AC287" s="63">
        <v>3.7819695299999997E-2</v>
      </c>
      <c r="AD287" s="63">
        <v>3.8423750569999901E-2</v>
      </c>
      <c r="AE287" t="s">
        <v>93</v>
      </c>
    </row>
    <row r="288" spans="1:31">
      <c r="A288" t="s">
        <v>267</v>
      </c>
      <c r="B288" t="s">
        <v>1</v>
      </c>
      <c r="C288" t="s">
        <v>62</v>
      </c>
      <c r="D288" s="13" t="str">
        <f>IFERROR(VLOOKUP(C288,ghg_sort!$A$86:$B$512,2,0),0)</f>
        <v>Industry</v>
      </c>
      <c r="E288" t="s">
        <v>91</v>
      </c>
      <c r="F288" s="13">
        <f>IFERROR(VLOOKUP($E288,ghg_sort!$A$3:$B$21,2,0),0)</f>
        <v>0</v>
      </c>
      <c r="G288" s="13">
        <f t="shared" si="46"/>
        <v>0</v>
      </c>
      <c r="H288" s="13">
        <f t="shared" si="47"/>
        <v>0</v>
      </c>
      <c r="I288" s="13">
        <f t="shared" si="48"/>
        <v>0</v>
      </c>
      <c r="J288" s="13">
        <f t="shared" si="49"/>
        <v>0</v>
      </c>
      <c r="K288" s="13">
        <f t="shared" si="50"/>
        <v>0</v>
      </c>
      <c r="L288" s="13">
        <f t="shared" si="51"/>
        <v>0</v>
      </c>
      <c r="M288" s="13">
        <f t="shared" si="52"/>
        <v>0</v>
      </c>
      <c r="N288" s="13">
        <f t="shared" si="53"/>
        <v>0</v>
      </c>
      <c r="O288" s="13">
        <f t="shared" si="54"/>
        <v>0</v>
      </c>
      <c r="P288" s="13">
        <f t="shared" si="55"/>
        <v>0</v>
      </c>
      <c r="Q288" s="13">
        <f t="shared" si="56"/>
        <v>0</v>
      </c>
      <c r="R288" s="13" t="s">
        <v>239</v>
      </c>
      <c r="T288" s="63">
        <v>9.8999999999999999E-4</v>
      </c>
      <c r="U288" s="63">
        <v>3.8700000000000002E-3</v>
      </c>
      <c r="V288" s="63">
        <v>6.8500000000000002E-3</v>
      </c>
      <c r="W288" s="63">
        <v>7.4900000000000001E-3</v>
      </c>
      <c r="X288" s="63">
        <v>8.0504475799999895E-3</v>
      </c>
      <c r="Y288" s="63">
        <v>9.6436183499999904E-3</v>
      </c>
      <c r="Z288" s="63">
        <v>1.00960646339999E-2</v>
      </c>
      <c r="AA288" s="63">
        <v>1.0451947607E-2</v>
      </c>
      <c r="AB288" s="63">
        <v>1.0928796833E-2</v>
      </c>
      <c r="AC288" s="63">
        <v>1.1697897707000001E-2</v>
      </c>
      <c r="AD288" s="63">
        <v>1.32843842747E-2</v>
      </c>
      <c r="AE288" t="s">
        <v>93</v>
      </c>
    </row>
    <row r="289" spans="1:31">
      <c r="A289" t="s">
        <v>267</v>
      </c>
      <c r="B289" t="s">
        <v>1</v>
      </c>
      <c r="C289" t="s">
        <v>62</v>
      </c>
      <c r="D289" s="13" t="str">
        <f>IFERROR(VLOOKUP(C289,ghg_sort!$A$86:$B$512,2,0),0)</f>
        <v>Industry</v>
      </c>
      <c r="E289" t="s">
        <v>92</v>
      </c>
      <c r="F289" s="13">
        <f>IFERROR(VLOOKUP($E289,ghg_sort!$A$3:$B$21,2,0),0)</f>
        <v>0</v>
      </c>
      <c r="G289" s="13">
        <f t="shared" si="46"/>
        <v>0</v>
      </c>
      <c r="H289" s="13">
        <f t="shared" si="47"/>
        <v>0</v>
      </c>
      <c r="I289" s="13">
        <f t="shared" si="48"/>
        <v>0</v>
      </c>
      <c r="J289" s="13">
        <f t="shared" si="49"/>
        <v>0</v>
      </c>
      <c r="K289" s="13">
        <f t="shared" si="50"/>
        <v>0</v>
      </c>
      <c r="L289" s="13">
        <f t="shared" si="51"/>
        <v>0</v>
      </c>
      <c r="M289" s="13">
        <f t="shared" si="52"/>
        <v>0</v>
      </c>
      <c r="N289" s="13">
        <f t="shared" si="53"/>
        <v>0</v>
      </c>
      <c r="O289" s="13">
        <f t="shared" si="54"/>
        <v>0</v>
      </c>
      <c r="P289" s="13">
        <f t="shared" si="55"/>
        <v>0</v>
      </c>
      <c r="Q289" s="13">
        <f t="shared" si="56"/>
        <v>0</v>
      </c>
      <c r="R289" s="13" t="s">
        <v>239</v>
      </c>
      <c r="T289" s="62">
        <v>4.1904299999999998E-2</v>
      </c>
      <c r="U289" s="62">
        <v>1.4207047E-2</v>
      </c>
      <c r="V289" s="62">
        <v>1.4668392000000001E-2</v>
      </c>
      <c r="W289" s="62">
        <v>8.2818229999999902E-3</v>
      </c>
      <c r="X289" s="62">
        <v>8.9319602000000001E-3</v>
      </c>
      <c r="Y289" s="62">
        <v>1.0997795499999999E-2</v>
      </c>
      <c r="Z289" s="62">
        <v>1.16596839399999E-2</v>
      </c>
      <c r="AA289" s="62">
        <v>1.2099445699999999E-2</v>
      </c>
      <c r="AB289" s="62">
        <v>1.24004878699999E-2</v>
      </c>
      <c r="AC289" s="62">
        <v>1.253155974E-2</v>
      </c>
      <c r="AD289" s="62">
        <v>1.2310315447E-2</v>
      </c>
      <c r="AE289" t="s">
        <v>93</v>
      </c>
    </row>
    <row r="290" spans="1:31">
      <c r="A290" t="s">
        <v>267</v>
      </c>
      <c r="B290" t="s">
        <v>1</v>
      </c>
      <c r="C290" t="s">
        <v>148</v>
      </c>
      <c r="D290" s="13" t="str">
        <f>IFERROR(VLOOKUP(C290,ghg_sort!$A$86:$B$512,2,0),0)</f>
        <v>Industry</v>
      </c>
      <c r="E290" t="s">
        <v>84</v>
      </c>
      <c r="F290" s="13">
        <f>IFERROR(VLOOKUP($E290,ghg_sort!$A$3:$B$21,2,0),0)</f>
        <v>25</v>
      </c>
      <c r="G290" s="13">
        <f t="shared" si="46"/>
        <v>0</v>
      </c>
      <c r="H290" s="13">
        <f t="shared" si="47"/>
        <v>0</v>
      </c>
      <c r="I290" s="13">
        <f t="shared" si="48"/>
        <v>0</v>
      </c>
      <c r="J290" s="13">
        <f t="shared" si="49"/>
        <v>0</v>
      </c>
      <c r="K290" s="13">
        <f t="shared" si="50"/>
        <v>3.2503500000000005E-5</v>
      </c>
      <c r="L290" s="13">
        <f t="shared" si="51"/>
        <v>7.8259782499999996E-4</v>
      </c>
      <c r="M290" s="13">
        <f t="shared" si="52"/>
        <v>1.2744880500000001E-3</v>
      </c>
      <c r="N290" s="13">
        <f t="shared" si="53"/>
        <v>2.8302741999999752E-3</v>
      </c>
      <c r="O290" s="13">
        <f t="shared" si="54"/>
        <v>7.5633571749999743E-3</v>
      </c>
      <c r="P290" s="13">
        <f t="shared" si="55"/>
        <v>1.7896353924999997E-2</v>
      </c>
      <c r="Q290" s="13">
        <f t="shared" si="56"/>
        <v>3.0804281475E-2</v>
      </c>
      <c r="R290" s="13" t="s">
        <v>239</v>
      </c>
      <c r="T290" s="63">
        <v>0</v>
      </c>
      <c r="U290" s="62">
        <v>0</v>
      </c>
      <c r="V290" s="62">
        <v>0</v>
      </c>
      <c r="W290" s="62">
        <v>0</v>
      </c>
      <c r="X290" s="63">
        <v>1.3001400000000001E-6</v>
      </c>
      <c r="Y290" s="63">
        <v>3.1303912999999999E-5</v>
      </c>
      <c r="Z290" s="63">
        <v>5.0979522000000002E-5</v>
      </c>
      <c r="AA290" s="63">
        <v>1.13210967999999E-4</v>
      </c>
      <c r="AB290" s="63">
        <v>3.0253428699999899E-4</v>
      </c>
      <c r="AC290" s="63">
        <v>7.1585415699999995E-4</v>
      </c>
      <c r="AD290" s="63">
        <v>1.2321712590000001E-3</v>
      </c>
      <c r="AE290" t="s">
        <v>93</v>
      </c>
    </row>
    <row r="291" spans="1:31">
      <c r="A291" t="s">
        <v>267</v>
      </c>
      <c r="B291" t="s">
        <v>1</v>
      </c>
      <c r="C291" t="s">
        <v>148</v>
      </c>
      <c r="D291" s="13" t="str">
        <f>IFERROR(VLOOKUP(C291,ghg_sort!$A$86:$B$512,2,0),0)</f>
        <v>Industry</v>
      </c>
      <c r="E291" t="s">
        <v>85</v>
      </c>
      <c r="F291" s="13">
        <f>IFERROR(VLOOKUP($E291,ghg_sort!$A$3:$B$21,2,0),0)</f>
        <v>0</v>
      </c>
      <c r="G291" s="13">
        <f t="shared" si="46"/>
        <v>0</v>
      </c>
      <c r="H291" s="13">
        <f t="shared" si="47"/>
        <v>0</v>
      </c>
      <c r="I291" s="13">
        <f t="shared" si="48"/>
        <v>0</v>
      </c>
      <c r="J291" s="13">
        <f t="shared" si="49"/>
        <v>0</v>
      </c>
      <c r="K291" s="13">
        <f t="shared" si="50"/>
        <v>0</v>
      </c>
      <c r="L291" s="13">
        <f t="shared" si="51"/>
        <v>0</v>
      </c>
      <c r="M291" s="13">
        <f t="shared" si="52"/>
        <v>0</v>
      </c>
      <c r="N291" s="13">
        <f t="shared" si="53"/>
        <v>0</v>
      </c>
      <c r="O291" s="13">
        <f t="shared" si="54"/>
        <v>0</v>
      </c>
      <c r="P291" s="13">
        <f t="shared" si="55"/>
        <v>0</v>
      </c>
      <c r="Q291" s="13">
        <f t="shared" si="56"/>
        <v>0</v>
      </c>
      <c r="R291" s="13" t="s">
        <v>239</v>
      </c>
      <c r="T291" s="62">
        <v>0</v>
      </c>
      <c r="U291" s="63">
        <v>4.7470700000000003E-6</v>
      </c>
      <c r="V291" s="63">
        <v>1.4369400000000001E-4</v>
      </c>
      <c r="W291" s="63">
        <v>1.80371E-4</v>
      </c>
      <c r="X291" s="63">
        <v>1.6348013E-4</v>
      </c>
      <c r="Y291" s="63">
        <v>1.7249213999999901E-4</v>
      </c>
      <c r="Z291" s="63">
        <v>1.6933008000000001E-4</v>
      </c>
      <c r="AA291" s="63">
        <v>2.2329996E-4</v>
      </c>
      <c r="AB291" s="63">
        <v>4.2779908999999999E-4</v>
      </c>
      <c r="AC291" s="63">
        <v>8.5152701999999995E-4</v>
      </c>
      <c r="AD291" s="63">
        <v>1.2905339859999999E-3</v>
      </c>
      <c r="AE291" t="s">
        <v>93</v>
      </c>
    </row>
    <row r="292" spans="1:31">
      <c r="A292" t="s">
        <v>267</v>
      </c>
      <c r="B292" t="s">
        <v>1</v>
      </c>
      <c r="C292" t="s">
        <v>148</v>
      </c>
      <c r="D292" s="13" t="str">
        <f>IFERROR(VLOOKUP(C292,ghg_sort!$A$86:$B$512,2,0),0)</f>
        <v>Industry</v>
      </c>
      <c r="E292" t="s">
        <v>86</v>
      </c>
      <c r="F292" s="13">
        <f>IFERROR(VLOOKUP($E292,ghg_sort!$A$3:$B$21,2,0),0)</f>
        <v>3.6666666666666701</v>
      </c>
      <c r="G292" s="13">
        <f t="shared" si="46"/>
        <v>2.0245353333333354</v>
      </c>
      <c r="H292" s="13">
        <f t="shared" si="47"/>
        <v>15.067455249000014</v>
      </c>
      <c r="I292" s="13">
        <f t="shared" si="48"/>
        <v>21.247477166666684</v>
      </c>
      <c r="J292" s="13">
        <f t="shared" si="49"/>
        <v>31.439373533333363</v>
      </c>
      <c r="K292" s="13">
        <f t="shared" si="50"/>
        <v>30.542395546666658</v>
      </c>
      <c r="L292" s="13">
        <f t="shared" si="51"/>
        <v>32.314881316666693</v>
      </c>
      <c r="M292" s="13">
        <f t="shared" si="52"/>
        <v>32.344632649999994</v>
      </c>
      <c r="N292" s="13">
        <f t="shared" si="53"/>
        <v>32.291198353333364</v>
      </c>
      <c r="O292" s="13">
        <f t="shared" si="54"/>
        <v>33.808390880000026</v>
      </c>
      <c r="P292" s="13">
        <f t="shared" si="55"/>
        <v>37.978100490000038</v>
      </c>
      <c r="Q292" s="13">
        <f t="shared" si="56"/>
        <v>43.809394530000041</v>
      </c>
      <c r="R292" s="13" t="s">
        <v>239</v>
      </c>
      <c r="T292" s="62">
        <v>0.55214600000000003</v>
      </c>
      <c r="U292" s="62">
        <v>4.109305977</v>
      </c>
      <c r="V292" s="62">
        <v>5.7947664999999997</v>
      </c>
      <c r="W292" s="62">
        <v>8.5743746000000005</v>
      </c>
      <c r="X292" s="63">
        <v>8.3297442399999895</v>
      </c>
      <c r="Y292" s="63">
        <v>8.8131494499999992</v>
      </c>
      <c r="Z292" s="63">
        <v>8.8212634499999893</v>
      </c>
      <c r="AA292" s="63">
        <v>8.8066904600000004</v>
      </c>
      <c r="AB292" s="63">
        <v>9.2204702399999992</v>
      </c>
      <c r="AC292" s="63">
        <v>10.35766377</v>
      </c>
      <c r="AD292" s="62">
        <v>11.948016689999999</v>
      </c>
      <c r="AE292" t="s">
        <v>93</v>
      </c>
    </row>
    <row r="293" spans="1:31">
      <c r="A293" t="s">
        <v>267</v>
      </c>
      <c r="B293" t="s">
        <v>1</v>
      </c>
      <c r="C293" t="s">
        <v>148</v>
      </c>
      <c r="D293" s="13" t="str">
        <f>IFERROR(VLOOKUP(C293,ghg_sort!$A$86:$B$512,2,0),0)</f>
        <v>Industry</v>
      </c>
      <c r="E293" t="s">
        <v>87</v>
      </c>
      <c r="F293" s="13">
        <f>IFERROR(VLOOKUP($E293,ghg_sort!$A$3:$B$21,2,0),0)</f>
        <v>298</v>
      </c>
      <c r="G293" s="13">
        <f t="shared" si="46"/>
        <v>0</v>
      </c>
      <c r="H293" s="13">
        <f t="shared" si="47"/>
        <v>1.4146268599999999E-5</v>
      </c>
      <c r="I293" s="13">
        <f t="shared" si="48"/>
        <v>4.2820812000000003E-4</v>
      </c>
      <c r="J293" s="13">
        <f t="shared" si="49"/>
        <v>5.3750558000000004E-4</v>
      </c>
      <c r="K293" s="13">
        <f t="shared" si="50"/>
        <v>7.0775882079999997E-4</v>
      </c>
      <c r="L293" s="13">
        <f t="shared" si="51"/>
        <v>1.2262520008E-3</v>
      </c>
      <c r="M293" s="13">
        <f t="shared" si="52"/>
        <v>1.4939548473999998E-3</v>
      </c>
      <c r="N293" s="13">
        <f t="shared" si="53"/>
        <v>2.3253675762000001E-3</v>
      </c>
      <c r="O293" s="13">
        <f t="shared" si="54"/>
        <v>5.1200475745999995E-3</v>
      </c>
      <c r="P293" s="13">
        <f t="shared" si="55"/>
        <v>1.09159790258E-2</v>
      </c>
      <c r="Q293" s="13">
        <f t="shared" si="56"/>
        <v>1.8055257644200001E-2</v>
      </c>
      <c r="R293" s="13" t="s">
        <v>239</v>
      </c>
      <c r="T293" s="62">
        <v>0</v>
      </c>
      <c r="U293" s="63">
        <v>4.7470699999999999E-8</v>
      </c>
      <c r="V293" s="63">
        <v>1.43694E-6</v>
      </c>
      <c r="W293" s="63">
        <v>1.80371E-6</v>
      </c>
      <c r="X293" s="63">
        <v>2.3750295999999999E-6</v>
      </c>
      <c r="Y293" s="63">
        <v>4.1149395999999998E-6</v>
      </c>
      <c r="Z293" s="63">
        <v>5.0132712999999996E-6</v>
      </c>
      <c r="AA293" s="63">
        <v>7.8032469000000004E-6</v>
      </c>
      <c r="AB293" s="63">
        <v>1.7181367699999999E-5</v>
      </c>
      <c r="AC293" s="63">
        <v>3.6630802099999999E-5</v>
      </c>
      <c r="AD293" s="63">
        <v>6.0588112900000001E-5</v>
      </c>
      <c r="AE293" t="s">
        <v>93</v>
      </c>
    </row>
    <row r="294" spans="1:31">
      <c r="A294" t="s">
        <v>267</v>
      </c>
      <c r="B294" t="s">
        <v>1</v>
      </c>
      <c r="C294" t="s">
        <v>148</v>
      </c>
      <c r="D294" s="13" t="str">
        <f>IFERROR(VLOOKUP(C294,ghg_sort!$A$86:$B$512,2,0),0)</f>
        <v>Industry</v>
      </c>
      <c r="E294" s="12" t="s">
        <v>89</v>
      </c>
      <c r="F294" s="13">
        <f>IFERROR(VLOOKUP($E294,ghg_sort!$A$3:$B$21,2,0),0)</f>
        <v>0</v>
      </c>
      <c r="G294" s="13">
        <f t="shared" si="46"/>
        <v>0</v>
      </c>
      <c r="H294" s="13">
        <f t="shared" si="47"/>
        <v>0</v>
      </c>
      <c r="I294" s="13">
        <f t="shared" si="48"/>
        <v>0</v>
      </c>
      <c r="J294" s="13">
        <f t="shared" si="49"/>
        <v>0</v>
      </c>
      <c r="K294" s="13">
        <f t="shared" si="50"/>
        <v>0</v>
      </c>
      <c r="L294" s="13">
        <f t="shared" si="51"/>
        <v>0</v>
      </c>
      <c r="M294" s="13">
        <f t="shared" si="52"/>
        <v>0</v>
      </c>
      <c r="N294" s="13">
        <f t="shared" si="53"/>
        <v>0</v>
      </c>
      <c r="O294" s="13">
        <f t="shared" si="54"/>
        <v>0</v>
      </c>
      <c r="P294" s="13">
        <f t="shared" si="55"/>
        <v>0</v>
      </c>
      <c r="Q294" s="13">
        <f t="shared" si="56"/>
        <v>0</v>
      </c>
      <c r="R294" s="13" t="s">
        <v>239</v>
      </c>
      <c r="T294" s="62">
        <v>0</v>
      </c>
      <c r="U294" s="63">
        <v>4.7470699999999999E-8</v>
      </c>
      <c r="V294" s="63">
        <v>1.43694E-6</v>
      </c>
      <c r="W294" s="63">
        <v>1.80371E-6</v>
      </c>
      <c r="X294" s="63">
        <v>1.6348013000000001E-6</v>
      </c>
      <c r="Y294" s="63">
        <v>1.7249213999999999E-6</v>
      </c>
      <c r="Z294" s="63">
        <v>2.0053100999999999E-6</v>
      </c>
      <c r="AA294" s="63">
        <v>3.1212992999999899E-6</v>
      </c>
      <c r="AB294" s="63">
        <v>6.8725516999999998E-6</v>
      </c>
      <c r="AC294" s="63">
        <v>1.46523222E-5</v>
      </c>
      <c r="AD294" s="63">
        <v>2.42352441999999E-5</v>
      </c>
      <c r="AE294" t="s">
        <v>94</v>
      </c>
    </row>
    <row r="295" spans="1:31">
      <c r="A295" t="s">
        <v>267</v>
      </c>
      <c r="B295" t="s">
        <v>1</v>
      </c>
      <c r="C295" t="s">
        <v>148</v>
      </c>
      <c r="D295" s="13" t="str">
        <f>IFERROR(VLOOKUP(C295,ghg_sort!$A$86:$B$512,2,0),0)</f>
        <v>Industry</v>
      </c>
      <c r="E295" t="s">
        <v>90</v>
      </c>
      <c r="F295" s="13">
        <f>IFERROR(VLOOKUP($E295,ghg_sort!$A$3:$B$21,2,0),0)</f>
        <v>0</v>
      </c>
      <c r="G295" s="13">
        <f t="shared" si="46"/>
        <v>0</v>
      </c>
      <c r="H295" s="13">
        <f t="shared" si="47"/>
        <v>0</v>
      </c>
      <c r="I295" s="13">
        <f t="shared" si="48"/>
        <v>0</v>
      </c>
      <c r="J295" s="13">
        <f t="shared" si="49"/>
        <v>0</v>
      </c>
      <c r="K295" s="13">
        <f t="shared" si="50"/>
        <v>0</v>
      </c>
      <c r="L295" s="13">
        <f t="shared" si="51"/>
        <v>0</v>
      </c>
      <c r="M295" s="13">
        <f t="shared" si="52"/>
        <v>0</v>
      </c>
      <c r="N295" s="13">
        <f t="shared" si="53"/>
        <v>0</v>
      </c>
      <c r="O295" s="13">
        <f t="shared" si="54"/>
        <v>0</v>
      </c>
      <c r="P295" s="13">
        <f t="shared" si="55"/>
        <v>0</v>
      </c>
      <c r="Q295" s="13">
        <f t="shared" si="56"/>
        <v>0</v>
      </c>
      <c r="R295" s="13" t="s">
        <v>239</v>
      </c>
      <c r="T295" s="62">
        <v>0</v>
      </c>
      <c r="U295" s="63">
        <v>4.7470700000000003E-6</v>
      </c>
      <c r="V295" s="63">
        <v>1.4369400000000001E-4</v>
      </c>
      <c r="W295" s="63">
        <v>1.80371E-4</v>
      </c>
      <c r="X295" s="63">
        <v>1.6348013E-4</v>
      </c>
      <c r="Y295" s="63">
        <v>2.2220673E-4</v>
      </c>
      <c r="Z295" s="63">
        <v>2.7071655999999999E-4</v>
      </c>
      <c r="AA295" s="63">
        <v>4.2137543999999898E-4</v>
      </c>
      <c r="AB295" s="63">
        <v>9.2779427000000002E-4</v>
      </c>
      <c r="AC295" s="63">
        <v>1.9780634399999999E-3</v>
      </c>
      <c r="AD295" s="63">
        <v>3.2717573299999901E-3</v>
      </c>
      <c r="AE295" t="s">
        <v>93</v>
      </c>
    </row>
    <row r="296" spans="1:31">
      <c r="A296" t="s">
        <v>267</v>
      </c>
      <c r="B296" t="s">
        <v>1</v>
      </c>
      <c r="C296" t="s">
        <v>148</v>
      </c>
      <c r="D296" s="13" t="str">
        <f>IFERROR(VLOOKUP(C296,ghg_sort!$A$86:$B$512,2,0),0)</f>
        <v>Industry</v>
      </c>
      <c r="E296" t="s">
        <v>92</v>
      </c>
      <c r="F296" s="13">
        <f>IFERROR(VLOOKUP($E296,ghg_sort!$A$3:$B$21,2,0),0)</f>
        <v>0</v>
      </c>
      <c r="G296" s="13">
        <f t="shared" si="46"/>
        <v>0</v>
      </c>
      <c r="H296" s="13">
        <f t="shared" si="47"/>
        <v>0</v>
      </c>
      <c r="I296" s="13">
        <f t="shared" si="48"/>
        <v>0</v>
      </c>
      <c r="J296" s="13">
        <f t="shared" si="49"/>
        <v>0</v>
      </c>
      <c r="K296" s="13">
        <f t="shared" si="50"/>
        <v>0</v>
      </c>
      <c r="L296" s="13">
        <f t="shared" si="51"/>
        <v>0</v>
      </c>
      <c r="M296" s="13">
        <f t="shared" si="52"/>
        <v>0</v>
      </c>
      <c r="N296" s="13">
        <f t="shared" si="53"/>
        <v>0</v>
      </c>
      <c r="O296" s="13">
        <f t="shared" si="54"/>
        <v>0</v>
      </c>
      <c r="P296" s="13">
        <f t="shared" si="55"/>
        <v>0</v>
      </c>
      <c r="Q296" s="13">
        <f t="shared" si="56"/>
        <v>0</v>
      </c>
      <c r="R296" s="13" t="s">
        <v>239</v>
      </c>
      <c r="T296" s="62">
        <v>0</v>
      </c>
      <c r="U296" s="63">
        <v>4.7470700000000003E-6</v>
      </c>
      <c r="V296" s="63">
        <v>1.4369400000000001E-4</v>
      </c>
      <c r="W296" s="63">
        <v>1.80371E-4</v>
      </c>
      <c r="X296" s="63">
        <v>1.7812694000000001E-4</v>
      </c>
      <c r="Y296" s="63">
        <v>3.0862068E-4</v>
      </c>
      <c r="Z296" s="63">
        <v>3.7599531000000002E-4</v>
      </c>
      <c r="AA296" s="63">
        <v>5.8524358999999899E-4</v>
      </c>
      <c r="AB296" s="63">
        <v>1.2886025099999999E-3</v>
      </c>
      <c r="AC296" s="63">
        <v>2.7473101200000002E-3</v>
      </c>
      <c r="AD296" s="63">
        <v>4.54410644E-3</v>
      </c>
      <c r="AE296" t="s">
        <v>93</v>
      </c>
    </row>
    <row r="297" spans="1:31">
      <c r="A297" t="s">
        <v>267</v>
      </c>
      <c r="B297" t="s">
        <v>1</v>
      </c>
      <c r="C297" t="s">
        <v>149</v>
      </c>
      <c r="D297" s="13">
        <f>IFERROR(VLOOKUP(C297,ghg_sort!$A$86:$B$512,2,0),0)</f>
        <v>0</v>
      </c>
      <c r="E297" t="s">
        <v>86</v>
      </c>
      <c r="F297" s="13">
        <f>IFERROR(VLOOKUP($E297,ghg_sort!$A$3:$B$21,2,0),0)</f>
        <v>3.6666666666666701</v>
      </c>
      <c r="G297" s="13">
        <f t="shared" si="46"/>
        <v>-5.5657800000000055</v>
      </c>
      <c r="H297" s="13">
        <f t="shared" si="47"/>
        <v>-10.79023000000001</v>
      </c>
      <c r="I297" s="13">
        <f t="shared" si="48"/>
        <v>-15.086646666666681</v>
      </c>
      <c r="J297" s="13">
        <f t="shared" si="49"/>
        <v>-22.626303333333354</v>
      </c>
      <c r="K297" s="13">
        <f t="shared" si="50"/>
        <v>-32.331530000000029</v>
      </c>
      <c r="L297" s="13">
        <f t="shared" si="51"/>
        <v>-38.914700000000032</v>
      </c>
      <c r="M297" s="13">
        <f t="shared" si="52"/>
        <v>-44.298100000000041</v>
      </c>
      <c r="N297" s="13">
        <f t="shared" si="53"/>
        <v>-51.494300000000052</v>
      </c>
      <c r="O297" s="13">
        <f t="shared" si="54"/>
        <v>-63.613000000000056</v>
      </c>
      <c r="P297" s="13">
        <f t="shared" si="55"/>
        <v>-77.395266666666743</v>
      </c>
      <c r="Q297" s="13">
        <f t="shared" si="56"/>
        <v>-91.84560000000009</v>
      </c>
      <c r="R297" s="13" t="s">
        <v>239</v>
      </c>
      <c r="T297" s="62">
        <v>-1.5179400000000001</v>
      </c>
      <c r="U297" s="63">
        <v>-2.94279</v>
      </c>
      <c r="V297" s="63">
        <v>-4.1145399999999999</v>
      </c>
      <c r="W297" s="63">
        <v>-6.1708100000000004</v>
      </c>
      <c r="X297" s="63">
        <v>-8.8176900000000007</v>
      </c>
      <c r="Y297" s="63">
        <v>-10.613099999999999</v>
      </c>
      <c r="Z297" s="63">
        <v>-12.081300000000001</v>
      </c>
      <c r="AA297" s="63">
        <v>-14.043900000000001</v>
      </c>
      <c r="AB297" s="62">
        <v>-17.349</v>
      </c>
      <c r="AC297" s="62">
        <v>-21.107800000000001</v>
      </c>
      <c r="AD297" s="62">
        <v>-25.0488</v>
      </c>
      <c r="AE297" t="s">
        <v>93</v>
      </c>
    </row>
    <row r="298" spans="1:31">
      <c r="A298" t="s">
        <v>267</v>
      </c>
      <c r="B298" t="s">
        <v>1</v>
      </c>
      <c r="C298" t="s">
        <v>150</v>
      </c>
      <c r="D298" s="13">
        <f>IFERROR(VLOOKUP(C298,ghg_sort!$A$86:$B$512,2,0),0)</f>
        <v>0</v>
      </c>
      <c r="E298" t="s">
        <v>86</v>
      </c>
      <c r="F298" s="13">
        <f>IFERROR(VLOOKUP($E298,ghg_sort!$A$3:$B$21,2,0),0)</f>
        <v>3.6666666666666701</v>
      </c>
      <c r="G298" s="13">
        <f t="shared" si="46"/>
        <v>0</v>
      </c>
      <c r="H298" s="13">
        <f t="shared" si="47"/>
        <v>-3.4115620000000034E-2</v>
      </c>
      <c r="I298" s="13">
        <f t="shared" si="48"/>
        <v>-1.0326836666666674</v>
      </c>
      <c r="J298" s="13">
        <f t="shared" si="49"/>
        <v>-1.2962656666666679</v>
      </c>
      <c r="K298" s="13">
        <f t="shared" si="50"/>
        <v>-1.5500063333333349</v>
      </c>
      <c r="L298" s="13">
        <f t="shared" si="51"/>
        <v>-1.6990416666666681</v>
      </c>
      <c r="M298" s="13">
        <f t="shared" si="52"/>
        <v>-1.6961156666666684</v>
      </c>
      <c r="N298" s="13">
        <f t="shared" si="53"/>
        <v>-1.7254453333333348</v>
      </c>
      <c r="O298" s="13">
        <f t="shared" si="54"/>
        <v>-1.9386583333333351</v>
      </c>
      <c r="P298" s="13">
        <f t="shared" si="55"/>
        <v>-2.2549743333333354</v>
      </c>
      <c r="Q298" s="13">
        <f t="shared" si="56"/>
        <v>-2.5276166666666691</v>
      </c>
      <c r="R298" s="13" t="s">
        <v>239</v>
      </c>
      <c r="T298" s="62">
        <v>0</v>
      </c>
      <c r="U298" s="63">
        <v>-9.30426E-3</v>
      </c>
      <c r="V298" s="63">
        <v>-0.28164099999999997</v>
      </c>
      <c r="W298" s="63">
        <v>-0.35352699999999998</v>
      </c>
      <c r="X298" s="63">
        <v>-0.42272900000000002</v>
      </c>
      <c r="Y298" s="63">
        <v>-0.46337499999999998</v>
      </c>
      <c r="Z298" s="63">
        <v>-0.46257700000000002</v>
      </c>
      <c r="AA298" s="63">
        <v>-0.47057599999999999</v>
      </c>
      <c r="AB298" s="62">
        <v>-0.528725</v>
      </c>
      <c r="AC298" s="62">
        <v>-0.61499300000000001</v>
      </c>
      <c r="AD298" s="62">
        <v>-0.68935000000000002</v>
      </c>
      <c r="AE298" t="s">
        <v>93</v>
      </c>
    </row>
    <row r="299" spans="1:31">
      <c r="A299" t="s">
        <v>267</v>
      </c>
      <c r="B299" t="s">
        <v>1</v>
      </c>
      <c r="C299" t="s">
        <v>151</v>
      </c>
      <c r="D299" s="13">
        <f>IFERROR(VLOOKUP(C299,ghg_sort!$A$86:$B$512,2,0),0)</f>
        <v>0</v>
      </c>
      <c r="E299" s="12" t="s">
        <v>86</v>
      </c>
      <c r="F299" s="13">
        <f>IFERROR(VLOOKUP($E299,ghg_sort!$A$3:$B$21,2,0),0)</f>
        <v>3.6666666666666701</v>
      </c>
      <c r="G299" s="13">
        <f t="shared" si="46"/>
        <v>0</v>
      </c>
      <c r="H299" s="13">
        <f t="shared" si="47"/>
        <v>0</v>
      </c>
      <c r="I299" s="13">
        <f t="shared" si="48"/>
        <v>0</v>
      </c>
      <c r="J299" s="13">
        <f t="shared" si="49"/>
        <v>0</v>
      </c>
      <c r="K299" s="13">
        <f t="shared" si="50"/>
        <v>-6.3410600000000067E-2</v>
      </c>
      <c r="L299" s="13">
        <f t="shared" si="51"/>
        <v>-0.1479019666666668</v>
      </c>
      <c r="M299" s="13">
        <f t="shared" si="52"/>
        <v>-0.20415303333333354</v>
      </c>
      <c r="N299" s="13">
        <f t="shared" si="53"/>
        <v>-0.38339033333333367</v>
      </c>
      <c r="O299" s="13">
        <f t="shared" si="54"/>
        <v>-0.93930100000000083</v>
      </c>
      <c r="P299" s="13">
        <f t="shared" si="55"/>
        <v>-1.9308850000000017</v>
      </c>
      <c r="Q299" s="13">
        <f t="shared" si="56"/>
        <v>-3.0098896666666697</v>
      </c>
      <c r="R299" s="13" t="s">
        <v>239</v>
      </c>
      <c r="T299" s="62">
        <v>0</v>
      </c>
      <c r="U299" s="62">
        <v>0</v>
      </c>
      <c r="V299" s="62">
        <v>0</v>
      </c>
      <c r="W299" s="62">
        <v>0</v>
      </c>
      <c r="X299" s="62">
        <v>-1.7293800000000002E-2</v>
      </c>
      <c r="Y299" s="62">
        <v>-4.0336900000000002E-2</v>
      </c>
      <c r="Z299" s="62">
        <v>-5.5678100000000001E-2</v>
      </c>
      <c r="AA299" s="62">
        <v>-0.104561</v>
      </c>
      <c r="AB299" s="62">
        <v>-0.25617299999999998</v>
      </c>
      <c r="AC299" s="62">
        <v>-0.52660499999999999</v>
      </c>
      <c r="AD299" s="62">
        <v>-0.82087900000000003</v>
      </c>
      <c r="AE299" t="s">
        <v>94</v>
      </c>
    </row>
    <row r="300" spans="1:31">
      <c r="A300" t="s">
        <v>267</v>
      </c>
      <c r="B300" t="s">
        <v>1</v>
      </c>
      <c r="C300" t="s">
        <v>231</v>
      </c>
      <c r="D300" s="13" t="str">
        <f>IFERROR(VLOOKUP(C300,ghg_sort!$A$86:$B$512,2,0),0)</f>
        <v>Building</v>
      </c>
      <c r="E300" s="12" t="s">
        <v>228</v>
      </c>
      <c r="F300" s="13">
        <f>IFERROR(VLOOKUP($E300,ghg_sort!$A$3:$B$21,2,0),0)</f>
        <v>3.5</v>
      </c>
      <c r="G300" s="13">
        <f t="shared" si="46"/>
        <v>0</v>
      </c>
      <c r="H300" s="13">
        <f t="shared" si="47"/>
        <v>1.0819830000000001</v>
      </c>
      <c r="I300" s="13">
        <f t="shared" si="48"/>
        <v>2.5302480000000003</v>
      </c>
      <c r="J300" s="13">
        <f t="shared" si="49"/>
        <v>2.8850885000000002</v>
      </c>
      <c r="K300" s="13">
        <f t="shared" si="50"/>
        <v>3.1024384999999999</v>
      </c>
      <c r="L300" s="13">
        <f t="shared" si="51"/>
        <v>3.4814255000000003</v>
      </c>
      <c r="M300" s="13">
        <f t="shared" si="52"/>
        <v>3.4619515000000001</v>
      </c>
      <c r="N300" s="13">
        <f t="shared" si="53"/>
        <v>3.3663034999999999</v>
      </c>
      <c r="O300" s="13">
        <f t="shared" si="54"/>
        <v>3.3563005000000001</v>
      </c>
      <c r="P300" s="13">
        <f t="shared" si="55"/>
        <v>3.082198</v>
      </c>
      <c r="Q300" s="13">
        <f t="shared" si="56"/>
        <v>3.0497320000000001</v>
      </c>
      <c r="R300" s="13" t="s">
        <v>239</v>
      </c>
      <c r="T300" s="62">
        <v>0</v>
      </c>
      <c r="U300" s="62">
        <v>0.30913800000000002</v>
      </c>
      <c r="V300" s="62">
        <v>0.72292800000000002</v>
      </c>
      <c r="W300" s="62">
        <v>0.82431100000000002</v>
      </c>
      <c r="X300" s="62">
        <v>0.88641099999999995</v>
      </c>
      <c r="Y300" s="62">
        <v>0.99469300000000005</v>
      </c>
      <c r="Z300" s="62">
        <v>0.98912900000000004</v>
      </c>
      <c r="AA300" s="62">
        <v>0.96180100000000002</v>
      </c>
      <c r="AB300" s="62">
        <v>0.95894299999999999</v>
      </c>
      <c r="AC300" s="62">
        <v>0.88062799999999997</v>
      </c>
      <c r="AD300" s="62">
        <v>0.87135200000000002</v>
      </c>
      <c r="AE300" t="s">
        <v>94</v>
      </c>
    </row>
    <row r="301" spans="1:31">
      <c r="A301" t="s">
        <v>267</v>
      </c>
      <c r="B301" t="s">
        <v>1</v>
      </c>
      <c r="C301" t="s">
        <v>231</v>
      </c>
      <c r="D301" s="13" t="str">
        <f>IFERROR(VLOOKUP(C301,ghg_sort!$A$86:$B$512,2,0),0)</f>
        <v>Building</v>
      </c>
      <c r="E301" s="12" t="s">
        <v>97</v>
      </c>
      <c r="F301" s="13">
        <f>IFERROR(VLOOKUP($E301,ghg_sort!$A$3:$B$21,2,0),0)</f>
        <v>1.4300000000000002</v>
      </c>
      <c r="G301" s="13">
        <f t="shared" si="46"/>
        <v>0</v>
      </c>
      <c r="H301" s="13">
        <f t="shared" si="47"/>
        <v>2.6012987000000005</v>
      </c>
      <c r="I301" s="13">
        <f t="shared" si="48"/>
        <v>4.7172411000000007</v>
      </c>
      <c r="J301" s="13">
        <f t="shared" si="49"/>
        <v>5.3787734000000009</v>
      </c>
      <c r="K301" s="13">
        <f t="shared" si="50"/>
        <v>5.7839925000000001</v>
      </c>
      <c r="L301" s="13">
        <f t="shared" si="51"/>
        <v>6.490555500000001</v>
      </c>
      <c r="M301" s="13">
        <f t="shared" si="52"/>
        <v>6.454247800000001</v>
      </c>
      <c r="N301" s="13">
        <f t="shared" si="53"/>
        <v>6.2759268000000015</v>
      </c>
      <c r="O301" s="13">
        <f t="shared" si="54"/>
        <v>6.2572796000000013</v>
      </c>
      <c r="P301" s="13">
        <f t="shared" si="55"/>
        <v>5.7462548000000009</v>
      </c>
      <c r="Q301" s="13">
        <f t="shared" si="56"/>
        <v>5.6857229000000009</v>
      </c>
      <c r="R301" s="13" t="s">
        <v>239</v>
      </c>
      <c r="T301" s="62">
        <v>0</v>
      </c>
      <c r="U301" s="62">
        <v>1.8190900000000001</v>
      </c>
      <c r="V301" s="62">
        <v>3.2987700000000002</v>
      </c>
      <c r="W301" s="62">
        <v>3.7613799999999999</v>
      </c>
      <c r="X301" s="62">
        <v>4.0447499999999996</v>
      </c>
      <c r="Y301" s="62">
        <v>4.5388500000000001</v>
      </c>
      <c r="Z301" s="62">
        <v>4.5134600000000002</v>
      </c>
      <c r="AA301" s="62">
        <v>4.3887600000000004</v>
      </c>
      <c r="AB301" s="62">
        <v>4.3757200000000003</v>
      </c>
      <c r="AC301" s="62">
        <v>4.0183600000000004</v>
      </c>
      <c r="AD301" s="62">
        <v>3.9760300000000002</v>
      </c>
      <c r="AE301" t="s">
        <v>94</v>
      </c>
    </row>
    <row r="302" spans="1:31">
      <c r="A302" t="s">
        <v>267</v>
      </c>
      <c r="B302" t="s">
        <v>1</v>
      </c>
      <c r="C302" t="s">
        <v>231</v>
      </c>
      <c r="D302" s="13" t="str">
        <f>IFERROR(VLOOKUP(C302,ghg_sort!$A$86:$B$512,2,0),0)</f>
        <v>Building</v>
      </c>
      <c r="E302" t="s">
        <v>98</v>
      </c>
      <c r="F302" s="13">
        <f>IFERROR(VLOOKUP($E302,ghg_sort!$A$3:$B$21,2,0),0)</f>
        <v>4.47</v>
      </c>
      <c r="G302" s="13">
        <f t="shared" si="46"/>
        <v>0</v>
      </c>
      <c r="H302" s="13">
        <f t="shared" si="47"/>
        <v>1.6993822499999998</v>
      </c>
      <c r="I302" s="13">
        <f t="shared" si="48"/>
        <v>3.5054902199999995</v>
      </c>
      <c r="J302" s="13">
        <f t="shared" si="49"/>
        <v>3.9970963500000001</v>
      </c>
      <c r="K302" s="13">
        <f t="shared" si="50"/>
        <v>4.2982223699999995</v>
      </c>
      <c r="L302" s="13">
        <f t="shared" si="51"/>
        <v>4.8232640999999994</v>
      </c>
      <c r="M302" s="13">
        <f t="shared" si="52"/>
        <v>4.7963099999999992</v>
      </c>
      <c r="N302" s="13">
        <f t="shared" si="53"/>
        <v>4.6637744999999997</v>
      </c>
      <c r="O302" s="13">
        <f t="shared" si="54"/>
        <v>4.649917499999999</v>
      </c>
      <c r="P302" s="13">
        <f t="shared" si="55"/>
        <v>4.2701775899999994</v>
      </c>
      <c r="Q302" s="13">
        <f t="shared" si="56"/>
        <v>4.22520045</v>
      </c>
      <c r="R302" s="13" t="s">
        <v>239</v>
      </c>
      <c r="T302" s="62">
        <v>0</v>
      </c>
      <c r="U302" s="62">
        <v>0.38017499999999999</v>
      </c>
      <c r="V302" s="62">
        <v>0.78422599999999998</v>
      </c>
      <c r="W302" s="62">
        <v>0.89420500000000003</v>
      </c>
      <c r="X302" s="62">
        <v>0.96157099999999995</v>
      </c>
      <c r="Y302" s="62">
        <v>1.0790299999999999</v>
      </c>
      <c r="Z302" s="62">
        <v>1.073</v>
      </c>
      <c r="AA302" s="62">
        <v>1.04335</v>
      </c>
      <c r="AB302" s="62">
        <v>1.0402499999999999</v>
      </c>
      <c r="AC302" s="62">
        <v>0.95529699999999995</v>
      </c>
      <c r="AD302" s="62">
        <v>0.94523500000000005</v>
      </c>
      <c r="AE302" t="s">
        <v>131</v>
      </c>
    </row>
    <row r="303" spans="1:31">
      <c r="A303" t="s">
        <v>267</v>
      </c>
      <c r="B303" t="s">
        <v>1</v>
      </c>
      <c r="C303" t="s">
        <v>231</v>
      </c>
      <c r="D303" s="13" t="str">
        <f>IFERROR(VLOOKUP(C303,ghg_sort!$A$86:$B$512,2,0),0)</f>
        <v>Building</v>
      </c>
      <c r="E303" t="s">
        <v>99</v>
      </c>
      <c r="F303" s="13">
        <f>IFERROR(VLOOKUP($E303,ghg_sort!$A$3:$B$21,2,0),0)</f>
        <v>14.8</v>
      </c>
      <c r="G303" s="13">
        <f t="shared" si="46"/>
        <v>0</v>
      </c>
      <c r="H303" s="13">
        <f t="shared" si="47"/>
        <v>3.9652308000000004E-2</v>
      </c>
      <c r="I303" s="13">
        <f t="shared" si="48"/>
        <v>1.5392148000000001E-2</v>
      </c>
      <c r="J303" s="13">
        <f t="shared" si="49"/>
        <v>1.7550728000000002E-2</v>
      </c>
      <c r="K303" s="13">
        <f t="shared" si="50"/>
        <v>1.8872960000000001E-2</v>
      </c>
      <c r="L303" s="13">
        <f t="shared" si="51"/>
        <v>2.1178355999999999E-2</v>
      </c>
      <c r="M303" s="13">
        <f t="shared" si="52"/>
        <v>2.1059956000000001E-2</v>
      </c>
      <c r="N303" s="13">
        <f t="shared" si="53"/>
        <v>2.047802E-2</v>
      </c>
      <c r="O303" s="13">
        <f t="shared" si="54"/>
        <v>2.0417192000000001E-2</v>
      </c>
      <c r="P303" s="13">
        <f t="shared" si="55"/>
        <v>1.8749824000000002E-2</v>
      </c>
      <c r="Q303" s="13">
        <f t="shared" si="56"/>
        <v>1.8552244000000002E-2</v>
      </c>
      <c r="R303" s="13" t="s">
        <v>239</v>
      </c>
      <c r="T303" s="62">
        <v>0</v>
      </c>
      <c r="U303" s="62">
        <v>2.67921E-3</v>
      </c>
      <c r="V303" s="62">
        <v>1.0400100000000001E-3</v>
      </c>
      <c r="W303" s="62">
        <v>1.18586E-3</v>
      </c>
      <c r="X303" s="62">
        <v>1.2752E-3</v>
      </c>
      <c r="Y303" s="62">
        <v>1.4309699999999999E-3</v>
      </c>
      <c r="Z303" s="62">
        <v>1.42297E-3</v>
      </c>
      <c r="AA303" s="62">
        <v>1.3836499999999999E-3</v>
      </c>
      <c r="AB303" s="62">
        <v>1.3795400000000001E-3</v>
      </c>
      <c r="AC303" s="62">
        <v>1.26688E-3</v>
      </c>
      <c r="AD303" s="62">
        <v>1.2535300000000001E-3</v>
      </c>
      <c r="AE303" t="s">
        <v>131</v>
      </c>
    </row>
    <row r="304" spans="1:31">
      <c r="A304" t="s">
        <v>267</v>
      </c>
      <c r="B304" t="s">
        <v>1</v>
      </c>
      <c r="C304" t="s">
        <v>231</v>
      </c>
      <c r="D304" s="13" t="str">
        <f>IFERROR(VLOOKUP(C304,ghg_sort!$A$86:$B$512,2,0),0)</f>
        <v>Building</v>
      </c>
      <c r="E304" t="s">
        <v>100</v>
      </c>
      <c r="F304" s="13">
        <f>IFERROR(VLOOKUP($E304,ghg_sort!$A$3:$B$21,2,0),0)</f>
        <v>0.67500000000000004</v>
      </c>
      <c r="G304" s="13">
        <f t="shared" si="46"/>
        <v>0</v>
      </c>
      <c r="H304" s="13">
        <f t="shared" si="47"/>
        <v>1.8679005000000002E-2</v>
      </c>
      <c r="I304" s="13">
        <f t="shared" si="48"/>
        <v>3.8465279999999998E-2</v>
      </c>
      <c r="J304" s="13">
        <f t="shared" si="49"/>
        <v>4.385961E-2</v>
      </c>
      <c r="K304" s="13">
        <f t="shared" si="50"/>
        <v>4.7163802500000004E-2</v>
      </c>
      <c r="L304" s="13">
        <f t="shared" si="51"/>
        <v>5.2925130000000001E-2</v>
      </c>
      <c r="M304" s="13">
        <f t="shared" si="52"/>
        <v>5.2629142500000003E-2</v>
      </c>
      <c r="N304" s="13">
        <f t="shared" si="53"/>
        <v>5.117505750000001E-2</v>
      </c>
      <c r="O304" s="13">
        <f t="shared" si="54"/>
        <v>5.1023047500000002E-2</v>
      </c>
      <c r="P304" s="13">
        <f t="shared" si="55"/>
        <v>4.6856070000000007E-2</v>
      </c>
      <c r="Q304" s="13">
        <f t="shared" si="56"/>
        <v>4.6362510000000003E-2</v>
      </c>
      <c r="R304" s="13" t="s">
        <v>239</v>
      </c>
      <c r="T304" s="62">
        <v>0</v>
      </c>
      <c r="U304" s="62">
        <v>2.7672599999999999E-2</v>
      </c>
      <c r="V304" s="62">
        <v>5.6985599999999997E-2</v>
      </c>
      <c r="W304" s="62">
        <v>6.4977199999999999E-2</v>
      </c>
      <c r="X304" s="62">
        <v>6.9872299999999998E-2</v>
      </c>
      <c r="Y304" s="62">
        <v>7.8407599999999994E-2</v>
      </c>
      <c r="Z304" s="62">
        <v>7.79691E-2</v>
      </c>
      <c r="AA304" s="62">
        <v>7.5814900000000005E-2</v>
      </c>
      <c r="AB304" s="62">
        <v>7.5589699999999996E-2</v>
      </c>
      <c r="AC304" s="62">
        <v>6.9416400000000003E-2</v>
      </c>
      <c r="AD304" s="62">
        <v>6.8685200000000002E-2</v>
      </c>
      <c r="AE304" t="s">
        <v>131</v>
      </c>
    </row>
    <row r="305" spans="1:31">
      <c r="A305" t="s">
        <v>267</v>
      </c>
      <c r="B305" t="s">
        <v>1</v>
      </c>
      <c r="C305" t="s">
        <v>152</v>
      </c>
      <c r="D305" s="13" t="str">
        <f>IFERROR(VLOOKUP(C305,ghg_sort!$A$86:$B$512,2,0),0)</f>
        <v>Building</v>
      </c>
      <c r="E305" t="s">
        <v>83</v>
      </c>
      <c r="F305" s="13">
        <f>IFERROR(VLOOKUP($E305,ghg_sort!$A$3:$B$21,2,0),0)</f>
        <v>0</v>
      </c>
      <c r="G305" s="13">
        <f t="shared" si="46"/>
        <v>0</v>
      </c>
      <c r="H305" s="13">
        <f t="shared" si="47"/>
        <v>0</v>
      </c>
      <c r="I305" s="13">
        <f t="shared" si="48"/>
        <v>0</v>
      </c>
      <c r="J305" s="13">
        <f t="shared" si="49"/>
        <v>0</v>
      </c>
      <c r="K305" s="13">
        <f t="shared" si="50"/>
        <v>0</v>
      </c>
      <c r="L305" s="13">
        <f t="shared" si="51"/>
        <v>0</v>
      </c>
      <c r="M305" s="13">
        <f t="shared" si="52"/>
        <v>0</v>
      </c>
      <c r="N305" s="13">
        <f t="shared" si="53"/>
        <v>0</v>
      </c>
      <c r="O305" s="13">
        <f t="shared" si="54"/>
        <v>0</v>
      </c>
      <c r="P305" s="13">
        <f t="shared" si="55"/>
        <v>0</v>
      </c>
      <c r="Q305" s="13">
        <f t="shared" si="56"/>
        <v>0</v>
      </c>
      <c r="R305" s="13" t="s">
        <v>239</v>
      </c>
      <c r="T305" s="62">
        <v>1.2190059E-2</v>
      </c>
      <c r="U305" s="62">
        <v>3.0797659999999998E-3</v>
      </c>
      <c r="V305" s="62">
        <v>3.1511659999999999E-3</v>
      </c>
      <c r="W305" s="62">
        <v>3.0848540000000002E-3</v>
      </c>
      <c r="X305" s="62">
        <v>3.9032619999999998E-3</v>
      </c>
      <c r="Y305" s="62">
        <v>2.5870369999999999E-3</v>
      </c>
      <c r="Z305" s="63">
        <v>2.3828499999999902E-3</v>
      </c>
      <c r="AA305" s="63">
        <v>2.154361E-3</v>
      </c>
      <c r="AB305" s="63">
        <v>1.9967050000000001E-3</v>
      </c>
      <c r="AC305" s="63">
        <v>1.7696649999999999E-3</v>
      </c>
      <c r="AD305" s="63">
        <v>1.4880799999999999E-3</v>
      </c>
      <c r="AE305" t="s">
        <v>131</v>
      </c>
    </row>
    <row r="306" spans="1:31">
      <c r="A306" t="s">
        <v>267</v>
      </c>
      <c r="B306" t="s">
        <v>1</v>
      </c>
      <c r="C306" t="s">
        <v>152</v>
      </c>
      <c r="D306" s="13" t="str">
        <f>IFERROR(VLOOKUP(C306,ghg_sort!$A$86:$B$512,2,0),0)</f>
        <v>Building</v>
      </c>
      <c r="E306" t="s">
        <v>84</v>
      </c>
      <c r="F306" s="13">
        <f>IFERROR(VLOOKUP($E306,ghg_sort!$A$3:$B$21,2,0),0)</f>
        <v>25</v>
      </c>
      <c r="G306" s="13">
        <f t="shared" si="46"/>
        <v>1.0774050500000001</v>
      </c>
      <c r="H306" s="13">
        <f t="shared" si="47"/>
        <v>0.28127752249999749</v>
      </c>
      <c r="I306" s="13">
        <f t="shared" si="48"/>
        <v>0.26994002249999749</v>
      </c>
      <c r="J306" s="13">
        <f t="shared" si="49"/>
        <v>0.32564670000000001</v>
      </c>
      <c r="K306" s="13">
        <f t="shared" si="50"/>
        <v>0.35133029999999749</v>
      </c>
      <c r="L306" s="13">
        <f t="shared" si="51"/>
        <v>0.36947227499999752</v>
      </c>
      <c r="M306" s="13">
        <f t="shared" si="52"/>
        <v>0.39583622499999999</v>
      </c>
      <c r="N306" s="13">
        <f t="shared" si="53"/>
        <v>0.40073195</v>
      </c>
      <c r="O306" s="13">
        <f t="shared" si="54"/>
        <v>0.39901900000000001</v>
      </c>
      <c r="P306" s="13">
        <f t="shared" si="55"/>
        <v>0.3755863525</v>
      </c>
      <c r="Q306" s="13">
        <f t="shared" si="56"/>
        <v>0.34570500000000004</v>
      </c>
      <c r="R306" s="13" t="s">
        <v>239</v>
      </c>
      <c r="T306" s="62">
        <v>4.3096202E-2</v>
      </c>
      <c r="U306" s="62">
        <v>1.1251100899999899E-2</v>
      </c>
      <c r="V306" s="62">
        <v>1.07976008999999E-2</v>
      </c>
      <c r="W306" s="62">
        <v>1.3025867999999999E-2</v>
      </c>
      <c r="X306" s="62">
        <v>1.40532119999999E-2</v>
      </c>
      <c r="Y306" s="62">
        <v>1.47788909999999E-2</v>
      </c>
      <c r="Z306" s="62">
        <v>1.5833448999999999E-2</v>
      </c>
      <c r="AA306" s="62">
        <v>1.6029278000000001E-2</v>
      </c>
      <c r="AB306" s="62">
        <v>1.5960760000000001E-2</v>
      </c>
      <c r="AC306" s="62">
        <v>1.50234541E-2</v>
      </c>
      <c r="AD306" s="62">
        <v>1.3828200000000001E-2</v>
      </c>
      <c r="AE306" t="s">
        <v>131</v>
      </c>
    </row>
    <row r="307" spans="1:31">
      <c r="A307" t="s">
        <v>267</v>
      </c>
      <c r="B307" t="s">
        <v>1</v>
      </c>
      <c r="C307" t="s">
        <v>152</v>
      </c>
      <c r="D307" s="13" t="str">
        <f>IFERROR(VLOOKUP(C307,ghg_sort!$A$86:$B$512,2,0),0)</f>
        <v>Building</v>
      </c>
      <c r="E307" t="s">
        <v>85</v>
      </c>
      <c r="F307" s="13">
        <f>IFERROR(VLOOKUP($E307,ghg_sort!$A$3:$B$21,2,0),0)</f>
        <v>0</v>
      </c>
      <c r="G307" s="13">
        <f t="shared" si="46"/>
        <v>0</v>
      </c>
      <c r="H307" s="13">
        <f t="shared" si="47"/>
        <v>0</v>
      </c>
      <c r="I307" s="13">
        <f t="shared" si="48"/>
        <v>0</v>
      </c>
      <c r="J307" s="13">
        <f t="shared" si="49"/>
        <v>0</v>
      </c>
      <c r="K307" s="13">
        <f t="shared" si="50"/>
        <v>0</v>
      </c>
      <c r="L307" s="13">
        <f t="shared" si="51"/>
        <v>0</v>
      </c>
      <c r="M307" s="13">
        <f t="shared" si="52"/>
        <v>0</v>
      </c>
      <c r="N307" s="13">
        <f t="shared" si="53"/>
        <v>0</v>
      </c>
      <c r="O307" s="13">
        <f t="shared" si="54"/>
        <v>0</v>
      </c>
      <c r="P307" s="13">
        <f t="shared" si="55"/>
        <v>0</v>
      </c>
      <c r="Q307" s="13">
        <f t="shared" si="56"/>
        <v>0</v>
      </c>
      <c r="R307" s="13" t="s">
        <v>239</v>
      </c>
      <c r="T307" s="62">
        <v>0.19355572299999901</v>
      </c>
      <c r="U307" s="62">
        <v>3.8098031999999997E-2</v>
      </c>
      <c r="V307" s="62">
        <v>3.5421848999999998E-2</v>
      </c>
      <c r="W307" s="62">
        <v>4.26799E-2</v>
      </c>
      <c r="X307" s="62">
        <v>6.1588369999999899E-2</v>
      </c>
      <c r="Y307" s="62">
        <v>4.0737969999999998E-2</v>
      </c>
      <c r="Z307" s="62">
        <v>3.7015399999999997E-2</v>
      </c>
      <c r="AA307" s="62">
        <v>3.3801489999999997E-2</v>
      </c>
      <c r="AB307" s="62">
        <v>3.2029244999999998E-2</v>
      </c>
      <c r="AC307" s="63">
        <v>3.0531259000000002E-2</v>
      </c>
      <c r="AD307" s="63">
        <v>2.9102599999999999E-2</v>
      </c>
      <c r="AE307" t="s">
        <v>93</v>
      </c>
    </row>
    <row r="308" spans="1:31">
      <c r="A308" t="s">
        <v>267</v>
      </c>
      <c r="B308" t="s">
        <v>1</v>
      </c>
      <c r="C308" t="s">
        <v>152</v>
      </c>
      <c r="D308" s="13" t="str">
        <f>IFERROR(VLOOKUP(C308,ghg_sort!$A$86:$B$512,2,0),0)</f>
        <v>Building</v>
      </c>
      <c r="E308" t="s">
        <v>86</v>
      </c>
      <c r="F308" s="13">
        <f>IFERROR(VLOOKUP($E308,ghg_sort!$A$3:$B$21,2,0),0)</f>
        <v>3.6666666666666701</v>
      </c>
      <c r="G308" s="13">
        <f t="shared" si="46"/>
        <v>16.900367000000017</v>
      </c>
      <c r="H308" s="13">
        <f t="shared" si="47"/>
        <v>20.126524366666686</v>
      </c>
      <c r="I308" s="13">
        <f t="shared" si="48"/>
        <v>20.556866000000017</v>
      </c>
      <c r="J308" s="13">
        <f t="shared" si="49"/>
        <v>19.265928000000017</v>
      </c>
      <c r="K308" s="13">
        <f t="shared" si="50"/>
        <v>17.37958933333335</v>
      </c>
      <c r="L308" s="13">
        <f t="shared" si="51"/>
        <v>18.187961000000016</v>
      </c>
      <c r="M308" s="13">
        <f t="shared" si="52"/>
        <v>18.21893333333335</v>
      </c>
      <c r="N308" s="13">
        <f t="shared" si="53"/>
        <v>16.581136000000019</v>
      </c>
      <c r="O308" s="13">
        <f t="shared" si="54"/>
        <v>14.238873000000012</v>
      </c>
      <c r="P308" s="13">
        <f t="shared" si="55"/>
        <v>9.9672943333333421</v>
      </c>
      <c r="Q308" s="13">
        <f t="shared" si="56"/>
        <v>3.9190066666666707</v>
      </c>
      <c r="R308" s="13" t="s">
        <v>239</v>
      </c>
      <c r="T308" s="62">
        <v>4.609191</v>
      </c>
      <c r="U308" s="62">
        <v>5.4890521000000003</v>
      </c>
      <c r="V308" s="62">
        <v>5.6064179999999997</v>
      </c>
      <c r="W308" s="62">
        <v>5.2543439999999997</v>
      </c>
      <c r="X308" s="62">
        <v>4.7398879999999997</v>
      </c>
      <c r="Y308" s="62">
        <v>4.9603529999999996</v>
      </c>
      <c r="Z308" s="62">
        <v>4.9687999999999999</v>
      </c>
      <c r="AA308" s="62">
        <v>4.5221280000000004</v>
      </c>
      <c r="AB308" s="62">
        <v>3.8833289999999998</v>
      </c>
      <c r="AC308" s="62">
        <v>2.718353</v>
      </c>
      <c r="AD308" s="62">
        <v>1.0688200000000001</v>
      </c>
      <c r="AE308" t="s">
        <v>93</v>
      </c>
    </row>
    <row r="309" spans="1:31">
      <c r="A309" t="s">
        <v>267</v>
      </c>
      <c r="B309" t="s">
        <v>1</v>
      </c>
      <c r="C309" t="s">
        <v>152</v>
      </c>
      <c r="D309" s="13" t="str">
        <f>IFERROR(VLOOKUP(C309,ghg_sort!$A$86:$B$512,2,0),0)</f>
        <v>Building</v>
      </c>
      <c r="E309" t="s">
        <v>87</v>
      </c>
      <c r="F309" s="13">
        <f>IFERROR(VLOOKUP($E309,ghg_sort!$A$3:$B$21,2,0),0)</f>
        <v>298</v>
      </c>
      <c r="G309" s="13">
        <f t="shared" si="46"/>
        <v>0.31441546708000001</v>
      </c>
      <c r="H309" s="13">
        <f t="shared" si="47"/>
        <v>0.1416890468</v>
      </c>
      <c r="I309" s="13">
        <f t="shared" si="48"/>
        <v>0.1431341978</v>
      </c>
      <c r="J309" s="13">
        <f t="shared" si="49"/>
        <v>0.1054248606</v>
      </c>
      <c r="K309" s="13">
        <f t="shared" si="50"/>
        <v>0.192787077</v>
      </c>
      <c r="L309" s="13">
        <f t="shared" si="51"/>
        <v>0.20284684179999998</v>
      </c>
      <c r="M309" s="13">
        <f t="shared" si="52"/>
        <v>0.21910762899999972</v>
      </c>
      <c r="N309" s="13">
        <f t="shared" si="53"/>
        <v>0.22536801300000001</v>
      </c>
      <c r="O309" s="13">
        <f t="shared" si="54"/>
        <v>0.2348911394</v>
      </c>
      <c r="P309" s="13">
        <f t="shared" si="55"/>
        <v>0.22767459259999998</v>
      </c>
      <c r="Q309" s="13">
        <f t="shared" si="56"/>
        <v>0.22141638399999999</v>
      </c>
      <c r="R309" s="13" t="s">
        <v>239</v>
      </c>
      <c r="T309" s="62">
        <v>1.05508546E-3</v>
      </c>
      <c r="U309" s="63">
        <v>4.7546660000000001E-4</v>
      </c>
      <c r="V309" s="63">
        <v>4.8031609999999998E-4</v>
      </c>
      <c r="W309" s="63">
        <v>3.5377470000000003E-4</v>
      </c>
      <c r="X309" s="63">
        <v>6.4693650000000004E-4</v>
      </c>
      <c r="Y309" s="63">
        <v>6.8069409999999995E-4</v>
      </c>
      <c r="Z309" s="63">
        <v>7.3526049999999904E-4</v>
      </c>
      <c r="AA309" s="63">
        <v>7.562685E-4</v>
      </c>
      <c r="AB309" s="63">
        <v>7.8822530000000003E-4</v>
      </c>
      <c r="AC309" s="63">
        <v>7.6400869999999996E-4</v>
      </c>
      <c r="AD309" s="63">
        <v>7.4300799999999997E-4</v>
      </c>
      <c r="AE309" t="s">
        <v>93</v>
      </c>
    </row>
    <row r="310" spans="1:31">
      <c r="A310" t="s">
        <v>267</v>
      </c>
      <c r="B310" t="s">
        <v>1</v>
      </c>
      <c r="C310" t="s">
        <v>152</v>
      </c>
      <c r="D310" s="13" t="str">
        <f>IFERROR(VLOOKUP(C310,ghg_sort!$A$86:$B$512,2,0),0)</f>
        <v>Building</v>
      </c>
      <c r="E310" s="12" t="s">
        <v>88</v>
      </c>
      <c r="F310" s="13">
        <f>IFERROR(VLOOKUP($E310,ghg_sort!$A$3:$B$21,2,0),0)</f>
        <v>0</v>
      </c>
      <c r="G310" s="13">
        <f t="shared" si="46"/>
        <v>0</v>
      </c>
      <c r="H310" s="13">
        <f t="shared" si="47"/>
        <v>0</v>
      </c>
      <c r="I310" s="13">
        <f t="shared" si="48"/>
        <v>0</v>
      </c>
      <c r="J310" s="13">
        <f t="shared" si="49"/>
        <v>0</v>
      </c>
      <c r="K310" s="13">
        <f t="shared" si="50"/>
        <v>0</v>
      </c>
      <c r="L310" s="13">
        <f t="shared" si="51"/>
        <v>0</v>
      </c>
      <c r="M310" s="13">
        <f t="shared" si="52"/>
        <v>0</v>
      </c>
      <c r="N310" s="13">
        <f t="shared" si="53"/>
        <v>0</v>
      </c>
      <c r="O310" s="13">
        <f t="shared" si="54"/>
        <v>0</v>
      </c>
      <c r="P310" s="13">
        <f t="shared" si="55"/>
        <v>0</v>
      </c>
      <c r="Q310" s="13">
        <f t="shared" si="56"/>
        <v>0</v>
      </c>
      <c r="R310" s="13" t="s">
        <v>239</v>
      </c>
      <c r="T310" s="63">
        <v>4.6129210000000001E-4</v>
      </c>
      <c r="U310" s="63">
        <v>3.9818716999999898E-4</v>
      </c>
      <c r="V310" s="63">
        <v>3.6189216999999899E-4</v>
      </c>
      <c r="W310" s="62">
        <v>1.0919319999999899E-3</v>
      </c>
      <c r="X310" s="62">
        <v>1.5406278E-3</v>
      </c>
      <c r="Y310" s="62">
        <v>1.62180619999999E-3</v>
      </c>
      <c r="Z310" s="62">
        <v>1.7617126999999999E-3</v>
      </c>
      <c r="AA310" s="62">
        <v>1.822483E-3</v>
      </c>
      <c r="AB310" s="62">
        <v>1.8850501999999999E-3</v>
      </c>
      <c r="AC310" s="62">
        <v>1.8463525999999899E-3</v>
      </c>
      <c r="AD310" s="63">
        <v>1.81624E-3</v>
      </c>
      <c r="AE310" t="s">
        <v>94</v>
      </c>
    </row>
    <row r="311" spans="1:31">
      <c r="A311" t="s">
        <v>267</v>
      </c>
      <c r="B311" t="s">
        <v>1</v>
      </c>
      <c r="C311" t="s">
        <v>152</v>
      </c>
      <c r="D311" s="13" t="str">
        <f>IFERROR(VLOOKUP(C311,ghg_sort!$A$86:$B$512,2,0),0)</f>
        <v>Building</v>
      </c>
      <c r="E311" t="s">
        <v>89</v>
      </c>
      <c r="F311" s="13">
        <f>IFERROR(VLOOKUP($E311,ghg_sort!$A$3:$B$21,2,0),0)</f>
        <v>0</v>
      </c>
      <c r="G311" s="13">
        <f t="shared" si="46"/>
        <v>0</v>
      </c>
      <c r="H311" s="13">
        <f t="shared" si="47"/>
        <v>0</v>
      </c>
      <c r="I311" s="13">
        <f t="shared" si="48"/>
        <v>0</v>
      </c>
      <c r="J311" s="13">
        <f t="shared" si="49"/>
        <v>0</v>
      </c>
      <c r="K311" s="13">
        <f t="shared" si="50"/>
        <v>0</v>
      </c>
      <c r="L311" s="13">
        <f t="shared" si="51"/>
        <v>0</v>
      </c>
      <c r="M311" s="13">
        <f t="shared" si="52"/>
        <v>0</v>
      </c>
      <c r="N311" s="13">
        <f t="shared" si="53"/>
        <v>0</v>
      </c>
      <c r="O311" s="13">
        <f t="shared" si="54"/>
        <v>0</v>
      </c>
      <c r="P311" s="13">
        <f t="shared" si="55"/>
        <v>0</v>
      </c>
      <c r="Q311" s="13">
        <f t="shared" si="56"/>
        <v>0</v>
      </c>
      <c r="R311" s="13" t="s">
        <v>239</v>
      </c>
      <c r="T311" s="62">
        <v>6.8138459600000003E-3</v>
      </c>
      <c r="U311" s="63">
        <v>1.2388920999999999E-3</v>
      </c>
      <c r="V311" s="63">
        <v>1.1837414699999999E-3</v>
      </c>
      <c r="W311" s="63">
        <v>1.6454366999999999E-3</v>
      </c>
      <c r="X311" s="63">
        <v>2.9430531999999998E-3</v>
      </c>
      <c r="Y311" s="63">
        <v>1.912221E-3</v>
      </c>
      <c r="Z311" s="63">
        <v>1.7305663000000001E-3</v>
      </c>
      <c r="AA311" s="63">
        <v>1.5835564E-3</v>
      </c>
      <c r="AB311" s="63">
        <v>1.5123889E-3</v>
      </c>
      <c r="AC311" s="63">
        <v>1.46530116E-3</v>
      </c>
      <c r="AD311" s="63">
        <v>1.43315E-3</v>
      </c>
      <c r="AE311" t="s">
        <v>93</v>
      </c>
    </row>
    <row r="312" spans="1:31">
      <c r="A312" t="s">
        <v>267</v>
      </c>
      <c r="B312" t="s">
        <v>1</v>
      </c>
      <c r="C312" t="s">
        <v>152</v>
      </c>
      <c r="D312" s="13" t="str">
        <f>IFERROR(VLOOKUP(C312,ghg_sort!$A$86:$B$512,2,0),0)</f>
        <v>Building</v>
      </c>
      <c r="E312" t="s">
        <v>90</v>
      </c>
      <c r="F312" s="13">
        <f>IFERROR(VLOOKUP($E312,ghg_sort!$A$3:$B$21,2,0),0)</f>
        <v>0</v>
      </c>
      <c r="G312" s="13">
        <f t="shared" si="46"/>
        <v>0</v>
      </c>
      <c r="H312" s="13">
        <f t="shared" si="47"/>
        <v>0</v>
      </c>
      <c r="I312" s="13">
        <f t="shared" si="48"/>
        <v>0</v>
      </c>
      <c r="J312" s="13">
        <f t="shared" si="49"/>
        <v>0</v>
      </c>
      <c r="K312" s="13">
        <f t="shared" si="50"/>
        <v>0</v>
      </c>
      <c r="L312" s="13">
        <f t="shared" si="51"/>
        <v>0</v>
      </c>
      <c r="M312" s="13">
        <f t="shared" si="52"/>
        <v>0</v>
      </c>
      <c r="N312" s="13">
        <f t="shared" si="53"/>
        <v>0</v>
      </c>
      <c r="O312" s="13">
        <f t="shared" si="54"/>
        <v>0</v>
      </c>
      <c r="P312" s="13">
        <f t="shared" si="55"/>
        <v>0</v>
      </c>
      <c r="Q312" s="13">
        <f t="shared" si="56"/>
        <v>0</v>
      </c>
      <c r="R312" s="13" t="s">
        <v>239</v>
      </c>
      <c r="T312" s="63">
        <v>3.8852999999999999E-2</v>
      </c>
      <c r="U312" s="63">
        <v>3.1043899999999999E-2</v>
      </c>
      <c r="V312" s="63">
        <v>2.7807559999999999E-2</v>
      </c>
      <c r="W312" s="62">
        <v>2.7871130000000001E-2</v>
      </c>
      <c r="X312" s="62">
        <v>1.8454379999999999E-2</v>
      </c>
      <c r="Y312" s="62">
        <v>1.26373099999999E-2</v>
      </c>
      <c r="Z312" s="62">
        <v>1.2160850000000001E-2</v>
      </c>
      <c r="AA312" s="62">
        <v>1.080242E-2</v>
      </c>
      <c r="AB312" s="62">
        <v>9.0469499999999998E-3</v>
      </c>
      <c r="AC312" s="62">
        <v>6.3639400000000002E-3</v>
      </c>
      <c r="AD312" s="63">
        <v>2.5673599999999999E-3</v>
      </c>
      <c r="AE312" t="s">
        <v>93</v>
      </c>
    </row>
    <row r="313" spans="1:31">
      <c r="A313" t="s">
        <v>267</v>
      </c>
      <c r="B313" t="s">
        <v>1</v>
      </c>
      <c r="C313" t="s">
        <v>152</v>
      </c>
      <c r="D313" s="13" t="str">
        <f>IFERROR(VLOOKUP(C313,ghg_sort!$A$86:$B$512,2,0),0)</f>
        <v>Building</v>
      </c>
      <c r="E313" t="s">
        <v>91</v>
      </c>
      <c r="F313" s="13">
        <f>IFERROR(VLOOKUP($E313,ghg_sort!$A$3:$B$21,2,0),0)</f>
        <v>0</v>
      </c>
      <c r="G313" s="13">
        <f t="shared" si="46"/>
        <v>0</v>
      </c>
      <c r="H313" s="13">
        <f t="shared" si="47"/>
        <v>0</v>
      </c>
      <c r="I313" s="13">
        <f t="shared" si="48"/>
        <v>0</v>
      </c>
      <c r="J313" s="13">
        <f t="shared" si="49"/>
        <v>0</v>
      </c>
      <c r="K313" s="13">
        <f t="shared" si="50"/>
        <v>0</v>
      </c>
      <c r="L313" s="13">
        <f t="shared" si="51"/>
        <v>0</v>
      </c>
      <c r="M313" s="13">
        <f t="shared" si="52"/>
        <v>0</v>
      </c>
      <c r="N313" s="13">
        <f t="shared" si="53"/>
        <v>0</v>
      </c>
      <c r="O313" s="13">
        <f t="shared" si="54"/>
        <v>0</v>
      </c>
      <c r="P313" s="13">
        <f t="shared" si="55"/>
        <v>0</v>
      </c>
      <c r="Q313" s="13">
        <f t="shared" si="56"/>
        <v>0</v>
      </c>
      <c r="R313" s="13" t="s">
        <v>239</v>
      </c>
      <c r="T313" s="62">
        <v>1.9542491700000001E-2</v>
      </c>
      <c r="U313" s="62">
        <v>5.7229569999999999E-3</v>
      </c>
      <c r="V313" s="62">
        <v>5.7339440000000004E-3</v>
      </c>
      <c r="W313" s="62">
        <v>5.4281700000000004E-3</v>
      </c>
      <c r="X313" s="62">
        <v>8.3158469999999995E-3</v>
      </c>
      <c r="Y313" s="63">
        <v>5.3392679999999899E-3</v>
      </c>
      <c r="Z313" s="63">
        <v>4.7878499999999997E-3</v>
      </c>
      <c r="AA313" s="63">
        <v>4.3712730000000002E-3</v>
      </c>
      <c r="AB313" s="63">
        <v>4.15774E-3</v>
      </c>
      <c r="AC313" s="63">
        <v>3.9699130000000003E-3</v>
      </c>
      <c r="AD313" s="63">
        <v>3.7982799999999998E-3</v>
      </c>
      <c r="AE313" t="s">
        <v>93</v>
      </c>
    </row>
    <row r="314" spans="1:31">
      <c r="A314" t="s">
        <v>267</v>
      </c>
      <c r="B314" t="s">
        <v>1</v>
      </c>
      <c r="C314" t="s">
        <v>152</v>
      </c>
      <c r="D314" s="13" t="str">
        <f>IFERROR(VLOOKUP(C314,ghg_sort!$A$86:$B$512,2,0),0)</f>
        <v>Building</v>
      </c>
      <c r="E314" t="s">
        <v>92</v>
      </c>
      <c r="F314" s="13">
        <f>IFERROR(VLOOKUP($E314,ghg_sort!$A$3:$B$21,2,0),0)</f>
        <v>0</v>
      </c>
      <c r="G314" s="13">
        <f t="shared" si="46"/>
        <v>0</v>
      </c>
      <c r="H314" s="13">
        <f t="shared" si="47"/>
        <v>0</v>
      </c>
      <c r="I314" s="13">
        <f t="shared" si="48"/>
        <v>0</v>
      </c>
      <c r="J314" s="13">
        <f t="shared" si="49"/>
        <v>0</v>
      </c>
      <c r="K314" s="13">
        <f t="shared" si="50"/>
        <v>0</v>
      </c>
      <c r="L314" s="13">
        <f t="shared" si="51"/>
        <v>0</v>
      </c>
      <c r="M314" s="13">
        <f t="shared" si="52"/>
        <v>0</v>
      </c>
      <c r="N314" s="13">
        <f t="shared" si="53"/>
        <v>0</v>
      </c>
      <c r="O314" s="13">
        <f t="shared" si="54"/>
        <v>0</v>
      </c>
      <c r="P314" s="13">
        <f t="shared" si="55"/>
        <v>0</v>
      </c>
      <c r="Q314" s="13">
        <f t="shared" si="56"/>
        <v>0</v>
      </c>
      <c r="R314" s="13" t="s">
        <v>239</v>
      </c>
      <c r="T314" s="62">
        <v>0.12380264033000001</v>
      </c>
      <c r="U314" s="62">
        <v>1.08748331E-2</v>
      </c>
      <c r="V314" s="62">
        <v>7.7151826000000003E-3</v>
      </c>
      <c r="W314" s="62">
        <v>7.3834442000000004E-3</v>
      </c>
      <c r="X314" s="62">
        <v>3.9317084E-3</v>
      </c>
      <c r="Y314" s="62">
        <v>2.5087918000000001E-3</v>
      </c>
      <c r="Z314" s="62">
        <v>1.9957628000000002E-3</v>
      </c>
      <c r="AA314" s="63">
        <v>1.5054625999999999E-3</v>
      </c>
      <c r="AB314" s="63">
        <v>1.1272481E-3</v>
      </c>
      <c r="AC314" s="63">
        <v>6.7818638E-4</v>
      </c>
      <c r="AD314" s="63">
        <v>1.4380400000000001E-4</v>
      </c>
      <c r="AE314" t="s">
        <v>93</v>
      </c>
    </row>
    <row r="315" spans="1:31">
      <c r="A315" t="s">
        <v>267</v>
      </c>
      <c r="B315" t="s">
        <v>1</v>
      </c>
      <c r="C315" t="s">
        <v>153</v>
      </c>
      <c r="D315" s="13" t="str">
        <f>IFERROR(VLOOKUP(C315,ghg_sort!$A$86:$B$512,2,0),0)</f>
        <v>Building</v>
      </c>
      <c r="E315" t="s">
        <v>83</v>
      </c>
      <c r="F315" s="13">
        <f>IFERROR(VLOOKUP($E315,ghg_sort!$A$3:$B$21,2,0),0)</f>
        <v>0</v>
      </c>
      <c r="G315" s="13">
        <f t="shared" si="46"/>
        <v>0</v>
      </c>
      <c r="H315" s="13">
        <f t="shared" si="47"/>
        <v>0</v>
      </c>
      <c r="I315" s="13">
        <f t="shared" si="48"/>
        <v>0</v>
      </c>
      <c r="J315" s="13">
        <f t="shared" si="49"/>
        <v>0</v>
      </c>
      <c r="K315" s="13">
        <f t="shared" si="50"/>
        <v>0</v>
      </c>
      <c r="L315" s="13">
        <f t="shared" si="51"/>
        <v>0</v>
      </c>
      <c r="M315" s="13">
        <f t="shared" si="52"/>
        <v>0</v>
      </c>
      <c r="N315" s="13">
        <f t="shared" si="53"/>
        <v>0</v>
      </c>
      <c r="O315" s="13">
        <f t="shared" si="54"/>
        <v>0</v>
      </c>
      <c r="P315" s="13">
        <f t="shared" si="55"/>
        <v>0</v>
      </c>
      <c r="Q315" s="13">
        <f t="shared" si="56"/>
        <v>0</v>
      </c>
      <c r="R315" s="13" t="s">
        <v>239</v>
      </c>
      <c r="T315" s="62">
        <v>2.24886186999999E-2</v>
      </c>
      <c r="U315" s="62">
        <v>2.7300800000000002E-3</v>
      </c>
      <c r="V315" s="62">
        <v>2.6095469999999898E-3</v>
      </c>
      <c r="W315" s="62">
        <v>1.920745E-3</v>
      </c>
      <c r="X315" s="63">
        <v>2.4945579999999999E-4</v>
      </c>
      <c r="Y315" s="63">
        <v>1.43239E-4</v>
      </c>
      <c r="Z315" s="63">
        <v>1.165204E-4</v>
      </c>
      <c r="AA315" s="63">
        <v>8.8175600000000003E-5</v>
      </c>
      <c r="AB315" s="63">
        <v>6.8199800000000004E-5</v>
      </c>
      <c r="AC315" s="63">
        <v>4.8135769999999999E-5</v>
      </c>
      <c r="AD315" s="63">
        <v>3.0655899999999999E-5</v>
      </c>
      <c r="AE315" t="s">
        <v>93</v>
      </c>
    </row>
    <row r="316" spans="1:31">
      <c r="A316" t="s">
        <v>267</v>
      </c>
      <c r="B316" t="s">
        <v>1</v>
      </c>
      <c r="C316" t="s">
        <v>153</v>
      </c>
      <c r="D316" s="13" t="str">
        <f>IFERROR(VLOOKUP(C316,ghg_sort!$A$86:$B$512,2,0),0)</f>
        <v>Building</v>
      </c>
      <c r="E316" t="s">
        <v>84</v>
      </c>
      <c r="F316" s="13">
        <f>IFERROR(VLOOKUP($E316,ghg_sort!$A$3:$B$21,2,0),0)</f>
        <v>25</v>
      </c>
      <c r="G316" s="13">
        <f t="shared" si="46"/>
        <v>0.68559495000000004</v>
      </c>
      <c r="H316" s="13">
        <f t="shared" si="47"/>
        <v>0.15597247749999998</v>
      </c>
      <c r="I316" s="13">
        <f t="shared" si="48"/>
        <v>0.1485599775</v>
      </c>
      <c r="J316" s="13">
        <f t="shared" si="49"/>
        <v>0.17235331000000001</v>
      </c>
      <c r="K316" s="13">
        <f t="shared" si="50"/>
        <v>0.21058483999999975</v>
      </c>
      <c r="L316" s="13">
        <f t="shared" si="51"/>
        <v>0.23586083499999999</v>
      </c>
      <c r="M316" s="13">
        <f t="shared" si="52"/>
        <v>0.26196585750000001</v>
      </c>
      <c r="N316" s="13">
        <f t="shared" si="53"/>
        <v>0.26541026550000002</v>
      </c>
      <c r="O316" s="13">
        <f t="shared" si="54"/>
        <v>0.26193795375000001</v>
      </c>
      <c r="P316" s="13">
        <f t="shared" si="55"/>
        <v>0.25366061325</v>
      </c>
      <c r="Q316" s="13">
        <f t="shared" si="56"/>
        <v>0.239286375</v>
      </c>
      <c r="R316" s="13" t="s">
        <v>239</v>
      </c>
      <c r="T316" s="62">
        <v>2.7423797999999999E-2</v>
      </c>
      <c r="U316" s="62">
        <v>6.2388990999999996E-3</v>
      </c>
      <c r="V316" s="62">
        <v>5.9423990999999997E-3</v>
      </c>
      <c r="W316" s="62">
        <v>6.8941324E-3</v>
      </c>
      <c r="X316" s="62">
        <v>8.4233935999999902E-3</v>
      </c>
      <c r="Y316" s="62">
        <v>9.4344333999999992E-3</v>
      </c>
      <c r="Z316" s="62">
        <v>1.0478634299999999E-2</v>
      </c>
      <c r="AA316" s="62">
        <v>1.0616410620000001E-2</v>
      </c>
      <c r="AB316" s="62">
        <v>1.047751815E-2</v>
      </c>
      <c r="AC316" s="62">
        <v>1.014642453E-2</v>
      </c>
      <c r="AD316" s="62">
        <v>9.5714549999999995E-3</v>
      </c>
      <c r="AE316" t="s">
        <v>93</v>
      </c>
    </row>
    <row r="317" spans="1:31">
      <c r="A317" t="s">
        <v>267</v>
      </c>
      <c r="B317" t="s">
        <v>1</v>
      </c>
      <c r="C317" t="s">
        <v>153</v>
      </c>
      <c r="D317" s="13" t="str">
        <f>IFERROR(VLOOKUP(C317,ghg_sort!$A$86:$B$512,2,0),0)</f>
        <v>Building</v>
      </c>
      <c r="E317" t="s">
        <v>85</v>
      </c>
      <c r="F317" s="13">
        <f>IFERROR(VLOOKUP($E317,ghg_sort!$A$3:$B$21,2,0),0)</f>
        <v>0</v>
      </c>
      <c r="G317" s="13">
        <f t="shared" si="46"/>
        <v>0</v>
      </c>
      <c r="H317" s="13">
        <f t="shared" si="47"/>
        <v>0</v>
      </c>
      <c r="I317" s="13">
        <f t="shared" si="48"/>
        <v>0</v>
      </c>
      <c r="J317" s="13">
        <f t="shared" si="49"/>
        <v>0</v>
      </c>
      <c r="K317" s="13">
        <f t="shared" si="50"/>
        <v>0</v>
      </c>
      <c r="L317" s="13">
        <f t="shared" si="51"/>
        <v>0</v>
      </c>
      <c r="M317" s="13">
        <f t="shared" si="52"/>
        <v>0</v>
      </c>
      <c r="N317" s="13">
        <f t="shared" si="53"/>
        <v>0</v>
      </c>
      <c r="O317" s="13">
        <f t="shared" si="54"/>
        <v>0</v>
      </c>
      <c r="P317" s="13">
        <f t="shared" si="55"/>
        <v>0</v>
      </c>
      <c r="Q317" s="13">
        <f t="shared" si="56"/>
        <v>0</v>
      </c>
      <c r="R317" s="13" t="s">
        <v>239</v>
      </c>
      <c r="T317" s="62">
        <v>0.32372427729999997</v>
      </c>
      <c r="U317" s="62">
        <v>3.1571967999999999E-2</v>
      </c>
      <c r="V317" s="62">
        <v>2.8418150999999999E-2</v>
      </c>
      <c r="W317" s="62">
        <v>2.7170101999999901E-2</v>
      </c>
      <c r="X317" s="62">
        <v>4.9959660000000001E-3</v>
      </c>
      <c r="Y317" s="62">
        <v>3.9399359999999998E-3</v>
      </c>
      <c r="Z317" s="62">
        <v>3.8281399999999998E-3</v>
      </c>
      <c r="AA317" s="62">
        <v>3.5345579000000001E-3</v>
      </c>
      <c r="AB317" s="62">
        <v>3.2896441E-3</v>
      </c>
      <c r="AC317" s="63">
        <v>3.0196940999999999E-3</v>
      </c>
      <c r="AD317" s="63">
        <v>2.715912E-3</v>
      </c>
      <c r="AE317" t="s">
        <v>93</v>
      </c>
    </row>
    <row r="318" spans="1:31">
      <c r="A318" t="s">
        <v>267</v>
      </c>
      <c r="B318" t="s">
        <v>1</v>
      </c>
      <c r="C318" t="s">
        <v>153</v>
      </c>
      <c r="D318" s="13" t="str">
        <f>IFERROR(VLOOKUP(C318,ghg_sort!$A$86:$B$512,2,0),0)</f>
        <v>Building</v>
      </c>
      <c r="E318" t="s">
        <v>86</v>
      </c>
      <c r="F318" s="13">
        <f>IFERROR(VLOOKUP($E318,ghg_sort!$A$3:$B$21,2,0),0)</f>
        <v>3.6666666666666701</v>
      </c>
      <c r="G318" s="13">
        <f t="shared" si="46"/>
        <v>27.455738566666653</v>
      </c>
      <c r="H318" s="13">
        <f t="shared" si="47"/>
        <v>12.799994900000012</v>
      </c>
      <c r="I318" s="13">
        <f t="shared" si="48"/>
        <v>12.820582500000013</v>
      </c>
      <c r="J318" s="13">
        <f t="shared" si="49"/>
        <v>11.52262246666664</v>
      </c>
      <c r="K318" s="13">
        <f t="shared" si="50"/>
        <v>9.942058133333342</v>
      </c>
      <c r="L318" s="13">
        <f t="shared" si="51"/>
        <v>10.897532800000011</v>
      </c>
      <c r="M318" s="13">
        <f t="shared" si="52"/>
        <v>11.908203266666678</v>
      </c>
      <c r="N318" s="13">
        <f t="shared" si="53"/>
        <v>11.898655266666678</v>
      </c>
      <c r="O318" s="13">
        <f t="shared" si="54"/>
        <v>11.614500333333343</v>
      </c>
      <c r="P318" s="13">
        <f t="shared" si="55"/>
        <v>11.13247556666664</v>
      </c>
      <c r="Q318" s="13">
        <f t="shared" si="56"/>
        <v>10.398480033333344</v>
      </c>
      <c r="R318" s="13" t="s">
        <v>239</v>
      </c>
      <c r="T318" s="62">
        <v>7.4879286999999897</v>
      </c>
      <c r="U318" s="62">
        <v>3.4909077000000002</v>
      </c>
      <c r="V318" s="62">
        <v>3.4965225000000002</v>
      </c>
      <c r="W318" s="62">
        <v>3.1425333999999898</v>
      </c>
      <c r="X318" s="62">
        <v>2.7114704000000001</v>
      </c>
      <c r="Y318" s="62">
        <v>2.9720544000000002</v>
      </c>
      <c r="Z318" s="62">
        <v>3.2476918000000001</v>
      </c>
      <c r="AA318" s="62">
        <v>3.2450877999999999</v>
      </c>
      <c r="AB318" s="62">
        <v>3.1675909999999998</v>
      </c>
      <c r="AC318" s="62">
        <v>3.0361296999999898</v>
      </c>
      <c r="AD318" s="62">
        <v>2.8359491000000001</v>
      </c>
      <c r="AE318" t="s">
        <v>93</v>
      </c>
    </row>
    <row r="319" spans="1:31">
      <c r="A319" t="s">
        <v>267</v>
      </c>
      <c r="B319" t="s">
        <v>1</v>
      </c>
      <c r="C319" t="s">
        <v>153</v>
      </c>
      <c r="D319" s="13" t="str">
        <f>IFERROR(VLOOKUP(C319,ghg_sort!$A$86:$B$512,2,0),0)</f>
        <v>Building</v>
      </c>
      <c r="E319" t="s">
        <v>87</v>
      </c>
      <c r="F319" s="13">
        <f>IFERROR(VLOOKUP($E319,ghg_sort!$A$3:$B$21,2,0),0)</f>
        <v>298</v>
      </c>
      <c r="G319" s="13">
        <f t="shared" si="46"/>
        <v>0.39482459251999702</v>
      </c>
      <c r="H319" s="13">
        <f t="shared" si="47"/>
        <v>6.9891012799999999E-2</v>
      </c>
      <c r="I319" s="13">
        <f t="shared" si="48"/>
        <v>6.8445891599999698E-2</v>
      </c>
      <c r="J319" s="13">
        <f t="shared" si="49"/>
        <v>4.6555198999999998E-2</v>
      </c>
      <c r="K319" s="13">
        <f t="shared" si="50"/>
        <v>2.3869025200000001E-2</v>
      </c>
      <c r="L319" s="13">
        <f t="shared" si="51"/>
        <v>2.4113415000000003E-2</v>
      </c>
      <c r="M319" s="13">
        <f t="shared" si="52"/>
        <v>2.49795222E-2</v>
      </c>
      <c r="N319" s="13">
        <f t="shared" si="53"/>
        <v>2.3803363880000001E-2</v>
      </c>
      <c r="O319" s="13">
        <f t="shared" si="54"/>
        <v>2.257986528E-2</v>
      </c>
      <c r="P319" s="13">
        <f t="shared" si="55"/>
        <v>2.0548271140000001E-2</v>
      </c>
      <c r="Q319" s="13">
        <f t="shared" si="56"/>
        <v>1.8346697799999971E-2</v>
      </c>
      <c r="R319" s="13" t="s">
        <v>239</v>
      </c>
      <c r="T319" s="62">
        <v>1.3249147399999901E-3</v>
      </c>
      <c r="U319" s="63">
        <v>2.345336E-4</v>
      </c>
      <c r="V319" s="63">
        <v>2.29684199999999E-4</v>
      </c>
      <c r="W319" s="63">
        <v>1.562255E-4</v>
      </c>
      <c r="X319" s="63">
        <v>8.0097400000000003E-5</v>
      </c>
      <c r="Y319" s="63">
        <v>8.0917500000000006E-5</v>
      </c>
      <c r="Z319" s="63">
        <v>8.3823899999999995E-5</v>
      </c>
      <c r="AA319" s="63">
        <v>7.9877059999999999E-5</v>
      </c>
      <c r="AB319" s="63">
        <v>7.5771360000000002E-5</v>
      </c>
      <c r="AC319" s="63">
        <v>6.8953929999999999E-5</v>
      </c>
      <c r="AD319" s="63">
        <v>6.1566099999999898E-5</v>
      </c>
      <c r="AE319" t="s">
        <v>93</v>
      </c>
    </row>
    <row r="320" spans="1:31">
      <c r="A320" t="s">
        <v>267</v>
      </c>
      <c r="B320" t="s">
        <v>1</v>
      </c>
      <c r="C320" t="s">
        <v>153</v>
      </c>
      <c r="D320" s="13" t="str">
        <f>IFERROR(VLOOKUP(C320,ghg_sort!$A$86:$B$512,2,0),0)</f>
        <v>Building</v>
      </c>
      <c r="E320" s="12" t="s">
        <v>88</v>
      </c>
      <c r="F320" s="13">
        <f>IFERROR(VLOOKUP($E320,ghg_sort!$A$3:$B$21,2,0),0)</f>
        <v>0</v>
      </c>
      <c r="G320" s="13">
        <f t="shared" si="46"/>
        <v>0</v>
      </c>
      <c r="H320" s="13">
        <f t="shared" si="47"/>
        <v>0</v>
      </c>
      <c r="I320" s="13">
        <f t="shared" si="48"/>
        <v>0</v>
      </c>
      <c r="J320" s="13">
        <f t="shared" si="49"/>
        <v>0</v>
      </c>
      <c r="K320" s="13">
        <f t="shared" si="50"/>
        <v>0</v>
      </c>
      <c r="L320" s="13">
        <f t="shared" si="51"/>
        <v>0</v>
      </c>
      <c r="M320" s="13">
        <f t="shared" si="52"/>
        <v>0</v>
      </c>
      <c r="N320" s="13">
        <f t="shared" si="53"/>
        <v>0</v>
      </c>
      <c r="O320" s="13">
        <f t="shared" si="54"/>
        <v>0</v>
      </c>
      <c r="P320" s="13">
        <f t="shared" si="55"/>
        <v>0</v>
      </c>
      <c r="Q320" s="13">
        <f t="shared" si="56"/>
        <v>0</v>
      </c>
      <c r="R320" s="13" t="s">
        <v>239</v>
      </c>
      <c r="T320" s="63">
        <v>1.6870789999999999E-4</v>
      </c>
      <c r="U320" s="63">
        <v>1.8181282999999999E-4</v>
      </c>
      <c r="V320" s="63">
        <v>1.6810782999999901E-4</v>
      </c>
      <c r="W320" s="63">
        <v>4.8806799999999998E-4</v>
      </c>
      <c r="X320" s="63">
        <v>5.9002643000000002E-4</v>
      </c>
      <c r="Y320" s="63">
        <v>6.5442313999999999E-4</v>
      </c>
      <c r="Z320" s="63">
        <v>7.2287493999999904E-4</v>
      </c>
      <c r="AA320" s="63">
        <v>7.2910965000000003E-4</v>
      </c>
      <c r="AB320" s="63">
        <v>7.1796265999999904E-4</v>
      </c>
      <c r="AC320" s="63">
        <v>6.9198351199999998E-4</v>
      </c>
      <c r="AD320" s="63">
        <v>6.5035340000000003E-4</v>
      </c>
      <c r="AE320" t="s">
        <v>94</v>
      </c>
    </row>
    <row r="321" spans="1:31">
      <c r="A321" t="s">
        <v>267</v>
      </c>
      <c r="B321" t="s">
        <v>1</v>
      </c>
      <c r="C321" t="s">
        <v>153</v>
      </c>
      <c r="D321" s="13" t="str">
        <f>IFERROR(VLOOKUP(C321,ghg_sort!$A$86:$B$512,2,0),0)</f>
        <v>Building</v>
      </c>
      <c r="E321" t="s">
        <v>89</v>
      </c>
      <c r="F321" s="13">
        <f>IFERROR(VLOOKUP($E321,ghg_sort!$A$3:$B$21,2,0),0)</f>
        <v>0</v>
      </c>
      <c r="G321" s="13">
        <f t="shared" si="46"/>
        <v>0</v>
      </c>
      <c r="H321" s="13">
        <f t="shared" si="47"/>
        <v>0</v>
      </c>
      <c r="I321" s="13">
        <f t="shared" si="48"/>
        <v>0</v>
      </c>
      <c r="J321" s="13">
        <f t="shared" si="49"/>
        <v>0</v>
      </c>
      <c r="K321" s="13">
        <f t="shared" si="50"/>
        <v>0</v>
      </c>
      <c r="L321" s="13">
        <f t="shared" si="51"/>
        <v>0</v>
      </c>
      <c r="M321" s="13">
        <f t="shared" si="52"/>
        <v>0</v>
      </c>
      <c r="N321" s="13">
        <f t="shared" si="53"/>
        <v>0</v>
      </c>
      <c r="O321" s="13">
        <f t="shared" si="54"/>
        <v>0</v>
      </c>
      <c r="P321" s="13">
        <f t="shared" si="55"/>
        <v>0</v>
      </c>
      <c r="Q321" s="13">
        <f t="shared" si="56"/>
        <v>0</v>
      </c>
      <c r="R321" s="13" t="s">
        <v>239</v>
      </c>
      <c r="T321" s="62">
        <v>6.4061540199999998E-3</v>
      </c>
      <c r="U321" s="63">
        <v>4.6110785000000001E-4</v>
      </c>
      <c r="V321" s="63">
        <v>4.1625852999999899E-4</v>
      </c>
      <c r="W321" s="63">
        <v>4.6456328E-4</v>
      </c>
      <c r="X321" s="63">
        <v>1.8563151999999999E-4</v>
      </c>
      <c r="Y321" s="63">
        <v>1.2763987E-4</v>
      </c>
      <c r="Z321" s="63">
        <v>1.1586027E-4</v>
      </c>
      <c r="AA321" s="63">
        <v>1.0136202E-4</v>
      </c>
      <c r="AB321" s="63">
        <v>9.0986630000000003E-5</v>
      </c>
      <c r="AC321" s="63">
        <v>8.0541006000000003E-5</v>
      </c>
      <c r="AD321" s="63">
        <v>7.0001300000000003E-5</v>
      </c>
      <c r="AE321" t="s">
        <v>93</v>
      </c>
    </row>
    <row r="322" spans="1:31">
      <c r="A322" t="s">
        <v>267</v>
      </c>
      <c r="B322" t="s">
        <v>1</v>
      </c>
      <c r="C322" t="s">
        <v>153</v>
      </c>
      <c r="D322" s="13" t="str">
        <f>IFERROR(VLOOKUP(C322,ghg_sort!$A$86:$B$512,2,0),0)</f>
        <v>Building</v>
      </c>
      <c r="E322" t="s">
        <v>90</v>
      </c>
      <c r="F322" s="13">
        <f>IFERROR(VLOOKUP($E322,ghg_sort!$A$3:$B$21,2,0),0)</f>
        <v>0</v>
      </c>
      <c r="G322" s="13">
        <f t="shared" si="46"/>
        <v>0</v>
      </c>
      <c r="H322" s="13">
        <f t="shared" si="47"/>
        <v>0</v>
      </c>
      <c r="I322" s="13">
        <f t="shared" si="48"/>
        <v>0</v>
      </c>
      <c r="J322" s="13">
        <f t="shared" si="49"/>
        <v>0</v>
      </c>
      <c r="K322" s="13">
        <f t="shared" si="50"/>
        <v>0</v>
      </c>
      <c r="L322" s="13">
        <f t="shared" si="51"/>
        <v>0</v>
      </c>
      <c r="M322" s="13">
        <f t="shared" si="52"/>
        <v>0</v>
      </c>
      <c r="N322" s="13">
        <f t="shared" si="53"/>
        <v>0</v>
      </c>
      <c r="O322" s="13">
        <f t="shared" si="54"/>
        <v>0</v>
      </c>
      <c r="P322" s="13">
        <f t="shared" si="55"/>
        <v>0</v>
      </c>
      <c r="Q322" s="13">
        <f t="shared" si="56"/>
        <v>0</v>
      </c>
      <c r="R322" s="13" t="s">
        <v>239</v>
      </c>
      <c r="T322" s="63">
        <v>5.8407050000000002E-2</v>
      </c>
      <c r="U322" s="63">
        <v>2.0806100000000001E-2</v>
      </c>
      <c r="V322" s="63">
        <v>1.8522440000000001E-2</v>
      </c>
      <c r="W322" s="63">
        <v>1.7168880000000001E-2</v>
      </c>
      <c r="X322" s="63">
        <v>9.7298799999999998E-3</v>
      </c>
      <c r="Y322" s="63">
        <v>7.7664209999999999E-3</v>
      </c>
      <c r="Z322" s="63">
        <v>8.4961459999999996E-3</v>
      </c>
      <c r="AA322" s="63">
        <v>8.5076856000000003E-3</v>
      </c>
      <c r="AB322" s="63">
        <v>8.3198826E-3</v>
      </c>
      <c r="AC322" s="63">
        <v>7.9994230999999999E-3</v>
      </c>
      <c r="AD322" s="63">
        <v>7.4930700999999997E-3</v>
      </c>
      <c r="AE322" t="s">
        <v>93</v>
      </c>
    </row>
    <row r="323" spans="1:31">
      <c r="A323" t="s">
        <v>267</v>
      </c>
      <c r="B323" t="s">
        <v>1</v>
      </c>
      <c r="C323" t="s">
        <v>153</v>
      </c>
      <c r="D323" s="13" t="str">
        <f>IFERROR(VLOOKUP(C323,ghg_sort!$A$86:$B$512,2,0),0)</f>
        <v>Building</v>
      </c>
      <c r="E323" t="s">
        <v>91</v>
      </c>
      <c r="F323" s="13">
        <f>IFERROR(VLOOKUP($E323,ghg_sort!$A$3:$B$21,2,0),0)</f>
        <v>0</v>
      </c>
      <c r="G323" s="13">
        <f t="shared" si="46"/>
        <v>0</v>
      </c>
      <c r="H323" s="13">
        <f t="shared" si="47"/>
        <v>0</v>
      </c>
      <c r="I323" s="13">
        <f t="shared" si="48"/>
        <v>0</v>
      </c>
      <c r="J323" s="13">
        <f t="shared" si="49"/>
        <v>0</v>
      </c>
      <c r="K323" s="13">
        <f t="shared" si="50"/>
        <v>0</v>
      </c>
      <c r="L323" s="13">
        <f t="shared" si="51"/>
        <v>0</v>
      </c>
      <c r="M323" s="13">
        <f t="shared" si="52"/>
        <v>0</v>
      </c>
      <c r="N323" s="13">
        <f t="shared" si="53"/>
        <v>0</v>
      </c>
      <c r="O323" s="13">
        <f t="shared" si="54"/>
        <v>0</v>
      </c>
      <c r="P323" s="13">
        <f t="shared" si="55"/>
        <v>0</v>
      </c>
      <c r="Q323" s="13">
        <f t="shared" si="56"/>
        <v>0</v>
      </c>
      <c r="R323" s="13" t="s">
        <v>239</v>
      </c>
      <c r="T323" s="62">
        <v>3.1117508299999999E-2</v>
      </c>
      <c r="U323" s="63">
        <v>3.81704299999999E-3</v>
      </c>
      <c r="V323" s="63">
        <v>3.6160559999999999E-3</v>
      </c>
      <c r="W323" s="63">
        <v>2.65183E-3</v>
      </c>
      <c r="X323" s="63">
        <v>4.6136449999999998E-4</v>
      </c>
      <c r="Y323" s="63">
        <v>2.6182080000000001E-4</v>
      </c>
      <c r="Z323" s="63">
        <v>2.0911399999999999E-4</v>
      </c>
      <c r="AA323" s="63">
        <v>1.633087E-4</v>
      </c>
      <c r="AB323" s="63">
        <v>1.329607E-4</v>
      </c>
      <c r="AC323" s="63">
        <v>1.0395331999999999E-4</v>
      </c>
      <c r="AD323" s="63">
        <v>7.8248400000000001E-5</v>
      </c>
      <c r="AE323" t="s">
        <v>93</v>
      </c>
    </row>
    <row r="324" spans="1:31">
      <c r="A324" t="s">
        <v>267</v>
      </c>
      <c r="B324" t="s">
        <v>1</v>
      </c>
      <c r="C324" t="s">
        <v>153</v>
      </c>
      <c r="D324" s="13" t="str">
        <f>IFERROR(VLOOKUP(C324,ghg_sort!$A$86:$B$512,2,0),0)</f>
        <v>Building</v>
      </c>
      <c r="E324" t="s">
        <v>92</v>
      </c>
      <c r="F324" s="13">
        <f>IFERROR(VLOOKUP($E324,ghg_sort!$A$3:$B$21,2,0),0)</f>
        <v>0</v>
      </c>
      <c r="G324" s="13">
        <f t="shared" si="46"/>
        <v>0</v>
      </c>
      <c r="H324" s="13">
        <f t="shared" si="47"/>
        <v>0</v>
      </c>
      <c r="I324" s="13">
        <f t="shared" si="48"/>
        <v>0</v>
      </c>
      <c r="J324" s="13">
        <f t="shared" si="49"/>
        <v>0</v>
      </c>
      <c r="K324" s="13">
        <f t="shared" si="50"/>
        <v>0</v>
      </c>
      <c r="L324" s="13">
        <f t="shared" si="51"/>
        <v>0</v>
      </c>
      <c r="M324" s="13">
        <f t="shared" si="52"/>
        <v>0</v>
      </c>
      <c r="N324" s="13">
        <f t="shared" si="53"/>
        <v>0</v>
      </c>
      <c r="O324" s="13">
        <f t="shared" si="54"/>
        <v>0</v>
      </c>
      <c r="P324" s="13">
        <f t="shared" si="55"/>
        <v>0</v>
      </c>
      <c r="Q324" s="13">
        <f t="shared" si="56"/>
        <v>0</v>
      </c>
      <c r="R324" s="13" t="s">
        <v>239</v>
      </c>
      <c r="T324" s="62">
        <v>0.22716921734000001</v>
      </c>
      <c r="U324" s="62">
        <v>1.66005488E-2</v>
      </c>
      <c r="V324" s="62">
        <v>1.11917844E-2</v>
      </c>
      <c r="W324" s="62">
        <v>9.2441850999999998E-3</v>
      </c>
      <c r="X324" s="63">
        <v>4.2341639999999902E-4</v>
      </c>
      <c r="Y324" s="63">
        <v>2.2340001E-4</v>
      </c>
      <c r="Z324" s="63">
        <v>1.5895484999999999E-4</v>
      </c>
      <c r="AA324" s="63">
        <v>1.0759307E-4</v>
      </c>
      <c r="AB324" s="63">
        <v>7.5500370000000004E-5</v>
      </c>
      <c r="AC324" s="63">
        <v>4.9628089999999999E-5</v>
      </c>
      <c r="AD324" s="63">
        <v>2.9135309999999999E-5</v>
      </c>
      <c r="AE324" t="s">
        <v>93</v>
      </c>
    </row>
    <row r="325" spans="1:31" s="13" customFormat="1">
      <c r="A325" s="13" t="s">
        <v>267</v>
      </c>
      <c r="B325" s="13" t="s">
        <v>1</v>
      </c>
      <c r="C325" s="13" t="s">
        <v>407</v>
      </c>
      <c r="D325" s="13" t="str">
        <f>IFERROR(VLOOKUP(C325,ghg_sort!$A$86:$B$512,2,0),0)</f>
        <v>Industry</v>
      </c>
      <c r="E325" s="13" t="s">
        <v>86</v>
      </c>
      <c r="F325" s="13">
        <f>IFERROR(VLOOKUP($E325,ghg_sort!$A$3:$B$21,2,0),0)</f>
        <v>3.6666666666666701</v>
      </c>
      <c r="G325" s="13">
        <f t="shared" ref="G325:Q325" si="57">T325*$F325</f>
        <v>0</v>
      </c>
      <c r="H325" s="13">
        <f t="shared" si="57"/>
        <v>0.39491466666666702</v>
      </c>
      <c r="I325" s="13">
        <f t="shared" si="57"/>
        <v>0.49101066666666715</v>
      </c>
      <c r="J325" s="13">
        <f t="shared" si="57"/>
        <v>0.64042000000000066</v>
      </c>
      <c r="K325" s="13">
        <f t="shared" si="57"/>
        <v>0.8677050066666675</v>
      </c>
      <c r="L325" s="13">
        <f t="shared" si="57"/>
        <v>1.0675769866666676</v>
      </c>
      <c r="M325" s="13">
        <f t="shared" si="57"/>
        <v>1.1422705433333344</v>
      </c>
      <c r="N325" s="13">
        <f t="shared" si="57"/>
        <v>1.2008470466666676</v>
      </c>
      <c r="O325" s="13">
        <f t="shared" si="57"/>
        <v>1.2727411766666679</v>
      </c>
      <c r="P325" s="13">
        <f t="shared" si="57"/>
        <v>1.3480204833333345</v>
      </c>
      <c r="Q325" s="13">
        <f t="shared" si="57"/>
        <v>1.4278745800000012</v>
      </c>
      <c r="R325" s="13" t="s">
        <v>239</v>
      </c>
      <c r="T325" s="62">
        <v>0</v>
      </c>
      <c r="U325" s="62">
        <v>0.10770399999999999</v>
      </c>
      <c r="V325" s="62">
        <v>0.133912</v>
      </c>
      <c r="W325" s="62">
        <v>0.17466000000000001</v>
      </c>
      <c r="X325" s="62">
        <v>0.23664682000000001</v>
      </c>
      <c r="Y325" s="62">
        <v>0.29115735999999998</v>
      </c>
      <c r="Z325" s="62">
        <v>0.31152833000000002</v>
      </c>
      <c r="AA325" s="62">
        <v>0.32750373999999999</v>
      </c>
      <c r="AB325" s="62">
        <v>0.34711122999999999</v>
      </c>
      <c r="AC325" s="62">
        <v>0.36764195</v>
      </c>
      <c r="AD325" s="62">
        <v>0.38942033999999998</v>
      </c>
    </row>
    <row r="326" spans="1:31">
      <c r="A326" t="s">
        <v>267</v>
      </c>
      <c r="B326" t="s">
        <v>1</v>
      </c>
      <c r="C326" t="s">
        <v>154</v>
      </c>
      <c r="D326" s="13" t="str">
        <f>IFERROR(VLOOKUP(C326,ghg_sort!$A$86:$B$512,2,0),0)</f>
        <v>International</v>
      </c>
      <c r="E326" t="s">
        <v>83</v>
      </c>
      <c r="F326" s="13">
        <f>IFERROR(VLOOKUP($E326,ghg_sort!$A$3:$B$21,2,0),0)</f>
        <v>0</v>
      </c>
      <c r="G326" s="13">
        <f t="shared" ref="G326:G389" si="58">T326*$F326</f>
        <v>0</v>
      </c>
      <c r="H326" s="13">
        <f t="shared" ref="H326:H389" si="59">U326*$F326</f>
        <v>0</v>
      </c>
      <c r="I326" s="13">
        <f t="shared" ref="I326:I389" si="60">V326*$F326</f>
        <v>0</v>
      </c>
      <c r="J326" s="13">
        <f t="shared" ref="J326:J389" si="61">W326*$F326</f>
        <v>0</v>
      </c>
      <c r="K326" s="13">
        <f t="shared" ref="K326:K389" si="62">X326*$F326</f>
        <v>0</v>
      </c>
      <c r="L326" s="13">
        <f t="shared" ref="L326:L389" si="63">Y326*$F326</f>
        <v>0</v>
      </c>
      <c r="M326" s="13">
        <f t="shared" ref="M326:M389" si="64">Z326*$F326</f>
        <v>0</v>
      </c>
      <c r="N326" s="13">
        <f t="shared" ref="N326:N389" si="65">AA326*$F326</f>
        <v>0</v>
      </c>
      <c r="O326" s="13">
        <f t="shared" ref="O326:O389" si="66">AB326*$F326</f>
        <v>0</v>
      </c>
      <c r="P326" s="13">
        <f t="shared" ref="P326:P389" si="67">AC326*$F326</f>
        <v>0</v>
      </c>
      <c r="Q326" s="13">
        <f t="shared" ref="Q326:Q389" si="68">AD326*$F326</f>
        <v>0</v>
      </c>
      <c r="R326" s="13" t="s">
        <v>239</v>
      </c>
      <c r="T326" s="63">
        <v>1.07067E-5</v>
      </c>
      <c r="U326" s="63">
        <v>9.2270100000000003E-5</v>
      </c>
      <c r="V326" s="63">
        <v>1.5137700000000001E-4</v>
      </c>
      <c r="W326" s="63">
        <v>1.66255E-4</v>
      </c>
      <c r="X326" s="63">
        <v>1.19809E-4</v>
      </c>
      <c r="Y326" s="63">
        <v>7.8519199999999999E-5</v>
      </c>
      <c r="Z326" s="63">
        <v>6.4725800000000003E-5</v>
      </c>
      <c r="AA326" s="63">
        <v>5.5282599999999998E-5</v>
      </c>
      <c r="AB326" s="63">
        <v>4.8114500000000002E-5</v>
      </c>
      <c r="AC326" s="63">
        <v>4.3607399999999999E-5</v>
      </c>
      <c r="AD326" s="63">
        <v>3.8670900000000003E-5</v>
      </c>
      <c r="AE326" t="s">
        <v>93</v>
      </c>
    </row>
    <row r="327" spans="1:31">
      <c r="A327" t="s">
        <v>267</v>
      </c>
      <c r="B327" t="s">
        <v>1</v>
      </c>
      <c r="C327" t="s">
        <v>154</v>
      </c>
      <c r="D327" s="13" t="str">
        <f>IFERROR(VLOOKUP(C327,ghg_sort!$A$86:$B$512,2,0),0)</f>
        <v>International</v>
      </c>
      <c r="E327" t="s">
        <v>85</v>
      </c>
      <c r="F327" s="13">
        <f>IFERROR(VLOOKUP($E327,ghg_sort!$A$3:$B$21,2,0),0)</f>
        <v>0</v>
      </c>
      <c r="G327" s="13">
        <f t="shared" si="58"/>
        <v>0</v>
      </c>
      <c r="H327" s="13">
        <f t="shared" si="59"/>
        <v>0</v>
      </c>
      <c r="I327" s="13">
        <f t="shared" si="60"/>
        <v>0</v>
      </c>
      <c r="J327" s="13">
        <f t="shared" si="61"/>
        <v>0</v>
      </c>
      <c r="K327" s="13">
        <f t="shared" si="62"/>
        <v>0</v>
      </c>
      <c r="L327" s="13">
        <f t="shared" si="63"/>
        <v>0</v>
      </c>
      <c r="M327" s="13">
        <f t="shared" si="64"/>
        <v>0</v>
      </c>
      <c r="N327" s="13">
        <f t="shared" si="65"/>
        <v>0</v>
      </c>
      <c r="O327" s="13">
        <f t="shared" si="66"/>
        <v>0</v>
      </c>
      <c r="P327" s="13">
        <f t="shared" si="67"/>
        <v>0</v>
      </c>
      <c r="Q327" s="13">
        <f t="shared" si="68"/>
        <v>0</v>
      </c>
      <c r="R327" s="13" t="s">
        <v>239</v>
      </c>
      <c r="T327" s="63">
        <v>5.1999999999999995E-4</v>
      </c>
      <c r="U327" s="62">
        <v>3.3600000000000001E-3</v>
      </c>
      <c r="V327" s="62">
        <v>5.5100000000000001E-3</v>
      </c>
      <c r="W327" s="62">
        <v>6.0499999999999998E-3</v>
      </c>
      <c r="X327" s="62">
        <v>4.3598500000000002E-3</v>
      </c>
      <c r="Y327" s="62">
        <v>2.8573100000000001E-3</v>
      </c>
      <c r="Z327" s="62">
        <v>2.3553699999999999E-3</v>
      </c>
      <c r="AA327" s="62">
        <v>2.0117300000000002E-3</v>
      </c>
      <c r="AB327" s="62">
        <v>1.75088E-3</v>
      </c>
      <c r="AC327" s="62">
        <v>1.58687E-3</v>
      </c>
      <c r="AD327" s="62">
        <v>1.40723E-3</v>
      </c>
      <c r="AE327" t="s">
        <v>93</v>
      </c>
    </row>
    <row r="328" spans="1:31">
      <c r="A328" t="s">
        <v>267</v>
      </c>
      <c r="B328" t="s">
        <v>1</v>
      </c>
      <c r="C328" t="s">
        <v>154</v>
      </c>
      <c r="D328" s="13" t="str">
        <f>IFERROR(VLOOKUP(C328,ghg_sort!$A$86:$B$512,2,0),0)</f>
        <v>International</v>
      </c>
      <c r="E328" t="s">
        <v>86</v>
      </c>
      <c r="F328" s="13">
        <f>IFERROR(VLOOKUP($E328,ghg_sort!$A$3:$B$21,2,0),0)</f>
        <v>3.6666666666666701</v>
      </c>
      <c r="G328" s="13">
        <f t="shared" si="58"/>
        <v>0.5610513333333339</v>
      </c>
      <c r="H328" s="13">
        <f t="shared" si="59"/>
        <v>10.162496666666677</v>
      </c>
      <c r="I328" s="13">
        <f t="shared" si="60"/>
        <v>11.985710000000012</v>
      </c>
      <c r="J328" s="13">
        <f t="shared" si="61"/>
        <v>15.519166666666681</v>
      </c>
      <c r="K328" s="13">
        <f t="shared" si="62"/>
        <v>16.247660000000018</v>
      </c>
      <c r="L328" s="13">
        <f t="shared" si="63"/>
        <v>17.484976666666682</v>
      </c>
      <c r="M328" s="13">
        <f t="shared" si="64"/>
        <v>17.887906666666684</v>
      </c>
      <c r="N328" s="13">
        <f t="shared" si="65"/>
        <v>18.03307000000002</v>
      </c>
      <c r="O328" s="13">
        <f t="shared" si="66"/>
        <v>18.038020000000017</v>
      </c>
      <c r="P328" s="13">
        <f t="shared" si="67"/>
        <v>17.510680000000015</v>
      </c>
      <c r="Q328" s="13">
        <f t="shared" si="68"/>
        <v>16.947186666666681</v>
      </c>
      <c r="R328" s="13" t="s">
        <v>239</v>
      </c>
      <c r="T328" s="63">
        <v>0.15301400000000001</v>
      </c>
      <c r="U328" s="63">
        <v>2.7715900000000002</v>
      </c>
      <c r="V328" s="63">
        <v>3.2688299999999999</v>
      </c>
      <c r="W328" s="63">
        <v>4.2324999999999999</v>
      </c>
      <c r="X328" s="63">
        <v>4.4311800000000003</v>
      </c>
      <c r="Y328" s="63">
        <v>4.7686299999999999</v>
      </c>
      <c r="Z328" s="63">
        <v>4.87852</v>
      </c>
      <c r="AA328" s="63">
        <v>4.9181100000000004</v>
      </c>
      <c r="AB328" s="63">
        <v>4.9194599999999999</v>
      </c>
      <c r="AC328" s="63">
        <v>4.7756400000000001</v>
      </c>
      <c r="AD328" s="63">
        <v>4.6219599999999996</v>
      </c>
      <c r="AE328" t="s">
        <v>93</v>
      </c>
    </row>
    <row r="329" spans="1:31">
      <c r="A329" t="s">
        <v>267</v>
      </c>
      <c r="B329" t="s">
        <v>1</v>
      </c>
      <c r="C329" t="s">
        <v>154</v>
      </c>
      <c r="D329" s="13" t="str">
        <f>IFERROR(VLOOKUP(C329,ghg_sort!$A$86:$B$512,2,0),0)</f>
        <v>International</v>
      </c>
      <c r="E329" t="s">
        <v>87</v>
      </c>
      <c r="F329" s="13">
        <f>IFERROR(VLOOKUP($E329,ghg_sort!$A$3:$B$21,2,0),0)</f>
        <v>298</v>
      </c>
      <c r="G329" s="13">
        <f t="shared" si="58"/>
        <v>8.94E-3</v>
      </c>
      <c r="H329" s="13">
        <f t="shared" si="59"/>
        <v>6.8540000000000004E-2</v>
      </c>
      <c r="I329" s="13">
        <f t="shared" si="60"/>
        <v>0.11026</v>
      </c>
      <c r="J329" s="13">
        <f t="shared" si="61"/>
        <v>0.12218</v>
      </c>
      <c r="K329" s="13">
        <f t="shared" si="62"/>
        <v>0.12791501</v>
      </c>
      <c r="L329" s="13">
        <f t="shared" si="63"/>
        <v>0.13765633199999999</v>
      </c>
      <c r="M329" s="13">
        <f t="shared" si="64"/>
        <v>0.140828542</v>
      </c>
      <c r="N329" s="13">
        <f t="shared" si="65"/>
        <v>0.14197137199999998</v>
      </c>
      <c r="O329" s="13">
        <f t="shared" si="66"/>
        <v>0.14201041</v>
      </c>
      <c r="P329" s="13">
        <f t="shared" si="67"/>
        <v>0.13785867400000001</v>
      </c>
      <c r="Q329" s="13">
        <f t="shared" si="68"/>
        <v>0.133422348</v>
      </c>
      <c r="R329" s="13" t="s">
        <v>239</v>
      </c>
      <c r="T329" s="63">
        <v>3.0000000000000001E-5</v>
      </c>
      <c r="U329" s="63">
        <v>2.3000000000000001E-4</v>
      </c>
      <c r="V329" s="63">
        <v>3.6999999999999999E-4</v>
      </c>
      <c r="W329" s="63">
        <v>4.0999999999999999E-4</v>
      </c>
      <c r="X329" s="63">
        <v>4.2924499999999997E-4</v>
      </c>
      <c r="Y329" s="63">
        <v>4.61934E-4</v>
      </c>
      <c r="Z329" s="63">
        <v>4.7257899999999999E-4</v>
      </c>
      <c r="AA329" s="63">
        <v>4.7641399999999998E-4</v>
      </c>
      <c r="AB329" s="63">
        <v>4.7654499999999999E-4</v>
      </c>
      <c r="AC329" s="63">
        <v>4.6261300000000001E-4</v>
      </c>
      <c r="AD329" s="63">
        <v>4.4772600000000002E-4</v>
      </c>
      <c r="AE329" t="s">
        <v>93</v>
      </c>
    </row>
    <row r="330" spans="1:31">
      <c r="A330" t="s">
        <v>267</v>
      </c>
      <c r="B330" t="s">
        <v>1</v>
      </c>
      <c r="C330" t="s">
        <v>154</v>
      </c>
      <c r="D330" s="13" t="str">
        <f>IFERROR(VLOOKUP(C330,ghg_sort!$A$86:$B$512,2,0),0)</f>
        <v>International</v>
      </c>
      <c r="E330" s="12" t="s">
        <v>88</v>
      </c>
      <c r="F330" s="13">
        <f>IFERROR(VLOOKUP($E330,ghg_sort!$A$3:$B$21,2,0),0)</f>
        <v>0</v>
      </c>
      <c r="G330" s="13">
        <f t="shared" si="58"/>
        <v>0</v>
      </c>
      <c r="H330" s="13">
        <f t="shared" si="59"/>
        <v>0</v>
      </c>
      <c r="I330" s="13">
        <f t="shared" si="60"/>
        <v>0</v>
      </c>
      <c r="J330" s="13">
        <f t="shared" si="61"/>
        <v>0</v>
      </c>
      <c r="K330" s="13">
        <f t="shared" si="62"/>
        <v>0</v>
      </c>
      <c r="L330" s="13">
        <f t="shared" si="63"/>
        <v>0</v>
      </c>
      <c r="M330" s="13">
        <f t="shared" si="64"/>
        <v>0</v>
      </c>
      <c r="N330" s="13">
        <f t="shared" si="65"/>
        <v>0</v>
      </c>
      <c r="O330" s="13">
        <f t="shared" si="66"/>
        <v>0</v>
      </c>
      <c r="P330" s="13">
        <f t="shared" si="67"/>
        <v>0</v>
      </c>
      <c r="Q330" s="13">
        <f t="shared" si="68"/>
        <v>0</v>
      </c>
      <c r="R330" s="13" t="s">
        <v>239</v>
      </c>
      <c r="T330" s="63">
        <v>4.0000000000000003E-5</v>
      </c>
      <c r="U330" s="63">
        <v>3.6999999999999999E-4</v>
      </c>
      <c r="V330" s="63">
        <v>6.0999999999999997E-4</v>
      </c>
      <c r="W330" s="63">
        <v>6.7000000000000002E-4</v>
      </c>
      <c r="X330" s="63">
        <v>7.0144900000000004E-4</v>
      </c>
      <c r="Y330" s="63">
        <v>7.5486800000000001E-4</v>
      </c>
      <c r="Z330" s="63">
        <v>7.7226300000000003E-4</v>
      </c>
      <c r="AA330" s="63">
        <v>7.7853099999999995E-4</v>
      </c>
      <c r="AB330" s="63">
        <v>7.7874400000000005E-4</v>
      </c>
      <c r="AC330" s="63">
        <v>7.5597700000000002E-4</v>
      </c>
      <c r="AD330" s="63">
        <v>7.3165000000000003E-4</v>
      </c>
      <c r="AE330" t="s">
        <v>94</v>
      </c>
    </row>
    <row r="331" spans="1:31">
      <c r="A331" t="s">
        <v>267</v>
      </c>
      <c r="B331" t="s">
        <v>1</v>
      </c>
      <c r="C331" t="s">
        <v>154</v>
      </c>
      <c r="D331" s="13" t="str">
        <f>IFERROR(VLOOKUP(C331,ghg_sort!$A$86:$B$512,2,0),0)</f>
        <v>International</v>
      </c>
      <c r="E331" t="s">
        <v>89</v>
      </c>
      <c r="F331" s="13">
        <f>IFERROR(VLOOKUP($E331,ghg_sort!$A$3:$B$21,2,0),0)</f>
        <v>0</v>
      </c>
      <c r="G331" s="13">
        <f t="shared" si="58"/>
        <v>0</v>
      </c>
      <c r="H331" s="13">
        <f t="shared" si="59"/>
        <v>0</v>
      </c>
      <c r="I331" s="13">
        <f t="shared" si="60"/>
        <v>0</v>
      </c>
      <c r="J331" s="13">
        <f t="shared" si="61"/>
        <v>0</v>
      </c>
      <c r="K331" s="13">
        <f t="shared" si="62"/>
        <v>0</v>
      </c>
      <c r="L331" s="13">
        <f t="shared" si="63"/>
        <v>0</v>
      </c>
      <c r="M331" s="13">
        <f t="shared" si="64"/>
        <v>0</v>
      </c>
      <c r="N331" s="13">
        <f t="shared" si="65"/>
        <v>0</v>
      </c>
      <c r="O331" s="13">
        <f t="shared" si="66"/>
        <v>0</v>
      </c>
      <c r="P331" s="13">
        <f t="shared" si="67"/>
        <v>0</v>
      </c>
      <c r="Q331" s="13">
        <f t="shared" si="68"/>
        <v>0</v>
      </c>
      <c r="R331" s="13" t="s">
        <v>239</v>
      </c>
      <c r="T331" s="63">
        <v>1.1E-4</v>
      </c>
      <c r="U331" s="63">
        <v>1.1000000000000001E-3</v>
      </c>
      <c r="V331" s="63">
        <v>1.8E-3</v>
      </c>
      <c r="W331" s="63">
        <v>1.98E-3</v>
      </c>
      <c r="X331" s="63">
        <v>1.4268600000000001E-3</v>
      </c>
      <c r="Y331" s="63">
        <v>9.3512000000000001E-4</v>
      </c>
      <c r="Z331" s="63">
        <v>7.7084799999999998E-4</v>
      </c>
      <c r="AA331" s="63">
        <v>6.5838400000000003E-4</v>
      </c>
      <c r="AB331" s="63">
        <v>5.7301599999999998E-4</v>
      </c>
      <c r="AC331" s="63">
        <v>5.1933899999999996E-4</v>
      </c>
      <c r="AD331" s="63">
        <v>4.6054899999999998E-4</v>
      </c>
      <c r="AE331" t="s">
        <v>93</v>
      </c>
    </row>
    <row r="332" spans="1:31">
      <c r="A332" t="s">
        <v>267</v>
      </c>
      <c r="B332" t="s">
        <v>1</v>
      </c>
      <c r="C332" t="s">
        <v>154</v>
      </c>
      <c r="D332" s="13" t="str">
        <f>IFERROR(VLOOKUP(C332,ghg_sort!$A$86:$B$512,2,0),0)</f>
        <v>International</v>
      </c>
      <c r="E332" t="s">
        <v>90</v>
      </c>
      <c r="F332" s="13">
        <f>IFERROR(VLOOKUP($E332,ghg_sort!$A$3:$B$21,2,0),0)</f>
        <v>0</v>
      </c>
      <c r="G332" s="13">
        <f t="shared" si="58"/>
        <v>0</v>
      </c>
      <c r="H332" s="13">
        <f t="shared" si="59"/>
        <v>0</v>
      </c>
      <c r="I332" s="13">
        <f t="shared" si="60"/>
        <v>0</v>
      </c>
      <c r="J332" s="13">
        <f t="shared" si="61"/>
        <v>0</v>
      </c>
      <c r="K332" s="13">
        <f t="shared" si="62"/>
        <v>0</v>
      </c>
      <c r="L332" s="13">
        <f t="shared" si="63"/>
        <v>0</v>
      </c>
      <c r="M332" s="13">
        <f t="shared" si="64"/>
        <v>0</v>
      </c>
      <c r="N332" s="13">
        <f t="shared" si="65"/>
        <v>0</v>
      </c>
      <c r="O332" s="13">
        <f t="shared" si="66"/>
        <v>0</v>
      </c>
      <c r="P332" s="13">
        <f t="shared" si="67"/>
        <v>0</v>
      </c>
      <c r="Q332" s="13">
        <f t="shared" si="68"/>
        <v>0</v>
      </c>
      <c r="R332" s="13" t="s">
        <v>239</v>
      </c>
      <c r="T332" s="63">
        <v>3.8999999999999998E-3</v>
      </c>
      <c r="U332" s="63">
        <v>3.1519999999999999E-2</v>
      </c>
      <c r="V332" s="63">
        <v>5.1720000000000002E-2</v>
      </c>
      <c r="W332" s="63">
        <v>5.6800000000000003E-2</v>
      </c>
      <c r="X332" s="63">
        <v>4.0932099999999999E-2</v>
      </c>
      <c r="Y332" s="63">
        <v>2.6825700000000001E-2</v>
      </c>
      <c r="Z332" s="63">
        <v>2.21132E-2</v>
      </c>
      <c r="AA332" s="63">
        <v>1.8887000000000001E-2</v>
      </c>
      <c r="AB332" s="63">
        <v>1.6438000000000001E-2</v>
      </c>
      <c r="AC332" s="63">
        <v>1.48982E-2</v>
      </c>
      <c r="AD332" s="63">
        <v>1.32117E-2</v>
      </c>
      <c r="AE332" t="s">
        <v>93</v>
      </c>
    </row>
    <row r="333" spans="1:31">
      <c r="A333" t="s">
        <v>267</v>
      </c>
      <c r="B333" t="s">
        <v>1</v>
      </c>
      <c r="C333" t="s">
        <v>154</v>
      </c>
      <c r="D333" s="13" t="str">
        <f>IFERROR(VLOOKUP(C333,ghg_sort!$A$86:$B$512,2,0),0)</f>
        <v>International</v>
      </c>
      <c r="E333" t="s">
        <v>91</v>
      </c>
      <c r="F333" s="13">
        <f>IFERROR(VLOOKUP($E333,ghg_sort!$A$3:$B$21,2,0),0)</f>
        <v>0</v>
      </c>
      <c r="G333" s="13">
        <f t="shared" si="58"/>
        <v>0</v>
      </c>
      <c r="H333" s="13">
        <f t="shared" si="59"/>
        <v>0</v>
      </c>
      <c r="I333" s="13">
        <f t="shared" si="60"/>
        <v>0</v>
      </c>
      <c r="J333" s="13">
        <f t="shared" si="61"/>
        <v>0</v>
      </c>
      <c r="K333" s="13">
        <f t="shared" si="62"/>
        <v>0</v>
      </c>
      <c r="L333" s="13">
        <f t="shared" si="63"/>
        <v>0</v>
      </c>
      <c r="M333" s="13">
        <f t="shared" si="64"/>
        <v>0</v>
      </c>
      <c r="N333" s="13">
        <f t="shared" si="65"/>
        <v>0</v>
      </c>
      <c r="O333" s="13">
        <f t="shared" si="66"/>
        <v>0</v>
      </c>
      <c r="P333" s="13">
        <f t="shared" si="67"/>
        <v>0</v>
      </c>
      <c r="Q333" s="13">
        <f t="shared" si="68"/>
        <v>0</v>
      </c>
      <c r="R333" s="13" t="s">
        <v>239</v>
      </c>
      <c r="T333" s="63">
        <v>1.0000000000000001E-5</v>
      </c>
      <c r="U333" s="63">
        <v>5.0000000000000002E-5</v>
      </c>
      <c r="V333" s="63">
        <v>6.9999999999999994E-5</v>
      </c>
      <c r="W333" s="63">
        <v>8.0000000000000007E-5</v>
      </c>
      <c r="X333" s="63">
        <v>5.7650900000000001E-5</v>
      </c>
      <c r="Y333" s="63">
        <v>3.77826E-5</v>
      </c>
      <c r="Z333" s="63">
        <v>3.1145400000000002E-5</v>
      </c>
      <c r="AA333" s="63">
        <v>2.6601399999999999E-5</v>
      </c>
      <c r="AB333" s="63">
        <v>2.3152199999999998E-5</v>
      </c>
      <c r="AC333" s="63">
        <v>2.09834E-5</v>
      </c>
      <c r="AD333" s="63">
        <v>1.8607999999999999E-5</v>
      </c>
      <c r="AE333" t="s">
        <v>93</v>
      </c>
    </row>
    <row r="334" spans="1:31">
      <c r="A334" t="s">
        <v>267</v>
      </c>
      <c r="B334" t="s">
        <v>1</v>
      </c>
      <c r="C334" t="s">
        <v>154</v>
      </c>
      <c r="D334" s="13" t="str">
        <f>IFERROR(VLOOKUP(C334,ghg_sort!$A$86:$B$512,2,0),0)</f>
        <v>International</v>
      </c>
      <c r="E334" t="s">
        <v>92</v>
      </c>
      <c r="F334" s="13">
        <f>IFERROR(VLOOKUP($E334,ghg_sort!$A$3:$B$21,2,0),0)</f>
        <v>0</v>
      </c>
      <c r="G334" s="13">
        <f t="shared" si="58"/>
        <v>0</v>
      </c>
      <c r="H334" s="13">
        <f t="shared" si="59"/>
        <v>0</v>
      </c>
      <c r="I334" s="13">
        <f t="shared" si="60"/>
        <v>0</v>
      </c>
      <c r="J334" s="13">
        <f t="shared" si="61"/>
        <v>0</v>
      </c>
      <c r="K334" s="13">
        <f t="shared" si="62"/>
        <v>0</v>
      </c>
      <c r="L334" s="13">
        <f t="shared" si="63"/>
        <v>0</v>
      </c>
      <c r="M334" s="13">
        <f t="shared" si="64"/>
        <v>0</v>
      </c>
      <c r="N334" s="13">
        <f t="shared" si="65"/>
        <v>0</v>
      </c>
      <c r="O334" s="13">
        <f t="shared" si="66"/>
        <v>0</v>
      </c>
      <c r="P334" s="13">
        <f t="shared" si="67"/>
        <v>0</v>
      </c>
      <c r="Q334" s="13">
        <f t="shared" si="68"/>
        <v>0</v>
      </c>
      <c r="R334" s="13" t="s">
        <v>239</v>
      </c>
      <c r="T334" s="63">
        <v>2.8195199999999997E-4</v>
      </c>
      <c r="U334" s="62">
        <v>2.4298599999999998E-3</v>
      </c>
      <c r="V334" s="62">
        <v>3.9864000000000002E-3</v>
      </c>
      <c r="W334" s="62">
        <v>4.3781799999999997E-3</v>
      </c>
      <c r="X334" s="62">
        <v>3.1550699999999998E-3</v>
      </c>
      <c r="Y334" s="62">
        <v>2.0677400000000002E-3</v>
      </c>
      <c r="Z334" s="62">
        <v>1.7045000000000001E-3</v>
      </c>
      <c r="AA334" s="62">
        <v>1.45582E-3</v>
      </c>
      <c r="AB334" s="62">
        <v>1.26705E-3</v>
      </c>
      <c r="AC334" s="62">
        <v>1.14836E-3</v>
      </c>
      <c r="AD334" s="63">
        <v>1.01837E-3</v>
      </c>
      <c r="AE334" t="s">
        <v>93</v>
      </c>
    </row>
    <row r="335" spans="1:31">
      <c r="A335" t="s">
        <v>267</v>
      </c>
      <c r="B335" t="s">
        <v>1</v>
      </c>
      <c r="C335" t="s">
        <v>155</v>
      </c>
      <c r="D335" s="13" t="str">
        <f>IFERROR(VLOOKUP(C335,ghg_sort!$A$86:$B$512,2,0),0)</f>
        <v>Transportation</v>
      </c>
      <c r="E335" t="s">
        <v>83</v>
      </c>
      <c r="F335" s="13">
        <f>IFERROR(VLOOKUP($E335,ghg_sort!$A$3:$B$21,2,0),0)</f>
        <v>0</v>
      </c>
      <c r="G335" s="13">
        <f t="shared" si="58"/>
        <v>0</v>
      </c>
      <c r="H335" s="13">
        <f t="shared" si="59"/>
        <v>0</v>
      </c>
      <c r="I335" s="13">
        <f t="shared" si="60"/>
        <v>0</v>
      </c>
      <c r="J335" s="13">
        <f t="shared" si="61"/>
        <v>0</v>
      </c>
      <c r="K335" s="13">
        <f t="shared" si="62"/>
        <v>0</v>
      </c>
      <c r="L335" s="13">
        <f t="shared" si="63"/>
        <v>0</v>
      </c>
      <c r="M335" s="13">
        <f t="shared" si="64"/>
        <v>0</v>
      </c>
      <c r="N335" s="13">
        <f t="shared" si="65"/>
        <v>0</v>
      </c>
      <c r="O335" s="13">
        <f t="shared" si="66"/>
        <v>0</v>
      </c>
      <c r="P335" s="13">
        <f t="shared" si="67"/>
        <v>0</v>
      </c>
      <c r="Q335" s="13">
        <f t="shared" si="68"/>
        <v>0</v>
      </c>
      <c r="R335" s="13" t="s">
        <v>239</v>
      </c>
      <c r="T335" s="63">
        <v>1.2743850000000001E-3</v>
      </c>
      <c r="U335" s="63">
        <v>7.5310999999999998E-4</v>
      </c>
      <c r="V335" s="63">
        <v>5.6715299999999895E-4</v>
      </c>
      <c r="W335" s="63">
        <v>2.1860369999999999E-4</v>
      </c>
      <c r="X335" s="63">
        <v>1.631174E-4</v>
      </c>
      <c r="Y335" s="63">
        <v>1.125649E-4</v>
      </c>
      <c r="Z335" s="63">
        <v>9.99732E-5</v>
      </c>
      <c r="AA335" s="63">
        <v>9.0083599999999999E-5</v>
      </c>
      <c r="AB335" s="63">
        <v>8.0938699999999998E-5</v>
      </c>
      <c r="AC335" s="63">
        <v>7.5927399999999994E-5</v>
      </c>
      <c r="AD335" s="63">
        <v>7.0864600000000006E-5</v>
      </c>
      <c r="AE335" t="s">
        <v>93</v>
      </c>
    </row>
    <row r="336" spans="1:31">
      <c r="A336" t="s">
        <v>267</v>
      </c>
      <c r="B336" t="s">
        <v>1</v>
      </c>
      <c r="C336" t="s">
        <v>155</v>
      </c>
      <c r="D336" s="13" t="str">
        <f>IFERROR(VLOOKUP(C336,ghg_sort!$A$86:$B$512,2,0),0)</f>
        <v>Transportation</v>
      </c>
      <c r="E336" t="s">
        <v>84</v>
      </c>
      <c r="F336" s="13">
        <f>IFERROR(VLOOKUP($E336,ghg_sort!$A$3:$B$21,2,0),0)</f>
        <v>25</v>
      </c>
      <c r="G336" s="13">
        <f t="shared" si="58"/>
        <v>1.9669362499999975E-2</v>
      </c>
      <c r="H336" s="13">
        <f t="shared" si="59"/>
        <v>6.9193624999999998E-3</v>
      </c>
      <c r="I336" s="13">
        <f t="shared" si="60"/>
        <v>6.2516174999999998E-3</v>
      </c>
      <c r="J336" s="13">
        <f t="shared" si="61"/>
        <v>2.1677447500000001E-3</v>
      </c>
      <c r="K336" s="13">
        <f t="shared" si="62"/>
        <v>2.3779197500000001E-3</v>
      </c>
      <c r="L336" s="13">
        <f t="shared" si="63"/>
        <v>2.62543125E-3</v>
      </c>
      <c r="M336" s="13">
        <f t="shared" si="64"/>
        <v>2.8613672499999752E-3</v>
      </c>
      <c r="N336" s="13">
        <f t="shared" si="65"/>
        <v>2.9953375E-3</v>
      </c>
      <c r="O336" s="13">
        <f t="shared" si="66"/>
        <v>3.0562724999999998E-3</v>
      </c>
      <c r="P336" s="13">
        <f t="shared" si="67"/>
        <v>3.0340024999999998E-3</v>
      </c>
      <c r="Q336" s="13">
        <f t="shared" si="68"/>
        <v>3.0715575000000001E-3</v>
      </c>
      <c r="R336" s="13" t="s">
        <v>239</v>
      </c>
      <c r="T336" s="63">
        <v>7.8677449999999904E-4</v>
      </c>
      <c r="U336" s="63">
        <v>2.7677449999999998E-4</v>
      </c>
      <c r="V336" s="63">
        <v>2.500647E-4</v>
      </c>
      <c r="W336" s="63">
        <v>8.670979E-5</v>
      </c>
      <c r="X336" s="63">
        <v>9.5116790000000003E-5</v>
      </c>
      <c r="Y336" s="63">
        <v>1.0501725E-4</v>
      </c>
      <c r="Z336" s="63">
        <v>1.14454689999999E-4</v>
      </c>
      <c r="AA336" s="63">
        <v>1.1981349999999999E-4</v>
      </c>
      <c r="AB336" s="63">
        <v>1.222509E-4</v>
      </c>
      <c r="AC336" s="63">
        <v>1.213601E-4</v>
      </c>
      <c r="AD336" s="63">
        <v>1.228623E-4</v>
      </c>
      <c r="AE336" t="s">
        <v>93</v>
      </c>
    </row>
    <row r="337" spans="1:31">
      <c r="A337" t="s">
        <v>267</v>
      </c>
      <c r="B337" t="s">
        <v>1</v>
      </c>
      <c r="C337" t="s">
        <v>155</v>
      </c>
      <c r="D337" s="13" t="str">
        <f>IFERROR(VLOOKUP(C337,ghg_sort!$A$86:$B$512,2,0),0)</f>
        <v>Transportation</v>
      </c>
      <c r="E337" t="s">
        <v>85</v>
      </c>
      <c r="F337" s="13">
        <f>IFERROR(VLOOKUP($E337,ghg_sort!$A$3:$B$21,2,0),0)</f>
        <v>0</v>
      </c>
      <c r="G337" s="13">
        <f t="shared" si="58"/>
        <v>0</v>
      </c>
      <c r="H337" s="13">
        <f t="shared" si="59"/>
        <v>0</v>
      </c>
      <c r="I337" s="13">
        <f t="shared" si="60"/>
        <v>0</v>
      </c>
      <c r="J337" s="13">
        <f t="shared" si="61"/>
        <v>0</v>
      </c>
      <c r="K337" s="13">
        <f t="shared" si="62"/>
        <v>0</v>
      </c>
      <c r="L337" s="13">
        <f t="shared" si="63"/>
        <v>0</v>
      </c>
      <c r="M337" s="13">
        <f t="shared" si="64"/>
        <v>0</v>
      </c>
      <c r="N337" s="13">
        <f t="shared" si="65"/>
        <v>0</v>
      </c>
      <c r="O337" s="13">
        <f t="shared" si="66"/>
        <v>0</v>
      </c>
      <c r="P337" s="13">
        <f t="shared" si="67"/>
        <v>0</v>
      </c>
      <c r="Q337" s="13">
        <f t="shared" si="68"/>
        <v>0</v>
      </c>
      <c r="R337" s="13" t="s">
        <v>239</v>
      </c>
      <c r="T337" s="62">
        <v>6.8619700000000002E-3</v>
      </c>
      <c r="U337" s="63">
        <v>4.4331300000000004E-3</v>
      </c>
      <c r="V337" s="63">
        <v>3.1786699999999898E-3</v>
      </c>
      <c r="W337" s="63">
        <v>1.3716259999999999E-3</v>
      </c>
      <c r="X337" s="63">
        <v>1.0135579999999999E-3</v>
      </c>
      <c r="Y337" s="63">
        <v>7.1436199999999996E-4</v>
      </c>
      <c r="Z337" s="63">
        <v>6.4009799999999997E-4</v>
      </c>
      <c r="AA337" s="63">
        <v>5.8383099999999896E-4</v>
      </c>
      <c r="AB337" s="63">
        <v>5.3346999999999997E-4</v>
      </c>
      <c r="AC337" s="63">
        <v>5.1867500000000002E-4</v>
      </c>
      <c r="AD337" s="63">
        <v>5.0371499999999996E-4</v>
      </c>
      <c r="AE337" t="s">
        <v>93</v>
      </c>
    </row>
    <row r="338" spans="1:31">
      <c r="A338" t="s">
        <v>267</v>
      </c>
      <c r="B338" t="s">
        <v>1</v>
      </c>
      <c r="C338" t="s">
        <v>155</v>
      </c>
      <c r="D338" s="13" t="str">
        <f>IFERROR(VLOOKUP(C338,ghg_sort!$A$86:$B$512,2,0),0)</f>
        <v>Transportation</v>
      </c>
      <c r="E338" t="s">
        <v>86</v>
      </c>
      <c r="F338" s="13">
        <f>IFERROR(VLOOKUP($E338,ghg_sort!$A$3:$B$21,2,0),0)</f>
        <v>3.6666666666666701</v>
      </c>
      <c r="G338" s="13">
        <f t="shared" si="58"/>
        <v>5.0582154333333378</v>
      </c>
      <c r="H338" s="13">
        <f t="shared" si="59"/>
        <v>2.9112845666666693</v>
      </c>
      <c r="I338" s="13">
        <f t="shared" si="60"/>
        <v>2.303771800000002</v>
      </c>
      <c r="J338" s="13">
        <f t="shared" si="61"/>
        <v>0.97162120000000085</v>
      </c>
      <c r="K338" s="13">
        <f t="shared" si="62"/>
        <v>1.0543591666666676</v>
      </c>
      <c r="L338" s="13">
        <f t="shared" si="63"/>
        <v>1.1920993333333345</v>
      </c>
      <c r="M338" s="13">
        <f t="shared" si="64"/>
        <v>1.3127216666666641</v>
      </c>
      <c r="N338" s="13">
        <f t="shared" si="65"/>
        <v>1.3943123333333347</v>
      </c>
      <c r="O338" s="13">
        <f t="shared" si="66"/>
        <v>1.4383856666666679</v>
      </c>
      <c r="P338" s="13">
        <f t="shared" si="67"/>
        <v>1.4438453333333348</v>
      </c>
      <c r="Q338" s="13">
        <f t="shared" si="68"/>
        <v>1.469966666666668</v>
      </c>
      <c r="R338" s="13" t="s">
        <v>239</v>
      </c>
      <c r="T338" s="63">
        <v>1.3795132999999999</v>
      </c>
      <c r="U338" s="63">
        <v>0.79398670000000005</v>
      </c>
      <c r="V338" s="63">
        <v>0.62830140000000001</v>
      </c>
      <c r="W338" s="63">
        <v>0.26498759999999999</v>
      </c>
      <c r="X338" s="63">
        <v>0.28755249999999999</v>
      </c>
      <c r="Y338" s="63">
        <v>0.32511800000000002</v>
      </c>
      <c r="Z338" s="63">
        <v>0.35801499999999897</v>
      </c>
      <c r="AA338" s="63">
        <v>0.38026700000000002</v>
      </c>
      <c r="AB338" s="63">
        <v>0.392287</v>
      </c>
      <c r="AC338" s="63">
        <v>0.39377600000000001</v>
      </c>
      <c r="AD338" s="63">
        <v>0.40089999999999998</v>
      </c>
      <c r="AE338" t="s">
        <v>93</v>
      </c>
    </row>
    <row r="339" spans="1:31">
      <c r="A339" t="s">
        <v>267</v>
      </c>
      <c r="B339" t="s">
        <v>1</v>
      </c>
      <c r="C339" t="s">
        <v>155</v>
      </c>
      <c r="D339" s="13" t="str">
        <f>IFERROR(VLOOKUP(C339,ghg_sort!$A$86:$B$512,2,0),0)</f>
        <v>Transportation</v>
      </c>
      <c r="E339" t="s">
        <v>87</v>
      </c>
      <c r="F339" s="13">
        <f>IFERROR(VLOOKUP($E339,ghg_sort!$A$3:$B$21,2,0),0)</f>
        <v>298</v>
      </c>
      <c r="G339" s="13">
        <f t="shared" si="58"/>
        <v>0.108491668</v>
      </c>
      <c r="H339" s="13">
        <f t="shared" si="59"/>
        <v>7.2712596000000004E-2</v>
      </c>
      <c r="I339" s="13">
        <f t="shared" si="60"/>
        <v>5.47746946E-2</v>
      </c>
      <c r="J339" s="13">
        <f t="shared" si="61"/>
        <v>2.5916613000000002E-2</v>
      </c>
      <c r="K339" s="13">
        <f t="shared" si="62"/>
        <v>2.7850692599999997E-2</v>
      </c>
      <c r="L339" s="13">
        <f t="shared" si="63"/>
        <v>3.2162305599999996E-2</v>
      </c>
      <c r="M339" s="13">
        <f t="shared" si="64"/>
        <v>3.5733537599999997E-2</v>
      </c>
      <c r="N339" s="13">
        <f t="shared" si="65"/>
        <v>3.8422272399999999E-2</v>
      </c>
      <c r="O339" s="13">
        <f t="shared" si="66"/>
        <v>3.9996695800000003E-2</v>
      </c>
      <c r="P339" s="13">
        <f t="shared" si="67"/>
        <v>4.0509553800000001E-2</v>
      </c>
      <c r="Q339" s="13">
        <f t="shared" si="68"/>
        <v>4.1427125600000003E-2</v>
      </c>
      <c r="R339" s="13" t="s">
        <v>239</v>
      </c>
      <c r="T339" s="63">
        <v>3.6406600000000002E-4</v>
      </c>
      <c r="U339" s="63">
        <v>2.44002E-4</v>
      </c>
      <c r="V339" s="63">
        <v>1.8380769999999999E-4</v>
      </c>
      <c r="W339" s="63">
        <v>8.6968500000000006E-5</v>
      </c>
      <c r="X339" s="63">
        <v>9.3458699999999993E-5</v>
      </c>
      <c r="Y339" s="63">
        <v>1.079272E-4</v>
      </c>
      <c r="Z339" s="63">
        <v>1.199112E-4</v>
      </c>
      <c r="AA339" s="63">
        <v>1.289338E-4</v>
      </c>
      <c r="AB339" s="63">
        <v>1.3421710000000001E-4</v>
      </c>
      <c r="AC339" s="63">
        <v>1.3593810000000001E-4</v>
      </c>
      <c r="AD339" s="63">
        <v>1.390172E-4</v>
      </c>
      <c r="AE339" t="s">
        <v>93</v>
      </c>
    </row>
    <row r="340" spans="1:31">
      <c r="A340" t="s">
        <v>267</v>
      </c>
      <c r="B340" t="s">
        <v>1</v>
      </c>
      <c r="C340" t="s">
        <v>155</v>
      </c>
      <c r="D340" s="13" t="str">
        <f>IFERROR(VLOOKUP(C340,ghg_sort!$A$86:$B$512,2,0),0)</f>
        <v>Transportation</v>
      </c>
      <c r="E340" s="12" t="s">
        <v>88</v>
      </c>
      <c r="F340" s="13">
        <f>IFERROR(VLOOKUP($E340,ghg_sort!$A$3:$B$21,2,0),0)</f>
        <v>0</v>
      </c>
      <c r="G340" s="13">
        <f t="shared" si="58"/>
        <v>0</v>
      </c>
      <c r="H340" s="13">
        <f t="shared" si="59"/>
        <v>0</v>
      </c>
      <c r="I340" s="13">
        <f t="shared" si="60"/>
        <v>0</v>
      </c>
      <c r="J340" s="13">
        <f t="shared" si="61"/>
        <v>0</v>
      </c>
      <c r="K340" s="13">
        <f t="shared" si="62"/>
        <v>0</v>
      </c>
      <c r="L340" s="13">
        <f t="shared" si="63"/>
        <v>0</v>
      </c>
      <c r="M340" s="13">
        <f t="shared" si="64"/>
        <v>0</v>
      </c>
      <c r="N340" s="13">
        <f t="shared" si="65"/>
        <v>0</v>
      </c>
      <c r="O340" s="13">
        <f t="shared" si="66"/>
        <v>0</v>
      </c>
      <c r="P340" s="13">
        <f t="shared" si="67"/>
        <v>0</v>
      </c>
      <c r="Q340" s="13">
        <f t="shared" si="68"/>
        <v>0</v>
      </c>
      <c r="R340" s="13" t="s">
        <v>239</v>
      </c>
      <c r="T340" s="63">
        <v>1E-4</v>
      </c>
      <c r="U340" s="63">
        <v>6.0000000000000002E-5</v>
      </c>
      <c r="V340" s="63">
        <v>4.0000000000000003E-5</v>
      </c>
      <c r="W340" s="62">
        <v>0</v>
      </c>
      <c r="X340" s="62">
        <v>0</v>
      </c>
      <c r="Y340" s="62">
        <v>0</v>
      </c>
      <c r="Z340" s="62">
        <v>0</v>
      </c>
      <c r="AA340" s="62">
        <v>0</v>
      </c>
      <c r="AB340" s="62">
        <v>0</v>
      </c>
      <c r="AC340" s="62">
        <v>0</v>
      </c>
      <c r="AD340" s="62">
        <v>0</v>
      </c>
      <c r="AE340" t="s">
        <v>94</v>
      </c>
    </row>
    <row r="341" spans="1:31">
      <c r="A341" t="s">
        <v>267</v>
      </c>
      <c r="B341" t="s">
        <v>1</v>
      </c>
      <c r="C341" t="s">
        <v>155</v>
      </c>
      <c r="D341" s="13" t="str">
        <f>IFERROR(VLOOKUP(C341,ghg_sort!$A$86:$B$512,2,0),0)</f>
        <v>Transportation</v>
      </c>
      <c r="E341" t="s">
        <v>89</v>
      </c>
      <c r="F341" s="13">
        <f>IFERROR(VLOOKUP($E341,ghg_sort!$A$3:$B$21,2,0),0)</f>
        <v>0</v>
      </c>
      <c r="G341" s="13">
        <f t="shared" si="58"/>
        <v>0</v>
      </c>
      <c r="H341" s="13">
        <f t="shared" si="59"/>
        <v>0</v>
      </c>
      <c r="I341" s="13">
        <f t="shared" si="60"/>
        <v>0</v>
      </c>
      <c r="J341" s="13">
        <f t="shared" si="61"/>
        <v>0</v>
      </c>
      <c r="K341" s="13">
        <f t="shared" si="62"/>
        <v>0</v>
      </c>
      <c r="L341" s="13">
        <f t="shared" si="63"/>
        <v>0</v>
      </c>
      <c r="M341" s="13">
        <f t="shared" si="64"/>
        <v>0</v>
      </c>
      <c r="N341" s="13">
        <f t="shared" si="65"/>
        <v>0</v>
      </c>
      <c r="O341" s="13">
        <f t="shared" si="66"/>
        <v>0</v>
      </c>
      <c r="P341" s="13">
        <f t="shared" si="67"/>
        <v>0</v>
      </c>
      <c r="Q341" s="13">
        <f t="shared" si="68"/>
        <v>0</v>
      </c>
      <c r="R341" s="13" t="s">
        <v>239</v>
      </c>
      <c r="T341" s="63">
        <v>5.9898199999999999E-3</v>
      </c>
      <c r="U341" s="63">
        <v>3.4819489999999998E-3</v>
      </c>
      <c r="V341" s="63">
        <v>2.580138E-3</v>
      </c>
      <c r="W341" s="63">
        <v>9.6523099999999999E-4</v>
      </c>
      <c r="X341" s="63">
        <v>7.2148500000000001E-4</v>
      </c>
      <c r="Y341" s="63">
        <v>4.9600299999999996E-4</v>
      </c>
      <c r="Z341" s="63">
        <v>4.3980699999999898E-4</v>
      </c>
      <c r="AA341" s="63">
        <v>3.9540799999999998E-4</v>
      </c>
      <c r="AB341" s="63">
        <v>3.5467300000000001E-4</v>
      </c>
      <c r="AC341" s="63">
        <v>3.3215700000000003E-4</v>
      </c>
      <c r="AD341" s="63">
        <v>3.0974699999999997E-4</v>
      </c>
      <c r="AE341" t="s">
        <v>93</v>
      </c>
    </row>
    <row r="342" spans="1:31">
      <c r="A342" t="s">
        <v>267</v>
      </c>
      <c r="B342" t="s">
        <v>1</v>
      </c>
      <c r="C342" t="s">
        <v>155</v>
      </c>
      <c r="D342" s="13" t="str">
        <f>IFERROR(VLOOKUP(C342,ghg_sort!$A$86:$B$512,2,0),0)</f>
        <v>Transportation</v>
      </c>
      <c r="E342" t="s">
        <v>90</v>
      </c>
      <c r="F342" s="13">
        <f>IFERROR(VLOOKUP($E342,ghg_sort!$A$3:$B$21,2,0),0)</f>
        <v>0</v>
      </c>
      <c r="G342" s="13">
        <f t="shared" si="58"/>
        <v>0</v>
      </c>
      <c r="H342" s="13">
        <f t="shared" si="59"/>
        <v>0</v>
      </c>
      <c r="I342" s="13">
        <f t="shared" si="60"/>
        <v>0</v>
      </c>
      <c r="J342" s="13">
        <f t="shared" si="61"/>
        <v>0</v>
      </c>
      <c r="K342" s="13">
        <f t="shared" si="62"/>
        <v>0</v>
      </c>
      <c r="L342" s="13">
        <f t="shared" si="63"/>
        <v>0</v>
      </c>
      <c r="M342" s="13">
        <f t="shared" si="64"/>
        <v>0</v>
      </c>
      <c r="N342" s="13">
        <f t="shared" si="65"/>
        <v>0</v>
      </c>
      <c r="O342" s="13">
        <f t="shared" si="66"/>
        <v>0</v>
      </c>
      <c r="P342" s="13">
        <f t="shared" si="67"/>
        <v>0</v>
      </c>
      <c r="Q342" s="13">
        <f t="shared" si="68"/>
        <v>0</v>
      </c>
      <c r="R342" s="13" t="s">
        <v>239</v>
      </c>
      <c r="T342" s="63">
        <v>0.15348989999999901</v>
      </c>
      <c r="U342" s="63">
        <v>8.3688860000000004E-2</v>
      </c>
      <c r="V342" s="63">
        <v>6.349457E-2</v>
      </c>
      <c r="W342" s="62">
        <v>2.1012679999999999E-2</v>
      </c>
      <c r="X342" s="62">
        <v>1.5854440000000001E-2</v>
      </c>
      <c r="Y342" s="62">
        <v>1.06772899999999E-2</v>
      </c>
      <c r="Z342" s="62">
        <v>9.383153E-3</v>
      </c>
      <c r="AA342" s="62">
        <v>8.3303019999999995E-3</v>
      </c>
      <c r="AB342" s="62">
        <v>7.4013200000000003E-3</v>
      </c>
      <c r="AC342" s="62">
        <v>6.8651049999999998E-3</v>
      </c>
      <c r="AD342" s="62">
        <v>6.3708080000000004E-3</v>
      </c>
      <c r="AE342" t="s">
        <v>93</v>
      </c>
    </row>
    <row r="343" spans="1:31">
      <c r="A343" t="s">
        <v>267</v>
      </c>
      <c r="B343" t="s">
        <v>1</v>
      </c>
      <c r="C343" t="s">
        <v>155</v>
      </c>
      <c r="D343" s="13" t="str">
        <f>IFERROR(VLOOKUP(C343,ghg_sort!$A$86:$B$512,2,0),0)</f>
        <v>Transportation</v>
      </c>
      <c r="E343" t="s">
        <v>91</v>
      </c>
      <c r="F343" s="13">
        <f>IFERROR(VLOOKUP($E343,ghg_sort!$A$3:$B$21,2,0),0)</f>
        <v>0</v>
      </c>
      <c r="G343" s="13">
        <f t="shared" si="58"/>
        <v>0</v>
      </c>
      <c r="H343" s="13">
        <f t="shared" si="59"/>
        <v>0</v>
      </c>
      <c r="I343" s="13">
        <f t="shared" si="60"/>
        <v>0</v>
      </c>
      <c r="J343" s="13">
        <f t="shared" si="61"/>
        <v>0</v>
      </c>
      <c r="K343" s="13">
        <f t="shared" si="62"/>
        <v>0</v>
      </c>
      <c r="L343" s="13">
        <f t="shared" si="63"/>
        <v>0</v>
      </c>
      <c r="M343" s="13">
        <f t="shared" si="64"/>
        <v>0</v>
      </c>
      <c r="N343" s="13">
        <f t="shared" si="65"/>
        <v>0</v>
      </c>
      <c r="O343" s="13">
        <f t="shared" si="66"/>
        <v>0</v>
      </c>
      <c r="P343" s="13">
        <f t="shared" si="67"/>
        <v>0</v>
      </c>
      <c r="Q343" s="13">
        <f t="shared" si="68"/>
        <v>0</v>
      </c>
      <c r="R343" s="13" t="s">
        <v>239</v>
      </c>
      <c r="T343" s="63">
        <v>8.9038810000000002E-4</v>
      </c>
      <c r="U343" s="63">
        <v>4.9367829999999999E-4</v>
      </c>
      <c r="V343" s="63">
        <v>3.8025869999999999E-4</v>
      </c>
      <c r="W343" s="63">
        <v>1.2348430000000001E-4</v>
      </c>
      <c r="X343" s="63">
        <v>9.2775799999999994E-5</v>
      </c>
      <c r="Y343" s="63">
        <v>6.3068400000000001E-5</v>
      </c>
      <c r="Z343" s="63">
        <v>5.5652100000000002E-5</v>
      </c>
      <c r="AA343" s="63">
        <v>5.2868699999999997E-5</v>
      </c>
      <c r="AB343" s="63">
        <v>5.3014699999999999E-5</v>
      </c>
      <c r="AC343" s="63">
        <v>5.2840300000000003E-5</v>
      </c>
      <c r="AD343" s="63">
        <v>5.3603899999999997E-5</v>
      </c>
      <c r="AE343" t="s">
        <v>93</v>
      </c>
    </row>
    <row r="344" spans="1:31">
      <c r="A344" t="s">
        <v>267</v>
      </c>
      <c r="B344" t="s">
        <v>1</v>
      </c>
      <c r="C344" t="s">
        <v>155</v>
      </c>
      <c r="D344" s="13" t="str">
        <f>IFERROR(VLOOKUP(C344,ghg_sort!$A$86:$B$512,2,0),0)</f>
        <v>Transportation</v>
      </c>
      <c r="E344" t="s">
        <v>92</v>
      </c>
      <c r="F344" s="13">
        <f>IFERROR(VLOOKUP($E344,ghg_sort!$A$3:$B$21,2,0),0)</f>
        <v>0</v>
      </c>
      <c r="G344" s="13">
        <f t="shared" si="58"/>
        <v>0</v>
      </c>
      <c r="H344" s="13">
        <f t="shared" si="59"/>
        <v>0</v>
      </c>
      <c r="I344" s="13">
        <f t="shared" si="60"/>
        <v>0</v>
      </c>
      <c r="J344" s="13">
        <f t="shared" si="61"/>
        <v>0</v>
      </c>
      <c r="K344" s="13">
        <f t="shared" si="62"/>
        <v>0</v>
      </c>
      <c r="L344" s="13">
        <f t="shared" si="63"/>
        <v>0</v>
      </c>
      <c r="M344" s="13">
        <f t="shared" si="64"/>
        <v>0</v>
      </c>
      <c r="N344" s="13">
        <f t="shared" si="65"/>
        <v>0</v>
      </c>
      <c r="O344" s="13">
        <f t="shared" si="66"/>
        <v>0</v>
      </c>
      <c r="P344" s="13">
        <f t="shared" si="67"/>
        <v>0</v>
      </c>
      <c r="Q344" s="13">
        <f t="shared" si="68"/>
        <v>0</v>
      </c>
      <c r="R344" s="13" t="s">
        <v>239</v>
      </c>
      <c r="T344" s="62">
        <v>7.4487845999999996E-2</v>
      </c>
      <c r="U344" s="62">
        <v>3.5209010999999998E-2</v>
      </c>
      <c r="V344" s="62">
        <v>2.2833782899999999E-2</v>
      </c>
      <c r="W344" s="62">
        <v>2.9555256999999999E-3</v>
      </c>
      <c r="X344" s="62">
        <v>2.2375264999999998E-3</v>
      </c>
      <c r="Y344" s="62">
        <v>1.4956788999999999E-3</v>
      </c>
      <c r="Z344" s="62">
        <v>1.3100449000000001E-3</v>
      </c>
      <c r="AA344" s="62">
        <v>1.1575641000000001E-3</v>
      </c>
      <c r="AB344" s="63">
        <v>1.0247468E-3</v>
      </c>
      <c r="AC344" s="63">
        <v>9.4698639999999995E-4</v>
      </c>
      <c r="AD344" s="63">
        <v>8.7713370000000001E-4</v>
      </c>
      <c r="AE344" t="s">
        <v>93</v>
      </c>
    </row>
    <row r="345" spans="1:31">
      <c r="A345" t="s">
        <v>267</v>
      </c>
      <c r="B345" t="s">
        <v>1</v>
      </c>
      <c r="C345" t="s">
        <v>156</v>
      </c>
      <c r="D345" s="13" t="str">
        <f>IFERROR(VLOOKUP(C345,ghg_sort!$A$86:$B$512,2,0),0)</f>
        <v>Transportation</v>
      </c>
      <c r="E345" t="s">
        <v>83</v>
      </c>
      <c r="F345" s="13">
        <f>IFERROR(VLOOKUP($E345,ghg_sort!$A$3:$B$21,2,0),0)</f>
        <v>0</v>
      </c>
      <c r="G345" s="13">
        <f t="shared" si="58"/>
        <v>0</v>
      </c>
      <c r="H345" s="13">
        <f t="shared" si="59"/>
        <v>0</v>
      </c>
      <c r="I345" s="13">
        <f t="shared" si="60"/>
        <v>0</v>
      </c>
      <c r="J345" s="13">
        <f t="shared" si="61"/>
        <v>0</v>
      </c>
      <c r="K345" s="13">
        <f t="shared" si="62"/>
        <v>0</v>
      </c>
      <c r="L345" s="13">
        <f t="shared" si="63"/>
        <v>0</v>
      </c>
      <c r="M345" s="13">
        <f t="shared" si="64"/>
        <v>0</v>
      </c>
      <c r="N345" s="13">
        <f t="shared" si="65"/>
        <v>0</v>
      </c>
      <c r="O345" s="13">
        <f t="shared" si="66"/>
        <v>0</v>
      </c>
      <c r="P345" s="13">
        <f t="shared" si="67"/>
        <v>0</v>
      </c>
      <c r="Q345" s="13">
        <f t="shared" si="68"/>
        <v>0</v>
      </c>
      <c r="R345" s="13" t="s">
        <v>239</v>
      </c>
      <c r="T345" s="63">
        <v>8.3585099999999996E-3</v>
      </c>
      <c r="U345" s="63">
        <v>6.2117700000000001E-3</v>
      </c>
      <c r="V345" s="63">
        <v>2.5944900000000001E-3</v>
      </c>
      <c r="W345" s="63">
        <v>2.5369400000000001E-3</v>
      </c>
      <c r="X345" s="63">
        <v>2.7161099999999999E-3</v>
      </c>
      <c r="Y345" s="63">
        <v>3.021279E-3</v>
      </c>
      <c r="Z345" s="63">
        <v>3.065829E-3</v>
      </c>
      <c r="AA345" s="63">
        <v>3.048467E-3</v>
      </c>
      <c r="AB345" s="63">
        <v>2.930785E-3</v>
      </c>
      <c r="AC345" s="63">
        <v>2.7155719999999999E-3</v>
      </c>
      <c r="AD345" s="63">
        <v>2.5055025999999999E-3</v>
      </c>
      <c r="AE345" t="s">
        <v>93</v>
      </c>
    </row>
    <row r="346" spans="1:31">
      <c r="A346" t="s">
        <v>267</v>
      </c>
      <c r="B346" t="s">
        <v>1</v>
      </c>
      <c r="C346" t="s">
        <v>156</v>
      </c>
      <c r="D346" s="13" t="str">
        <f>IFERROR(VLOOKUP(C346,ghg_sort!$A$86:$B$512,2,0),0)</f>
        <v>Transportation</v>
      </c>
      <c r="E346" t="s">
        <v>84</v>
      </c>
      <c r="F346" s="13">
        <f>IFERROR(VLOOKUP($E346,ghg_sort!$A$3:$B$21,2,0),0)</f>
        <v>25</v>
      </c>
      <c r="G346" s="13">
        <f t="shared" si="58"/>
        <v>3.4374250000000002E-2</v>
      </c>
      <c r="H346" s="13">
        <f t="shared" si="59"/>
        <v>0.15647149999999999</v>
      </c>
      <c r="I346" s="13">
        <f t="shared" si="60"/>
        <v>0.1905635</v>
      </c>
      <c r="J346" s="13">
        <f t="shared" si="61"/>
        <v>0.21602700000000002</v>
      </c>
      <c r="K346" s="13">
        <f t="shared" si="62"/>
        <v>0.23128425</v>
      </c>
      <c r="L346" s="13">
        <f t="shared" si="63"/>
        <v>0.25726949999999998</v>
      </c>
      <c r="M346" s="13">
        <f t="shared" si="64"/>
        <v>0.26106325000000002</v>
      </c>
      <c r="N346" s="13">
        <f t="shared" si="65"/>
        <v>0.25958484999999748</v>
      </c>
      <c r="O346" s="13">
        <f t="shared" si="66"/>
        <v>0.24956372499999974</v>
      </c>
      <c r="P346" s="13">
        <f t="shared" si="67"/>
        <v>0.23123805</v>
      </c>
      <c r="Q346" s="13">
        <f t="shared" si="68"/>
        <v>0.21335015000000002</v>
      </c>
      <c r="R346" s="13" t="s">
        <v>239</v>
      </c>
      <c r="T346" s="62">
        <v>1.3749700000000001E-3</v>
      </c>
      <c r="U346" s="62">
        <v>6.2588599999999998E-3</v>
      </c>
      <c r="V346" s="62">
        <v>7.6225399999999997E-3</v>
      </c>
      <c r="W346" s="62">
        <v>8.6410800000000006E-3</v>
      </c>
      <c r="X346" s="62">
        <v>9.2513700000000001E-3</v>
      </c>
      <c r="Y346" s="62">
        <v>1.0290779999999999E-2</v>
      </c>
      <c r="Z346" s="62">
        <v>1.044253E-2</v>
      </c>
      <c r="AA346" s="62">
        <v>1.03833939999999E-2</v>
      </c>
      <c r="AB346" s="62">
        <v>9.9825489999999899E-3</v>
      </c>
      <c r="AC346" s="63">
        <v>9.2495219999999996E-3</v>
      </c>
      <c r="AD346" s="63">
        <v>8.5340060000000002E-3</v>
      </c>
      <c r="AE346" t="s">
        <v>93</v>
      </c>
    </row>
    <row r="347" spans="1:31">
      <c r="A347" t="s">
        <v>267</v>
      </c>
      <c r="B347" t="s">
        <v>1</v>
      </c>
      <c r="C347" t="s">
        <v>156</v>
      </c>
      <c r="D347" s="13" t="str">
        <f>IFERROR(VLOOKUP(C347,ghg_sort!$A$86:$B$512,2,0),0)</f>
        <v>Transportation</v>
      </c>
      <c r="E347" t="s">
        <v>85</v>
      </c>
      <c r="F347" s="13">
        <f>IFERROR(VLOOKUP($E347,ghg_sort!$A$3:$B$21,2,0),0)</f>
        <v>0</v>
      </c>
      <c r="G347" s="13">
        <f t="shared" si="58"/>
        <v>0</v>
      </c>
      <c r="H347" s="13">
        <f t="shared" si="59"/>
        <v>0</v>
      </c>
      <c r="I347" s="13">
        <f t="shared" si="60"/>
        <v>0</v>
      </c>
      <c r="J347" s="13">
        <f t="shared" si="61"/>
        <v>0</v>
      </c>
      <c r="K347" s="13">
        <f t="shared" si="62"/>
        <v>0</v>
      </c>
      <c r="L347" s="13">
        <f t="shared" si="63"/>
        <v>0</v>
      </c>
      <c r="M347" s="13">
        <f t="shared" si="64"/>
        <v>0</v>
      </c>
      <c r="N347" s="13">
        <f t="shared" si="65"/>
        <v>0</v>
      </c>
      <c r="O347" s="13">
        <f t="shared" si="66"/>
        <v>0</v>
      </c>
      <c r="P347" s="13">
        <f t="shared" si="67"/>
        <v>0</v>
      </c>
      <c r="Q347" s="13">
        <f t="shared" si="68"/>
        <v>0</v>
      </c>
      <c r="R347" s="13" t="s">
        <v>239</v>
      </c>
      <c r="T347" s="62">
        <v>5.4547600000000002E-2</v>
      </c>
      <c r="U347" s="62">
        <v>0.137154</v>
      </c>
      <c r="V347" s="62">
        <v>0.126696</v>
      </c>
      <c r="W347" s="62">
        <v>9.7487900000000002E-2</v>
      </c>
      <c r="X347" s="62">
        <v>0.1043732</v>
      </c>
      <c r="Y347" s="62">
        <v>0.1160996</v>
      </c>
      <c r="Z347" s="62">
        <v>0.1178116</v>
      </c>
      <c r="AA347" s="62">
        <v>0.11714437999999899</v>
      </c>
      <c r="AB347" s="62">
        <v>0.11262228000000001</v>
      </c>
      <c r="AC347" s="62">
        <v>0.10435232999999999</v>
      </c>
      <c r="AD347" s="62">
        <v>9.6279779999999995E-2</v>
      </c>
      <c r="AE347" t="s">
        <v>93</v>
      </c>
    </row>
    <row r="348" spans="1:31">
      <c r="A348" t="s">
        <v>267</v>
      </c>
      <c r="B348" t="s">
        <v>1</v>
      </c>
      <c r="C348" t="s">
        <v>156</v>
      </c>
      <c r="D348" s="13" t="str">
        <f>IFERROR(VLOOKUP(C348,ghg_sort!$A$86:$B$512,2,0),0)</f>
        <v>Transportation</v>
      </c>
      <c r="E348" t="s">
        <v>86</v>
      </c>
      <c r="F348" s="13">
        <f>IFERROR(VLOOKUP($E348,ghg_sort!$A$3:$B$21,2,0),0)</f>
        <v>3.6666666666666701</v>
      </c>
      <c r="G348" s="13">
        <f t="shared" si="58"/>
        <v>9.4148633333333418</v>
      </c>
      <c r="H348" s="13">
        <f t="shared" si="59"/>
        <v>22.870320000000021</v>
      </c>
      <c r="I348" s="13">
        <f t="shared" si="60"/>
        <v>23.911616666666689</v>
      </c>
      <c r="J348" s="13">
        <f t="shared" si="61"/>
        <v>26.788043333333359</v>
      </c>
      <c r="K348" s="13">
        <f t="shared" si="62"/>
        <v>28.815206566666692</v>
      </c>
      <c r="L348" s="13">
        <f t="shared" si="63"/>
        <v>32.291291266666697</v>
      </c>
      <c r="M348" s="13">
        <f t="shared" si="64"/>
        <v>33.100092299999993</v>
      </c>
      <c r="N348" s="13">
        <f t="shared" si="65"/>
        <v>33.321983200000034</v>
      </c>
      <c r="O348" s="13">
        <f t="shared" si="66"/>
        <v>32.600011766666697</v>
      </c>
      <c r="P348" s="13">
        <f t="shared" si="67"/>
        <v>30.900305699999993</v>
      </c>
      <c r="Q348" s="13">
        <f t="shared" si="68"/>
        <v>29.506424346666659</v>
      </c>
      <c r="R348" s="13" t="s">
        <v>239</v>
      </c>
      <c r="T348" s="62">
        <v>2.5676899999999998</v>
      </c>
      <c r="U348" s="62">
        <v>6.2373599999999998</v>
      </c>
      <c r="V348" s="62">
        <v>6.52135</v>
      </c>
      <c r="W348" s="62">
        <v>7.3058300000000003</v>
      </c>
      <c r="X348" s="62">
        <v>7.8586926999999998</v>
      </c>
      <c r="Y348" s="62">
        <v>8.8067157999999992</v>
      </c>
      <c r="Z348" s="62">
        <v>9.02729789999999</v>
      </c>
      <c r="AA348" s="62">
        <v>9.0878136000000005</v>
      </c>
      <c r="AB348" s="62">
        <v>8.8909123000000001</v>
      </c>
      <c r="AC348" s="62">
        <v>8.4273560999999901</v>
      </c>
      <c r="AD348" s="62">
        <v>8.04720663999999</v>
      </c>
      <c r="AE348" t="s">
        <v>93</v>
      </c>
    </row>
    <row r="349" spans="1:31">
      <c r="A349" t="s">
        <v>267</v>
      </c>
      <c r="B349" t="s">
        <v>1</v>
      </c>
      <c r="C349" t="s">
        <v>156</v>
      </c>
      <c r="D349" s="13" t="str">
        <f>IFERROR(VLOOKUP(C349,ghg_sort!$A$86:$B$512,2,0),0)</f>
        <v>Transportation</v>
      </c>
      <c r="E349" t="s">
        <v>87</v>
      </c>
      <c r="F349" s="13">
        <f>IFERROR(VLOOKUP($E349,ghg_sort!$A$3:$B$21,2,0),0)</f>
        <v>298</v>
      </c>
      <c r="G349" s="13">
        <f t="shared" si="58"/>
        <v>8.3103260000000012E-2</v>
      </c>
      <c r="H349" s="13">
        <f t="shared" si="59"/>
        <v>0.38637785999999996</v>
      </c>
      <c r="I349" s="13">
        <f t="shared" si="60"/>
        <v>0.35287669999999999</v>
      </c>
      <c r="J349" s="13">
        <f t="shared" si="61"/>
        <v>0.33027042000000001</v>
      </c>
      <c r="K349" s="13">
        <f t="shared" si="62"/>
        <v>0.35359458199999999</v>
      </c>
      <c r="L349" s="13">
        <f t="shared" si="63"/>
        <v>0.39332245199999999</v>
      </c>
      <c r="M349" s="13">
        <f t="shared" si="64"/>
        <v>0.39912242599999997</v>
      </c>
      <c r="N349" s="13">
        <f t="shared" si="65"/>
        <v>0.39686179799999999</v>
      </c>
      <c r="O349" s="13">
        <f t="shared" si="66"/>
        <v>0.38154182659999997</v>
      </c>
      <c r="P349" s="13">
        <f t="shared" si="67"/>
        <v>0.35352470099999705</v>
      </c>
      <c r="Q349" s="13">
        <f t="shared" si="68"/>
        <v>0.32617676420000002</v>
      </c>
      <c r="R349" s="13" t="s">
        <v>239</v>
      </c>
      <c r="T349" s="63">
        <v>2.7887000000000002E-4</v>
      </c>
      <c r="U349" s="62">
        <v>1.2965699999999999E-3</v>
      </c>
      <c r="V349" s="62">
        <v>1.1841499999999999E-3</v>
      </c>
      <c r="W349" s="62">
        <v>1.1082900000000001E-3</v>
      </c>
      <c r="X349" s="62">
        <v>1.186559E-3</v>
      </c>
      <c r="Y349" s="62">
        <v>1.319874E-3</v>
      </c>
      <c r="Z349" s="62">
        <v>1.3393369999999999E-3</v>
      </c>
      <c r="AA349" s="62">
        <v>1.3317509999999999E-3</v>
      </c>
      <c r="AB349" s="62">
        <v>1.2803417E-3</v>
      </c>
      <c r="AC349" s="63">
        <v>1.1863244999999901E-3</v>
      </c>
      <c r="AD349" s="63">
        <v>1.0945529E-3</v>
      </c>
      <c r="AE349" t="s">
        <v>93</v>
      </c>
    </row>
    <row r="350" spans="1:31">
      <c r="A350" t="s">
        <v>267</v>
      </c>
      <c r="B350" t="s">
        <v>1</v>
      </c>
      <c r="C350" t="s">
        <v>156</v>
      </c>
      <c r="D350" s="13" t="str">
        <f>IFERROR(VLOOKUP(C350,ghg_sort!$A$86:$B$512,2,0),0)</f>
        <v>Transportation</v>
      </c>
      <c r="E350" s="12" t="s">
        <v>88</v>
      </c>
      <c r="F350" s="13">
        <f>IFERROR(VLOOKUP($E350,ghg_sort!$A$3:$B$21,2,0),0)</f>
        <v>0</v>
      </c>
      <c r="G350" s="13">
        <f t="shared" si="58"/>
        <v>0</v>
      </c>
      <c r="H350" s="13">
        <f t="shared" si="59"/>
        <v>0</v>
      </c>
      <c r="I350" s="13">
        <f t="shared" si="60"/>
        <v>0</v>
      </c>
      <c r="J350" s="13">
        <f t="shared" si="61"/>
        <v>0</v>
      </c>
      <c r="K350" s="13">
        <f t="shared" si="62"/>
        <v>0</v>
      </c>
      <c r="L350" s="13">
        <f t="shared" si="63"/>
        <v>0</v>
      </c>
      <c r="M350" s="13">
        <f t="shared" si="64"/>
        <v>0</v>
      </c>
      <c r="N350" s="13">
        <f t="shared" si="65"/>
        <v>0</v>
      </c>
      <c r="O350" s="13">
        <f t="shared" si="66"/>
        <v>0</v>
      </c>
      <c r="P350" s="13">
        <f t="shared" si="67"/>
        <v>0</v>
      </c>
      <c r="Q350" s="13">
        <f t="shared" si="68"/>
        <v>0</v>
      </c>
      <c r="R350" s="13" t="s">
        <v>239</v>
      </c>
      <c r="T350" s="63">
        <v>1.56162E-4</v>
      </c>
      <c r="U350" s="63">
        <v>9.7272800000000001E-5</v>
      </c>
      <c r="V350" s="63">
        <v>6.1751600000000003E-4</v>
      </c>
      <c r="W350" s="62">
        <v>1.2352699999999999E-3</v>
      </c>
      <c r="X350" s="62">
        <v>1.3225089999999999E-3</v>
      </c>
      <c r="Y350" s="62">
        <v>1.471102E-3</v>
      </c>
      <c r="Z350" s="62">
        <v>1.492794E-3</v>
      </c>
      <c r="AA350" s="62">
        <v>1.484338E-3</v>
      </c>
      <c r="AB350" s="62">
        <v>1.4270393000000001E-3</v>
      </c>
      <c r="AC350" s="62">
        <v>1.3222491E-3</v>
      </c>
      <c r="AD350" s="63">
        <v>1.2199622999999899E-3</v>
      </c>
      <c r="AE350" t="s">
        <v>94</v>
      </c>
    </row>
    <row r="351" spans="1:31">
      <c r="A351" t="s">
        <v>267</v>
      </c>
      <c r="B351" t="s">
        <v>1</v>
      </c>
      <c r="C351" t="s">
        <v>156</v>
      </c>
      <c r="D351" s="13" t="str">
        <f>IFERROR(VLOOKUP(C351,ghg_sort!$A$86:$B$512,2,0),0)</f>
        <v>Transportation</v>
      </c>
      <c r="E351" t="s">
        <v>89</v>
      </c>
      <c r="F351" s="13">
        <f>IFERROR(VLOOKUP($E351,ghg_sort!$A$3:$B$21,2,0),0)</f>
        <v>0</v>
      </c>
      <c r="G351" s="13">
        <f t="shared" si="58"/>
        <v>0</v>
      </c>
      <c r="H351" s="13">
        <f t="shared" si="59"/>
        <v>0</v>
      </c>
      <c r="I351" s="13">
        <f t="shared" si="60"/>
        <v>0</v>
      </c>
      <c r="J351" s="13">
        <f t="shared" si="61"/>
        <v>0</v>
      </c>
      <c r="K351" s="13">
        <f t="shared" si="62"/>
        <v>0</v>
      </c>
      <c r="L351" s="13">
        <f t="shared" si="63"/>
        <v>0</v>
      </c>
      <c r="M351" s="13">
        <f t="shared" si="64"/>
        <v>0</v>
      </c>
      <c r="N351" s="13">
        <f t="shared" si="65"/>
        <v>0</v>
      </c>
      <c r="O351" s="13">
        <f t="shared" si="66"/>
        <v>0</v>
      </c>
      <c r="P351" s="13">
        <f t="shared" si="67"/>
        <v>0</v>
      </c>
      <c r="Q351" s="13">
        <f t="shared" si="68"/>
        <v>0</v>
      </c>
      <c r="R351" s="13" t="s">
        <v>239</v>
      </c>
      <c r="T351" s="63">
        <v>6.6216599999999997E-3</v>
      </c>
      <c r="U351" s="62">
        <v>1.71995E-2</v>
      </c>
      <c r="V351" s="62">
        <v>1.25778E-2</v>
      </c>
      <c r="W351" s="62">
        <v>1.0696199999999999E-2</v>
      </c>
      <c r="X351" s="62">
        <v>1.1451599999999999E-2</v>
      </c>
      <c r="Y351" s="62">
        <v>1.27382E-2</v>
      </c>
      <c r="Z351" s="62">
        <v>1.292605E-2</v>
      </c>
      <c r="AA351" s="62">
        <v>1.28528399999999E-2</v>
      </c>
      <c r="AB351" s="62">
        <v>1.2356679999999899E-2</v>
      </c>
      <c r="AC351" s="63">
        <v>1.14493139999999E-2</v>
      </c>
      <c r="AD351" s="63">
        <v>1.0563629999999999E-2</v>
      </c>
      <c r="AE351" t="s">
        <v>93</v>
      </c>
    </row>
    <row r="352" spans="1:31">
      <c r="A352" t="s">
        <v>267</v>
      </c>
      <c r="B352" t="s">
        <v>1</v>
      </c>
      <c r="C352" t="s">
        <v>156</v>
      </c>
      <c r="D352" s="13" t="str">
        <f>IFERROR(VLOOKUP(C352,ghg_sort!$A$86:$B$512,2,0),0)</f>
        <v>Transportation</v>
      </c>
      <c r="E352" t="s">
        <v>90</v>
      </c>
      <c r="F352" s="13">
        <f>IFERROR(VLOOKUP($E352,ghg_sort!$A$3:$B$21,2,0),0)</f>
        <v>0</v>
      </c>
      <c r="G352" s="13">
        <f t="shared" si="58"/>
        <v>0</v>
      </c>
      <c r="H352" s="13">
        <f t="shared" si="59"/>
        <v>0</v>
      </c>
      <c r="I352" s="13">
        <f t="shared" si="60"/>
        <v>0</v>
      </c>
      <c r="J352" s="13">
        <f t="shared" si="61"/>
        <v>0</v>
      </c>
      <c r="K352" s="13">
        <f t="shared" si="62"/>
        <v>0</v>
      </c>
      <c r="L352" s="13">
        <f t="shared" si="63"/>
        <v>0</v>
      </c>
      <c r="M352" s="13">
        <f t="shared" si="64"/>
        <v>0</v>
      </c>
      <c r="N352" s="13">
        <f t="shared" si="65"/>
        <v>0</v>
      </c>
      <c r="O352" s="13">
        <f t="shared" si="66"/>
        <v>0</v>
      </c>
      <c r="P352" s="13">
        <f t="shared" si="67"/>
        <v>0</v>
      </c>
      <c r="Q352" s="13">
        <f t="shared" si="68"/>
        <v>0</v>
      </c>
      <c r="R352" s="13" t="s">
        <v>239</v>
      </c>
      <c r="T352" s="63">
        <v>0.13123399999999999</v>
      </c>
      <c r="U352" s="63">
        <v>0.246724</v>
      </c>
      <c r="V352" s="63">
        <v>0.14915600000000001</v>
      </c>
      <c r="W352" s="62">
        <v>0.14507800000000001</v>
      </c>
      <c r="X352" s="62">
        <v>0.15532470000000001</v>
      </c>
      <c r="Y352" s="62">
        <v>0.17277569999999901</v>
      </c>
      <c r="Z352" s="62">
        <v>0.175322699999999</v>
      </c>
      <c r="AA352" s="62">
        <v>0.17433000000000001</v>
      </c>
      <c r="AB352" s="62">
        <v>0.16760069999999999</v>
      </c>
      <c r="AC352" s="62">
        <v>0.15529345999999999</v>
      </c>
      <c r="AD352" s="63">
        <v>0.14328033000000001</v>
      </c>
      <c r="AE352" t="s">
        <v>93</v>
      </c>
    </row>
    <row r="353" spans="1:31">
      <c r="A353" t="s">
        <v>267</v>
      </c>
      <c r="B353" t="s">
        <v>1</v>
      </c>
      <c r="C353" t="s">
        <v>156</v>
      </c>
      <c r="D353" s="13" t="str">
        <f>IFERROR(VLOOKUP(C353,ghg_sort!$A$86:$B$512,2,0),0)</f>
        <v>Transportation</v>
      </c>
      <c r="E353" t="s">
        <v>91</v>
      </c>
      <c r="F353" s="13">
        <f>IFERROR(VLOOKUP($E353,ghg_sort!$A$3:$B$21,2,0),0)</f>
        <v>0</v>
      </c>
      <c r="G353" s="13">
        <f t="shared" si="58"/>
        <v>0</v>
      </c>
      <c r="H353" s="13">
        <f t="shared" si="59"/>
        <v>0</v>
      </c>
      <c r="I353" s="13">
        <f t="shared" si="60"/>
        <v>0</v>
      </c>
      <c r="J353" s="13">
        <f t="shared" si="61"/>
        <v>0</v>
      </c>
      <c r="K353" s="13">
        <f t="shared" si="62"/>
        <v>0</v>
      </c>
      <c r="L353" s="13">
        <f t="shared" si="63"/>
        <v>0</v>
      </c>
      <c r="M353" s="13">
        <f t="shared" si="64"/>
        <v>0</v>
      </c>
      <c r="N353" s="13">
        <f t="shared" si="65"/>
        <v>0</v>
      </c>
      <c r="O353" s="13">
        <f t="shared" si="66"/>
        <v>0</v>
      </c>
      <c r="P353" s="13">
        <f t="shared" si="67"/>
        <v>0</v>
      </c>
      <c r="Q353" s="13">
        <f t="shared" si="68"/>
        <v>0</v>
      </c>
      <c r="R353" s="13" t="s">
        <v>239</v>
      </c>
      <c r="T353" s="62">
        <v>2.98124E-3</v>
      </c>
      <c r="U353" s="62">
        <v>4.0281900000000001E-3</v>
      </c>
      <c r="V353" s="62">
        <v>1.5020599999999999E-3</v>
      </c>
      <c r="W353" s="62">
        <v>1.3772400000000001E-3</v>
      </c>
      <c r="X353" s="62">
        <v>1.474508E-3</v>
      </c>
      <c r="Y353" s="62">
        <v>1.6401709999999999E-3</v>
      </c>
      <c r="Z353" s="62">
        <v>1.6643630000000001E-3</v>
      </c>
      <c r="AA353" s="62">
        <v>1.6549339999999901E-3</v>
      </c>
      <c r="AB353" s="62">
        <v>1.59104899999999E-3</v>
      </c>
      <c r="AC353" s="62">
        <v>1.4742163000000001E-3</v>
      </c>
      <c r="AD353" s="62">
        <v>1.360174E-3</v>
      </c>
      <c r="AE353" t="s">
        <v>93</v>
      </c>
    </row>
    <row r="354" spans="1:31">
      <c r="A354" t="s">
        <v>267</v>
      </c>
      <c r="B354" t="s">
        <v>1</v>
      </c>
      <c r="C354" t="s">
        <v>156</v>
      </c>
      <c r="D354" s="13" t="str">
        <f>IFERROR(VLOOKUP(C354,ghg_sort!$A$86:$B$512,2,0),0)</f>
        <v>Transportation</v>
      </c>
      <c r="E354" t="s">
        <v>92</v>
      </c>
      <c r="F354" s="13">
        <f>IFERROR(VLOOKUP($E354,ghg_sort!$A$3:$B$21,2,0),0)</f>
        <v>0</v>
      </c>
      <c r="G354" s="13">
        <f t="shared" si="58"/>
        <v>0</v>
      </c>
      <c r="H354" s="13">
        <f t="shared" si="59"/>
        <v>0</v>
      </c>
      <c r="I354" s="13">
        <f t="shared" si="60"/>
        <v>0</v>
      </c>
      <c r="J354" s="13">
        <f t="shared" si="61"/>
        <v>0</v>
      </c>
      <c r="K354" s="13">
        <f t="shared" si="62"/>
        <v>0</v>
      </c>
      <c r="L354" s="13">
        <f t="shared" si="63"/>
        <v>0</v>
      </c>
      <c r="M354" s="13">
        <f t="shared" si="64"/>
        <v>0</v>
      </c>
      <c r="N354" s="13">
        <f t="shared" si="65"/>
        <v>0</v>
      </c>
      <c r="O354" s="13">
        <f t="shared" si="66"/>
        <v>0</v>
      </c>
      <c r="P354" s="13">
        <f t="shared" si="67"/>
        <v>0</v>
      </c>
      <c r="Q354" s="13">
        <f t="shared" si="68"/>
        <v>0</v>
      </c>
      <c r="R354" s="13" t="s">
        <v>239</v>
      </c>
      <c r="T354" s="62">
        <v>5.3683699999999999E-3</v>
      </c>
      <c r="U354" s="62">
        <v>2.0508000000000002E-3</v>
      </c>
      <c r="V354" s="63">
        <v>2.8205100000000001E-4</v>
      </c>
      <c r="W354" s="63">
        <v>6.2947599999999993E-5</v>
      </c>
      <c r="X354" s="63">
        <v>6.7393389999999997E-5</v>
      </c>
      <c r="Y354" s="63">
        <v>7.4965159999999996E-5</v>
      </c>
      <c r="Z354" s="63">
        <v>7.6070579999999995E-5</v>
      </c>
      <c r="AA354" s="63">
        <v>7.5639739999999996E-5</v>
      </c>
      <c r="AB354" s="63">
        <v>7.2719849999999998E-5</v>
      </c>
      <c r="AC354" s="63">
        <v>6.7379979999999994E-5</v>
      </c>
      <c r="AD354" s="63">
        <v>6.2167600000000004E-5</v>
      </c>
      <c r="AE354" t="s">
        <v>93</v>
      </c>
    </row>
    <row r="355" spans="1:31">
      <c r="A355" t="s">
        <v>267</v>
      </c>
      <c r="B355" t="s">
        <v>1</v>
      </c>
      <c r="C355" t="s">
        <v>157</v>
      </c>
      <c r="D355" s="13" t="str">
        <f>IFERROR(VLOOKUP(C355,ghg_sort!$A$86:$B$512,2,0),0)</f>
        <v>Transportation</v>
      </c>
      <c r="E355" t="s">
        <v>83</v>
      </c>
      <c r="F355" s="13">
        <f>IFERROR(VLOOKUP($E355,ghg_sort!$A$3:$B$21,2,0),0)</f>
        <v>0</v>
      </c>
      <c r="G355" s="13">
        <f t="shared" si="58"/>
        <v>0</v>
      </c>
      <c r="H355" s="13">
        <f t="shared" si="59"/>
        <v>0</v>
      </c>
      <c r="I355" s="13">
        <f t="shared" si="60"/>
        <v>0</v>
      </c>
      <c r="J355" s="13">
        <f t="shared" si="61"/>
        <v>0</v>
      </c>
      <c r="K355" s="13">
        <f t="shared" si="62"/>
        <v>0</v>
      </c>
      <c r="L355" s="13">
        <f t="shared" si="63"/>
        <v>0</v>
      </c>
      <c r="M355" s="13">
        <f t="shared" si="64"/>
        <v>0</v>
      </c>
      <c r="N355" s="13">
        <f t="shared" si="65"/>
        <v>0</v>
      </c>
      <c r="O355" s="13">
        <f t="shared" si="66"/>
        <v>0</v>
      </c>
      <c r="P355" s="13">
        <f t="shared" si="67"/>
        <v>0</v>
      </c>
      <c r="Q355" s="13">
        <f t="shared" si="68"/>
        <v>0</v>
      </c>
      <c r="R355" s="13" t="s">
        <v>239</v>
      </c>
      <c r="T355" s="63">
        <v>4.4623199999999899E-4</v>
      </c>
      <c r="U355" s="63">
        <v>3.9022710000000002E-4</v>
      </c>
      <c r="V355" s="63">
        <v>2.5604300000000001E-4</v>
      </c>
      <c r="W355" s="63">
        <v>1.9460189999999901E-4</v>
      </c>
      <c r="X355" s="63">
        <v>1.5399810000000001E-4</v>
      </c>
      <c r="Y355" s="63">
        <v>1.166503E-4</v>
      </c>
      <c r="Z355" s="63">
        <v>1.055075E-4</v>
      </c>
      <c r="AA355" s="63">
        <v>9.7993599999999996E-5</v>
      </c>
      <c r="AB355" s="63">
        <v>9.1254099999999998E-5</v>
      </c>
      <c r="AC355" s="63">
        <v>8.6055899999999997E-5</v>
      </c>
      <c r="AD355" s="63">
        <v>8.0248500000000003E-5</v>
      </c>
      <c r="AE355" t="s">
        <v>93</v>
      </c>
    </row>
    <row r="356" spans="1:31">
      <c r="A356" t="s">
        <v>267</v>
      </c>
      <c r="B356" t="s">
        <v>1</v>
      </c>
      <c r="C356" t="s">
        <v>157</v>
      </c>
      <c r="D356" s="13" t="str">
        <f>IFERROR(VLOOKUP(C356,ghg_sort!$A$86:$B$512,2,0),0)</f>
        <v>Transportation</v>
      </c>
      <c r="E356" t="s">
        <v>84</v>
      </c>
      <c r="F356" s="13">
        <f>IFERROR(VLOOKUP($E356,ghg_sort!$A$3:$B$21,2,0),0)</f>
        <v>25</v>
      </c>
      <c r="G356" s="13">
        <f t="shared" si="58"/>
        <v>8.3063750000000002E-4</v>
      </c>
      <c r="H356" s="13">
        <f t="shared" si="59"/>
        <v>8.3063750000000002E-4</v>
      </c>
      <c r="I356" s="13">
        <f t="shared" si="60"/>
        <v>4.9838249999999997E-4</v>
      </c>
      <c r="J356" s="13">
        <f t="shared" si="61"/>
        <v>3.32255E-4</v>
      </c>
      <c r="K356" s="13">
        <f t="shared" si="62"/>
        <v>3.3902999999999998E-4</v>
      </c>
      <c r="L356" s="13">
        <f t="shared" si="63"/>
        <v>3.346825E-4</v>
      </c>
      <c r="M356" s="13">
        <f t="shared" si="64"/>
        <v>3.3051499999999998E-4</v>
      </c>
      <c r="N356" s="13">
        <f t="shared" si="65"/>
        <v>3.2536000000000002E-4</v>
      </c>
      <c r="O356" s="13">
        <f t="shared" si="66"/>
        <v>3.1755500000000002E-4</v>
      </c>
      <c r="P356" s="13">
        <f t="shared" si="67"/>
        <v>3.0790749999999996E-4</v>
      </c>
      <c r="Q356" s="13">
        <f t="shared" si="68"/>
        <v>2.9522750000000002E-4</v>
      </c>
      <c r="R356" s="13" t="s">
        <v>239</v>
      </c>
      <c r="T356" s="63">
        <v>3.3225500000000002E-5</v>
      </c>
      <c r="U356" s="63">
        <v>3.3225500000000002E-5</v>
      </c>
      <c r="V356" s="63">
        <v>1.9935299999999999E-5</v>
      </c>
      <c r="W356" s="63">
        <v>1.32902E-5</v>
      </c>
      <c r="X356" s="63">
        <v>1.35612E-5</v>
      </c>
      <c r="Y356" s="63">
        <v>1.33873E-5</v>
      </c>
      <c r="Z356" s="63">
        <v>1.32206E-5</v>
      </c>
      <c r="AA356" s="63">
        <v>1.30144E-5</v>
      </c>
      <c r="AB356" s="63">
        <v>1.27022E-5</v>
      </c>
      <c r="AC356" s="63">
        <v>1.2316299999999999E-5</v>
      </c>
      <c r="AD356" s="63">
        <v>1.18091E-5</v>
      </c>
      <c r="AE356" t="s">
        <v>93</v>
      </c>
    </row>
    <row r="357" spans="1:31">
      <c r="A357" t="s">
        <v>267</v>
      </c>
      <c r="B357" t="s">
        <v>1</v>
      </c>
      <c r="C357" t="s">
        <v>157</v>
      </c>
      <c r="D357" s="13" t="str">
        <f>IFERROR(VLOOKUP(C357,ghg_sort!$A$86:$B$512,2,0),0)</f>
        <v>Transportation</v>
      </c>
      <c r="E357" t="s">
        <v>85</v>
      </c>
      <c r="F357" s="13">
        <f>IFERROR(VLOOKUP($E357,ghg_sort!$A$3:$B$21,2,0),0)</f>
        <v>0</v>
      </c>
      <c r="G357" s="13">
        <f t="shared" si="58"/>
        <v>0</v>
      </c>
      <c r="H357" s="13">
        <f t="shared" si="59"/>
        <v>0</v>
      </c>
      <c r="I357" s="13">
        <f t="shared" si="60"/>
        <v>0</v>
      </c>
      <c r="J357" s="13">
        <f t="shared" si="61"/>
        <v>0</v>
      </c>
      <c r="K357" s="13">
        <f t="shared" si="62"/>
        <v>0</v>
      </c>
      <c r="L357" s="13">
        <f t="shared" si="63"/>
        <v>0</v>
      </c>
      <c r="M357" s="13">
        <f t="shared" si="64"/>
        <v>0</v>
      </c>
      <c r="N357" s="13">
        <f t="shared" si="65"/>
        <v>0</v>
      </c>
      <c r="O357" s="13">
        <f t="shared" si="66"/>
        <v>0</v>
      </c>
      <c r="P357" s="13">
        <f t="shared" si="67"/>
        <v>0</v>
      </c>
      <c r="Q357" s="13">
        <f t="shared" si="68"/>
        <v>0</v>
      </c>
      <c r="R357" s="13" t="s">
        <v>239</v>
      </c>
      <c r="T357" s="63">
        <v>1.0818029999999999E-2</v>
      </c>
      <c r="U357" s="63">
        <v>8.2368700000000003E-3</v>
      </c>
      <c r="V357" s="63">
        <v>3.82133E-3</v>
      </c>
      <c r="W357" s="63">
        <v>5.6683699999999998E-3</v>
      </c>
      <c r="X357" s="63">
        <v>5.5655100000000001E-3</v>
      </c>
      <c r="Y357" s="63">
        <v>5.5478599999999999E-3</v>
      </c>
      <c r="Z357" s="63">
        <v>5.5750859999999999E-3</v>
      </c>
      <c r="AA357" s="63">
        <v>5.5644470000000001E-3</v>
      </c>
      <c r="AB357" s="63">
        <v>5.4605729999999998E-3</v>
      </c>
      <c r="AC357" s="63">
        <v>5.258614E-3</v>
      </c>
      <c r="AD357" s="63">
        <v>5.0448059999999998E-3</v>
      </c>
      <c r="AE357" t="s">
        <v>93</v>
      </c>
    </row>
    <row r="358" spans="1:31">
      <c r="A358" t="s">
        <v>267</v>
      </c>
      <c r="B358" t="s">
        <v>1</v>
      </c>
      <c r="C358" t="s">
        <v>157</v>
      </c>
      <c r="D358" s="13" t="str">
        <f>IFERROR(VLOOKUP(C358,ghg_sort!$A$86:$B$512,2,0),0)</f>
        <v>Transportation</v>
      </c>
      <c r="E358" t="s">
        <v>86</v>
      </c>
      <c r="F358" s="13">
        <f>IFERROR(VLOOKUP($E358,ghg_sort!$A$3:$B$21,2,0),0)</f>
        <v>3.6666666666666701</v>
      </c>
      <c r="G358" s="13">
        <f t="shared" si="58"/>
        <v>6.3019835999999687</v>
      </c>
      <c r="H358" s="13">
        <f t="shared" si="59"/>
        <v>1.4662779999999975</v>
      </c>
      <c r="I358" s="13">
        <f t="shared" si="60"/>
        <v>1.6585066666666681</v>
      </c>
      <c r="J358" s="13">
        <f t="shared" si="61"/>
        <v>2.0509243333333353</v>
      </c>
      <c r="K358" s="13">
        <f t="shared" si="62"/>
        <v>2.185271000000002</v>
      </c>
      <c r="L358" s="13">
        <f t="shared" si="63"/>
        <v>2.3190713333333353</v>
      </c>
      <c r="M358" s="13">
        <f t="shared" si="64"/>
        <v>2.3662906666666652</v>
      </c>
      <c r="N358" s="13">
        <f t="shared" si="65"/>
        <v>2.3824643333333353</v>
      </c>
      <c r="O358" s="13">
        <f t="shared" si="66"/>
        <v>2.3543263333333355</v>
      </c>
      <c r="P358" s="13">
        <f t="shared" si="67"/>
        <v>2.2784226666666689</v>
      </c>
      <c r="Q358" s="13">
        <f t="shared" si="68"/>
        <v>2.1946870000000023</v>
      </c>
      <c r="R358" s="13" t="s">
        <v>239</v>
      </c>
      <c r="T358" s="63">
        <v>1.7187227999999899</v>
      </c>
      <c r="U358" s="63">
        <v>0.39989399999999897</v>
      </c>
      <c r="V358" s="63">
        <v>0.45232</v>
      </c>
      <c r="W358" s="63">
        <v>0.55934300000000003</v>
      </c>
      <c r="X358" s="63">
        <v>0.59598300000000004</v>
      </c>
      <c r="Y358" s="63">
        <v>0.63247399999999998</v>
      </c>
      <c r="Z358" s="63">
        <v>0.64535199999999904</v>
      </c>
      <c r="AA358" s="63">
        <v>0.64976299999999998</v>
      </c>
      <c r="AB358" s="63">
        <v>0.64208900000000002</v>
      </c>
      <c r="AC358" s="63">
        <v>0.62138800000000005</v>
      </c>
      <c r="AD358" s="63">
        <v>0.59855100000000006</v>
      </c>
      <c r="AE358" t="s">
        <v>93</v>
      </c>
    </row>
    <row r="359" spans="1:31">
      <c r="A359" t="s">
        <v>267</v>
      </c>
      <c r="B359" t="s">
        <v>1</v>
      </c>
      <c r="C359" t="s">
        <v>157</v>
      </c>
      <c r="D359" s="13" t="str">
        <f>IFERROR(VLOOKUP(C359,ghg_sort!$A$86:$B$512,2,0),0)</f>
        <v>Transportation</v>
      </c>
      <c r="E359" t="s">
        <v>87</v>
      </c>
      <c r="F359" s="13">
        <f>IFERROR(VLOOKUP($E359,ghg_sort!$A$3:$B$21,2,0),0)</f>
        <v>298</v>
      </c>
      <c r="G359" s="13">
        <f t="shared" si="58"/>
        <v>0.115008332</v>
      </c>
      <c r="H359" s="13">
        <f t="shared" si="59"/>
        <v>9.1187404E-2</v>
      </c>
      <c r="I359" s="13">
        <f t="shared" si="60"/>
        <v>5.2505216E-2</v>
      </c>
      <c r="J359" s="13">
        <f t="shared" si="61"/>
        <v>5.7523387000000002E-2</v>
      </c>
      <c r="K359" s="13">
        <f t="shared" si="62"/>
        <v>6.0622646600000003E-2</v>
      </c>
      <c r="L359" s="13">
        <f t="shared" si="63"/>
        <v>6.32144122E-2</v>
      </c>
      <c r="M359" s="13">
        <f t="shared" si="64"/>
        <v>6.4011681399999992E-2</v>
      </c>
      <c r="N359" s="13">
        <f t="shared" si="65"/>
        <v>6.4118514399999993E-2</v>
      </c>
      <c r="O359" s="13">
        <f t="shared" si="66"/>
        <v>6.3184492999999994E-2</v>
      </c>
      <c r="P359" s="13">
        <f t="shared" si="67"/>
        <v>6.1173827399999998E-2</v>
      </c>
      <c r="Q359" s="13">
        <f t="shared" si="68"/>
        <v>5.8864506200000007E-2</v>
      </c>
      <c r="R359" s="13" t="s">
        <v>239</v>
      </c>
      <c r="T359" s="63">
        <v>3.8593399999999999E-4</v>
      </c>
      <c r="U359" s="63">
        <v>3.0599799999999998E-4</v>
      </c>
      <c r="V359" s="63">
        <v>1.7619200000000001E-4</v>
      </c>
      <c r="W359" s="63">
        <v>1.9303150000000001E-4</v>
      </c>
      <c r="X359" s="63">
        <v>2.0343170000000001E-4</v>
      </c>
      <c r="Y359" s="63">
        <v>2.1212889999999999E-4</v>
      </c>
      <c r="Z359" s="63">
        <v>2.1480429999999999E-4</v>
      </c>
      <c r="AA359" s="63">
        <v>2.151628E-4</v>
      </c>
      <c r="AB359" s="63">
        <v>2.1202849999999999E-4</v>
      </c>
      <c r="AC359" s="63">
        <v>2.052813E-4</v>
      </c>
      <c r="AD359" s="63">
        <v>1.9753190000000001E-4</v>
      </c>
      <c r="AE359" t="s">
        <v>93</v>
      </c>
    </row>
    <row r="360" spans="1:31">
      <c r="A360" t="s">
        <v>267</v>
      </c>
      <c r="B360" t="s">
        <v>1</v>
      </c>
      <c r="C360" t="s">
        <v>157</v>
      </c>
      <c r="D360" s="13" t="str">
        <f>IFERROR(VLOOKUP(C360,ghg_sort!$A$86:$B$512,2,0),0)</f>
        <v>Transportation</v>
      </c>
      <c r="E360" s="12" t="s">
        <v>88</v>
      </c>
      <c r="F360" s="13">
        <f>IFERROR(VLOOKUP($E360,ghg_sort!$A$3:$B$21,2,0),0)</f>
        <v>0</v>
      </c>
      <c r="G360" s="13">
        <f t="shared" si="58"/>
        <v>0</v>
      </c>
      <c r="H360" s="13">
        <f t="shared" si="59"/>
        <v>0</v>
      </c>
      <c r="I360" s="13">
        <f t="shared" si="60"/>
        <v>0</v>
      </c>
      <c r="J360" s="13">
        <f t="shared" si="61"/>
        <v>0</v>
      </c>
      <c r="K360" s="13">
        <f t="shared" si="62"/>
        <v>0</v>
      </c>
      <c r="L360" s="13">
        <f t="shared" si="63"/>
        <v>0</v>
      </c>
      <c r="M360" s="13">
        <f t="shared" si="64"/>
        <v>0</v>
      </c>
      <c r="N360" s="13">
        <f t="shared" si="65"/>
        <v>0</v>
      </c>
      <c r="O360" s="13">
        <f t="shared" si="66"/>
        <v>0</v>
      </c>
      <c r="P360" s="13">
        <f t="shared" si="67"/>
        <v>0</v>
      </c>
      <c r="Q360" s="13">
        <f t="shared" si="68"/>
        <v>0</v>
      </c>
      <c r="R360" s="13" t="s">
        <v>239</v>
      </c>
      <c r="T360" s="63">
        <v>2.9999999999999997E-4</v>
      </c>
      <c r="U360" s="63">
        <v>1.9000000000000001E-4</v>
      </c>
      <c r="V360" s="63">
        <v>5.0000000000000002E-5</v>
      </c>
      <c r="W360" s="63">
        <v>1.9000000000000001E-4</v>
      </c>
      <c r="X360" s="63">
        <v>2.06157E-4</v>
      </c>
      <c r="Y360" s="63">
        <v>2.2499400000000001E-4</v>
      </c>
      <c r="Z360" s="63">
        <v>2.32294E-4</v>
      </c>
      <c r="AA360" s="63">
        <v>2.3571700000000001E-4</v>
      </c>
      <c r="AB360" s="63">
        <v>2.33914E-4</v>
      </c>
      <c r="AC360" s="63">
        <v>2.2622699999999999E-4</v>
      </c>
      <c r="AD360" s="63">
        <v>2.1824999999999999E-4</v>
      </c>
      <c r="AE360" t="s">
        <v>94</v>
      </c>
    </row>
    <row r="361" spans="1:31">
      <c r="A361" t="s">
        <v>267</v>
      </c>
      <c r="B361" t="s">
        <v>1</v>
      </c>
      <c r="C361" t="s">
        <v>157</v>
      </c>
      <c r="D361" s="13" t="str">
        <f>IFERROR(VLOOKUP(C361,ghg_sort!$A$86:$B$512,2,0),0)</f>
        <v>Transportation</v>
      </c>
      <c r="E361" t="s">
        <v>89</v>
      </c>
      <c r="F361" s="13">
        <f>IFERROR(VLOOKUP($E361,ghg_sort!$A$3:$B$21,2,0),0)</f>
        <v>0</v>
      </c>
      <c r="G361" s="13">
        <f t="shared" si="58"/>
        <v>0</v>
      </c>
      <c r="H361" s="13">
        <f t="shared" si="59"/>
        <v>0</v>
      </c>
      <c r="I361" s="13">
        <f t="shared" si="60"/>
        <v>0</v>
      </c>
      <c r="J361" s="13">
        <f t="shared" si="61"/>
        <v>0</v>
      </c>
      <c r="K361" s="13">
        <f t="shared" si="62"/>
        <v>0</v>
      </c>
      <c r="L361" s="13">
        <f t="shared" si="63"/>
        <v>0</v>
      </c>
      <c r="M361" s="13">
        <f t="shared" si="64"/>
        <v>0</v>
      </c>
      <c r="N361" s="13">
        <f t="shared" si="65"/>
        <v>0</v>
      </c>
      <c r="O361" s="13">
        <f t="shared" si="66"/>
        <v>0</v>
      </c>
      <c r="P361" s="13">
        <f t="shared" si="67"/>
        <v>0</v>
      </c>
      <c r="Q361" s="13">
        <f t="shared" si="68"/>
        <v>0</v>
      </c>
      <c r="R361" s="13" t="s">
        <v>239</v>
      </c>
      <c r="T361" s="63">
        <v>2.5301799999999999E-3</v>
      </c>
      <c r="U361" s="63">
        <v>1.8180500000000001E-3</v>
      </c>
      <c r="V361" s="63">
        <v>1.1198599999999901E-3</v>
      </c>
      <c r="W361" s="63">
        <v>7.7476900000000002E-4</v>
      </c>
      <c r="X361" s="63">
        <v>6.1687799999999996E-4</v>
      </c>
      <c r="Y361" s="63">
        <v>4.7191099999999999E-4</v>
      </c>
      <c r="Z361" s="63">
        <v>4.2877399999999998E-4</v>
      </c>
      <c r="AA361" s="63">
        <v>3.9958300000000001E-4</v>
      </c>
      <c r="AB361" s="63">
        <v>3.7307399999999999E-4</v>
      </c>
      <c r="AC361" s="63">
        <v>3.5220199999999997E-4</v>
      </c>
      <c r="AD361" s="63">
        <v>3.28926E-4</v>
      </c>
      <c r="AE361" t="s">
        <v>93</v>
      </c>
    </row>
    <row r="362" spans="1:31">
      <c r="A362" t="s">
        <v>267</v>
      </c>
      <c r="B362" t="s">
        <v>1</v>
      </c>
      <c r="C362" t="s">
        <v>157</v>
      </c>
      <c r="D362" s="13" t="str">
        <f>IFERROR(VLOOKUP(C362,ghg_sort!$A$86:$B$512,2,0),0)</f>
        <v>Transportation</v>
      </c>
      <c r="E362" t="s">
        <v>90</v>
      </c>
      <c r="F362" s="13">
        <f>IFERROR(VLOOKUP($E362,ghg_sort!$A$3:$B$21,2,0),0)</f>
        <v>0</v>
      </c>
      <c r="G362" s="13">
        <f t="shared" si="58"/>
        <v>0</v>
      </c>
      <c r="H362" s="13">
        <f t="shared" si="59"/>
        <v>0</v>
      </c>
      <c r="I362" s="13">
        <f t="shared" si="60"/>
        <v>0</v>
      </c>
      <c r="J362" s="13">
        <f t="shared" si="61"/>
        <v>0</v>
      </c>
      <c r="K362" s="13">
        <f t="shared" si="62"/>
        <v>0</v>
      </c>
      <c r="L362" s="13">
        <f t="shared" si="63"/>
        <v>0</v>
      </c>
      <c r="M362" s="13">
        <f t="shared" si="64"/>
        <v>0</v>
      </c>
      <c r="N362" s="13">
        <f t="shared" si="65"/>
        <v>0</v>
      </c>
      <c r="O362" s="13">
        <f t="shared" si="66"/>
        <v>0</v>
      </c>
      <c r="P362" s="13">
        <f t="shared" si="67"/>
        <v>0</v>
      </c>
      <c r="Q362" s="13">
        <f t="shared" si="68"/>
        <v>0</v>
      </c>
      <c r="R362" s="13" t="s">
        <v>239</v>
      </c>
      <c r="T362" s="63">
        <v>3.05300999999999E-2</v>
      </c>
      <c r="U362" s="63">
        <v>2.2611139999999998E-2</v>
      </c>
      <c r="V362" s="63">
        <v>1.00154299999999E-2</v>
      </c>
      <c r="W362" s="63">
        <v>1.6447320000000001E-2</v>
      </c>
      <c r="X362" s="63">
        <v>1.2109969999999999E-2</v>
      </c>
      <c r="Y362" s="63">
        <v>7.8746000000000007E-3</v>
      </c>
      <c r="Z362" s="63">
        <v>6.4912299999999997E-3</v>
      </c>
      <c r="AA362" s="63">
        <v>5.5468699999999998E-3</v>
      </c>
      <c r="AB362" s="63">
        <v>4.7738310000000001E-3</v>
      </c>
      <c r="AC362" s="63">
        <v>4.3126249999999996E-3</v>
      </c>
      <c r="AD362" s="63">
        <v>3.8076849999999999E-3</v>
      </c>
      <c r="AE362" t="s">
        <v>93</v>
      </c>
    </row>
    <row r="363" spans="1:31">
      <c r="A363" t="s">
        <v>267</v>
      </c>
      <c r="B363" t="s">
        <v>1</v>
      </c>
      <c r="C363" t="s">
        <v>157</v>
      </c>
      <c r="D363" s="13" t="str">
        <f>IFERROR(VLOOKUP(C363,ghg_sort!$A$86:$B$512,2,0),0)</f>
        <v>Transportation</v>
      </c>
      <c r="E363" t="s">
        <v>91</v>
      </c>
      <c r="F363" s="13">
        <f>IFERROR(VLOOKUP($E363,ghg_sort!$A$3:$B$21,2,0),0)</f>
        <v>0</v>
      </c>
      <c r="G363" s="13">
        <f t="shared" si="58"/>
        <v>0</v>
      </c>
      <c r="H363" s="13">
        <f t="shared" si="59"/>
        <v>0</v>
      </c>
      <c r="I363" s="13">
        <f t="shared" si="60"/>
        <v>0</v>
      </c>
      <c r="J363" s="13">
        <f t="shared" si="61"/>
        <v>0</v>
      </c>
      <c r="K363" s="13">
        <f t="shared" si="62"/>
        <v>0</v>
      </c>
      <c r="L363" s="13">
        <f t="shared" si="63"/>
        <v>0</v>
      </c>
      <c r="M363" s="13">
        <f t="shared" si="64"/>
        <v>0</v>
      </c>
      <c r="N363" s="13">
        <f t="shared" si="65"/>
        <v>0</v>
      </c>
      <c r="O363" s="13">
        <f t="shared" si="66"/>
        <v>0</v>
      </c>
      <c r="P363" s="13">
        <f t="shared" si="67"/>
        <v>0</v>
      </c>
      <c r="Q363" s="13">
        <f t="shared" si="68"/>
        <v>0</v>
      </c>
      <c r="R363" s="13" t="s">
        <v>239</v>
      </c>
      <c r="T363" s="63">
        <v>1.59612E-4</v>
      </c>
      <c r="U363" s="63">
        <v>1.26322E-4</v>
      </c>
      <c r="V363" s="63">
        <v>8.9741300000000001E-5</v>
      </c>
      <c r="W363" s="63">
        <v>6.6515700000000004E-5</v>
      </c>
      <c r="X363" s="63">
        <v>5.43717E-5</v>
      </c>
      <c r="Y363" s="63">
        <v>4.3324700000000002E-5</v>
      </c>
      <c r="Z363" s="63">
        <v>4.0081099999999998E-5</v>
      </c>
      <c r="AA363" s="63">
        <v>3.7847199999999999E-5</v>
      </c>
      <c r="AB363" s="63">
        <v>3.6010699999999997E-5</v>
      </c>
      <c r="AC363" s="63">
        <v>3.4855499999999999E-5</v>
      </c>
      <c r="AD363" s="63">
        <v>3.35611E-5</v>
      </c>
      <c r="AE363" t="s">
        <v>93</v>
      </c>
    </row>
    <row r="364" spans="1:31">
      <c r="A364" t="s">
        <v>267</v>
      </c>
      <c r="B364" t="s">
        <v>1</v>
      </c>
      <c r="C364" t="s">
        <v>157</v>
      </c>
      <c r="D364" s="13" t="str">
        <f>IFERROR(VLOOKUP(C364,ghg_sort!$A$86:$B$512,2,0),0)</f>
        <v>Transportation</v>
      </c>
      <c r="E364" t="s">
        <v>92</v>
      </c>
      <c r="F364" s="13">
        <f>IFERROR(VLOOKUP($E364,ghg_sort!$A$3:$B$21,2,0),0)</f>
        <v>0</v>
      </c>
      <c r="G364" s="13">
        <f t="shared" si="58"/>
        <v>0</v>
      </c>
      <c r="H364" s="13">
        <f t="shared" si="59"/>
        <v>0</v>
      </c>
      <c r="I364" s="13">
        <f t="shared" si="60"/>
        <v>0</v>
      </c>
      <c r="J364" s="13">
        <f t="shared" si="61"/>
        <v>0</v>
      </c>
      <c r="K364" s="13">
        <f t="shared" si="62"/>
        <v>0</v>
      </c>
      <c r="L364" s="13">
        <f t="shared" si="63"/>
        <v>0</v>
      </c>
      <c r="M364" s="13">
        <f t="shared" si="64"/>
        <v>0</v>
      </c>
      <c r="N364" s="13">
        <f t="shared" si="65"/>
        <v>0</v>
      </c>
      <c r="O364" s="13">
        <f t="shared" si="66"/>
        <v>0</v>
      </c>
      <c r="P364" s="13">
        <f t="shared" si="67"/>
        <v>0</v>
      </c>
      <c r="Q364" s="13">
        <f t="shared" si="68"/>
        <v>0</v>
      </c>
      <c r="R364" s="13" t="s">
        <v>239</v>
      </c>
      <c r="T364" s="62">
        <v>2.4357720000000001E-3</v>
      </c>
      <c r="U364" s="62">
        <v>1.6381060000000001E-3</v>
      </c>
      <c r="V364" s="63">
        <v>5.4672E-4</v>
      </c>
      <c r="W364" s="62">
        <v>1.4693729999999999E-3</v>
      </c>
      <c r="X364" s="62">
        <v>1.0929388E-3</v>
      </c>
      <c r="Y364" s="63">
        <v>7.2193449999999998E-4</v>
      </c>
      <c r="Z364" s="63">
        <v>5.9904550000000004E-4</v>
      </c>
      <c r="AA364" s="63">
        <v>5.1414009999999999E-4</v>
      </c>
      <c r="AB364" s="63">
        <v>4.4352999999999998E-4</v>
      </c>
      <c r="AC364" s="63">
        <v>4.0053570000000001E-4</v>
      </c>
      <c r="AD364" s="63">
        <v>3.53946E-4</v>
      </c>
      <c r="AE364" t="s">
        <v>93</v>
      </c>
    </row>
    <row r="365" spans="1:31">
      <c r="A365" t="s">
        <v>267</v>
      </c>
      <c r="B365" t="s">
        <v>1</v>
      </c>
      <c r="C365" t="s">
        <v>158</v>
      </c>
      <c r="D365" s="13" t="str">
        <f>IFERROR(VLOOKUP(C365,ghg_sort!$A$86:$B$512,2,0),0)</f>
        <v>Transportation</v>
      </c>
      <c r="E365" t="s">
        <v>83</v>
      </c>
      <c r="F365" s="13">
        <f>IFERROR(VLOOKUP($E365,ghg_sort!$A$3:$B$21,2,0),0)</f>
        <v>0</v>
      </c>
      <c r="G365" s="13">
        <f t="shared" si="58"/>
        <v>0</v>
      </c>
      <c r="H365" s="13">
        <f t="shared" si="59"/>
        <v>0</v>
      </c>
      <c r="I365" s="13">
        <f t="shared" si="60"/>
        <v>0</v>
      </c>
      <c r="J365" s="13">
        <f t="shared" si="61"/>
        <v>0</v>
      </c>
      <c r="K365" s="13">
        <f t="shared" si="62"/>
        <v>0</v>
      </c>
      <c r="L365" s="13">
        <f t="shared" si="63"/>
        <v>0</v>
      </c>
      <c r="M365" s="13">
        <f t="shared" si="64"/>
        <v>0</v>
      </c>
      <c r="N365" s="13">
        <f t="shared" si="65"/>
        <v>0</v>
      </c>
      <c r="O365" s="13">
        <f t="shared" si="66"/>
        <v>0</v>
      </c>
      <c r="P365" s="13">
        <f t="shared" si="67"/>
        <v>0</v>
      </c>
      <c r="Q365" s="13">
        <f t="shared" si="68"/>
        <v>0</v>
      </c>
      <c r="R365" s="13" t="s">
        <v>239</v>
      </c>
      <c r="T365" s="63">
        <v>1.3596E-2</v>
      </c>
      <c r="U365" s="63">
        <v>6.58947E-3</v>
      </c>
      <c r="V365" s="63">
        <v>2.8546700000000001E-3</v>
      </c>
      <c r="W365" s="63">
        <v>3.4372199999999999E-3</v>
      </c>
      <c r="X365" s="63">
        <v>2.3407699999999998E-3</v>
      </c>
      <c r="Y365" s="63">
        <v>1.1896400000000001E-3</v>
      </c>
      <c r="Z365" s="63">
        <v>7.7228400000000003E-4</v>
      </c>
      <c r="AA365" s="63">
        <v>5.3549800000000003E-4</v>
      </c>
      <c r="AB365" s="63">
        <v>4.2022700000000001E-4</v>
      </c>
      <c r="AC365" s="63">
        <v>3.6055199999999999E-4</v>
      </c>
      <c r="AD365" s="63">
        <v>3.0528199999999998E-4</v>
      </c>
      <c r="AE365" t="s">
        <v>93</v>
      </c>
    </row>
    <row r="366" spans="1:31">
      <c r="A366" t="s">
        <v>267</v>
      </c>
      <c r="B366" t="s">
        <v>1</v>
      </c>
      <c r="C366" t="s">
        <v>158</v>
      </c>
      <c r="D366" s="13" t="str">
        <f>IFERROR(VLOOKUP(C366,ghg_sort!$A$86:$B$512,2,0),0)</f>
        <v>Transportation</v>
      </c>
      <c r="E366" t="s">
        <v>84</v>
      </c>
      <c r="F366" s="13">
        <f>IFERROR(VLOOKUP($E366,ghg_sort!$A$3:$B$21,2,0),0)</f>
        <v>25</v>
      </c>
      <c r="G366" s="13">
        <f t="shared" si="58"/>
        <v>8.7402000000000001E-3</v>
      </c>
      <c r="H366" s="13">
        <f t="shared" si="59"/>
        <v>2.4050393E-2</v>
      </c>
      <c r="I366" s="13">
        <f t="shared" si="60"/>
        <v>4.4712339749999996E-2</v>
      </c>
      <c r="J366" s="13">
        <f t="shared" si="61"/>
        <v>4.8090152999999997E-2</v>
      </c>
      <c r="K366" s="13">
        <f t="shared" si="62"/>
        <v>4.7620693749999998E-2</v>
      </c>
      <c r="L366" s="13">
        <f t="shared" si="63"/>
        <v>3.9776410249999755E-2</v>
      </c>
      <c r="M366" s="13">
        <f t="shared" si="64"/>
        <v>3.2074343999999998E-2</v>
      </c>
      <c r="N366" s="13">
        <f t="shared" si="65"/>
        <v>2.6273298249999997E-2</v>
      </c>
      <c r="O366" s="13">
        <f t="shared" si="66"/>
        <v>2.37157835E-2</v>
      </c>
      <c r="P366" s="13">
        <f t="shared" si="67"/>
        <v>2.1814138E-2</v>
      </c>
      <c r="Q366" s="13">
        <f t="shared" si="68"/>
        <v>2.0175033249999998E-2</v>
      </c>
      <c r="R366" s="13" t="s">
        <v>239</v>
      </c>
      <c r="T366" s="63">
        <v>3.49608E-4</v>
      </c>
      <c r="U366" s="63">
        <v>9.6201572000000003E-4</v>
      </c>
      <c r="V366" s="63">
        <v>1.78849359E-3</v>
      </c>
      <c r="W366" s="62">
        <v>1.92360612E-3</v>
      </c>
      <c r="X366" s="62">
        <v>1.90482775E-3</v>
      </c>
      <c r="Y366" s="63">
        <v>1.5910564099999901E-3</v>
      </c>
      <c r="Z366" s="63">
        <v>1.28297376E-3</v>
      </c>
      <c r="AA366" s="63">
        <v>1.0509319299999999E-3</v>
      </c>
      <c r="AB366" s="63">
        <v>9.4863133999999996E-4</v>
      </c>
      <c r="AC366" s="63">
        <v>8.7256552000000004E-4</v>
      </c>
      <c r="AD366" s="63">
        <v>8.0700132999999999E-4</v>
      </c>
      <c r="AE366" t="s">
        <v>93</v>
      </c>
    </row>
    <row r="367" spans="1:31">
      <c r="A367" t="s">
        <v>267</v>
      </c>
      <c r="B367" t="s">
        <v>1</v>
      </c>
      <c r="C367" t="s">
        <v>158</v>
      </c>
      <c r="D367" s="13" t="str">
        <f>IFERROR(VLOOKUP(C367,ghg_sort!$A$86:$B$512,2,0),0)</f>
        <v>Transportation</v>
      </c>
      <c r="E367" t="s">
        <v>85</v>
      </c>
      <c r="F367" s="13">
        <f>IFERROR(VLOOKUP($E367,ghg_sort!$A$3:$B$21,2,0),0)</f>
        <v>0</v>
      </c>
      <c r="G367" s="13">
        <f t="shared" si="58"/>
        <v>0</v>
      </c>
      <c r="H367" s="13">
        <f t="shared" si="59"/>
        <v>0</v>
      </c>
      <c r="I367" s="13">
        <f t="shared" si="60"/>
        <v>0</v>
      </c>
      <c r="J367" s="13">
        <f t="shared" si="61"/>
        <v>0</v>
      </c>
      <c r="K367" s="13">
        <f t="shared" si="62"/>
        <v>0</v>
      </c>
      <c r="L367" s="13">
        <f t="shared" si="63"/>
        <v>0</v>
      </c>
      <c r="M367" s="13">
        <f t="shared" si="64"/>
        <v>0</v>
      </c>
      <c r="N367" s="13">
        <f t="shared" si="65"/>
        <v>0</v>
      </c>
      <c r="O367" s="13">
        <f t="shared" si="66"/>
        <v>0</v>
      </c>
      <c r="P367" s="13">
        <f t="shared" si="67"/>
        <v>0</v>
      </c>
      <c r="Q367" s="13">
        <f t="shared" si="68"/>
        <v>0</v>
      </c>
      <c r="R367" s="13" t="s">
        <v>239</v>
      </c>
      <c r="T367" s="62">
        <v>1.2928200000000001E-2</v>
      </c>
      <c r="U367" s="62">
        <v>2.2478156020000001E-2</v>
      </c>
      <c r="V367" s="62">
        <v>3.446382119E-2</v>
      </c>
      <c r="W367" s="62">
        <v>2.9757809289999999E-2</v>
      </c>
      <c r="X367" s="62">
        <v>2.0267077709999901E-2</v>
      </c>
      <c r="Y367" s="62">
        <v>1.234307338E-2</v>
      </c>
      <c r="Z367" s="62">
        <v>9.9449791799999902E-3</v>
      </c>
      <c r="AA367" s="63">
        <v>8.1397339900000001E-3</v>
      </c>
      <c r="AB367" s="63">
        <v>7.3416500799999996E-3</v>
      </c>
      <c r="AC367" s="63">
        <v>6.7473642400000004E-3</v>
      </c>
      <c r="AD367" s="63">
        <v>6.2353833999999999E-3</v>
      </c>
      <c r="AE367" t="s">
        <v>93</v>
      </c>
    </row>
    <row r="368" spans="1:31">
      <c r="A368" t="s">
        <v>267</v>
      </c>
      <c r="B368" t="s">
        <v>1</v>
      </c>
      <c r="C368" t="s">
        <v>158</v>
      </c>
      <c r="D368" s="13" t="str">
        <f>IFERROR(VLOOKUP(C368,ghg_sort!$A$86:$B$512,2,0),0)</f>
        <v>Transportation</v>
      </c>
      <c r="E368" t="s">
        <v>86</v>
      </c>
      <c r="F368" s="13">
        <f>IFERROR(VLOOKUP($E368,ghg_sort!$A$3:$B$21,2,0),0)</f>
        <v>3.6666666666666701</v>
      </c>
      <c r="G368" s="13">
        <f t="shared" si="58"/>
        <v>6.1170266666666722</v>
      </c>
      <c r="H368" s="13">
        <f t="shared" si="59"/>
        <v>15.555030333333349</v>
      </c>
      <c r="I368" s="13">
        <f t="shared" si="60"/>
        <v>17.734607000000018</v>
      </c>
      <c r="J368" s="13">
        <f t="shared" si="61"/>
        <v>19.906241666666688</v>
      </c>
      <c r="K368" s="13">
        <f t="shared" si="62"/>
        <v>20.420260666666689</v>
      </c>
      <c r="L368" s="13">
        <f t="shared" si="63"/>
        <v>17.648282666666685</v>
      </c>
      <c r="M368" s="13">
        <f t="shared" si="64"/>
        <v>14.699553000000012</v>
      </c>
      <c r="N368" s="13">
        <f t="shared" si="65"/>
        <v>12.424327666666679</v>
      </c>
      <c r="O368" s="13">
        <f t="shared" si="66"/>
        <v>11.548067666666677</v>
      </c>
      <c r="P368" s="13">
        <f t="shared" si="67"/>
        <v>10.947779333333306</v>
      </c>
      <c r="Q368" s="13">
        <f t="shared" si="68"/>
        <v>10.415192333333344</v>
      </c>
      <c r="R368" s="13" t="s">
        <v>239</v>
      </c>
      <c r="T368" s="63">
        <v>1.66828</v>
      </c>
      <c r="U368" s="63">
        <v>4.2422810000000002</v>
      </c>
      <c r="V368" s="62">
        <v>4.8367110000000002</v>
      </c>
      <c r="W368" s="62">
        <v>5.4289750000000003</v>
      </c>
      <c r="X368" s="62">
        <v>5.5691620000000004</v>
      </c>
      <c r="Y368" s="62">
        <v>4.8131680000000001</v>
      </c>
      <c r="Z368" s="62">
        <v>4.0089689999999996</v>
      </c>
      <c r="AA368" s="62">
        <v>3.3884530000000002</v>
      </c>
      <c r="AB368" s="62">
        <v>3.149473</v>
      </c>
      <c r="AC368" s="62">
        <v>2.9857579999999899</v>
      </c>
      <c r="AD368" s="62">
        <v>2.8405070000000001</v>
      </c>
      <c r="AE368" t="s">
        <v>93</v>
      </c>
    </row>
    <row r="369" spans="1:31">
      <c r="A369" t="s">
        <v>267</v>
      </c>
      <c r="B369" t="s">
        <v>1</v>
      </c>
      <c r="C369" t="s">
        <v>158</v>
      </c>
      <c r="D369" s="13" t="str">
        <f>IFERROR(VLOOKUP(C369,ghg_sort!$A$86:$B$512,2,0),0)</f>
        <v>Transportation</v>
      </c>
      <c r="E369" t="s">
        <v>87</v>
      </c>
      <c r="F369" s="13">
        <f>IFERROR(VLOOKUP($E369,ghg_sort!$A$3:$B$21,2,0),0)</f>
        <v>298</v>
      </c>
      <c r="G369" s="13">
        <f t="shared" si="58"/>
        <v>2.23695488E-2</v>
      </c>
      <c r="H369" s="13">
        <f t="shared" si="59"/>
        <v>0.117911746</v>
      </c>
      <c r="I369" s="13">
        <f t="shared" si="60"/>
        <v>0.15359188199999999</v>
      </c>
      <c r="J369" s="13">
        <f t="shared" si="61"/>
        <v>0.172607858</v>
      </c>
      <c r="K369" s="13">
        <f t="shared" si="62"/>
        <v>0.17077247600000001</v>
      </c>
      <c r="L369" s="13">
        <f t="shared" si="63"/>
        <v>0.142515222</v>
      </c>
      <c r="M369" s="13">
        <f t="shared" si="64"/>
        <v>0.11481999600000001</v>
      </c>
      <c r="N369" s="13">
        <f t="shared" si="65"/>
        <v>9.3971618000000007E-2</v>
      </c>
      <c r="O369" s="13">
        <f t="shared" si="66"/>
        <v>8.4752988000000001E-2</v>
      </c>
      <c r="P369" s="13">
        <f t="shared" si="67"/>
        <v>7.7887663999999995E-2</v>
      </c>
      <c r="Q369" s="13">
        <f t="shared" si="68"/>
        <v>7.1973556000000008E-2</v>
      </c>
      <c r="R369" s="13" t="s">
        <v>239</v>
      </c>
      <c r="T369" s="63">
        <v>7.5065600000000002E-5</v>
      </c>
      <c r="U369" s="63">
        <v>3.9567699999999999E-4</v>
      </c>
      <c r="V369" s="63">
        <v>5.1540899999999998E-4</v>
      </c>
      <c r="W369" s="63">
        <v>5.7922099999999999E-4</v>
      </c>
      <c r="X369" s="63">
        <v>5.7306200000000005E-4</v>
      </c>
      <c r="Y369" s="63">
        <v>4.7823899999999999E-4</v>
      </c>
      <c r="Z369" s="63">
        <v>3.8530200000000002E-4</v>
      </c>
      <c r="AA369" s="63">
        <v>3.1534100000000002E-4</v>
      </c>
      <c r="AB369" s="63">
        <v>2.8440600000000001E-4</v>
      </c>
      <c r="AC369" s="63">
        <v>2.61368E-4</v>
      </c>
      <c r="AD369" s="63">
        <v>2.4152200000000001E-4</v>
      </c>
      <c r="AE369" t="s">
        <v>93</v>
      </c>
    </row>
    <row r="370" spans="1:31">
      <c r="A370" t="s">
        <v>267</v>
      </c>
      <c r="B370" t="s">
        <v>1</v>
      </c>
      <c r="C370" t="s">
        <v>158</v>
      </c>
      <c r="D370" s="13" t="str">
        <f>IFERROR(VLOOKUP(C370,ghg_sort!$A$86:$B$512,2,0),0)</f>
        <v>Transportation</v>
      </c>
      <c r="E370" s="12" t="s">
        <v>88</v>
      </c>
      <c r="F370" s="13">
        <f>IFERROR(VLOOKUP($E370,ghg_sort!$A$3:$B$21,2,0),0)</f>
        <v>0</v>
      </c>
      <c r="G370" s="13">
        <f t="shared" si="58"/>
        <v>0</v>
      </c>
      <c r="H370" s="13">
        <f t="shared" si="59"/>
        <v>0</v>
      </c>
      <c r="I370" s="13">
        <f t="shared" si="60"/>
        <v>0</v>
      </c>
      <c r="J370" s="13">
        <f t="shared" si="61"/>
        <v>0</v>
      </c>
      <c r="K370" s="13">
        <f t="shared" si="62"/>
        <v>0</v>
      </c>
      <c r="L370" s="13">
        <f t="shared" si="63"/>
        <v>0</v>
      </c>
      <c r="M370" s="13">
        <f t="shared" si="64"/>
        <v>0</v>
      </c>
      <c r="N370" s="13">
        <f t="shared" si="65"/>
        <v>0</v>
      </c>
      <c r="O370" s="13">
        <f t="shared" si="66"/>
        <v>0</v>
      </c>
      <c r="P370" s="13">
        <f t="shared" si="67"/>
        <v>0</v>
      </c>
      <c r="Q370" s="13">
        <f t="shared" si="68"/>
        <v>0</v>
      </c>
      <c r="R370" s="13" t="s">
        <v>239</v>
      </c>
      <c r="T370" s="63">
        <v>1.26878E-4</v>
      </c>
      <c r="U370" s="63">
        <v>6.5081375399999995E-5</v>
      </c>
      <c r="V370" s="63">
        <v>1.19339090999999E-4</v>
      </c>
      <c r="W370" s="63">
        <v>1.5566700100000001E-4</v>
      </c>
      <c r="X370" s="63">
        <v>1.54055617E-4</v>
      </c>
      <c r="Y370" s="63">
        <v>1.2860020199999999E-4</v>
      </c>
      <c r="Z370" s="63">
        <v>1.03637895E-4</v>
      </c>
      <c r="AA370" s="63">
        <v>8.4843383000000002E-5</v>
      </c>
      <c r="AB370" s="63">
        <v>7.654065E-5</v>
      </c>
      <c r="AC370" s="63">
        <v>7.0360420999999995E-5</v>
      </c>
      <c r="AD370" s="63">
        <v>6.5035513999999996E-5</v>
      </c>
      <c r="AE370" t="s">
        <v>94</v>
      </c>
    </row>
    <row r="371" spans="1:31">
      <c r="A371" t="s">
        <v>267</v>
      </c>
      <c r="B371" t="s">
        <v>1</v>
      </c>
      <c r="C371" t="s">
        <v>158</v>
      </c>
      <c r="D371" s="13" t="str">
        <f>IFERROR(VLOOKUP(C371,ghg_sort!$A$86:$B$512,2,0),0)</f>
        <v>Transportation</v>
      </c>
      <c r="E371" t="s">
        <v>89</v>
      </c>
      <c r="F371" s="13">
        <f>IFERROR(VLOOKUP($E371,ghg_sort!$A$3:$B$21,2,0),0)</f>
        <v>0</v>
      </c>
      <c r="G371" s="13">
        <f t="shared" si="58"/>
        <v>0</v>
      </c>
      <c r="H371" s="13">
        <f t="shared" si="59"/>
        <v>0</v>
      </c>
      <c r="I371" s="13">
        <f t="shared" si="60"/>
        <v>0</v>
      </c>
      <c r="J371" s="13">
        <f t="shared" si="61"/>
        <v>0</v>
      </c>
      <c r="K371" s="13">
        <f t="shared" si="62"/>
        <v>0</v>
      </c>
      <c r="L371" s="13">
        <f t="shared" si="63"/>
        <v>0</v>
      </c>
      <c r="M371" s="13">
        <f t="shared" si="64"/>
        <v>0</v>
      </c>
      <c r="N371" s="13">
        <f t="shared" si="65"/>
        <v>0</v>
      </c>
      <c r="O371" s="13">
        <f t="shared" si="66"/>
        <v>0</v>
      </c>
      <c r="P371" s="13">
        <f t="shared" si="67"/>
        <v>0</v>
      </c>
      <c r="Q371" s="13">
        <f t="shared" si="68"/>
        <v>0</v>
      </c>
      <c r="R371" s="13" t="s">
        <v>239</v>
      </c>
      <c r="T371" s="63">
        <v>1.7490100000000001E-3</v>
      </c>
      <c r="U371" s="63">
        <v>3.4698759799999999E-3</v>
      </c>
      <c r="V371" s="63">
        <v>3.56922199E-3</v>
      </c>
      <c r="W371" s="63">
        <v>3.39847146E-3</v>
      </c>
      <c r="X371" s="63">
        <v>2.3152991899999999E-3</v>
      </c>
      <c r="Y371" s="63">
        <v>1.17770631E-3</v>
      </c>
      <c r="Z371" s="63">
        <v>8.7729566000000001E-4</v>
      </c>
      <c r="AA371" s="63">
        <v>7.1824466999999997E-4</v>
      </c>
      <c r="AB371" s="63">
        <v>6.4799421999999895E-4</v>
      </c>
      <c r="AC371" s="63">
        <v>5.9570844999999996E-4</v>
      </c>
      <c r="AD371" s="63">
        <v>5.5065743999999995E-4</v>
      </c>
      <c r="AE371" t="s">
        <v>93</v>
      </c>
    </row>
    <row r="372" spans="1:31">
      <c r="A372" t="s">
        <v>267</v>
      </c>
      <c r="B372" t="s">
        <v>1</v>
      </c>
      <c r="C372" t="s">
        <v>158</v>
      </c>
      <c r="D372" s="13" t="str">
        <f>IFERROR(VLOOKUP(C372,ghg_sort!$A$86:$B$512,2,0),0)</f>
        <v>Transportation</v>
      </c>
      <c r="E372" t="s">
        <v>90</v>
      </c>
      <c r="F372" s="13">
        <f>IFERROR(VLOOKUP($E372,ghg_sort!$A$3:$B$21,2,0),0)</f>
        <v>0</v>
      </c>
      <c r="G372" s="13">
        <f t="shared" si="58"/>
        <v>0</v>
      </c>
      <c r="H372" s="13">
        <f t="shared" si="59"/>
        <v>0</v>
      </c>
      <c r="I372" s="13">
        <f t="shared" si="60"/>
        <v>0</v>
      </c>
      <c r="J372" s="13">
        <f t="shared" si="61"/>
        <v>0</v>
      </c>
      <c r="K372" s="13">
        <f t="shared" si="62"/>
        <v>0</v>
      </c>
      <c r="L372" s="13">
        <f t="shared" si="63"/>
        <v>0</v>
      </c>
      <c r="M372" s="13">
        <f t="shared" si="64"/>
        <v>0</v>
      </c>
      <c r="N372" s="13">
        <f t="shared" si="65"/>
        <v>0</v>
      </c>
      <c r="O372" s="13">
        <f t="shared" si="66"/>
        <v>0</v>
      </c>
      <c r="P372" s="13">
        <f t="shared" si="67"/>
        <v>0</v>
      </c>
      <c r="Q372" s="13">
        <f t="shared" si="68"/>
        <v>0</v>
      </c>
      <c r="R372" s="13" t="s">
        <v>239</v>
      </c>
      <c r="T372" s="63">
        <v>3.53254E-2</v>
      </c>
      <c r="U372" s="63">
        <v>7.5293695980000006E-2</v>
      </c>
      <c r="V372" s="63">
        <v>6.4922787639999993E-2</v>
      </c>
      <c r="W372" s="63">
        <v>7.5823528809999999E-2</v>
      </c>
      <c r="X372" s="63">
        <v>5.1637311659999997E-2</v>
      </c>
      <c r="Y372" s="63">
        <v>2.624446486E-2</v>
      </c>
      <c r="Z372" s="63">
        <v>1.703795688E-2</v>
      </c>
      <c r="AA372" s="63">
        <v>1.1814637229999999E-2</v>
      </c>
      <c r="AB372" s="63">
        <v>9.2718739700000004E-3</v>
      </c>
      <c r="AC372" s="63">
        <v>7.9555574499999993E-3</v>
      </c>
      <c r="AD372" s="63">
        <v>6.7364014600000003E-3</v>
      </c>
      <c r="AE372" t="s">
        <v>93</v>
      </c>
    </row>
    <row r="373" spans="1:31">
      <c r="A373" t="s">
        <v>267</v>
      </c>
      <c r="B373" t="s">
        <v>1</v>
      </c>
      <c r="C373" t="s">
        <v>158</v>
      </c>
      <c r="D373" s="13" t="str">
        <f>IFERROR(VLOOKUP(C373,ghg_sort!$A$86:$B$512,2,0),0)</f>
        <v>Transportation</v>
      </c>
      <c r="E373" t="s">
        <v>91</v>
      </c>
      <c r="F373" s="13">
        <f>IFERROR(VLOOKUP($E373,ghg_sort!$A$3:$B$21,2,0),0)</f>
        <v>0</v>
      </c>
      <c r="G373" s="13">
        <f t="shared" si="58"/>
        <v>0</v>
      </c>
      <c r="H373" s="13">
        <f t="shared" si="59"/>
        <v>0</v>
      </c>
      <c r="I373" s="13">
        <f t="shared" si="60"/>
        <v>0</v>
      </c>
      <c r="J373" s="13">
        <f t="shared" si="61"/>
        <v>0</v>
      </c>
      <c r="K373" s="13">
        <f t="shared" si="62"/>
        <v>0</v>
      </c>
      <c r="L373" s="13">
        <f t="shared" si="63"/>
        <v>0</v>
      </c>
      <c r="M373" s="13">
        <f t="shared" si="64"/>
        <v>0</v>
      </c>
      <c r="N373" s="13">
        <f t="shared" si="65"/>
        <v>0</v>
      </c>
      <c r="O373" s="13">
        <f t="shared" si="66"/>
        <v>0</v>
      </c>
      <c r="P373" s="13">
        <f t="shared" si="67"/>
        <v>0</v>
      </c>
      <c r="Q373" s="13">
        <f t="shared" si="68"/>
        <v>0</v>
      </c>
      <c r="R373" s="13" t="s">
        <v>239</v>
      </c>
      <c r="T373" s="62">
        <v>3.1101100000000001E-3</v>
      </c>
      <c r="U373" s="62">
        <v>2.2842600000000002E-3</v>
      </c>
      <c r="V373" s="63">
        <v>7.0732300000000004E-4</v>
      </c>
      <c r="W373" s="63">
        <v>7.76186E-4</v>
      </c>
      <c r="X373" s="63">
        <v>5.2858799999999997E-4</v>
      </c>
      <c r="Y373" s="63">
        <v>2.6864100000000002E-4</v>
      </c>
      <c r="Z373" s="63">
        <v>1.74396E-4</v>
      </c>
      <c r="AA373" s="63">
        <v>1.4152300000000001E-4</v>
      </c>
      <c r="AB373" s="63">
        <v>1.2763999999999999E-4</v>
      </c>
      <c r="AC373" s="63">
        <v>1.1730000000000001E-4</v>
      </c>
      <c r="AD373" s="63">
        <v>1.08393E-4</v>
      </c>
      <c r="AE373" t="s">
        <v>93</v>
      </c>
    </row>
    <row r="374" spans="1:31">
      <c r="A374" t="s">
        <v>267</v>
      </c>
      <c r="B374" t="s">
        <v>1</v>
      </c>
      <c r="C374" t="s">
        <v>158</v>
      </c>
      <c r="D374" s="13" t="str">
        <f>IFERROR(VLOOKUP(C374,ghg_sort!$A$86:$B$512,2,0),0)</f>
        <v>Transportation</v>
      </c>
      <c r="E374" t="s">
        <v>92</v>
      </c>
      <c r="F374" s="13">
        <f>IFERROR(VLOOKUP($E374,ghg_sort!$A$3:$B$21,2,0),0)</f>
        <v>0</v>
      </c>
      <c r="G374" s="13">
        <f t="shared" si="58"/>
        <v>0</v>
      </c>
      <c r="H374" s="13">
        <f t="shared" si="59"/>
        <v>0</v>
      </c>
      <c r="I374" s="13">
        <f t="shared" si="60"/>
        <v>0</v>
      </c>
      <c r="J374" s="13">
        <f t="shared" si="61"/>
        <v>0</v>
      </c>
      <c r="K374" s="13">
        <f t="shared" si="62"/>
        <v>0</v>
      </c>
      <c r="L374" s="13">
        <f t="shared" si="63"/>
        <v>0</v>
      </c>
      <c r="M374" s="13">
        <f t="shared" si="64"/>
        <v>0</v>
      </c>
      <c r="N374" s="13">
        <f t="shared" si="65"/>
        <v>0</v>
      </c>
      <c r="O374" s="13">
        <f t="shared" si="66"/>
        <v>0</v>
      </c>
      <c r="P374" s="13">
        <f t="shared" si="67"/>
        <v>0</v>
      </c>
      <c r="Q374" s="13">
        <f t="shared" si="68"/>
        <v>0</v>
      </c>
      <c r="R374" s="13" t="s">
        <v>239</v>
      </c>
      <c r="T374" s="62">
        <v>5.6112899999999997E-3</v>
      </c>
      <c r="U374" s="62">
        <v>1.6175572578999999E-3</v>
      </c>
      <c r="V374" s="63">
        <v>2.3538852599999999E-4</v>
      </c>
      <c r="W374" s="63">
        <v>4.10469339999999E-5</v>
      </c>
      <c r="X374" s="63">
        <v>2.80766339999999E-5</v>
      </c>
      <c r="Y374" s="63">
        <v>1.4405279999999999E-5</v>
      </c>
      <c r="Z374" s="63">
        <v>9.4334890000000003E-6</v>
      </c>
      <c r="AA374" s="63">
        <v>6.6057460000000001E-6</v>
      </c>
      <c r="AB374" s="63">
        <v>5.2404989999999998E-6</v>
      </c>
      <c r="AC374" s="63">
        <v>4.539021E-6</v>
      </c>
      <c r="AD374" s="63">
        <v>3.8875520000000002E-6</v>
      </c>
      <c r="AE374" t="s">
        <v>93</v>
      </c>
    </row>
    <row r="375" spans="1:31">
      <c r="A375" t="s">
        <v>267</v>
      </c>
      <c r="B375" t="s">
        <v>1</v>
      </c>
      <c r="C375" t="s">
        <v>159</v>
      </c>
      <c r="D375" s="13" t="str">
        <f>IFERROR(VLOOKUP(C375,ghg_sort!$A$86:$B$512,2,0),0)</f>
        <v>Transportation</v>
      </c>
      <c r="E375" t="s">
        <v>83</v>
      </c>
      <c r="F375" s="13">
        <f>IFERROR(VLOOKUP($E375,ghg_sort!$A$3:$B$21,2,0),0)</f>
        <v>0</v>
      </c>
      <c r="G375" s="13">
        <f t="shared" si="58"/>
        <v>0</v>
      </c>
      <c r="H375" s="13">
        <f t="shared" si="59"/>
        <v>0</v>
      </c>
      <c r="I375" s="13">
        <f t="shared" si="60"/>
        <v>0</v>
      </c>
      <c r="J375" s="13">
        <f t="shared" si="61"/>
        <v>0</v>
      </c>
      <c r="K375" s="13">
        <f t="shared" si="62"/>
        <v>0</v>
      </c>
      <c r="L375" s="13">
        <f t="shared" si="63"/>
        <v>0</v>
      </c>
      <c r="M375" s="13">
        <f t="shared" si="64"/>
        <v>0</v>
      </c>
      <c r="N375" s="13">
        <f t="shared" si="65"/>
        <v>0</v>
      </c>
      <c r="O375" s="13">
        <f t="shared" si="66"/>
        <v>0</v>
      </c>
      <c r="P375" s="13">
        <f t="shared" si="67"/>
        <v>0</v>
      </c>
      <c r="Q375" s="13">
        <f t="shared" si="68"/>
        <v>0</v>
      </c>
      <c r="R375" s="13" t="s">
        <v>239</v>
      </c>
      <c r="T375" s="63">
        <v>5.64699E-4</v>
      </c>
      <c r="U375" s="63">
        <v>2.7579500000000001E-4</v>
      </c>
      <c r="V375" s="63">
        <v>1.2041599999999999E-4</v>
      </c>
      <c r="W375" s="63">
        <v>1.47651E-4</v>
      </c>
      <c r="X375" s="63">
        <v>1.5234499999999999E-4</v>
      </c>
      <c r="Y375" s="63">
        <v>1.0978E-4</v>
      </c>
      <c r="Z375" s="63">
        <v>8.1980399999999999E-5</v>
      </c>
      <c r="AA375" s="63">
        <v>6.4880499999999997E-5</v>
      </c>
      <c r="AB375" s="63">
        <v>6.4407199999999996E-5</v>
      </c>
      <c r="AC375" s="63">
        <v>6.2044200000000005E-5</v>
      </c>
      <c r="AD375" s="63">
        <v>6.0097399999999998E-5</v>
      </c>
      <c r="AE375" t="s">
        <v>93</v>
      </c>
    </row>
    <row r="376" spans="1:31">
      <c r="A376" t="s">
        <v>267</v>
      </c>
      <c r="B376" t="s">
        <v>1</v>
      </c>
      <c r="C376" t="s">
        <v>159</v>
      </c>
      <c r="D376" s="13" t="str">
        <f>IFERROR(VLOOKUP(C376,ghg_sort!$A$86:$B$512,2,0),0)</f>
        <v>Transportation</v>
      </c>
      <c r="E376" t="s">
        <v>84</v>
      </c>
      <c r="F376" s="13">
        <f>IFERROR(VLOOKUP($E376,ghg_sort!$A$3:$B$21,2,0),0)</f>
        <v>25</v>
      </c>
      <c r="G376" s="13">
        <f t="shared" si="58"/>
        <v>2.4597899999999999E-3</v>
      </c>
      <c r="H376" s="13">
        <f t="shared" si="59"/>
        <v>5.8006500000000001E-3</v>
      </c>
      <c r="I376" s="13">
        <f t="shared" si="60"/>
        <v>6.7903750000000004E-3</v>
      </c>
      <c r="J376" s="13">
        <f t="shared" si="61"/>
        <v>6.3303750000000001E-3</v>
      </c>
      <c r="K376" s="13">
        <f t="shared" si="62"/>
        <v>6.5315999999999994E-3</v>
      </c>
      <c r="L376" s="13">
        <f t="shared" si="63"/>
        <v>4.7067000000000003E-3</v>
      </c>
      <c r="M376" s="13">
        <f t="shared" si="64"/>
        <v>3.5148250000000001E-3</v>
      </c>
      <c r="N376" s="13">
        <f t="shared" si="65"/>
        <v>2.7816749999999999E-3</v>
      </c>
      <c r="O376" s="13">
        <f t="shared" si="66"/>
        <v>2.7613749999999999E-3</v>
      </c>
      <c r="P376" s="13">
        <f t="shared" si="67"/>
        <v>2.660075E-3</v>
      </c>
      <c r="Q376" s="13">
        <f t="shared" si="68"/>
        <v>2.5766000000000001E-3</v>
      </c>
      <c r="R376" s="13" t="s">
        <v>239</v>
      </c>
      <c r="T376" s="63">
        <v>9.8391600000000002E-5</v>
      </c>
      <c r="U376" s="63">
        <v>2.32026E-4</v>
      </c>
      <c r="V376" s="63">
        <v>2.7161500000000001E-4</v>
      </c>
      <c r="W376" s="63">
        <v>2.5321499999999999E-4</v>
      </c>
      <c r="X376" s="63">
        <v>2.6126399999999998E-4</v>
      </c>
      <c r="Y376" s="63">
        <v>1.8826800000000001E-4</v>
      </c>
      <c r="Z376" s="63">
        <v>1.40593E-4</v>
      </c>
      <c r="AA376" s="63">
        <v>1.11267E-4</v>
      </c>
      <c r="AB376" s="63">
        <v>1.10455E-4</v>
      </c>
      <c r="AC376" s="63">
        <v>1.06403E-4</v>
      </c>
      <c r="AD376" s="63">
        <v>1.03064E-4</v>
      </c>
      <c r="AE376" t="s">
        <v>93</v>
      </c>
    </row>
    <row r="377" spans="1:31">
      <c r="A377" t="s">
        <v>267</v>
      </c>
      <c r="B377" t="s">
        <v>1</v>
      </c>
      <c r="C377" t="s">
        <v>159</v>
      </c>
      <c r="D377" s="13" t="str">
        <f>IFERROR(VLOOKUP(C377,ghg_sort!$A$86:$B$512,2,0),0)</f>
        <v>Transportation</v>
      </c>
      <c r="E377" t="s">
        <v>85</v>
      </c>
      <c r="F377" s="13">
        <f>IFERROR(VLOOKUP($E377,ghg_sort!$A$3:$B$21,2,0),0)</f>
        <v>0</v>
      </c>
      <c r="G377" s="13">
        <f t="shared" si="58"/>
        <v>0</v>
      </c>
      <c r="H377" s="13">
        <f t="shared" si="59"/>
        <v>0</v>
      </c>
      <c r="I377" s="13">
        <f t="shared" si="60"/>
        <v>0</v>
      </c>
      <c r="J377" s="13">
        <f t="shared" si="61"/>
        <v>0</v>
      </c>
      <c r="K377" s="13">
        <f t="shared" si="62"/>
        <v>0</v>
      </c>
      <c r="L377" s="13">
        <f t="shared" si="63"/>
        <v>0</v>
      </c>
      <c r="M377" s="13">
        <f t="shared" si="64"/>
        <v>0</v>
      </c>
      <c r="N377" s="13">
        <f t="shared" si="65"/>
        <v>0</v>
      </c>
      <c r="O377" s="13">
        <f t="shared" si="66"/>
        <v>0</v>
      </c>
      <c r="P377" s="13">
        <f t="shared" si="67"/>
        <v>0</v>
      </c>
      <c r="Q377" s="13">
        <f t="shared" si="68"/>
        <v>0</v>
      </c>
      <c r="R377" s="13" t="s">
        <v>239</v>
      </c>
      <c r="T377" s="63">
        <v>6.4334500000000003E-3</v>
      </c>
      <c r="U377" s="63">
        <v>6.3982199999999996E-3</v>
      </c>
      <c r="V377" s="63">
        <v>6.0953500000000002E-3</v>
      </c>
      <c r="W377" s="63">
        <v>4.9874100000000003E-3</v>
      </c>
      <c r="X377" s="63">
        <v>5.1459599999999998E-3</v>
      </c>
      <c r="Y377" s="63">
        <v>3.7082E-3</v>
      </c>
      <c r="Z377" s="63">
        <v>2.7691700000000001E-3</v>
      </c>
      <c r="AA377" s="63">
        <v>2.1915599999999999E-3</v>
      </c>
      <c r="AB377" s="63">
        <v>2.1755699999999999E-3</v>
      </c>
      <c r="AC377" s="63">
        <v>2.09575E-3</v>
      </c>
      <c r="AD377" s="63">
        <v>2.0300000000000001E-3</v>
      </c>
      <c r="AE377" t="s">
        <v>93</v>
      </c>
    </row>
    <row r="378" spans="1:31">
      <c r="A378" t="s">
        <v>267</v>
      </c>
      <c r="B378" t="s">
        <v>1</v>
      </c>
      <c r="C378" t="s">
        <v>159</v>
      </c>
      <c r="D378" s="13" t="str">
        <f>IFERROR(VLOOKUP(C378,ghg_sort!$A$86:$B$512,2,0),0)</f>
        <v>Transportation</v>
      </c>
      <c r="E378" t="s">
        <v>86</v>
      </c>
      <c r="F378" s="13">
        <f>IFERROR(VLOOKUP($E378,ghg_sort!$A$3:$B$21,2,0),0)</f>
        <v>3.6666666666666701</v>
      </c>
      <c r="G378" s="13">
        <f t="shared" si="58"/>
        <v>0.48860166666666716</v>
      </c>
      <c r="H378" s="13">
        <f t="shared" si="59"/>
        <v>1.1868266666666678</v>
      </c>
      <c r="I378" s="13">
        <f t="shared" si="60"/>
        <v>1.2408513333333344</v>
      </c>
      <c r="J378" s="13">
        <f t="shared" si="61"/>
        <v>1.3900920000000012</v>
      </c>
      <c r="K378" s="13">
        <f t="shared" si="62"/>
        <v>1.4342826666666681</v>
      </c>
      <c r="L378" s="13">
        <f t="shared" si="63"/>
        <v>1.0335526666666677</v>
      </c>
      <c r="M378" s="13">
        <f t="shared" si="64"/>
        <v>0.77182233333333405</v>
      </c>
      <c r="N378" s="13">
        <f t="shared" si="65"/>
        <v>0.61083366666666716</v>
      </c>
      <c r="O378" s="13">
        <f t="shared" si="66"/>
        <v>0.60637500000000055</v>
      </c>
      <c r="P378" s="13">
        <f t="shared" si="67"/>
        <v>0.58412933333333394</v>
      </c>
      <c r="Q378" s="13">
        <f t="shared" si="68"/>
        <v>0.56579966666666714</v>
      </c>
      <c r="R378" s="13" t="s">
        <v>239</v>
      </c>
      <c r="T378" s="63">
        <v>0.13325500000000001</v>
      </c>
      <c r="U378" s="63">
        <v>0.32368000000000002</v>
      </c>
      <c r="V378" s="63">
        <v>0.33841399999999999</v>
      </c>
      <c r="W378" s="63">
        <v>0.37911600000000001</v>
      </c>
      <c r="X378" s="63">
        <v>0.39116800000000002</v>
      </c>
      <c r="Y378" s="63">
        <v>0.28187800000000002</v>
      </c>
      <c r="Z378" s="63">
        <v>0.21049699999999999</v>
      </c>
      <c r="AA378" s="63">
        <v>0.16659099999999999</v>
      </c>
      <c r="AB378" s="63">
        <v>0.16537499999999999</v>
      </c>
      <c r="AC378" s="63">
        <v>0.15930800000000001</v>
      </c>
      <c r="AD378" s="63">
        <v>0.154309</v>
      </c>
      <c r="AE378" t="s">
        <v>93</v>
      </c>
    </row>
    <row r="379" spans="1:31">
      <c r="A379" t="s">
        <v>267</v>
      </c>
      <c r="B379" t="s">
        <v>1</v>
      </c>
      <c r="C379" t="s">
        <v>159</v>
      </c>
      <c r="D379" s="13" t="str">
        <f>IFERROR(VLOOKUP(C379,ghg_sort!$A$86:$B$512,2,0),0)</f>
        <v>Transportation</v>
      </c>
      <c r="E379" t="s">
        <v>87</v>
      </c>
      <c r="F379" s="13">
        <f>IFERROR(VLOOKUP($E379,ghg_sort!$A$3:$B$21,2,0),0)</f>
        <v>298</v>
      </c>
      <c r="G379" s="13">
        <f t="shared" si="58"/>
        <v>1.9076618999999998E-3</v>
      </c>
      <c r="H379" s="13">
        <f t="shared" si="59"/>
        <v>6.7630206E-3</v>
      </c>
      <c r="I379" s="13">
        <f t="shared" si="60"/>
        <v>7.3956150000000003E-3</v>
      </c>
      <c r="J379" s="13">
        <f t="shared" si="61"/>
        <v>8.4140002000000005E-3</v>
      </c>
      <c r="K379" s="13">
        <f t="shared" si="62"/>
        <v>8.6814849999999992E-3</v>
      </c>
      <c r="L379" s="13">
        <f t="shared" si="63"/>
        <v>6.2559140000000004E-3</v>
      </c>
      <c r="M379" s="13">
        <f t="shared" si="64"/>
        <v>4.6717161999999994E-3</v>
      </c>
      <c r="N379" s="13">
        <f t="shared" si="65"/>
        <v>3.6972562E-3</v>
      </c>
      <c r="O379" s="13">
        <f t="shared" si="66"/>
        <v>3.6702872E-3</v>
      </c>
      <c r="P379" s="13">
        <f t="shared" si="67"/>
        <v>3.5356507999999998E-3</v>
      </c>
      <c r="Q379" s="13">
        <f t="shared" si="68"/>
        <v>3.4247053999999998E-3</v>
      </c>
      <c r="R379" s="13" t="s">
        <v>239</v>
      </c>
      <c r="T379" s="63">
        <v>6.4015499999999997E-6</v>
      </c>
      <c r="U379" s="63">
        <v>2.2694700000000001E-5</v>
      </c>
      <c r="V379" s="63">
        <v>2.4817500000000001E-5</v>
      </c>
      <c r="W379" s="63">
        <v>2.82349E-5</v>
      </c>
      <c r="X379" s="63">
        <v>2.9132499999999999E-5</v>
      </c>
      <c r="Y379" s="63">
        <v>2.0993E-5</v>
      </c>
      <c r="Z379" s="63">
        <v>1.5676899999999999E-5</v>
      </c>
      <c r="AA379" s="63">
        <v>1.24069E-5</v>
      </c>
      <c r="AB379" s="63">
        <v>1.23164E-5</v>
      </c>
      <c r="AC379" s="63">
        <v>1.18646E-5</v>
      </c>
      <c r="AD379" s="63">
        <v>1.14923E-5</v>
      </c>
      <c r="AE379" t="s">
        <v>93</v>
      </c>
    </row>
    <row r="380" spans="1:31">
      <c r="A380" t="s">
        <v>267</v>
      </c>
      <c r="B380" t="s">
        <v>1</v>
      </c>
      <c r="C380" t="s">
        <v>159</v>
      </c>
      <c r="D380" s="13" t="str">
        <f>IFERROR(VLOOKUP(C380,ghg_sort!$A$86:$B$512,2,0),0)</f>
        <v>Transportation</v>
      </c>
      <c r="E380" s="12" t="s">
        <v>88</v>
      </c>
      <c r="F380" s="13">
        <f>IFERROR(VLOOKUP($E380,ghg_sort!$A$3:$B$21,2,0),0)</f>
        <v>0</v>
      </c>
      <c r="G380" s="13">
        <f t="shared" si="58"/>
        <v>0</v>
      </c>
      <c r="H380" s="13">
        <f t="shared" si="59"/>
        <v>0</v>
      </c>
      <c r="I380" s="13">
        <f t="shared" si="60"/>
        <v>0</v>
      </c>
      <c r="J380" s="13">
        <f t="shared" si="61"/>
        <v>0</v>
      </c>
      <c r="K380" s="13">
        <f t="shared" si="62"/>
        <v>0</v>
      </c>
      <c r="L380" s="13">
        <f t="shared" si="63"/>
        <v>0</v>
      </c>
      <c r="M380" s="13">
        <f t="shared" si="64"/>
        <v>0</v>
      </c>
      <c r="N380" s="13">
        <f t="shared" si="65"/>
        <v>0</v>
      </c>
      <c r="O380" s="13">
        <f t="shared" si="66"/>
        <v>0</v>
      </c>
      <c r="P380" s="13">
        <f t="shared" si="67"/>
        <v>0</v>
      </c>
      <c r="Q380" s="13">
        <f t="shared" si="68"/>
        <v>0</v>
      </c>
      <c r="R380" s="13" t="s">
        <v>239</v>
      </c>
      <c r="T380" s="63">
        <v>1.3857E-5</v>
      </c>
      <c r="U380" s="63">
        <v>8.3866800000000001E-5</v>
      </c>
      <c r="V380" s="63">
        <v>9.2505500000000004E-5</v>
      </c>
      <c r="W380" s="63">
        <v>9.1538800000000005E-5</v>
      </c>
      <c r="X380" s="63">
        <v>9.4448800000000003E-5</v>
      </c>
      <c r="Y380" s="63">
        <v>6.8060199999999996E-5</v>
      </c>
      <c r="Z380" s="63">
        <v>5.0825200000000003E-5</v>
      </c>
      <c r="AA380" s="63">
        <v>4.0223799999999999E-5</v>
      </c>
      <c r="AB380" s="63">
        <v>3.99304E-5</v>
      </c>
      <c r="AC380" s="63">
        <v>3.8465399999999999E-5</v>
      </c>
      <c r="AD380" s="63">
        <v>3.7258500000000002E-5</v>
      </c>
      <c r="AE380" t="s">
        <v>94</v>
      </c>
    </row>
    <row r="381" spans="1:31">
      <c r="A381" t="s">
        <v>267</v>
      </c>
      <c r="B381" t="s">
        <v>1</v>
      </c>
      <c r="C381" t="s">
        <v>159</v>
      </c>
      <c r="D381" s="13" t="str">
        <f>IFERROR(VLOOKUP(C381,ghg_sort!$A$86:$B$512,2,0),0)</f>
        <v>Transportation</v>
      </c>
      <c r="E381" t="s">
        <v>89</v>
      </c>
      <c r="F381" s="13">
        <f>IFERROR(VLOOKUP($E381,ghg_sort!$A$3:$B$21,2,0),0)</f>
        <v>0</v>
      </c>
      <c r="G381" s="13">
        <f t="shared" si="58"/>
        <v>0</v>
      </c>
      <c r="H381" s="13">
        <f t="shared" si="59"/>
        <v>0</v>
      </c>
      <c r="I381" s="13">
        <f t="shared" si="60"/>
        <v>0</v>
      </c>
      <c r="J381" s="13">
        <f t="shared" si="61"/>
        <v>0</v>
      </c>
      <c r="K381" s="13">
        <f t="shared" si="62"/>
        <v>0</v>
      </c>
      <c r="L381" s="13">
        <f t="shared" si="63"/>
        <v>0</v>
      </c>
      <c r="M381" s="13">
        <f t="shared" si="64"/>
        <v>0</v>
      </c>
      <c r="N381" s="13">
        <f t="shared" si="65"/>
        <v>0</v>
      </c>
      <c r="O381" s="13">
        <f t="shared" si="66"/>
        <v>0</v>
      </c>
      <c r="P381" s="13">
        <f t="shared" si="67"/>
        <v>0</v>
      </c>
      <c r="Q381" s="13">
        <f t="shared" si="68"/>
        <v>0</v>
      </c>
      <c r="R381" s="13" t="s">
        <v>239</v>
      </c>
      <c r="T381" s="63">
        <v>1.1725500000000001E-3</v>
      </c>
      <c r="U381" s="63">
        <v>1.16171E-3</v>
      </c>
      <c r="V381" s="63">
        <v>6.8313399999999995E-4</v>
      </c>
      <c r="W381" s="63">
        <v>6.0138800000000001E-4</v>
      </c>
      <c r="X381" s="63">
        <v>6.2050600000000005E-4</v>
      </c>
      <c r="Y381" s="63">
        <v>4.4713899999999999E-4</v>
      </c>
      <c r="Z381" s="63">
        <v>3.3390900000000002E-4</v>
      </c>
      <c r="AA381" s="63">
        <v>2.6426100000000001E-4</v>
      </c>
      <c r="AB381" s="63">
        <v>2.6233300000000001E-4</v>
      </c>
      <c r="AC381" s="63">
        <v>2.52709E-4</v>
      </c>
      <c r="AD381" s="63">
        <v>2.4477899999999998E-4</v>
      </c>
      <c r="AE381" t="s">
        <v>93</v>
      </c>
    </row>
    <row r="382" spans="1:31">
      <c r="A382" t="s">
        <v>267</v>
      </c>
      <c r="B382" t="s">
        <v>1</v>
      </c>
      <c r="C382" t="s">
        <v>159</v>
      </c>
      <c r="D382" s="13" t="str">
        <f>IFERROR(VLOOKUP(C382,ghg_sort!$A$86:$B$512,2,0),0)</f>
        <v>Transportation</v>
      </c>
      <c r="E382" t="s">
        <v>90</v>
      </c>
      <c r="F382" s="13">
        <f>IFERROR(VLOOKUP($E382,ghg_sort!$A$3:$B$21,2,0),0)</f>
        <v>0</v>
      </c>
      <c r="G382" s="13">
        <f t="shared" si="58"/>
        <v>0</v>
      </c>
      <c r="H382" s="13">
        <f t="shared" si="59"/>
        <v>0</v>
      </c>
      <c r="I382" s="13">
        <f t="shared" si="60"/>
        <v>0</v>
      </c>
      <c r="J382" s="13">
        <f t="shared" si="61"/>
        <v>0</v>
      </c>
      <c r="K382" s="13">
        <f t="shared" si="62"/>
        <v>0</v>
      </c>
      <c r="L382" s="13">
        <f t="shared" si="63"/>
        <v>0</v>
      </c>
      <c r="M382" s="13">
        <f t="shared" si="64"/>
        <v>0</v>
      </c>
      <c r="N382" s="13">
        <f t="shared" si="65"/>
        <v>0</v>
      </c>
      <c r="O382" s="13">
        <f t="shared" si="66"/>
        <v>0</v>
      </c>
      <c r="P382" s="13">
        <f t="shared" si="67"/>
        <v>0</v>
      </c>
      <c r="Q382" s="13">
        <f t="shared" si="68"/>
        <v>0</v>
      </c>
      <c r="R382" s="13" t="s">
        <v>239</v>
      </c>
      <c r="T382" s="63">
        <v>3.0125299999999998E-3</v>
      </c>
      <c r="U382" s="63">
        <v>4.31855E-3</v>
      </c>
      <c r="V382" s="63">
        <v>3.1260099999999998E-3</v>
      </c>
      <c r="W382" s="63">
        <v>3.6960399999999998E-3</v>
      </c>
      <c r="X382" s="63">
        <v>3.8135299999999999E-3</v>
      </c>
      <c r="Y382" s="63">
        <v>2.7480500000000001E-3</v>
      </c>
      <c r="Z382" s="63">
        <v>2.05215E-3</v>
      </c>
      <c r="AA382" s="63">
        <v>1.62411E-3</v>
      </c>
      <c r="AB382" s="63">
        <v>1.6122599999999999E-3</v>
      </c>
      <c r="AC382" s="63">
        <v>1.5531099999999999E-3</v>
      </c>
      <c r="AD382" s="63">
        <v>1.5043700000000001E-3</v>
      </c>
      <c r="AE382" t="s">
        <v>93</v>
      </c>
    </row>
    <row r="383" spans="1:31">
      <c r="A383" t="s">
        <v>267</v>
      </c>
      <c r="B383" t="s">
        <v>1</v>
      </c>
      <c r="C383" t="s">
        <v>159</v>
      </c>
      <c r="D383" s="13" t="str">
        <f>IFERROR(VLOOKUP(C383,ghg_sort!$A$86:$B$512,2,0),0)</f>
        <v>Transportation</v>
      </c>
      <c r="E383" t="s">
        <v>91</v>
      </c>
      <c r="F383" s="13">
        <f>IFERROR(VLOOKUP($E383,ghg_sort!$A$3:$B$21,2,0),0)</f>
        <v>0</v>
      </c>
      <c r="G383" s="13">
        <f t="shared" si="58"/>
        <v>0</v>
      </c>
      <c r="H383" s="13">
        <f t="shared" si="59"/>
        <v>0</v>
      </c>
      <c r="I383" s="13">
        <f t="shared" si="60"/>
        <v>0</v>
      </c>
      <c r="J383" s="13">
        <f t="shared" si="61"/>
        <v>0</v>
      </c>
      <c r="K383" s="13">
        <f t="shared" si="62"/>
        <v>0</v>
      </c>
      <c r="L383" s="13">
        <f t="shared" si="63"/>
        <v>0</v>
      </c>
      <c r="M383" s="13">
        <f t="shared" si="64"/>
        <v>0</v>
      </c>
      <c r="N383" s="13">
        <f t="shared" si="65"/>
        <v>0</v>
      </c>
      <c r="O383" s="13">
        <f t="shared" si="66"/>
        <v>0</v>
      </c>
      <c r="P383" s="13">
        <f t="shared" si="67"/>
        <v>0</v>
      </c>
      <c r="Q383" s="13">
        <f t="shared" si="68"/>
        <v>0</v>
      </c>
      <c r="R383" s="13" t="s">
        <v>239</v>
      </c>
      <c r="T383" s="63">
        <v>1.59617E-4</v>
      </c>
      <c r="U383" s="63">
        <v>1.1979799999999999E-4</v>
      </c>
      <c r="V383" s="63">
        <v>3.7629999999999997E-5</v>
      </c>
      <c r="W383" s="63">
        <v>4.4078E-5</v>
      </c>
      <c r="X383" s="63">
        <v>4.5479200000000003E-5</v>
      </c>
      <c r="Y383" s="63">
        <v>3.2772499999999998E-5</v>
      </c>
      <c r="Z383" s="63">
        <v>2.4473499999999999E-5</v>
      </c>
      <c r="AA383" s="63">
        <v>1.93687E-5</v>
      </c>
      <c r="AB383" s="63">
        <v>1.9227400000000002E-5</v>
      </c>
      <c r="AC383" s="63">
        <v>1.8522E-5</v>
      </c>
      <c r="AD383" s="63">
        <v>1.7940799999999999E-5</v>
      </c>
      <c r="AE383" t="s">
        <v>93</v>
      </c>
    </row>
    <row r="384" spans="1:31">
      <c r="A384" t="s">
        <v>267</v>
      </c>
      <c r="B384" t="s">
        <v>1</v>
      </c>
      <c r="C384" t="s">
        <v>159</v>
      </c>
      <c r="D384" s="13" t="str">
        <f>IFERROR(VLOOKUP(C384,ghg_sort!$A$86:$B$512,2,0),0)</f>
        <v>Transportation</v>
      </c>
      <c r="E384" t="s">
        <v>92</v>
      </c>
      <c r="F384" s="13">
        <f>IFERROR(VLOOKUP($E384,ghg_sort!$A$3:$B$21,2,0),0)</f>
        <v>0</v>
      </c>
      <c r="G384" s="13">
        <f t="shared" si="58"/>
        <v>0</v>
      </c>
      <c r="H384" s="13">
        <f t="shared" si="59"/>
        <v>0</v>
      </c>
      <c r="I384" s="13">
        <f t="shared" si="60"/>
        <v>0</v>
      </c>
      <c r="J384" s="13">
        <f t="shared" si="61"/>
        <v>0</v>
      </c>
      <c r="K384" s="13">
        <f t="shared" si="62"/>
        <v>0</v>
      </c>
      <c r="L384" s="13">
        <f t="shared" si="63"/>
        <v>0</v>
      </c>
      <c r="M384" s="13">
        <f t="shared" si="64"/>
        <v>0</v>
      </c>
      <c r="N384" s="13">
        <f t="shared" si="65"/>
        <v>0</v>
      </c>
      <c r="O384" s="13">
        <f t="shared" si="66"/>
        <v>0</v>
      </c>
      <c r="P384" s="13">
        <f t="shared" si="67"/>
        <v>0</v>
      </c>
      <c r="Q384" s="13">
        <f t="shared" si="68"/>
        <v>0</v>
      </c>
      <c r="R384" s="13" t="s">
        <v>239</v>
      </c>
      <c r="T384" s="63">
        <v>2.4656899999999998E-4</v>
      </c>
      <c r="U384" s="63">
        <v>7.9672799999999994E-5</v>
      </c>
      <c r="V384" s="63">
        <v>1.0964E-5</v>
      </c>
      <c r="W384" s="63">
        <v>2.5864899999999999E-6</v>
      </c>
      <c r="X384" s="63">
        <v>2.6687099999999998E-6</v>
      </c>
      <c r="Y384" s="63">
        <v>1.92309E-6</v>
      </c>
      <c r="Z384" s="63">
        <v>1.4360999999999999E-6</v>
      </c>
      <c r="AA384" s="63">
        <v>1.1365499999999999E-6</v>
      </c>
      <c r="AB384" s="63">
        <v>1.12826E-6</v>
      </c>
      <c r="AC384" s="63">
        <v>1.0868699999999999E-6</v>
      </c>
      <c r="AD384" s="63">
        <v>1.0527600000000001E-6</v>
      </c>
      <c r="AE384" t="s">
        <v>93</v>
      </c>
    </row>
    <row r="385" spans="1:31">
      <c r="A385" t="s">
        <v>267</v>
      </c>
      <c r="B385" t="s">
        <v>1</v>
      </c>
      <c r="C385" t="s">
        <v>160</v>
      </c>
      <c r="D385" s="13" t="str">
        <f>IFERROR(VLOOKUP(C385,ghg_sort!$A$86:$B$512,2,0),0)</f>
        <v>Transportation</v>
      </c>
      <c r="E385" t="s">
        <v>83</v>
      </c>
      <c r="F385" s="13">
        <f>IFERROR(VLOOKUP($E385,ghg_sort!$A$3:$B$21,2,0),0)</f>
        <v>0</v>
      </c>
      <c r="G385" s="13">
        <f t="shared" si="58"/>
        <v>0</v>
      </c>
      <c r="H385" s="13">
        <f t="shared" si="59"/>
        <v>0</v>
      </c>
      <c r="I385" s="13">
        <f t="shared" si="60"/>
        <v>0</v>
      </c>
      <c r="J385" s="13">
        <f t="shared" si="61"/>
        <v>0</v>
      </c>
      <c r="K385" s="13">
        <f t="shared" si="62"/>
        <v>0</v>
      </c>
      <c r="L385" s="13">
        <f t="shared" si="63"/>
        <v>0</v>
      </c>
      <c r="M385" s="13">
        <f t="shared" si="64"/>
        <v>0</v>
      </c>
      <c r="N385" s="13">
        <f t="shared" si="65"/>
        <v>0</v>
      </c>
      <c r="O385" s="13">
        <f t="shared" si="66"/>
        <v>0</v>
      </c>
      <c r="P385" s="13">
        <f t="shared" si="67"/>
        <v>0</v>
      </c>
      <c r="Q385" s="13">
        <f t="shared" si="68"/>
        <v>0</v>
      </c>
      <c r="R385" s="13" t="s">
        <v>239</v>
      </c>
      <c r="T385" s="63">
        <v>1.4639919999999999E-3</v>
      </c>
      <c r="U385" s="63">
        <v>8.5176499999999999E-4</v>
      </c>
      <c r="V385" s="63">
        <v>4.3218299999999999E-4</v>
      </c>
      <c r="W385" s="63">
        <v>7.0001700000000004E-4</v>
      </c>
      <c r="X385" s="63">
        <v>6.8956650000000003E-4</v>
      </c>
      <c r="Y385" s="63">
        <v>6.2665810000000002E-4</v>
      </c>
      <c r="Z385" s="63">
        <v>4.7437289999999898E-4</v>
      </c>
      <c r="AA385" s="63">
        <v>3.3889770000000003E-4</v>
      </c>
      <c r="AB385" s="63">
        <v>2.215653E-4</v>
      </c>
      <c r="AC385" s="63">
        <v>1.69780599999999E-4</v>
      </c>
      <c r="AD385" s="63">
        <v>1.3692336999999999E-4</v>
      </c>
      <c r="AE385" t="s">
        <v>93</v>
      </c>
    </row>
    <row r="386" spans="1:31">
      <c r="A386" t="s">
        <v>267</v>
      </c>
      <c r="B386" t="s">
        <v>1</v>
      </c>
      <c r="C386" t="s">
        <v>160</v>
      </c>
      <c r="D386" s="13" t="str">
        <f>IFERROR(VLOOKUP(C386,ghg_sort!$A$86:$B$512,2,0),0)</f>
        <v>Transportation</v>
      </c>
      <c r="E386" t="s">
        <v>84</v>
      </c>
      <c r="F386" s="13">
        <f>IFERROR(VLOOKUP($E386,ghg_sort!$A$3:$B$21,2,0),0)</f>
        <v>25</v>
      </c>
      <c r="G386" s="13">
        <f t="shared" si="58"/>
        <v>0.14242574999999999</v>
      </c>
      <c r="H386" s="13">
        <f t="shared" si="59"/>
        <v>0.32672488032000002</v>
      </c>
      <c r="I386" s="13">
        <f t="shared" si="60"/>
        <v>0.33807386150500002</v>
      </c>
      <c r="J386" s="13">
        <f t="shared" si="61"/>
        <v>0.29794970318249997</v>
      </c>
      <c r="K386" s="13">
        <f t="shared" si="62"/>
        <v>0.29351108108000001</v>
      </c>
      <c r="L386" s="13">
        <f t="shared" si="63"/>
        <v>0.26674921564749998</v>
      </c>
      <c r="M386" s="13">
        <f t="shared" si="64"/>
        <v>0.20194100744250001</v>
      </c>
      <c r="N386" s="13">
        <f t="shared" si="65"/>
        <v>0.14428370092950002</v>
      </c>
      <c r="O386" s="13">
        <f t="shared" si="66"/>
        <v>9.4345830520000007E-2</v>
      </c>
      <c r="P386" s="13">
        <f t="shared" si="67"/>
        <v>7.23036775425E-2</v>
      </c>
      <c r="Q386" s="13">
        <f t="shared" si="68"/>
        <v>5.831909457E-2</v>
      </c>
      <c r="R386" s="13" t="s">
        <v>239</v>
      </c>
      <c r="T386" s="63">
        <v>5.6970299999999996E-3</v>
      </c>
      <c r="U386" s="63">
        <v>1.30689952128E-2</v>
      </c>
      <c r="V386" s="63">
        <v>1.35229544602E-2</v>
      </c>
      <c r="W386" s="63">
        <v>1.19179881273E-2</v>
      </c>
      <c r="X386" s="63">
        <v>1.17404432432E-2</v>
      </c>
      <c r="Y386" s="63">
        <v>1.06699686259E-2</v>
      </c>
      <c r="Z386" s="63">
        <v>8.0776402977000006E-3</v>
      </c>
      <c r="AA386" s="63">
        <v>5.7713480371800003E-3</v>
      </c>
      <c r="AB386" s="63">
        <v>3.7738332208000001E-3</v>
      </c>
      <c r="AC386" s="63">
        <v>2.8921471016999998E-3</v>
      </c>
      <c r="AD386" s="63">
        <v>2.3327637828E-3</v>
      </c>
      <c r="AE386" t="s">
        <v>93</v>
      </c>
    </row>
    <row r="387" spans="1:31">
      <c r="A387" t="s">
        <v>267</v>
      </c>
      <c r="B387" t="s">
        <v>1</v>
      </c>
      <c r="C387" t="s">
        <v>160</v>
      </c>
      <c r="D387" s="13" t="str">
        <f>IFERROR(VLOOKUP(C387,ghg_sort!$A$86:$B$512,2,0),0)</f>
        <v>Transportation</v>
      </c>
      <c r="E387" t="s">
        <v>85</v>
      </c>
      <c r="F387" s="13">
        <f>IFERROR(VLOOKUP($E387,ghg_sort!$A$3:$B$21,2,0),0)</f>
        <v>0</v>
      </c>
      <c r="G387" s="13">
        <f t="shared" si="58"/>
        <v>0</v>
      </c>
      <c r="H387" s="13">
        <f t="shared" si="59"/>
        <v>0</v>
      </c>
      <c r="I387" s="13">
        <f t="shared" si="60"/>
        <v>0</v>
      </c>
      <c r="J387" s="13">
        <f t="shared" si="61"/>
        <v>0</v>
      </c>
      <c r="K387" s="13">
        <f t="shared" si="62"/>
        <v>0</v>
      </c>
      <c r="L387" s="13">
        <f t="shared" si="63"/>
        <v>0</v>
      </c>
      <c r="M387" s="13">
        <f t="shared" si="64"/>
        <v>0</v>
      </c>
      <c r="N387" s="13">
        <f t="shared" si="65"/>
        <v>0</v>
      </c>
      <c r="O387" s="13">
        <f t="shared" si="66"/>
        <v>0</v>
      </c>
      <c r="P387" s="13">
        <f t="shared" si="67"/>
        <v>0</v>
      </c>
      <c r="Q387" s="13">
        <f t="shared" si="68"/>
        <v>0</v>
      </c>
      <c r="R387" s="13" t="s">
        <v>239</v>
      </c>
      <c r="T387" s="62">
        <v>0.39927099999999999</v>
      </c>
      <c r="U387" s="63">
        <v>0.37116001555542</v>
      </c>
      <c r="V387" s="63">
        <v>0.31842803930769997</v>
      </c>
      <c r="W387" s="63">
        <v>0.25635004183870003</v>
      </c>
      <c r="X387" s="63">
        <v>0.2525231427213</v>
      </c>
      <c r="Y387" s="63">
        <v>0.229486142817899</v>
      </c>
      <c r="Z387" s="63">
        <v>0.17371863167986001</v>
      </c>
      <c r="AA387" s="63">
        <v>0.124107072753929</v>
      </c>
      <c r="AB387" s="63">
        <v>8.1139309443000004E-2</v>
      </c>
      <c r="AC387" s="63">
        <v>6.2175429028699901E-2</v>
      </c>
      <c r="AD387" s="63">
        <v>5.0142947960899999E-2</v>
      </c>
      <c r="AE387" t="s">
        <v>93</v>
      </c>
    </row>
    <row r="388" spans="1:31">
      <c r="A388" t="s">
        <v>267</v>
      </c>
      <c r="B388" t="s">
        <v>1</v>
      </c>
      <c r="C388" t="s">
        <v>160</v>
      </c>
      <c r="D388" s="13" t="str">
        <f>IFERROR(VLOOKUP(C388,ghg_sort!$A$86:$B$512,2,0),0)</f>
        <v>Transportation</v>
      </c>
      <c r="E388" t="s">
        <v>86</v>
      </c>
      <c r="F388" s="13">
        <f>IFERROR(VLOOKUP($E388,ghg_sort!$A$3:$B$21,2,0),0)</f>
        <v>3.6666666666666701</v>
      </c>
      <c r="G388" s="13">
        <f t="shared" si="58"/>
        <v>16.483280000000015</v>
      </c>
      <c r="H388" s="13">
        <f t="shared" si="59"/>
        <v>40.047390496666338</v>
      </c>
      <c r="I388" s="13">
        <f t="shared" si="60"/>
        <v>41.890320266666706</v>
      </c>
      <c r="J388" s="13">
        <f t="shared" si="61"/>
        <v>46.929138300000041</v>
      </c>
      <c r="K388" s="13">
        <f t="shared" si="62"/>
        <v>46.956873883333373</v>
      </c>
      <c r="L388" s="13">
        <f t="shared" si="63"/>
        <v>44.251330566666709</v>
      </c>
      <c r="M388" s="13">
        <f t="shared" si="64"/>
        <v>36.4446586166667</v>
      </c>
      <c r="N388" s="13">
        <f t="shared" si="65"/>
        <v>29.338378025000029</v>
      </c>
      <c r="O388" s="13">
        <f t="shared" si="66"/>
        <v>22.357912573333319</v>
      </c>
      <c r="P388" s="13">
        <f t="shared" si="67"/>
        <v>18.687912576666648</v>
      </c>
      <c r="Q388" s="13">
        <f t="shared" si="68"/>
        <v>16.083666280000013</v>
      </c>
      <c r="R388" s="13" t="s">
        <v>239</v>
      </c>
      <c r="T388" s="62">
        <v>4.4954400000000003</v>
      </c>
      <c r="U388" s="62">
        <v>10.9220155899999</v>
      </c>
      <c r="V388" s="62">
        <v>11.424632799999999</v>
      </c>
      <c r="W388" s="62">
        <v>12.7988559</v>
      </c>
      <c r="X388" s="62">
        <v>12.806420149999999</v>
      </c>
      <c r="Y388" s="62">
        <v>12.0685447</v>
      </c>
      <c r="Z388" s="62">
        <v>9.9394523499999998</v>
      </c>
      <c r="AA388" s="62">
        <v>8.0013758250000002</v>
      </c>
      <c r="AB388" s="62">
        <v>6.0976125199999904</v>
      </c>
      <c r="AC388" s="62">
        <v>5.09670342999999</v>
      </c>
      <c r="AD388" s="62">
        <v>4.3864544399999996</v>
      </c>
      <c r="AE388" t="s">
        <v>93</v>
      </c>
    </row>
    <row r="389" spans="1:31">
      <c r="A389" t="s">
        <v>267</v>
      </c>
      <c r="B389" t="s">
        <v>1</v>
      </c>
      <c r="C389" t="s">
        <v>160</v>
      </c>
      <c r="D389" s="13" t="str">
        <f>IFERROR(VLOOKUP(C389,ghg_sort!$A$86:$B$512,2,0),0)</f>
        <v>Transportation</v>
      </c>
      <c r="E389" t="s">
        <v>87</v>
      </c>
      <c r="F389" s="13">
        <f>IFERROR(VLOOKUP($E389,ghg_sort!$A$3:$B$21,2,0),0)</f>
        <v>298</v>
      </c>
      <c r="G389" s="13">
        <f t="shared" si="58"/>
        <v>6.8439275999999993E-2</v>
      </c>
      <c r="H389" s="13">
        <f t="shared" si="59"/>
        <v>0.13858579399999998</v>
      </c>
      <c r="I389" s="13">
        <f t="shared" si="60"/>
        <v>8.5116249999999699E-2</v>
      </c>
      <c r="J389" s="13">
        <f t="shared" si="61"/>
        <v>0.102588586</v>
      </c>
      <c r="K389" s="13">
        <f t="shared" si="62"/>
        <v>0.101056866</v>
      </c>
      <c r="L389" s="13">
        <f t="shared" si="63"/>
        <v>9.1837639999999693E-2</v>
      </c>
      <c r="M389" s="13">
        <f t="shared" si="64"/>
        <v>6.9520062399999999E-2</v>
      </c>
      <c r="N389" s="13">
        <f t="shared" si="65"/>
        <v>4.9666020999999998E-2</v>
      </c>
      <c r="O389" s="13">
        <f t="shared" si="66"/>
        <v>3.2470747519999996E-2</v>
      </c>
      <c r="P389" s="13">
        <f t="shared" si="67"/>
        <v>2.4881593439999971E-2</v>
      </c>
      <c r="Q389" s="13">
        <f t="shared" si="68"/>
        <v>2.0066327660000001E-2</v>
      </c>
      <c r="R389" s="13" t="s">
        <v>239</v>
      </c>
      <c r="T389" s="63">
        <v>2.29662E-4</v>
      </c>
      <c r="U389" s="63">
        <v>4.6505299999999999E-4</v>
      </c>
      <c r="V389" s="63">
        <v>2.8562499999999899E-4</v>
      </c>
      <c r="W389" s="63">
        <v>3.4425699999999999E-4</v>
      </c>
      <c r="X389" s="63">
        <v>3.39117E-4</v>
      </c>
      <c r="Y389" s="63">
        <v>3.0817999999999899E-4</v>
      </c>
      <c r="Z389" s="63">
        <v>2.3328880000000001E-4</v>
      </c>
      <c r="AA389" s="63">
        <v>1.666645E-4</v>
      </c>
      <c r="AB389" s="63">
        <v>1.0896223999999999E-4</v>
      </c>
      <c r="AC389" s="63">
        <v>8.3495279999999897E-5</v>
      </c>
      <c r="AD389" s="63">
        <v>6.733667E-5</v>
      </c>
      <c r="AE389" t="s">
        <v>93</v>
      </c>
    </row>
    <row r="390" spans="1:31">
      <c r="A390" t="s">
        <v>267</v>
      </c>
      <c r="B390" t="s">
        <v>1</v>
      </c>
      <c r="C390" t="s">
        <v>160</v>
      </c>
      <c r="D390" s="13" t="str">
        <f>IFERROR(VLOOKUP(C390,ghg_sort!$A$86:$B$512,2,0),0)</f>
        <v>Transportation</v>
      </c>
      <c r="E390" s="12" t="s">
        <v>88</v>
      </c>
      <c r="F390" s="13">
        <f>IFERROR(VLOOKUP($E390,ghg_sort!$A$3:$B$21,2,0),0)</f>
        <v>0</v>
      </c>
      <c r="G390" s="13">
        <f t="shared" ref="G390:G415" si="69">T390*$F390</f>
        <v>0</v>
      </c>
      <c r="H390" s="13">
        <f t="shared" ref="H390:H415" si="70">U390*$F390</f>
        <v>0</v>
      </c>
      <c r="I390" s="13">
        <f t="shared" ref="I390:I415" si="71">V390*$F390</f>
        <v>0</v>
      </c>
      <c r="J390" s="13">
        <f t="shared" ref="J390:J415" si="72">W390*$F390</f>
        <v>0</v>
      </c>
      <c r="K390" s="13">
        <f t="shared" ref="K390:K415" si="73">X390*$F390</f>
        <v>0</v>
      </c>
      <c r="L390" s="13">
        <f t="shared" ref="L390:L415" si="74">Y390*$F390</f>
        <v>0</v>
      </c>
      <c r="M390" s="13">
        <f t="shared" ref="M390:M415" si="75">Z390*$F390</f>
        <v>0</v>
      </c>
      <c r="N390" s="13">
        <f t="shared" ref="N390:N415" si="76">AA390*$F390</f>
        <v>0</v>
      </c>
      <c r="O390" s="13">
        <f t="shared" ref="O390:O415" si="77">AB390*$F390</f>
        <v>0</v>
      </c>
      <c r="P390" s="13">
        <f t="shared" ref="P390:P415" si="78">AC390*$F390</f>
        <v>0</v>
      </c>
      <c r="Q390" s="13">
        <f t="shared" ref="Q390:Q415" si="79">AD390*$F390</f>
        <v>0</v>
      </c>
      <c r="R390" s="13" t="s">
        <v>239</v>
      </c>
      <c r="T390" s="63">
        <v>5.9310399999999903E-4</v>
      </c>
      <c r="U390" s="62">
        <v>5.4838205446389897E-3</v>
      </c>
      <c r="V390" s="62">
        <v>5.9207818850679998E-3</v>
      </c>
      <c r="W390" s="62">
        <v>5.7576720049639998E-3</v>
      </c>
      <c r="X390" s="62">
        <v>5.6717286314869999E-3</v>
      </c>
      <c r="Y390" s="62">
        <v>5.1543100125229901E-3</v>
      </c>
      <c r="Z390" s="62">
        <v>3.9017740630730002E-3</v>
      </c>
      <c r="AA390" s="62">
        <v>2.7874919066179999E-3</v>
      </c>
      <c r="AB390" s="63">
        <v>1.8224280440309901E-3</v>
      </c>
      <c r="AC390" s="63">
        <v>1.39649356575E-3</v>
      </c>
      <c r="AD390" s="63">
        <v>1.12624169381E-3</v>
      </c>
      <c r="AE390" t="s">
        <v>94</v>
      </c>
    </row>
    <row r="391" spans="1:31">
      <c r="A391" t="s">
        <v>267</v>
      </c>
      <c r="B391" t="s">
        <v>1</v>
      </c>
      <c r="C391" t="s">
        <v>160</v>
      </c>
      <c r="D391" s="13" t="str">
        <f>IFERROR(VLOOKUP(C391,ghg_sort!$A$86:$B$512,2,0),0)</f>
        <v>Transportation</v>
      </c>
      <c r="E391" t="s">
        <v>89</v>
      </c>
      <c r="F391" s="13">
        <f>IFERROR(VLOOKUP($E391,ghg_sort!$A$3:$B$21,2,0),0)</f>
        <v>0</v>
      </c>
      <c r="G391" s="13">
        <f t="shared" si="69"/>
        <v>0</v>
      </c>
      <c r="H391" s="13">
        <f t="shared" si="70"/>
        <v>0</v>
      </c>
      <c r="I391" s="13">
        <f t="shared" si="71"/>
        <v>0</v>
      </c>
      <c r="J391" s="13">
        <f t="shared" si="72"/>
        <v>0</v>
      </c>
      <c r="K391" s="13">
        <f t="shared" si="73"/>
        <v>0</v>
      </c>
      <c r="L391" s="13">
        <f t="shared" si="74"/>
        <v>0</v>
      </c>
      <c r="M391" s="13">
        <f t="shared" si="75"/>
        <v>0</v>
      </c>
      <c r="N391" s="13">
        <f t="shared" si="76"/>
        <v>0</v>
      </c>
      <c r="O391" s="13">
        <f t="shared" si="77"/>
        <v>0</v>
      </c>
      <c r="P391" s="13">
        <f t="shared" si="78"/>
        <v>0</v>
      </c>
      <c r="Q391" s="13">
        <f t="shared" si="79"/>
        <v>0</v>
      </c>
      <c r="R391" s="13" t="s">
        <v>239</v>
      </c>
      <c r="T391" s="63">
        <v>7.4406799999999995E-2</v>
      </c>
      <c r="U391" s="63">
        <v>6.903950936514E-2</v>
      </c>
      <c r="V391" s="63">
        <v>3.6481420748990002E-2</v>
      </c>
      <c r="W391" s="63">
        <v>3.1425520607319998E-2</v>
      </c>
      <c r="X391" s="63">
        <v>3.09565095501E-2</v>
      </c>
      <c r="Y391" s="63">
        <v>2.8132487360499999E-2</v>
      </c>
      <c r="Z391" s="63">
        <v>2.129614038321E-2</v>
      </c>
      <c r="AA391" s="63">
        <v>1.5214382166130001E-2</v>
      </c>
      <c r="AB391" s="63">
        <v>9.9470401625899908E-3</v>
      </c>
      <c r="AC391" s="63">
        <v>7.6222951077999897E-3</v>
      </c>
      <c r="AD391" s="63">
        <v>6.1472545073999896E-3</v>
      </c>
      <c r="AE391" t="s">
        <v>93</v>
      </c>
    </row>
    <row r="392" spans="1:31">
      <c r="A392" t="s">
        <v>267</v>
      </c>
      <c r="B392" t="s">
        <v>1</v>
      </c>
      <c r="C392" t="s">
        <v>160</v>
      </c>
      <c r="D392" s="13" t="str">
        <f>IFERROR(VLOOKUP(C392,ghg_sort!$A$86:$B$512,2,0),0)</f>
        <v>Transportation</v>
      </c>
      <c r="E392" t="s">
        <v>90</v>
      </c>
      <c r="F392" s="13">
        <f>IFERROR(VLOOKUP($E392,ghg_sort!$A$3:$B$21,2,0),0)</f>
        <v>0</v>
      </c>
      <c r="G392" s="13">
        <f t="shared" si="69"/>
        <v>0</v>
      </c>
      <c r="H392" s="13">
        <f t="shared" si="70"/>
        <v>0</v>
      </c>
      <c r="I392" s="13">
        <f t="shared" si="71"/>
        <v>0</v>
      </c>
      <c r="J392" s="13">
        <f t="shared" si="72"/>
        <v>0</v>
      </c>
      <c r="K392" s="13">
        <f t="shared" si="73"/>
        <v>0</v>
      </c>
      <c r="L392" s="13">
        <f t="shared" si="74"/>
        <v>0</v>
      </c>
      <c r="M392" s="13">
        <f t="shared" si="75"/>
        <v>0</v>
      </c>
      <c r="N392" s="13">
        <f t="shared" si="76"/>
        <v>0</v>
      </c>
      <c r="O392" s="13">
        <f t="shared" si="77"/>
        <v>0</v>
      </c>
      <c r="P392" s="13">
        <f t="shared" si="78"/>
        <v>0</v>
      </c>
      <c r="Q392" s="13">
        <f t="shared" si="79"/>
        <v>0</v>
      </c>
      <c r="R392" s="13" t="s">
        <v>239</v>
      </c>
      <c r="T392" s="63">
        <v>0.1080778</v>
      </c>
      <c r="U392" s="62">
        <v>8.8494509365139903E-2</v>
      </c>
      <c r="V392" s="62">
        <v>3.5977424054499899E-2</v>
      </c>
      <c r="W392" s="62">
        <v>4.5064223262999997E-2</v>
      </c>
      <c r="X392" s="62">
        <v>4.4391674956039899E-2</v>
      </c>
      <c r="Y392" s="62">
        <v>4.034196181389E-2</v>
      </c>
      <c r="Z392" s="62">
        <v>3.0538606824329999E-2</v>
      </c>
      <c r="AA392" s="62">
        <v>2.181733302246E-2</v>
      </c>
      <c r="AB392" s="63">
        <v>1.42639649825E-2</v>
      </c>
      <c r="AC392" s="63">
        <v>1.0930255631899999E-2</v>
      </c>
      <c r="AD392" s="63">
        <v>8.8150525986999996E-3</v>
      </c>
      <c r="AE392" t="s">
        <v>93</v>
      </c>
    </row>
    <row r="393" spans="1:31">
      <c r="A393" t="s">
        <v>267</v>
      </c>
      <c r="B393" t="s">
        <v>1</v>
      </c>
      <c r="C393" t="s">
        <v>160</v>
      </c>
      <c r="D393" s="13" t="str">
        <f>IFERROR(VLOOKUP(C393,ghg_sort!$A$86:$B$512,2,0),0)</f>
        <v>Transportation</v>
      </c>
      <c r="E393" t="s">
        <v>91</v>
      </c>
      <c r="F393" s="13">
        <f>IFERROR(VLOOKUP($E393,ghg_sort!$A$3:$B$21,2,0),0)</f>
        <v>0</v>
      </c>
      <c r="G393" s="13">
        <f t="shared" si="69"/>
        <v>0</v>
      </c>
      <c r="H393" s="13">
        <f t="shared" si="70"/>
        <v>0</v>
      </c>
      <c r="I393" s="13">
        <f t="shared" si="71"/>
        <v>0</v>
      </c>
      <c r="J393" s="13">
        <f t="shared" si="72"/>
        <v>0</v>
      </c>
      <c r="K393" s="13">
        <f t="shared" si="73"/>
        <v>0</v>
      </c>
      <c r="L393" s="13">
        <f t="shared" si="74"/>
        <v>0</v>
      </c>
      <c r="M393" s="13">
        <f t="shared" si="75"/>
        <v>0</v>
      </c>
      <c r="N393" s="13">
        <f t="shared" si="76"/>
        <v>0</v>
      </c>
      <c r="O393" s="13">
        <f t="shared" si="77"/>
        <v>0</v>
      </c>
      <c r="P393" s="13">
        <f t="shared" si="78"/>
        <v>0</v>
      </c>
      <c r="Q393" s="13">
        <f t="shared" si="79"/>
        <v>0</v>
      </c>
      <c r="R393" s="13" t="s">
        <v>239</v>
      </c>
      <c r="T393" s="62">
        <v>2.3890399999999998E-3</v>
      </c>
      <c r="U393" s="62">
        <v>1.9277439999999999E-3</v>
      </c>
      <c r="V393" s="63">
        <v>6.3298399999999996E-4</v>
      </c>
      <c r="W393" s="63">
        <v>8.8249599999999997E-4</v>
      </c>
      <c r="X393" s="63">
        <v>8.6932120000000001E-4</v>
      </c>
      <c r="Y393" s="63">
        <v>7.9001439999999896E-4</v>
      </c>
      <c r="Z393" s="63">
        <v>5.9803069999999996E-4</v>
      </c>
      <c r="AA393" s="63">
        <v>4.2724099999999899E-4</v>
      </c>
      <c r="AB393" s="63">
        <v>2.7932249999999999E-4</v>
      </c>
      <c r="AC393" s="63">
        <v>2.1403859999999999E-4</v>
      </c>
      <c r="AD393" s="63">
        <v>1.7261617999999999E-4</v>
      </c>
      <c r="AE393" t="s">
        <v>93</v>
      </c>
    </row>
    <row r="394" spans="1:31">
      <c r="A394" t="s">
        <v>267</v>
      </c>
      <c r="B394" t="s">
        <v>1</v>
      </c>
      <c r="C394" t="s">
        <v>160</v>
      </c>
      <c r="D394" s="13" t="str">
        <f>IFERROR(VLOOKUP(C394,ghg_sort!$A$86:$B$512,2,0),0)</f>
        <v>Transportation</v>
      </c>
      <c r="E394" t="s">
        <v>92</v>
      </c>
      <c r="F394" s="13">
        <f>IFERROR(VLOOKUP($E394,ghg_sort!$A$3:$B$21,2,0),0)</f>
        <v>0</v>
      </c>
      <c r="G394" s="13">
        <f t="shared" si="69"/>
        <v>0</v>
      </c>
      <c r="H394" s="13">
        <f t="shared" si="70"/>
        <v>0</v>
      </c>
      <c r="I394" s="13">
        <f t="shared" si="71"/>
        <v>0</v>
      </c>
      <c r="J394" s="13">
        <f t="shared" si="72"/>
        <v>0</v>
      </c>
      <c r="K394" s="13">
        <f t="shared" si="73"/>
        <v>0</v>
      </c>
      <c r="L394" s="13">
        <f t="shared" si="74"/>
        <v>0</v>
      </c>
      <c r="M394" s="13">
        <f t="shared" si="75"/>
        <v>0</v>
      </c>
      <c r="N394" s="13">
        <f t="shared" si="76"/>
        <v>0</v>
      </c>
      <c r="O394" s="13">
        <f t="shared" si="77"/>
        <v>0</v>
      </c>
      <c r="P394" s="13">
        <f t="shared" si="78"/>
        <v>0</v>
      </c>
      <c r="Q394" s="13">
        <f t="shared" si="79"/>
        <v>0</v>
      </c>
      <c r="R394" s="13" t="s">
        <v>239</v>
      </c>
      <c r="T394" s="62">
        <v>1.5157879999999999E-3</v>
      </c>
      <c r="U394" s="62">
        <v>1.017048770465E-3</v>
      </c>
      <c r="V394" s="63">
        <v>1.0595614262E-4</v>
      </c>
      <c r="W394" s="63">
        <v>6.4469475089999997E-5</v>
      </c>
      <c r="X394" s="63">
        <v>6.3520369209999896E-5</v>
      </c>
      <c r="Y394" s="63">
        <v>5.7746804115000001E-5</v>
      </c>
      <c r="Z394" s="63">
        <v>4.3734991032999898E-5</v>
      </c>
      <c r="AA394" s="63">
        <v>3.1265355022999903E-5</v>
      </c>
      <c r="AB394" s="63">
        <v>2.0462956769999898E-5</v>
      </c>
      <c r="AC394" s="63">
        <v>1.5692572799999999E-5</v>
      </c>
      <c r="AD394" s="63">
        <v>1.266724426E-5</v>
      </c>
      <c r="AE394" t="s">
        <v>93</v>
      </c>
    </row>
    <row r="395" spans="1:31">
      <c r="A395" t="s">
        <v>267</v>
      </c>
      <c r="B395" t="s">
        <v>1</v>
      </c>
      <c r="C395" t="s">
        <v>161</v>
      </c>
      <c r="D395" s="13" t="str">
        <f>IFERROR(VLOOKUP(C395,ghg_sort!$A$86:$B$512,2,0),0)</f>
        <v>International</v>
      </c>
      <c r="E395" t="s">
        <v>83</v>
      </c>
      <c r="F395" s="13">
        <f>IFERROR(VLOOKUP($E395,ghg_sort!$A$3:$B$21,2,0),0)</f>
        <v>0</v>
      </c>
      <c r="G395" s="13">
        <f t="shared" si="69"/>
        <v>0</v>
      </c>
      <c r="H395" s="13">
        <f t="shared" si="70"/>
        <v>0</v>
      </c>
      <c r="I395" s="13">
        <f t="shared" si="71"/>
        <v>0</v>
      </c>
      <c r="J395" s="13">
        <f t="shared" si="72"/>
        <v>0</v>
      </c>
      <c r="K395" s="13">
        <f t="shared" si="73"/>
        <v>0</v>
      </c>
      <c r="L395" s="13">
        <f t="shared" si="74"/>
        <v>0</v>
      </c>
      <c r="M395" s="13">
        <f t="shared" si="75"/>
        <v>0</v>
      </c>
      <c r="N395" s="13">
        <f t="shared" si="76"/>
        <v>0</v>
      </c>
      <c r="O395" s="13">
        <f t="shared" si="77"/>
        <v>0</v>
      </c>
      <c r="P395" s="13">
        <f t="shared" si="78"/>
        <v>0</v>
      </c>
      <c r="Q395" s="13">
        <f t="shared" si="79"/>
        <v>0</v>
      </c>
      <c r="R395" s="13" t="s">
        <v>239</v>
      </c>
      <c r="T395" s="62">
        <v>1.2791199999999999E-3</v>
      </c>
      <c r="U395" s="62">
        <v>9.1301100000000003E-3</v>
      </c>
      <c r="V395" s="63">
        <v>6.6608099999999996E-3</v>
      </c>
      <c r="W395" s="63">
        <v>7.1941499999999999E-3</v>
      </c>
      <c r="X395" s="63">
        <v>5.1745200000000002E-3</v>
      </c>
      <c r="Y395" s="63">
        <v>3.3334200000000001E-3</v>
      </c>
      <c r="Z395" s="63">
        <v>2.7700099999999998E-3</v>
      </c>
      <c r="AA395" s="63">
        <v>2.3996299999999998E-3</v>
      </c>
      <c r="AB395" s="63">
        <v>2.1163599999999999E-3</v>
      </c>
      <c r="AC395" s="63">
        <v>1.9714200000000002E-3</v>
      </c>
      <c r="AD395" s="63">
        <v>1.8155199999999999E-3</v>
      </c>
      <c r="AE395" t="s">
        <v>93</v>
      </c>
    </row>
    <row r="396" spans="1:31">
      <c r="A396" t="s">
        <v>267</v>
      </c>
      <c r="B396" t="s">
        <v>1</v>
      </c>
      <c r="C396" t="s">
        <v>161</v>
      </c>
      <c r="D396" s="13" t="str">
        <f>IFERROR(VLOOKUP(C396,ghg_sort!$A$86:$B$512,2,0),0)</f>
        <v>International</v>
      </c>
      <c r="E396" t="s">
        <v>84</v>
      </c>
      <c r="F396" s="13">
        <f>IFERROR(VLOOKUP($E396,ghg_sort!$A$3:$B$21,2,0),0)</f>
        <v>25</v>
      </c>
      <c r="G396" s="13">
        <f t="shared" si="69"/>
        <v>5.0000000000000001E-3</v>
      </c>
      <c r="H396" s="13">
        <f t="shared" si="70"/>
        <v>0.03</v>
      </c>
      <c r="I396" s="13">
        <f t="shared" si="71"/>
        <v>2.6249999999999999E-2</v>
      </c>
      <c r="J396" s="13">
        <f t="shared" si="72"/>
        <v>2.6499999999999999E-2</v>
      </c>
      <c r="K396" s="13">
        <f t="shared" si="73"/>
        <v>2.7691250000000001E-2</v>
      </c>
      <c r="L396" s="13">
        <f t="shared" si="74"/>
        <v>2.9292249999999999E-2</v>
      </c>
      <c r="M396" s="13">
        <f t="shared" si="75"/>
        <v>3.0208749999999999E-2</v>
      </c>
      <c r="N396" s="13">
        <f t="shared" si="76"/>
        <v>3.0888499999999999E-2</v>
      </c>
      <c r="O396" s="13">
        <f t="shared" si="77"/>
        <v>3.1309250000000004E-2</v>
      </c>
      <c r="P396" s="13">
        <f t="shared" si="78"/>
        <v>3.1238750000000003E-2</v>
      </c>
      <c r="Q396" s="13">
        <f t="shared" si="79"/>
        <v>3.1396750000000001E-2</v>
      </c>
      <c r="R396" s="13" t="s">
        <v>239</v>
      </c>
      <c r="T396" s="63">
        <v>2.0000000000000001E-4</v>
      </c>
      <c r="U396" s="62">
        <v>1.1999999999999999E-3</v>
      </c>
      <c r="V396" s="63">
        <v>1.0499999999999999E-3</v>
      </c>
      <c r="W396" s="63">
        <v>1.06E-3</v>
      </c>
      <c r="X396" s="63">
        <v>1.10765E-3</v>
      </c>
      <c r="Y396" s="63">
        <v>1.17169E-3</v>
      </c>
      <c r="Z396" s="63">
        <v>1.20835E-3</v>
      </c>
      <c r="AA396" s="63">
        <v>1.23554E-3</v>
      </c>
      <c r="AB396" s="63">
        <v>1.25237E-3</v>
      </c>
      <c r="AC396" s="63">
        <v>1.2495500000000001E-3</v>
      </c>
      <c r="AD396" s="63">
        <v>1.2558700000000001E-3</v>
      </c>
      <c r="AE396" t="s">
        <v>93</v>
      </c>
    </row>
    <row r="397" spans="1:31">
      <c r="A397" t="s">
        <v>267</v>
      </c>
      <c r="B397" t="s">
        <v>1</v>
      </c>
      <c r="C397" t="s">
        <v>161</v>
      </c>
      <c r="D397" s="13" t="str">
        <f>IFERROR(VLOOKUP(C397,ghg_sort!$A$86:$B$512,2,0),0)</f>
        <v>International</v>
      </c>
      <c r="E397" t="s">
        <v>85</v>
      </c>
      <c r="F397" s="13">
        <f>IFERROR(VLOOKUP($E397,ghg_sort!$A$3:$B$21,2,0),0)</f>
        <v>0</v>
      </c>
      <c r="G397" s="13">
        <f t="shared" si="69"/>
        <v>0</v>
      </c>
      <c r="H397" s="13">
        <f t="shared" si="70"/>
        <v>0</v>
      </c>
      <c r="I397" s="13">
        <f t="shared" si="71"/>
        <v>0</v>
      </c>
      <c r="J397" s="13">
        <f t="shared" si="72"/>
        <v>0</v>
      </c>
      <c r="K397" s="13">
        <f t="shared" si="73"/>
        <v>0</v>
      </c>
      <c r="L397" s="13">
        <f t="shared" si="74"/>
        <v>0</v>
      </c>
      <c r="M397" s="13">
        <f t="shared" si="75"/>
        <v>0</v>
      </c>
      <c r="N397" s="13">
        <f t="shared" si="76"/>
        <v>0</v>
      </c>
      <c r="O397" s="13">
        <f t="shared" si="77"/>
        <v>0</v>
      </c>
      <c r="P397" s="13">
        <f t="shared" si="78"/>
        <v>0</v>
      </c>
      <c r="Q397" s="13">
        <f t="shared" si="79"/>
        <v>0</v>
      </c>
      <c r="R397" s="13" t="s">
        <v>239</v>
      </c>
      <c r="T397" s="62">
        <v>5.2763999999999997E-3</v>
      </c>
      <c r="U397" s="62">
        <v>3.7694400000000003E-2</v>
      </c>
      <c r="V397" s="62">
        <v>2.75024E-2</v>
      </c>
      <c r="W397" s="62">
        <v>2.9696400000000001E-2</v>
      </c>
      <c r="X397" s="62">
        <v>2.1359599999999999E-2</v>
      </c>
      <c r="Y397" s="62">
        <v>1.37599E-2</v>
      </c>
      <c r="Z397" s="62">
        <v>1.14342E-2</v>
      </c>
      <c r="AA397" s="62">
        <v>9.9052900000000006E-3</v>
      </c>
      <c r="AB397" s="62">
        <v>8.7360200000000006E-3</v>
      </c>
      <c r="AC397" s="62">
        <v>8.1377099999999994E-3</v>
      </c>
      <c r="AD397" s="62">
        <v>7.4941900000000004E-3</v>
      </c>
      <c r="AE397" t="s">
        <v>93</v>
      </c>
    </row>
    <row r="398" spans="1:31">
      <c r="A398" t="s">
        <v>267</v>
      </c>
      <c r="B398" t="s">
        <v>1</v>
      </c>
      <c r="C398" t="s">
        <v>161</v>
      </c>
      <c r="D398" s="13" t="str">
        <f>IFERROR(VLOOKUP(C398,ghg_sort!$A$86:$B$512,2,0),0)</f>
        <v>International</v>
      </c>
      <c r="E398" t="s">
        <v>86</v>
      </c>
      <c r="F398" s="13">
        <f>IFERROR(VLOOKUP($E398,ghg_sort!$A$3:$B$21,2,0),0)</f>
        <v>3.6666666666666701</v>
      </c>
      <c r="G398" s="13">
        <f t="shared" si="69"/>
        <v>4.7456566666666715</v>
      </c>
      <c r="H398" s="13">
        <f t="shared" si="70"/>
        <v>29.917910000000028</v>
      </c>
      <c r="I398" s="13">
        <f t="shared" si="71"/>
        <v>25.764713333333358</v>
      </c>
      <c r="J398" s="13">
        <f t="shared" si="72"/>
        <v>24.240223333333358</v>
      </c>
      <c r="K398" s="13">
        <f t="shared" si="73"/>
        <v>25.329846666666693</v>
      </c>
      <c r="L398" s="13">
        <f t="shared" si="74"/>
        <v>26.79427666666669</v>
      </c>
      <c r="M398" s="13">
        <f t="shared" si="75"/>
        <v>27.632770000000026</v>
      </c>
      <c r="N398" s="13">
        <f t="shared" si="76"/>
        <v>28.254453333333359</v>
      </c>
      <c r="O398" s="13">
        <f t="shared" si="77"/>
        <v>28.639453333333361</v>
      </c>
      <c r="P398" s="13">
        <f t="shared" si="78"/>
        <v>28.574810000000024</v>
      </c>
      <c r="Q398" s="13">
        <f t="shared" si="79"/>
        <v>28.71942333333336</v>
      </c>
      <c r="R398" s="13" t="s">
        <v>239</v>
      </c>
      <c r="T398" s="63">
        <v>1.29427</v>
      </c>
      <c r="U398" s="62">
        <v>8.1594300000000004</v>
      </c>
      <c r="V398" s="62">
        <v>7.0267400000000002</v>
      </c>
      <c r="W398" s="62">
        <v>6.61097</v>
      </c>
      <c r="X398" s="62">
        <v>6.9081400000000004</v>
      </c>
      <c r="Y398" s="62">
        <v>7.3075299999999999</v>
      </c>
      <c r="Z398" s="62">
        <v>7.5362099999999996</v>
      </c>
      <c r="AA398" s="62">
        <v>7.7057599999999997</v>
      </c>
      <c r="AB398" s="62">
        <v>7.8107600000000001</v>
      </c>
      <c r="AC398" s="62">
        <v>7.7931299999999997</v>
      </c>
      <c r="AD398" s="62">
        <v>7.8325699999999996</v>
      </c>
      <c r="AE398" t="s">
        <v>93</v>
      </c>
    </row>
    <row r="399" spans="1:31">
      <c r="A399" t="s">
        <v>267</v>
      </c>
      <c r="B399" t="s">
        <v>1</v>
      </c>
      <c r="C399" t="s">
        <v>161</v>
      </c>
      <c r="D399" s="13" t="str">
        <f>IFERROR(VLOOKUP(C399,ghg_sort!$A$86:$B$512,2,0),0)</f>
        <v>International</v>
      </c>
      <c r="E399" t="s">
        <v>87</v>
      </c>
      <c r="F399" s="13">
        <f>IFERROR(VLOOKUP($E399,ghg_sort!$A$3:$B$21,2,0),0)</f>
        <v>298</v>
      </c>
      <c r="G399" s="13">
        <f t="shared" si="69"/>
        <v>8.7508295999999999E-2</v>
      </c>
      <c r="H399" s="13">
        <f t="shared" si="70"/>
        <v>0.63040410000000002</v>
      </c>
      <c r="I399" s="13">
        <f t="shared" si="71"/>
        <v>0.45830909999999997</v>
      </c>
      <c r="J399" s="13">
        <f t="shared" si="72"/>
        <v>0.49671236000000002</v>
      </c>
      <c r="K399" s="13">
        <f t="shared" si="73"/>
        <v>0.51904150000000004</v>
      </c>
      <c r="L399" s="13">
        <f t="shared" si="74"/>
        <v>0.54905009999999999</v>
      </c>
      <c r="M399" s="13">
        <f t="shared" si="75"/>
        <v>0.56622980000000001</v>
      </c>
      <c r="N399" s="13">
        <f t="shared" si="76"/>
        <v>0.57896930000000002</v>
      </c>
      <c r="O399" s="13">
        <f t="shared" si="77"/>
        <v>0.58685735999999999</v>
      </c>
      <c r="P399" s="13">
        <f t="shared" si="78"/>
        <v>0.58553423999999998</v>
      </c>
      <c r="Q399" s="13">
        <f t="shared" si="79"/>
        <v>0.58849635999999994</v>
      </c>
      <c r="R399" s="13" t="s">
        <v>239</v>
      </c>
      <c r="T399" s="63">
        <v>2.9365199999999999E-4</v>
      </c>
      <c r="U399" s="62">
        <v>2.1154500000000001E-3</v>
      </c>
      <c r="V399" s="62">
        <v>1.53795E-3</v>
      </c>
      <c r="W399" s="62">
        <v>1.6668200000000001E-3</v>
      </c>
      <c r="X399" s="62">
        <v>1.74175E-3</v>
      </c>
      <c r="Y399" s="62">
        <v>1.84245E-3</v>
      </c>
      <c r="Z399" s="62">
        <v>1.9001000000000001E-3</v>
      </c>
      <c r="AA399" s="62">
        <v>1.9428500000000001E-3</v>
      </c>
      <c r="AB399" s="62">
        <v>1.9693200000000001E-3</v>
      </c>
      <c r="AC399" s="62">
        <v>1.96488E-3</v>
      </c>
      <c r="AD399" s="62">
        <v>1.97482E-3</v>
      </c>
      <c r="AE399" t="s">
        <v>93</v>
      </c>
    </row>
    <row r="400" spans="1:31">
      <c r="A400" t="s">
        <v>267</v>
      </c>
      <c r="B400" t="s">
        <v>1</v>
      </c>
      <c r="C400" t="s">
        <v>161</v>
      </c>
      <c r="D400" s="13" t="str">
        <f>IFERROR(VLOOKUP(C400,ghg_sort!$A$86:$B$512,2,0),0)</f>
        <v>International</v>
      </c>
      <c r="E400" s="12" t="s">
        <v>88</v>
      </c>
      <c r="F400" s="13">
        <f>IFERROR(VLOOKUP($E400,ghg_sort!$A$3:$B$21,2,0),0)</f>
        <v>0</v>
      </c>
      <c r="G400" s="13">
        <f t="shared" si="69"/>
        <v>0</v>
      </c>
      <c r="H400" s="13">
        <f t="shared" si="70"/>
        <v>0</v>
      </c>
      <c r="I400" s="13">
        <f t="shared" si="71"/>
        <v>0</v>
      </c>
      <c r="J400" s="13">
        <f t="shared" si="72"/>
        <v>0</v>
      </c>
      <c r="K400" s="13">
        <f t="shared" si="73"/>
        <v>0</v>
      </c>
      <c r="L400" s="13">
        <f t="shared" si="74"/>
        <v>0</v>
      </c>
      <c r="M400" s="13">
        <f t="shared" si="75"/>
        <v>0</v>
      </c>
      <c r="N400" s="13">
        <f t="shared" si="76"/>
        <v>0</v>
      </c>
      <c r="O400" s="13">
        <f t="shared" si="77"/>
        <v>0</v>
      </c>
      <c r="P400" s="13">
        <f t="shared" si="78"/>
        <v>0</v>
      </c>
      <c r="Q400" s="13">
        <f t="shared" si="79"/>
        <v>0</v>
      </c>
      <c r="R400" s="13" t="s">
        <v>239</v>
      </c>
      <c r="T400" s="63">
        <v>1.2909900000000001E-4</v>
      </c>
      <c r="U400" s="63">
        <v>8.9857399999999997E-4</v>
      </c>
      <c r="V400" s="63">
        <v>6.9240199999999995E-4</v>
      </c>
      <c r="W400" s="63">
        <v>7.2372799999999998E-4</v>
      </c>
      <c r="X400" s="63">
        <v>7.5626000000000003E-4</v>
      </c>
      <c r="Y400" s="63">
        <v>7.9998299999999999E-4</v>
      </c>
      <c r="Z400" s="63">
        <v>8.2501799999999995E-4</v>
      </c>
      <c r="AA400" s="63">
        <v>8.4357900000000001E-4</v>
      </c>
      <c r="AB400" s="63">
        <v>8.5507300000000003E-4</v>
      </c>
      <c r="AC400" s="63">
        <v>8.5314400000000002E-4</v>
      </c>
      <c r="AD400" s="63">
        <v>8.5746100000000001E-4</v>
      </c>
      <c r="AE400" t="s">
        <v>94</v>
      </c>
    </row>
    <row r="401" spans="1:31">
      <c r="A401" t="s">
        <v>267</v>
      </c>
      <c r="B401" t="s">
        <v>1</v>
      </c>
      <c r="C401" t="s">
        <v>161</v>
      </c>
      <c r="D401" s="13" t="str">
        <f>IFERROR(VLOOKUP(C401,ghg_sort!$A$86:$B$512,2,0),0)</f>
        <v>International</v>
      </c>
      <c r="E401" t="s">
        <v>89</v>
      </c>
      <c r="F401" s="13">
        <f>IFERROR(VLOOKUP($E401,ghg_sort!$A$3:$B$21,2,0),0)</f>
        <v>0</v>
      </c>
      <c r="G401" s="13">
        <f t="shared" si="69"/>
        <v>0</v>
      </c>
      <c r="H401" s="13">
        <f t="shared" si="70"/>
        <v>0</v>
      </c>
      <c r="I401" s="13">
        <f t="shared" si="71"/>
        <v>0</v>
      </c>
      <c r="J401" s="13">
        <f t="shared" si="72"/>
        <v>0</v>
      </c>
      <c r="K401" s="13">
        <f t="shared" si="73"/>
        <v>0</v>
      </c>
      <c r="L401" s="13">
        <f t="shared" si="74"/>
        <v>0</v>
      </c>
      <c r="M401" s="13">
        <f t="shared" si="75"/>
        <v>0</v>
      </c>
      <c r="N401" s="13">
        <f t="shared" si="76"/>
        <v>0</v>
      </c>
      <c r="O401" s="13">
        <f t="shared" si="77"/>
        <v>0</v>
      </c>
      <c r="P401" s="13">
        <f t="shared" si="78"/>
        <v>0</v>
      </c>
      <c r="Q401" s="13">
        <f t="shared" si="79"/>
        <v>0</v>
      </c>
      <c r="R401" s="13" t="s">
        <v>239</v>
      </c>
      <c r="T401" s="63">
        <v>5.8632399999999996E-3</v>
      </c>
      <c r="U401" s="62">
        <v>4.19104E-2</v>
      </c>
      <c r="V401" s="62">
        <v>3.0576300000000001E-2</v>
      </c>
      <c r="W401" s="62">
        <v>3.3026899999999998E-2</v>
      </c>
      <c r="X401" s="62">
        <v>2.3755200000000001E-2</v>
      </c>
      <c r="Y401" s="62">
        <v>1.53031E-2</v>
      </c>
      <c r="Z401" s="62">
        <v>1.27165E-2</v>
      </c>
      <c r="AA401" s="62">
        <v>1.10162E-2</v>
      </c>
      <c r="AB401" s="62">
        <v>9.7157900000000002E-3</v>
      </c>
      <c r="AC401" s="62">
        <v>9.0503800000000002E-3</v>
      </c>
      <c r="AD401" s="62">
        <v>8.3346800000000006E-3</v>
      </c>
      <c r="AE401" t="s">
        <v>93</v>
      </c>
    </row>
    <row r="402" spans="1:31">
      <c r="A402" t="s">
        <v>267</v>
      </c>
      <c r="B402" t="s">
        <v>1</v>
      </c>
      <c r="C402" t="s">
        <v>161</v>
      </c>
      <c r="D402" s="13" t="str">
        <f>IFERROR(VLOOKUP(C402,ghg_sort!$A$86:$B$512,2,0),0)</f>
        <v>International</v>
      </c>
      <c r="E402" t="s">
        <v>90</v>
      </c>
      <c r="F402" s="13">
        <f>IFERROR(VLOOKUP($E402,ghg_sort!$A$3:$B$21,2,0),0)</f>
        <v>0</v>
      </c>
      <c r="G402" s="13">
        <f t="shared" si="69"/>
        <v>0</v>
      </c>
      <c r="H402" s="13">
        <f t="shared" si="70"/>
        <v>0</v>
      </c>
      <c r="I402" s="13">
        <f t="shared" si="71"/>
        <v>0</v>
      </c>
      <c r="J402" s="13">
        <f t="shared" si="72"/>
        <v>0</v>
      </c>
      <c r="K402" s="13">
        <f t="shared" si="73"/>
        <v>0</v>
      </c>
      <c r="L402" s="13">
        <f t="shared" si="74"/>
        <v>0</v>
      </c>
      <c r="M402" s="13">
        <f t="shared" si="75"/>
        <v>0</v>
      </c>
      <c r="N402" s="13">
        <f t="shared" si="76"/>
        <v>0</v>
      </c>
      <c r="O402" s="13">
        <f t="shared" si="77"/>
        <v>0</v>
      </c>
      <c r="P402" s="13">
        <f t="shared" si="78"/>
        <v>0</v>
      </c>
      <c r="Q402" s="13">
        <f t="shared" si="79"/>
        <v>0</v>
      </c>
      <c r="R402" s="13" t="s">
        <v>239</v>
      </c>
      <c r="T402" s="63">
        <v>0.174238</v>
      </c>
      <c r="U402" s="63">
        <v>1.2442299999999999</v>
      </c>
      <c r="V402" s="63">
        <v>0.91170099999999998</v>
      </c>
      <c r="W402" s="63">
        <v>0.98137200000000002</v>
      </c>
      <c r="X402" s="63">
        <v>0.70586800000000005</v>
      </c>
      <c r="Y402" s="63">
        <v>0.45472000000000001</v>
      </c>
      <c r="Z402" s="63">
        <v>0.377863</v>
      </c>
      <c r="AA402" s="63">
        <v>0.32733899999999999</v>
      </c>
      <c r="AB402" s="63">
        <v>0.28869800000000001</v>
      </c>
      <c r="AC402" s="63">
        <v>0.268926</v>
      </c>
      <c r="AD402" s="63">
        <v>0.24765899999999999</v>
      </c>
      <c r="AE402" t="s">
        <v>93</v>
      </c>
    </row>
    <row r="403" spans="1:31">
      <c r="A403" t="s">
        <v>267</v>
      </c>
      <c r="B403" t="s">
        <v>1</v>
      </c>
      <c r="C403" t="s">
        <v>161</v>
      </c>
      <c r="D403" s="13" t="str">
        <f>IFERROR(VLOOKUP(C403,ghg_sort!$A$86:$B$512,2,0),0)</f>
        <v>International</v>
      </c>
      <c r="E403" t="s">
        <v>91</v>
      </c>
      <c r="F403" s="13">
        <f>IFERROR(VLOOKUP($E403,ghg_sort!$A$3:$B$21,2,0),0)</f>
        <v>0</v>
      </c>
      <c r="G403" s="13">
        <f t="shared" si="69"/>
        <v>0</v>
      </c>
      <c r="H403" s="13">
        <f t="shared" si="70"/>
        <v>0</v>
      </c>
      <c r="I403" s="13">
        <f t="shared" si="71"/>
        <v>0</v>
      </c>
      <c r="J403" s="13">
        <f t="shared" si="72"/>
        <v>0</v>
      </c>
      <c r="K403" s="13">
        <f t="shared" si="73"/>
        <v>0</v>
      </c>
      <c r="L403" s="13">
        <f t="shared" si="74"/>
        <v>0</v>
      </c>
      <c r="M403" s="13">
        <f t="shared" si="75"/>
        <v>0</v>
      </c>
      <c r="N403" s="13">
        <f t="shared" si="76"/>
        <v>0</v>
      </c>
      <c r="O403" s="13">
        <f t="shared" si="77"/>
        <v>0</v>
      </c>
      <c r="P403" s="13">
        <f t="shared" si="78"/>
        <v>0</v>
      </c>
      <c r="Q403" s="13">
        <f t="shared" si="79"/>
        <v>0</v>
      </c>
      <c r="R403" s="13" t="s">
        <v>239</v>
      </c>
      <c r="T403" s="63">
        <v>9.6293300000000002E-4</v>
      </c>
      <c r="U403" s="62">
        <v>6.9301600000000003E-3</v>
      </c>
      <c r="V403" s="62">
        <v>5.0590399999999999E-3</v>
      </c>
      <c r="W403" s="62">
        <v>5.4614099999999999E-3</v>
      </c>
      <c r="X403" s="62">
        <v>3.9282099999999997E-3</v>
      </c>
      <c r="Y403" s="62">
        <v>2.5305499999999999E-3</v>
      </c>
      <c r="Z403" s="62">
        <v>2.1028399999999999E-3</v>
      </c>
      <c r="AA403" s="62">
        <v>1.8216599999999999E-3</v>
      </c>
      <c r="AB403" s="62">
        <v>1.60662E-3</v>
      </c>
      <c r="AC403" s="62">
        <v>1.4965899999999999E-3</v>
      </c>
      <c r="AD403" s="62">
        <v>1.4382900000000001E-3</v>
      </c>
      <c r="AE403" t="s">
        <v>93</v>
      </c>
    </row>
    <row r="404" spans="1:31">
      <c r="A404" t="s">
        <v>267</v>
      </c>
      <c r="B404" t="s">
        <v>1</v>
      </c>
      <c r="C404" t="s">
        <v>161</v>
      </c>
      <c r="D404" s="13" t="str">
        <f>IFERROR(VLOOKUP(C404,ghg_sort!$A$86:$B$512,2,0),0)</f>
        <v>International</v>
      </c>
      <c r="E404" t="s">
        <v>92</v>
      </c>
      <c r="F404" s="13">
        <f>IFERROR(VLOOKUP($E404,ghg_sort!$A$3:$B$21,2,0),0)</f>
        <v>0</v>
      </c>
      <c r="G404" s="13">
        <f t="shared" si="69"/>
        <v>0</v>
      </c>
      <c r="H404" s="13">
        <f t="shared" si="70"/>
        <v>0</v>
      </c>
      <c r="I404" s="13">
        <f t="shared" si="71"/>
        <v>0</v>
      </c>
      <c r="J404" s="13">
        <f t="shared" si="72"/>
        <v>0</v>
      </c>
      <c r="K404" s="13">
        <f t="shared" si="73"/>
        <v>0</v>
      </c>
      <c r="L404" s="13">
        <f t="shared" si="74"/>
        <v>0</v>
      </c>
      <c r="M404" s="13">
        <f t="shared" si="75"/>
        <v>0</v>
      </c>
      <c r="N404" s="13">
        <f t="shared" si="76"/>
        <v>0</v>
      </c>
      <c r="O404" s="13">
        <f t="shared" si="77"/>
        <v>0</v>
      </c>
      <c r="P404" s="13">
        <f t="shared" si="78"/>
        <v>0</v>
      </c>
      <c r="Q404" s="13">
        <f t="shared" si="79"/>
        <v>0</v>
      </c>
      <c r="R404" s="13" t="s">
        <v>239</v>
      </c>
      <c r="T404" s="62">
        <v>8.7604000000000001E-2</v>
      </c>
      <c r="U404" s="62">
        <v>0.60352499999999998</v>
      </c>
      <c r="V404" s="62">
        <v>0.419985</v>
      </c>
      <c r="W404" s="62">
        <v>0.40111799999999997</v>
      </c>
      <c r="X404" s="62">
        <v>0.28851100000000002</v>
      </c>
      <c r="Y404" s="62">
        <v>0.185859</v>
      </c>
      <c r="Z404" s="62">
        <v>0.154445</v>
      </c>
      <c r="AA404" s="62">
        <v>0.133794</v>
      </c>
      <c r="AB404" s="62">
        <v>0.11799999999999999</v>
      </c>
      <c r="AC404" s="62">
        <v>0.109918</v>
      </c>
      <c r="AD404" s="62">
        <v>0.101226</v>
      </c>
      <c r="AE404" t="s">
        <v>93</v>
      </c>
    </row>
    <row r="405" spans="1:31">
      <c r="A405" t="s">
        <v>267</v>
      </c>
      <c r="B405" t="s">
        <v>1</v>
      </c>
      <c r="C405" t="s">
        <v>232</v>
      </c>
      <c r="D405" s="13" t="str">
        <f>IFERROR(VLOOKUP(C405,ghg_sort!$A$86:$B$512,2,0),0)</f>
        <v>Industry</v>
      </c>
      <c r="E405" t="s">
        <v>83</v>
      </c>
      <c r="F405" s="13">
        <f>IFERROR(VLOOKUP($E405,ghg_sort!$A$3:$B$21,2,0),0)</f>
        <v>0</v>
      </c>
      <c r="G405" s="13">
        <f t="shared" si="69"/>
        <v>0</v>
      </c>
      <c r="H405" s="13">
        <f t="shared" si="70"/>
        <v>0</v>
      </c>
      <c r="I405" s="13">
        <f t="shared" si="71"/>
        <v>0</v>
      </c>
      <c r="J405" s="13">
        <f t="shared" si="72"/>
        <v>0</v>
      </c>
      <c r="K405" s="13">
        <f t="shared" si="73"/>
        <v>0</v>
      </c>
      <c r="L405" s="13">
        <f t="shared" si="74"/>
        <v>0</v>
      </c>
      <c r="M405" s="13">
        <f t="shared" si="75"/>
        <v>0</v>
      </c>
      <c r="N405" s="13">
        <f t="shared" si="76"/>
        <v>0</v>
      </c>
      <c r="O405" s="13">
        <f t="shared" si="77"/>
        <v>0</v>
      </c>
      <c r="P405" s="13">
        <f t="shared" si="78"/>
        <v>0</v>
      </c>
      <c r="Q405" s="13">
        <f t="shared" si="79"/>
        <v>0</v>
      </c>
      <c r="R405" s="13" t="s">
        <v>239</v>
      </c>
      <c r="T405" s="63">
        <v>5.64733E-5</v>
      </c>
      <c r="U405" s="63">
        <v>1.02577E-4</v>
      </c>
      <c r="V405" s="63">
        <v>1.0935200000000001E-4</v>
      </c>
      <c r="W405" s="63">
        <v>1.1340099999999999E-4</v>
      </c>
      <c r="X405" s="63">
        <v>8.0666200000000004E-5</v>
      </c>
      <c r="Y405" s="63">
        <v>8.0062399999999994E-5</v>
      </c>
      <c r="Z405" s="63">
        <v>7.9674900000000005E-5</v>
      </c>
      <c r="AA405" s="63">
        <v>7.9161300000000004E-5</v>
      </c>
      <c r="AB405" s="63">
        <v>7.8109399999999995E-5</v>
      </c>
      <c r="AC405" s="63">
        <v>7.6299500000000004E-5</v>
      </c>
      <c r="AD405" s="63">
        <v>7.3699200000000001E-5</v>
      </c>
      <c r="AE405" t="s">
        <v>93</v>
      </c>
    </row>
    <row r="406" spans="1:31">
      <c r="A406" t="s">
        <v>267</v>
      </c>
      <c r="B406" t="s">
        <v>1</v>
      </c>
      <c r="C406" t="s">
        <v>232</v>
      </c>
      <c r="D406" s="13" t="str">
        <f>IFERROR(VLOOKUP(C406,ghg_sort!$A$86:$B$512,2,0),0)</f>
        <v>Industry</v>
      </c>
      <c r="E406" t="s">
        <v>84</v>
      </c>
      <c r="F406" s="13">
        <f>IFERROR(VLOOKUP($E406,ghg_sort!$A$3:$B$21,2,0),0)</f>
        <v>25</v>
      </c>
      <c r="G406" s="13">
        <f t="shared" si="69"/>
        <v>7.4664999999999999</v>
      </c>
      <c r="H406" s="13">
        <f t="shared" si="70"/>
        <v>13.139249999999999</v>
      </c>
      <c r="I406" s="13">
        <f t="shared" si="71"/>
        <v>12.846250000000001</v>
      </c>
      <c r="J406" s="13">
        <f t="shared" si="72"/>
        <v>12.86225</v>
      </c>
      <c r="K406" s="13">
        <f t="shared" si="73"/>
        <v>13.052008125</v>
      </c>
      <c r="L406" s="13">
        <f t="shared" si="74"/>
        <v>12.923479525000001</v>
      </c>
      <c r="M406" s="13">
        <f t="shared" si="75"/>
        <v>12.829295199999999</v>
      </c>
      <c r="N406" s="13">
        <f t="shared" si="76"/>
        <v>12.727250074999999</v>
      </c>
      <c r="O406" s="13">
        <f t="shared" si="77"/>
        <v>12.539059724999976</v>
      </c>
      <c r="P406" s="13">
        <f t="shared" si="78"/>
        <v>12.24827425</v>
      </c>
      <c r="Q406" s="13">
        <f t="shared" si="79"/>
        <v>11.830699425000001</v>
      </c>
      <c r="R406" s="13" t="s">
        <v>239</v>
      </c>
      <c r="T406" s="62">
        <v>0.29865999999999998</v>
      </c>
      <c r="U406" s="62">
        <v>0.52556999999999998</v>
      </c>
      <c r="V406" s="62">
        <v>0.51385000000000003</v>
      </c>
      <c r="W406" s="62">
        <v>0.51449</v>
      </c>
      <c r="X406" s="62">
        <v>0.52208032500000001</v>
      </c>
      <c r="Y406" s="62">
        <v>0.51693918100000003</v>
      </c>
      <c r="Z406" s="62">
        <v>0.51317180799999995</v>
      </c>
      <c r="AA406" s="62">
        <v>0.50909000299999996</v>
      </c>
      <c r="AB406" s="62">
        <v>0.50156238899999905</v>
      </c>
      <c r="AC406" s="62">
        <v>0.48993097000000002</v>
      </c>
      <c r="AD406" s="62">
        <v>0.47322797700000002</v>
      </c>
      <c r="AE406" t="s">
        <v>93</v>
      </c>
    </row>
    <row r="407" spans="1:31">
      <c r="A407" t="s">
        <v>267</v>
      </c>
      <c r="B407" t="s">
        <v>1</v>
      </c>
      <c r="C407" t="s">
        <v>232</v>
      </c>
      <c r="D407" s="13" t="str">
        <f>IFERROR(VLOOKUP(C407,ghg_sort!$A$86:$B$512,2,0),0)</f>
        <v>Industry</v>
      </c>
      <c r="E407" t="s">
        <v>85</v>
      </c>
      <c r="F407" s="13">
        <f>IFERROR(VLOOKUP($E407,ghg_sort!$A$3:$B$21,2,0),0)</f>
        <v>0</v>
      </c>
      <c r="G407" s="13">
        <f t="shared" si="69"/>
        <v>0</v>
      </c>
      <c r="H407" s="13">
        <f t="shared" si="70"/>
        <v>0</v>
      </c>
      <c r="I407" s="13">
        <f t="shared" si="71"/>
        <v>0</v>
      </c>
      <c r="J407" s="13">
        <f t="shared" si="72"/>
        <v>0</v>
      </c>
      <c r="K407" s="13">
        <f t="shared" si="73"/>
        <v>0</v>
      </c>
      <c r="L407" s="13">
        <f t="shared" si="74"/>
        <v>0</v>
      </c>
      <c r="M407" s="13">
        <f t="shared" si="75"/>
        <v>0</v>
      </c>
      <c r="N407" s="13">
        <f t="shared" si="76"/>
        <v>0</v>
      </c>
      <c r="O407" s="13">
        <f t="shared" si="77"/>
        <v>0</v>
      </c>
      <c r="P407" s="13">
        <f t="shared" si="78"/>
        <v>0</v>
      </c>
      <c r="Q407" s="13">
        <f t="shared" si="79"/>
        <v>0</v>
      </c>
      <c r="R407" s="13" t="s">
        <v>239</v>
      </c>
      <c r="T407" s="63">
        <v>9.7000000000000005E-4</v>
      </c>
      <c r="U407" s="63">
        <v>1.6900000000000001E-3</v>
      </c>
      <c r="V407" s="63">
        <v>7.6999999999999996E-4</v>
      </c>
      <c r="W407" s="63">
        <v>1.81E-3</v>
      </c>
      <c r="X407" s="63">
        <v>1.2660499999999999E-3</v>
      </c>
      <c r="Y407" s="63">
        <v>7.6524000000000004E-4</v>
      </c>
      <c r="Z407" s="63">
        <v>6.1361800000000002E-4</v>
      </c>
      <c r="AA407" s="63">
        <v>5.1652299999999996E-4</v>
      </c>
      <c r="AB407" s="63">
        <v>4.4345400000000003E-4</v>
      </c>
      <c r="AC407" s="63">
        <v>4.0442400000000002E-4</v>
      </c>
      <c r="AD407" s="63">
        <v>3.5793799999999997E-4</v>
      </c>
      <c r="AE407" t="s">
        <v>93</v>
      </c>
    </row>
    <row r="408" spans="1:31">
      <c r="A408" t="s">
        <v>267</v>
      </c>
      <c r="B408" t="s">
        <v>1</v>
      </c>
      <c r="C408" t="s">
        <v>232</v>
      </c>
      <c r="D408" s="13" t="str">
        <f>IFERROR(VLOOKUP(C408,ghg_sort!$A$86:$B$512,2,0),0)</f>
        <v>Industry</v>
      </c>
      <c r="E408" t="s">
        <v>233</v>
      </c>
      <c r="F408" s="13">
        <f>IFERROR(VLOOKUP($E408,ghg_sort!$A$3:$B$21,2,0),0)</f>
        <v>3.22</v>
      </c>
      <c r="G408" s="13">
        <f t="shared" si="69"/>
        <v>0</v>
      </c>
      <c r="H408" s="13">
        <f t="shared" si="70"/>
        <v>8.6730378000000011E-2</v>
      </c>
      <c r="I408" s="13">
        <f t="shared" si="71"/>
        <v>0.15535759399999999</v>
      </c>
      <c r="J408" s="13">
        <f t="shared" si="72"/>
        <v>0.22366635200000001</v>
      </c>
      <c r="K408" s="13">
        <f t="shared" si="73"/>
        <v>0.14647393600000003</v>
      </c>
      <c r="L408" s="13">
        <f t="shared" si="74"/>
        <v>0.14531956600000001</v>
      </c>
      <c r="M408" s="13">
        <f t="shared" si="75"/>
        <v>0.16528807400000001</v>
      </c>
      <c r="N408" s="13">
        <f t="shared" si="76"/>
        <v>0.16402551200000001</v>
      </c>
      <c r="O408" s="13">
        <f t="shared" si="77"/>
        <v>0.16181337200000001</v>
      </c>
      <c r="P408" s="13">
        <f t="shared" si="78"/>
        <v>0.15790558000000002</v>
      </c>
      <c r="Q408" s="13">
        <f t="shared" si="79"/>
        <v>0.152523994</v>
      </c>
      <c r="R408" s="13" t="s">
        <v>239</v>
      </c>
      <c r="T408" s="62">
        <v>0</v>
      </c>
      <c r="U408" s="62">
        <v>2.6934900000000001E-2</v>
      </c>
      <c r="V408" s="62">
        <v>4.8247699999999998E-2</v>
      </c>
      <c r="W408" s="62">
        <v>6.9461599999999998E-2</v>
      </c>
      <c r="X408" s="62">
        <v>4.5488800000000003E-2</v>
      </c>
      <c r="Y408" s="62">
        <v>4.5130299999999998E-2</v>
      </c>
      <c r="Z408" s="62">
        <v>5.1331700000000001E-2</v>
      </c>
      <c r="AA408" s="62">
        <v>5.0939600000000002E-2</v>
      </c>
      <c r="AB408" s="62">
        <v>5.0252600000000001E-2</v>
      </c>
      <c r="AC408" s="62">
        <v>4.9038999999999999E-2</v>
      </c>
      <c r="AD408" s="62">
        <v>4.7367699999999999E-2</v>
      </c>
      <c r="AE408" t="s">
        <v>93</v>
      </c>
    </row>
    <row r="409" spans="1:31">
      <c r="A409" t="s">
        <v>267</v>
      </c>
      <c r="B409" t="s">
        <v>1</v>
      </c>
      <c r="C409" t="s">
        <v>232</v>
      </c>
      <c r="D409" s="13" t="str">
        <f>IFERROR(VLOOKUP(C409,ghg_sort!$A$86:$B$512,2,0),0)</f>
        <v>Industry</v>
      </c>
      <c r="E409" t="s">
        <v>234</v>
      </c>
      <c r="F409" s="13">
        <f>IFERROR(VLOOKUP($E409,ghg_sort!$A$3:$B$21,2,0),0)</f>
        <v>9.81</v>
      </c>
      <c r="G409" s="13">
        <f t="shared" si="69"/>
        <v>0</v>
      </c>
      <c r="H409" s="13">
        <f t="shared" si="70"/>
        <v>7.1124265800000001E-3</v>
      </c>
      <c r="I409" s="13">
        <f t="shared" si="71"/>
        <v>1.0498563900000001E-2</v>
      </c>
      <c r="J409" s="13">
        <f t="shared" si="72"/>
        <v>1.5114659400000001E-2</v>
      </c>
      <c r="K409" s="13">
        <f t="shared" si="73"/>
        <v>7.1997944399999998E-3</v>
      </c>
      <c r="L409" s="13">
        <f t="shared" si="74"/>
        <v>7.1430435900000011E-3</v>
      </c>
      <c r="M409" s="13">
        <f t="shared" si="75"/>
        <v>7.5652463699999997E-3</v>
      </c>
      <c r="N409" s="13">
        <f t="shared" si="76"/>
        <v>7.5074556600000005E-3</v>
      </c>
      <c r="O409" s="13">
        <f t="shared" si="77"/>
        <v>7.4062066500000003E-3</v>
      </c>
      <c r="P409" s="13">
        <f t="shared" si="78"/>
        <v>7.227350730000001E-3</v>
      </c>
      <c r="Q409" s="13">
        <f t="shared" si="79"/>
        <v>6.9810314400000004E-3</v>
      </c>
      <c r="R409" s="13" t="s">
        <v>239</v>
      </c>
      <c r="T409" s="63">
        <v>0</v>
      </c>
      <c r="U409" s="63">
        <v>7.2501800000000002E-4</v>
      </c>
      <c r="V409" s="63">
        <v>1.0701899999999999E-3</v>
      </c>
      <c r="W409" s="62">
        <v>1.5407400000000001E-3</v>
      </c>
      <c r="X409" s="63">
        <v>7.3392399999999995E-4</v>
      </c>
      <c r="Y409" s="63">
        <v>7.2813900000000004E-4</v>
      </c>
      <c r="Z409" s="63">
        <v>7.7117699999999995E-4</v>
      </c>
      <c r="AA409" s="63">
        <v>7.65286E-4</v>
      </c>
      <c r="AB409" s="63">
        <v>7.5496500000000002E-4</v>
      </c>
      <c r="AC409" s="63">
        <v>7.3673300000000005E-4</v>
      </c>
      <c r="AD409" s="63">
        <v>7.11624E-4</v>
      </c>
      <c r="AE409" t="s">
        <v>93</v>
      </c>
    </row>
    <row r="410" spans="1:31">
      <c r="A410" t="s">
        <v>267</v>
      </c>
      <c r="B410" t="s">
        <v>1</v>
      </c>
      <c r="C410" t="s">
        <v>232</v>
      </c>
      <c r="D410" s="13" t="str">
        <f>IFERROR(VLOOKUP(C410,ghg_sort!$A$86:$B$512,2,0),0)</f>
        <v>Industry</v>
      </c>
      <c r="E410" t="s">
        <v>87</v>
      </c>
      <c r="F410" s="13">
        <f>IFERROR(VLOOKUP($E410,ghg_sort!$A$3:$B$21,2,0),0)</f>
        <v>298</v>
      </c>
      <c r="G410" s="13">
        <f t="shared" si="69"/>
        <v>0.66156000000000004</v>
      </c>
      <c r="H410" s="13">
        <f t="shared" si="70"/>
        <v>0.78969999999999996</v>
      </c>
      <c r="I410" s="13">
        <f t="shared" si="71"/>
        <v>0.93572</v>
      </c>
      <c r="J410" s="13">
        <f t="shared" si="72"/>
        <v>0.99234</v>
      </c>
      <c r="K410" s="13">
        <f t="shared" si="73"/>
        <v>1.0076118145999999</v>
      </c>
      <c r="L410" s="13">
        <f t="shared" si="74"/>
        <v>0.99839044300000002</v>
      </c>
      <c r="M410" s="13">
        <f t="shared" si="75"/>
        <v>0.99180902360000001</v>
      </c>
      <c r="N410" s="13">
        <f t="shared" si="76"/>
        <v>0.98463354120000002</v>
      </c>
      <c r="O410" s="13">
        <f t="shared" si="77"/>
        <v>0.97077949140000008</v>
      </c>
      <c r="P410" s="13">
        <f t="shared" si="78"/>
        <v>0.94828588520000001</v>
      </c>
      <c r="Q410" s="13">
        <f t="shared" si="79"/>
        <v>0.91596468600000003</v>
      </c>
      <c r="R410" s="13" t="s">
        <v>239</v>
      </c>
      <c r="T410" s="62">
        <v>2.2200000000000002E-3</v>
      </c>
      <c r="U410" s="62">
        <v>2.65E-3</v>
      </c>
      <c r="V410" s="62">
        <v>3.14E-3</v>
      </c>
      <c r="W410" s="62">
        <v>3.3300000000000001E-3</v>
      </c>
      <c r="X410" s="62">
        <v>3.3812476999999998E-3</v>
      </c>
      <c r="Y410" s="62">
        <v>3.3503035E-3</v>
      </c>
      <c r="Z410" s="62">
        <v>3.3282182E-3</v>
      </c>
      <c r="AA410" s="62">
        <v>3.3041393999999999E-3</v>
      </c>
      <c r="AB410" s="62">
        <v>3.2576493000000002E-3</v>
      </c>
      <c r="AC410" s="62">
        <v>3.1821674000000002E-3</v>
      </c>
      <c r="AD410" s="62">
        <v>3.0737070000000002E-3</v>
      </c>
      <c r="AE410" t="s">
        <v>131</v>
      </c>
    </row>
    <row r="411" spans="1:31">
      <c r="A411" t="s">
        <v>267</v>
      </c>
      <c r="B411" t="s">
        <v>1</v>
      </c>
      <c r="C411" t="s">
        <v>232</v>
      </c>
      <c r="D411" s="13" t="str">
        <f>IFERROR(VLOOKUP(C411,ghg_sort!$A$86:$B$512,2,0),0)</f>
        <v>Industry</v>
      </c>
      <c r="E411" t="s">
        <v>88</v>
      </c>
      <c r="F411" s="13">
        <f>IFERROR(VLOOKUP($E411,ghg_sort!$A$3:$B$21,2,0),0)</f>
        <v>0</v>
      </c>
      <c r="G411" s="13">
        <f t="shared" si="69"/>
        <v>0</v>
      </c>
      <c r="H411" s="13">
        <f t="shared" si="70"/>
        <v>0</v>
      </c>
      <c r="I411" s="13">
        <f t="shared" si="71"/>
        <v>0</v>
      </c>
      <c r="J411" s="13">
        <f t="shared" si="72"/>
        <v>0</v>
      </c>
      <c r="K411" s="13">
        <f t="shared" si="73"/>
        <v>0</v>
      </c>
      <c r="L411" s="13">
        <f t="shared" si="74"/>
        <v>0</v>
      </c>
      <c r="M411" s="13">
        <f t="shared" si="75"/>
        <v>0</v>
      </c>
      <c r="N411" s="13">
        <f t="shared" si="76"/>
        <v>0</v>
      </c>
      <c r="O411" s="13">
        <f t="shared" si="77"/>
        <v>0</v>
      </c>
      <c r="P411" s="13">
        <f t="shared" si="78"/>
        <v>0</v>
      </c>
      <c r="Q411" s="13">
        <f t="shared" si="79"/>
        <v>0</v>
      </c>
      <c r="R411" s="13" t="s">
        <v>239</v>
      </c>
      <c r="T411" s="62">
        <v>7.016E-2</v>
      </c>
      <c r="U411" s="63">
        <v>3.5299999999999998E-2</v>
      </c>
      <c r="V411" s="62">
        <v>3.1359999999999999E-2</v>
      </c>
      <c r="W411" s="62">
        <v>2.5649999999999999E-2</v>
      </c>
      <c r="X411" s="63">
        <v>2.6065339E-2</v>
      </c>
      <c r="Y411" s="63">
        <v>2.5870217000000001E-2</v>
      </c>
      <c r="Z411" s="63">
        <v>2.5745041E-2</v>
      </c>
      <c r="AA411" s="63">
        <v>2.5579147E-2</v>
      </c>
      <c r="AB411" s="63">
        <v>2.5239196999999901E-2</v>
      </c>
      <c r="AC411" s="63">
        <v>2.4654336999999998E-2</v>
      </c>
      <c r="AD411" s="63">
        <v>2.3814084999999999E-2</v>
      </c>
      <c r="AE411" t="s">
        <v>131</v>
      </c>
    </row>
    <row r="412" spans="1:31">
      <c r="A412" t="s">
        <v>267</v>
      </c>
      <c r="B412" t="s">
        <v>1</v>
      </c>
      <c r="C412" t="s">
        <v>232</v>
      </c>
      <c r="D412" s="13" t="str">
        <f>IFERROR(VLOOKUP(C412,ghg_sort!$A$86:$B$512,2,0),0)</f>
        <v>Industry</v>
      </c>
      <c r="E412" t="s">
        <v>89</v>
      </c>
      <c r="F412" s="13">
        <f>IFERROR(VLOOKUP($E412,ghg_sort!$A$3:$B$21,2,0),0)</f>
        <v>0</v>
      </c>
      <c r="G412" s="13">
        <f t="shared" si="69"/>
        <v>0</v>
      </c>
      <c r="H412" s="13">
        <f t="shared" si="70"/>
        <v>0</v>
      </c>
      <c r="I412" s="13">
        <f t="shared" si="71"/>
        <v>0</v>
      </c>
      <c r="J412" s="13">
        <f t="shared" si="72"/>
        <v>0</v>
      </c>
      <c r="K412" s="13">
        <f t="shared" si="73"/>
        <v>0</v>
      </c>
      <c r="L412" s="13">
        <f t="shared" si="74"/>
        <v>0</v>
      </c>
      <c r="M412" s="13">
        <f t="shared" si="75"/>
        <v>0</v>
      </c>
      <c r="N412" s="13">
        <f t="shared" si="76"/>
        <v>0</v>
      </c>
      <c r="O412" s="13">
        <f t="shared" si="77"/>
        <v>0</v>
      </c>
      <c r="P412" s="13">
        <f t="shared" si="78"/>
        <v>0</v>
      </c>
      <c r="Q412" s="13">
        <f t="shared" si="79"/>
        <v>0</v>
      </c>
      <c r="R412" s="13" t="s">
        <v>239</v>
      </c>
      <c r="T412" s="62">
        <v>1.5599999999999999E-2</v>
      </c>
      <c r="U412" s="62">
        <v>2.496E-2</v>
      </c>
      <c r="V412" s="62">
        <v>2.6759999999999999E-2</v>
      </c>
      <c r="W412" s="62">
        <v>3.6659999999999998E-2</v>
      </c>
      <c r="X412" s="62">
        <v>2.5664854500000001E-2</v>
      </c>
      <c r="Y412" s="62">
        <v>1.5540248099999999E-2</v>
      </c>
      <c r="Z412" s="62">
        <v>1.47604634E-2</v>
      </c>
      <c r="AA412" s="62">
        <v>1.46653304999999E-2</v>
      </c>
      <c r="AB412" s="62">
        <v>1.4470500799999999E-2</v>
      </c>
      <c r="AC412" s="62">
        <v>1.4135203900000001E-2</v>
      </c>
      <c r="AD412" s="62">
        <v>1.36534558E-2</v>
      </c>
      <c r="AE412" t="s">
        <v>93</v>
      </c>
    </row>
    <row r="413" spans="1:31">
      <c r="A413" t="s">
        <v>267</v>
      </c>
      <c r="B413" t="s">
        <v>1</v>
      </c>
      <c r="C413" t="s">
        <v>232</v>
      </c>
      <c r="D413" s="13" t="str">
        <f>IFERROR(VLOOKUP(C413,ghg_sort!$A$86:$B$512,2,0),0)</f>
        <v>Industry</v>
      </c>
      <c r="E413" t="s">
        <v>90</v>
      </c>
      <c r="F413" s="13">
        <f>IFERROR(VLOOKUP($E413,ghg_sort!$A$3:$B$21,2,0),0)</f>
        <v>0</v>
      </c>
      <c r="G413" s="13">
        <f t="shared" si="69"/>
        <v>0</v>
      </c>
      <c r="H413" s="13">
        <f t="shared" si="70"/>
        <v>0</v>
      </c>
      <c r="I413" s="13">
        <f t="shared" si="71"/>
        <v>0</v>
      </c>
      <c r="J413" s="13">
        <f t="shared" si="72"/>
        <v>0</v>
      </c>
      <c r="K413" s="13">
        <f t="shared" si="73"/>
        <v>0</v>
      </c>
      <c r="L413" s="13">
        <f t="shared" si="74"/>
        <v>0</v>
      </c>
      <c r="M413" s="13">
        <f t="shared" si="75"/>
        <v>0</v>
      </c>
      <c r="N413" s="13">
        <f t="shared" si="76"/>
        <v>0</v>
      </c>
      <c r="O413" s="13">
        <f t="shared" si="77"/>
        <v>0</v>
      </c>
      <c r="P413" s="13">
        <f t="shared" si="78"/>
        <v>0</v>
      </c>
      <c r="Q413" s="13">
        <f t="shared" si="79"/>
        <v>0</v>
      </c>
      <c r="R413" s="13" t="s">
        <v>239</v>
      </c>
      <c r="T413" s="62">
        <v>4.3400000000000001E-3</v>
      </c>
      <c r="U413" s="62">
        <v>7.8899999999999994E-3</v>
      </c>
      <c r="V413" s="62">
        <v>4.8700000000000002E-3</v>
      </c>
      <c r="W413" s="62">
        <v>8.6499999999999997E-3</v>
      </c>
      <c r="X413" s="62">
        <v>6.0504399999999998E-3</v>
      </c>
      <c r="Y413" s="62">
        <v>3.65709E-3</v>
      </c>
      <c r="Z413" s="62">
        <v>2.9324799999999999E-3</v>
      </c>
      <c r="AA413" s="62">
        <v>2.46847E-3</v>
      </c>
      <c r="AB413" s="62">
        <v>2.1192699999999999E-3</v>
      </c>
      <c r="AC413" s="62">
        <v>1.93275E-3</v>
      </c>
      <c r="AD413" s="62">
        <v>1.7105899999999999E-3</v>
      </c>
      <c r="AE413" t="s">
        <v>93</v>
      </c>
    </row>
    <row r="414" spans="1:31">
      <c r="A414" t="s">
        <v>267</v>
      </c>
      <c r="B414" t="s">
        <v>1</v>
      </c>
      <c r="C414" t="s">
        <v>232</v>
      </c>
      <c r="D414" s="13" t="str">
        <f>IFERROR(VLOOKUP(C414,ghg_sort!$A$86:$B$512,2,0),0)</f>
        <v>Industry</v>
      </c>
      <c r="E414" t="s">
        <v>91</v>
      </c>
      <c r="F414" s="13">
        <f>IFERROR(VLOOKUP($E414,ghg_sort!$A$3:$B$21,2,0),0)</f>
        <v>0</v>
      </c>
      <c r="G414" s="13">
        <f t="shared" si="69"/>
        <v>0</v>
      </c>
      <c r="H414" s="13">
        <f t="shared" si="70"/>
        <v>0</v>
      </c>
      <c r="I414" s="13">
        <f t="shared" si="71"/>
        <v>0</v>
      </c>
      <c r="J414" s="13">
        <f t="shared" si="72"/>
        <v>0</v>
      </c>
      <c r="K414" s="13">
        <f t="shared" si="73"/>
        <v>0</v>
      </c>
      <c r="L414" s="13">
        <f t="shared" si="74"/>
        <v>0</v>
      </c>
      <c r="M414" s="13">
        <f t="shared" si="75"/>
        <v>0</v>
      </c>
      <c r="N414" s="13">
        <f t="shared" si="76"/>
        <v>0</v>
      </c>
      <c r="O414" s="13">
        <f t="shared" si="77"/>
        <v>0</v>
      </c>
      <c r="P414" s="13">
        <f t="shared" si="78"/>
        <v>0</v>
      </c>
      <c r="Q414" s="13">
        <f t="shared" si="79"/>
        <v>0</v>
      </c>
      <c r="R414" s="13" t="s">
        <v>239</v>
      </c>
      <c r="T414" s="63">
        <v>3.5E-4</v>
      </c>
      <c r="U414" s="63">
        <v>6.4000000000000005E-4</v>
      </c>
      <c r="V414" s="63">
        <v>6.8000000000000005E-4</v>
      </c>
      <c r="W414" s="63">
        <v>7.1000000000000002E-4</v>
      </c>
      <c r="X414" s="63">
        <v>5.0504800000000002E-4</v>
      </c>
      <c r="Y414" s="63">
        <v>5.0126800000000003E-4</v>
      </c>
      <c r="Z414" s="63">
        <v>4.9884099999999998E-4</v>
      </c>
      <c r="AA414" s="63">
        <v>4.9562599999999999E-4</v>
      </c>
      <c r="AB414" s="63">
        <v>4.8904000000000005E-4</v>
      </c>
      <c r="AC414" s="63">
        <v>4.7770799999999997E-4</v>
      </c>
      <c r="AD414" s="63">
        <v>4.61428E-4</v>
      </c>
      <c r="AE414" t="s">
        <v>93</v>
      </c>
    </row>
    <row r="415" spans="1:31">
      <c r="A415" t="s">
        <v>267</v>
      </c>
      <c r="B415" t="s">
        <v>1</v>
      </c>
      <c r="C415" t="s">
        <v>232</v>
      </c>
      <c r="D415" s="13" t="str">
        <f>IFERROR(VLOOKUP(C415,ghg_sort!$A$86:$B$512,2,0),0)</f>
        <v>Industry</v>
      </c>
      <c r="E415" t="s">
        <v>92</v>
      </c>
      <c r="F415" s="13">
        <f>IFERROR(VLOOKUP($E415,ghg_sort!$A$3:$B$21,2,0),0)</f>
        <v>0</v>
      </c>
      <c r="G415" s="13">
        <f t="shared" si="69"/>
        <v>0</v>
      </c>
      <c r="H415" s="13">
        <f t="shared" si="70"/>
        <v>0</v>
      </c>
      <c r="I415" s="13">
        <f t="shared" si="71"/>
        <v>0</v>
      </c>
      <c r="J415" s="13">
        <f t="shared" si="72"/>
        <v>0</v>
      </c>
      <c r="K415" s="13">
        <f t="shared" si="73"/>
        <v>0</v>
      </c>
      <c r="L415" s="13">
        <f t="shared" si="74"/>
        <v>0</v>
      </c>
      <c r="M415" s="13">
        <f t="shared" si="75"/>
        <v>0</v>
      </c>
      <c r="N415" s="13">
        <f t="shared" si="76"/>
        <v>0</v>
      </c>
      <c r="O415" s="13">
        <f t="shared" si="77"/>
        <v>0</v>
      </c>
      <c r="P415" s="13">
        <f t="shared" si="78"/>
        <v>0</v>
      </c>
      <c r="Q415" s="13">
        <f t="shared" si="79"/>
        <v>0</v>
      </c>
      <c r="R415" s="13" t="s">
        <v>239</v>
      </c>
      <c r="T415" s="63">
        <v>7.1199700000000002E-4</v>
      </c>
      <c r="U415" s="62">
        <v>1.2539000000000001E-3</v>
      </c>
      <c r="V415" s="62">
        <v>1.17347E-3</v>
      </c>
      <c r="W415" s="62">
        <v>5.8689099999999998E-3</v>
      </c>
      <c r="X415" s="62">
        <v>4.1051400000000002E-3</v>
      </c>
      <c r="Y415" s="62">
        <v>2.9596499999999999E-3</v>
      </c>
      <c r="Z415" s="62">
        <v>2.9453299999999999E-3</v>
      </c>
      <c r="AA415" s="62">
        <v>2.9263399999999999E-3</v>
      </c>
      <c r="AB415" s="62">
        <v>2.8874500000000002E-3</v>
      </c>
      <c r="AC415" s="62">
        <v>2.8205499999999998E-3</v>
      </c>
      <c r="AD415" s="62">
        <v>2.72442E-3</v>
      </c>
      <c r="AE415" t="s">
        <v>93</v>
      </c>
    </row>
    <row r="416" spans="1:31"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</row>
    <row r="417" spans="1:31"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T417" s="14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</row>
    <row r="418" spans="1:31"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</row>
    <row r="419" spans="1:31">
      <c r="E419">
        <f>COUNTIF(E3:E417,E423)</f>
        <v>40</v>
      </c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</row>
    <row r="420" spans="1:31"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</row>
    <row r="421" spans="1:31">
      <c r="A421" s="1" t="s">
        <v>494</v>
      </c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</row>
    <row r="422" spans="1:31">
      <c r="A422" t="s">
        <v>240</v>
      </c>
      <c r="B422" t="s">
        <v>241</v>
      </c>
      <c r="C422" t="s">
        <v>242</v>
      </c>
      <c r="G422" s="13">
        <v>1990</v>
      </c>
      <c r="H422">
        <v>2005</v>
      </c>
      <c r="I422" s="13">
        <v>2010</v>
      </c>
      <c r="J422" s="13">
        <v>2015</v>
      </c>
      <c r="K422" s="13">
        <v>2020</v>
      </c>
      <c r="L422" s="13">
        <v>2025</v>
      </c>
      <c r="M422" s="13">
        <v>2030</v>
      </c>
      <c r="N422" s="13">
        <v>2035</v>
      </c>
      <c r="O422" s="13">
        <v>2040</v>
      </c>
      <c r="P422" s="13">
        <v>2045</v>
      </c>
      <c r="Q422" s="13">
        <v>2050</v>
      </c>
      <c r="R422" t="s">
        <v>243</v>
      </c>
      <c r="T422" s="13">
        <v>1990</v>
      </c>
      <c r="U422" s="13">
        <v>2005</v>
      </c>
      <c r="V422" s="13">
        <v>2010</v>
      </c>
      <c r="W422" s="13">
        <v>2015</v>
      </c>
      <c r="X422" s="13">
        <v>2020</v>
      </c>
      <c r="Y422" s="13">
        <v>2025</v>
      </c>
      <c r="Z422" s="13">
        <v>2030</v>
      </c>
      <c r="AA422" s="13">
        <v>2035</v>
      </c>
      <c r="AB422" s="13">
        <v>2040</v>
      </c>
      <c r="AC422" s="13">
        <v>2045</v>
      </c>
      <c r="AD422" s="13">
        <v>2050</v>
      </c>
      <c r="AE422" s="13" t="s">
        <v>243</v>
      </c>
    </row>
    <row r="423" spans="1:31">
      <c r="A423" t="s">
        <v>267</v>
      </c>
      <c r="B423" t="s">
        <v>1</v>
      </c>
      <c r="C423" t="s">
        <v>140</v>
      </c>
      <c r="D423" s="13" t="str">
        <f>IFERROR(VLOOKUP(C423,ghg_sort!$A$86:$B$512,2,0),0)</f>
        <v>Industry</v>
      </c>
      <c r="E423" s="13" t="s">
        <v>86</v>
      </c>
      <c r="F423" s="13">
        <f>IFERROR(VLOOKUP($E423,ghg_sort!$A$3:$B$21,2,0),0)</f>
        <v>3.6666666666666701</v>
      </c>
      <c r="G423" s="13">
        <f>T423*$F423</f>
        <v>0</v>
      </c>
      <c r="H423" s="13">
        <f t="shared" ref="H423:Q423" si="80">U423*$F423</f>
        <v>0</v>
      </c>
      <c r="I423" s="13">
        <f t="shared" si="80"/>
        <v>0</v>
      </c>
      <c r="J423" s="13">
        <f t="shared" si="80"/>
        <v>0</v>
      </c>
      <c r="K423" s="13">
        <f t="shared" si="80"/>
        <v>5.2567550854879554E-2</v>
      </c>
      <c r="L423" s="13">
        <f t="shared" si="80"/>
        <v>0.38880247066183637</v>
      </c>
      <c r="M423" s="13">
        <f t="shared" si="80"/>
        <v>1.1157317220792391</v>
      </c>
      <c r="N423" s="13">
        <f t="shared" si="80"/>
        <v>2.683997358946371</v>
      </c>
      <c r="O423" s="13">
        <f t="shared" si="80"/>
        <v>4.5346122683228804</v>
      </c>
      <c r="P423" s="13">
        <f t="shared" si="80"/>
        <v>6.1984999120553361</v>
      </c>
      <c r="Q423" s="13">
        <f t="shared" si="80"/>
        <v>7.5767262731328726</v>
      </c>
      <c r="R423" s="13" t="s">
        <v>239</v>
      </c>
      <c r="T423" s="62">
        <v>0</v>
      </c>
      <c r="U423" s="62">
        <v>0</v>
      </c>
      <c r="V423" s="62">
        <v>0</v>
      </c>
      <c r="W423" s="62">
        <v>0</v>
      </c>
      <c r="X423" s="62">
        <v>1.43366047786035E-2</v>
      </c>
      <c r="Y423" s="62">
        <v>0.106037037453228</v>
      </c>
      <c r="Z423" s="62">
        <v>0.30429046965797402</v>
      </c>
      <c r="AA423" s="62">
        <v>0.731999279712646</v>
      </c>
      <c r="AB423" s="62">
        <v>1.2367124368153299</v>
      </c>
      <c r="AC423" s="62">
        <v>1.6904999760150901</v>
      </c>
      <c r="AD423" s="62">
        <v>2.0663798926725998</v>
      </c>
      <c r="AE423" t="s">
        <v>244</v>
      </c>
    </row>
    <row r="424" spans="1:31">
      <c r="A424" t="s">
        <v>267</v>
      </c>
      <c r="B424" t="s">
        <v>1</v>
      </c>
      <c r="C424" t="s">
        <v>141</v>
      </c>
      <c r="D424" s="13" t="str">
        <f>IFERROR(VLOOKUP(C424,ghg_sort!$A$86:$B$512,2,0),0)</f>
        <v>Industry</v>
      </c>
      <c r="E424" s="13" t="s">
        <v>86</v>
      </c>
      <c r="F424" s="13">
        <f>IFERROR(VLOOKUP($E424,ghg_sort!$A$3:$B$21,2,0),0)</f>
        <v>3.6666666666666701</v>
      </c>
      <c r="G424" s="13">
        <f t="shared" ref="G424:G462" si="81">T424*$F424</f>
        <v>0</v>
      </c>
      <c r="H424" s="13">
        <f t="shared" ref="H424:H462" si="82">U424*$F424</f>
        <v>0</v>
      </c>
      <c r="I424" s="13">
        <f t="shared" ref="I424:I462" si="83">V424*$F424</f>
        <v>0</v>
      </c>
      <c r="J424" s="13">
        <f t="shared" ref="J424:J462" si="84">W424*$F424</f>
        <v>0</v>
      </c>
      <c r="K424" s="13">
        <f t="shared" ref="K424:K462" si="85">X424*$F424</f>
        <v>3.6326083362069959E-2</v>
      </c>
      <c r="L424" s="13">
        <f t="shared" ref="L424:L462" si="86">Y424*$F424</f>
        <v>0.26415065317515035</v>
      </c>
      <c r="M424" s="13">
        <f t="shared" ref="M424:M462" si="87">Z424*$F424</f>
        <v>0.73943847627168269</v>
      </c>
      <c r="N424" s="13">
        <f t="shared" ref="N424:N462" si="88">AA424*$F424</f>
        <v>1.7279006654527178</v>
      </c>
      <c r="O424" s="13">
        <f t="shared" ref="O424:O462" si="89">AB424*$F424</f>
        <v>3.1932310743729984</v>
      </c>
      <c r="P424" s="13">
        <f t="shared" ref="P424:P462" si="90">AC424*$F424</f>
        <v>4.4301838434697114</v>
      </c>
      <c r="Q424" s="13">
        <f t="shared" ref="Q424:Q462" si="91">AD424*$F424</f>
        <v>5.6091555424362385</v>
      </c>
      <c r="R424" s="13" t="s">
        <v>239</v>
      </c>
      <c r="T424" s="62">
        <v>0</v>
      </c>
      <c r="U424" s="62">
        <v>0</v>
      </c>
      <c r="V424" s="62">
        <v>0</v>
      </c>
      <c r="W424" s="62">
        <v>0</v>
      </c>
      <c r="X424" s="62">
        <v>9.9071136442008892E-3</v>
      </c>
      <c r="Y424" s="62">
        <v>7.2041087229586395E-2</v>
      </c>
      <c r="Z424" s="62">
        <v>0.201665038983186</v>
      </c>
      <c r="AA424" s="62">
        <v>0.47124563603255898</v>
      </c>
      <c r="AB424" s="62">
        <v>0.87088120210172604</v>
      </c>
      <c r="AC424" s="62">
        <v>1.2082319573099201</v>
      </c>
      <c r="AD424" s="62">
        <v>1.5297696933917</v>
      </c>
      <c r="AE424" s="13" t="s">
        <v>244</v>
      </c>
    </row>
    <row r="425" spans="1:31">
      <c r="A425" t="s">
        <v>267</v>
      </c>
      <c r="B425" t="s">
        <v>1</v>
      </c>
      <c r="C425" t="s">
        <v>63</v>
      </c>
      <c r="D425" s="13" t="str">
        <f>IFERROR(VLOOKUP(C425,ghg_sort!$A$86:$B$512,2,0),0)</f>
        <v>Agriculture</v>
      </c>
      <c r="E425" s="13" t="s">
        <v>86</v>
      </c>
      <c r="F425" s="13">
        <f>IFERROR(VLOOKUP($E425,ghg_sort!$A$3:$B$21,2,0),0)</f>
        <v>3.6666666666666701</v>
      </c>
      <c r="G425" s="13">
        <f t="shared" si="81"/>
        <v>2.1263130613577585</v>
      </c>
      <c r="H425" s="13">
        <f t="shared" si="82"/>
        <v>0.80629536311384942</v>
      </c>
      <c r="I425" s="13">
        <f t="shared" si="83"/>
        <v>0.64856045367945758</v>
      </c>
      <c r="J425" s="13">
        <f t="shared" si="84"/>
        <v>0.33665395367627499</v>
      </c>
      <c r="K425" s="13">
        <f t="shared" si="85"/>
        <v>0.34712380920127717</v>
      </c>
      <c r="L425" s="13">
        <f t="shared" si="86"/>
        <v>0.34774869062687996</v>
      </c>
      <c r="M425" s="13">
        <f t="shared" si="87"/>
        <v>0.33840234241508854</v>
      </c>
      <c r="N425" s="13">
        <f t="shared" si="88"/>
        <v>0.3097251856832422</v>
      </c>
      <c r="O425" s="13">
        <f t="shared" si="89"/>
        <v>0.27534496262642372</v>
      </c>
      <c r="P425" s="13">
        <f t="shared" si="90"/>
        <v>0.25656516486876357</v>
      </c>
      <c r="Q425" s="13">
        <f t="shared" si="91"/>
        <v>0.24328586731678262</v>
      </c>
      <c r="R425" s="13" t="s">
        <v>239</v>
      </c>
      <c r="T425" s="62">
        <v>0.57990356218847905</v>
      </c>
      <c r="U425" s="62">
        <v>0.21989873539468599</v>
      </c>
      <c r="V425" s="62">
        <v>0.17688012373076101</v>
      </c>
      <c r="W425" s="62">
        <v>9.1814714638983996E-2</v>
      </c>
      <c r="X425" s="62">
        <v>9.4670129782166407E-2</v>
      </c>
      <c r="Y425" s="62">
        <v>9.4840551989148994E-2</v>
      </c>
      <c r="Z425" s="62">
        <v>9.2291547931387705E-2</v>
      </c>
      <c r="AA425" s="62">
        <v>8.4470505186338696E-2</v>
      </c>
      <c r="AB425" s="62">
        <v>7.5094080716297307E-2</v>
      </c>
      <c r="AC425" s="62">
        <v>6.9972317691480906E-2</v>
      </c>
      <c r="AD425" s="62">
        <v>6.63506910863952E-2</v>
      </c>
      <c r="AE425" s="13" t="s">
        <v>244</v>
      </c>
    </row>
    <row r="426" spans="1:31">
      <c r="A426" t="s">
        <v>267</v>
      </c>
      <c r="B426" t="s">
        <v>1</v>
      </c>
      <c r="C426" t="s">
        <v>64</v>
      </c>
      <c r="D426" s="13" t="str">
        <f>IFERROR(VLOOKUP(C426,ghg_sort!$A$86:$B$512,2,0),0)</f>
        <v>Industry</v>
      </c>
      <c r="E426" s="13" t="s">
        <v>86</v>
      </c>
      <c r="F426" s="13">
        <f>IFERROR(VLOOKUP($E426,ghg_sort!$A$3:$B$21,2,0),0)</f>
        <v>3.6666666666666701</v>
      </c>
      <c r="G426" s="13">
        <f t="shared" si="81"/>
        <v>4.605773333333337</v>
      </c>
      <c r="H426" s="13">
        <f t="shared" si="82"/>
        <v>4.3076479641564269</v>
      </c>
      <c r="I426" s="13">
        <f t="shared" si="83"/>
        <v>3.7690731626259102</v>
      </c>
      <c r="J426" s="13">
        <f t="shared" si="84"/>
        <v>1.3971509246868483</v>
      </c>
      <c r="K426" s="13">
        <f t="shared" si="85"/>
        <v>1.3886535244887812</v>
      </c>
      <c r="L426" s="13">
        <f t="shared" si="86"/>
        <v>1.6268515444929821</v>
      </c>
      <c r="M426" s="13">
        <f t="shared" si="87"/>
        <v>1.7344283931708633</v>
      </c>
      <c r="N426" s="13">
        <f t="shared" si="88"/>
        <v>1.723671374790704</v>
      </c>
      <c r="O426" s="13">
        <f t="shared" si="89"/>
        <v>1.6786643317178072</v>
      </c>
      <c r="P426" s="13">
        <f t="shared" si="90"/>
        <v>1.5973284562136822</v>
      </c>
      <c r="Q426" s="13">
        <f t="shared" si="91"/>
        <v>1.5101800278774196</v>
      </c>
      <c r="R426" s="13" t="s">
        <v>239</v>
      </c>
      <c r="T426" s="62">
        <v>1.2561199999999999</v>
      </c>
      <c r="U426" s="62">
        <v>1.17481308113357</v>
      </c>
      <c r="V426" s="62">
        <v>1.02792904435252</v>
      </c>
      <c r="W426" s="62">
        <v>0.38104116127823101</v>
      </c>
      <c r="X426" s="62">
        <v>0.37872368849693999</v>
      </c>
      <c r="Y426" s="62">
        <v>0.44368678486172197</v>
      </c>
      <c r="Z426" s="62">
        <v>0.47302592541023503</v>
      </c>
      <c r="AA426" s="62">
        <v>0.47009219312473699</v>
      </c>
      <c r="AB426" s="62">
        <v>0.457817545013947</v>
      </c>
      <c r="AC426" s="62">
        <v>0.43563503351282201</v>
      </c>
      <c r="AD426" s="62">
        <v>0.41186728033020498</v>
      </c>
      <c r="AE426" s="13" t="s">
        <v>244</v>
      </c>
    </row>
    <row r="427" spans="1:31">
      <c r="A427" t="s">
        <v>267</v>
      </c>
      <c r="B427" t="s">
        <v>1</v>
      </c>
      <c r="C427" t="s">
        <v>142</v>
      </c>
      <c r="D427" s="13" t="str">
        <f>IFERROR(VLOOKUP(C427,ghg_sort!$A$86:$B$512,2,0),0)</f>
        <v>Electricity</v>
      </c>
      <c r="E427" s="13" t="s">
        <v>86</v>
      </c>
      <c r="F427" s="13">
        <f>IFERROR(VLOOKUP($E427,ghg_sort!$A$3:$B$21,2,0),0)</f>
        <v>3.6666666666666701</v>
      </c>
      <c r="G427" s="13">
        <f t="shared" si="81"/>
        <v>0</v>
      </c>
      <c r="H427" s="13">
        <f t="shared" si="82"/>
        <v>0</v>
      </c>
      <c r="I427" s="13">
        <f t="shared" si="83"/>
        <v>0</v>
      </c>
      <c r="J427" s="13">
        <f t="shared" si="84"/>
        <v>0</v>
      </c>
      <c r="K427" s="13">
        <f t="shared" si="85"/>
        <v>0.11929018669258215</v>
      </c>
      <c r="L427" s="13">
        <f t="shared" si="86"/>
        <v>0.20720088690574481</v>
      </c>
      <c r="M427" s="13">
        <f t="shared" si="87"/>
        <v>0.34428893314959697</v>
      </c>
      <c r="N427" s="13">
        <f t="shared" si="88"/>
        <v>0.66156486432497696</v>
      </c>
      <c r="O427" s="13">
        <f t="shared" si="89"/>
        <v>1.1741496012539492</v>
      </c>
      <c r="P427" s="13">
        <f t="shared" si="90"/>
        <v>2.0933088263622937</v>
      </c>
      <c r="Q427" s="13">
        <f t="shared" si="91"/>
        <v>2.5738977067395483</v>
      </c>
      <c r="R427" s="13" t="s">
        <v>239</v>
      </c>
      <c r="T427" s="62">
        <v>0</v>
      </c>
      <c r="U427" s="62">
        <v>0</v>
      </c>
      <c r="V427" s="62">
        <v>0</v>
      </c>
      <c r="W427" s="62">
        <v>0</v>
      </c>
      <c r="X427" s="62">
        <v>3.2533687279795102E-2</v>
      </c>
      <c r="Y427" s="62">
        <v>5.6509332792475803E-2</v>
      </c>
      <c r="Z427" s="62">
        <v>9.3896981768071805E-2</v>
      </c>
      <c r="AA427" s="62">
        <v>0.180426781179539</v>
      </c>
      <c r="AB427" s="62">
        <v>0.32022261852380401</v>
      </c>
      <c r="AC427" s="62">
        <v>0.57090240718971597</v>
      </c>
      <c r="AD427" s="62">
        <v>0.70197210183805803</v>
      </c>
      <c r="AE427" s="13" t="s">
        <v>244</v>
      </c>
    </row>
    <row r="428" spans="1:31">
      <c r="A428" t="s">
        <v>267</v>
      </c>
      <c r="B428" t="s">
        <v>1</v>
      </c>
      <c r="C428" t="s">
        <v>61</v>
      </c>
      <c r="D428" s="13" t="str">
        <f>IFERROR(VLOOKUP(C428,ghg_sort!$A$86:$B$512,2,0),0)</f>
        <v>Industry</v>
      </c>
      <c r="E428" s="13" t="s">
        <v>86</v>
      </c>
      <c r="F428" s="13">
        <f>IFERROR(VLOOKUP($E428,ghg_sort!$A$3:$B$21,2,0),0)</f>
        <v>3.6666666666666701</v>
      </c>
      <c r="G428" s="13">
        <f t="shared" si="81"/>
        <v>16.756666666666682</v>
      </c>
      <c r="H428" s="13">
        <f t="shared" si="82"/>
        <v>25.626333333333356</v>
      </c>
      <c r="I428" s="13">
        <f t="shared" si="83"/>
        <v>24.99566666666669</v>
      </c>
      <c r="J428" s="13">
        <f t="shared" si="84"/>
        <v>24.99566666666669</v>
      </c>
      <c r="K428" s="13">
        <f t="shared" si="85"/>
        <v>25.897186333333359</v>
      </c>
      <c r="L428" s="13">
        <f t="shared" si="86"/>
        <v>30.21917433333336</v>
      </c>
      <c r="M428" s="13">
        <f t="shared" si="87"/>
        <v>31.531331333333362</v>
      </c>
      <c r="N428" s="13">
        <f t="shared" si="88"/>
        <v>32.333807000000029</v>
      </c>
      <c r="O428" s="13">
        <f t="shared" si="89"/>
        <v>33.414989666666699</v>
      </c>
      <c r="P428" s="13">
        <f t="shared" si="90"/>
        <v>34.932141200000032</v>
      </c>
      <c r="Q428" s="13">
        <f t="shared" si="91"/>
        <v>36.730255100000029</v>
      </c>
      <c r="R428" s="13" t="s">
        <v>239</v>
      </c>
      <c r="T428" s="62">
        <v>4.57</v>
      </c>
      <c r="U428" s="62">
        <v>6.9889999999999999</v>
      </c>
      <c r="V428" s="62">
        <v>6.8170000000000002</v>
      </c>
      <c r="W428" s="62">
        <v>6.8170000000000002</v>
      </c>
      <c r="X428" s="62">
        <v>7.0628690000000001</v>
      </c>
      <c r="Y428" s="62">
        <v>8.2415929999999999</v>
      </c>
      <c r="Z428" s="62">
        <v>8.5994539999999997</v>
      </c>
      <c r="AA428" s="62">
        <v>8.8183109999999996</v>
      </c>
      <c r="AB428" s="62">
        <v>9.1131790000000006</v>
      </c>
      <c r="AC428" s="62">
        <v>9.5269475999999997</v>
      </c>
      <c r="AD428" s="62">
        <v>10.017342299999999</v>
      </c>
      <c r="AE428" s="13" t="s">
        <v>244</v>
      </c>
    </row>
    <row r="429" spans="1:31">
      <c r="A429" t="s">
        <v>267</v>
      </c>
      <c r="B429" t="s">
        <v>1</v>
      </c>
      <c r="C429" t="s">
        <v>56</v>
      </c>
      <c r="D429" s="13" t="str">
        <f>IFERROR(VLOOKUP(C429,ghg_sort!$A$86:$B$512,2,0),0)</f>
        <v>Industry</v>
      </c>
      <c r="E429" s="13" t="s">
        <v>86</v>
      </c>
      <c r="F429" s="13">
        <f>IFERROR(VLOOKUP($E429,ghg_sort!$A$3:$B$21,2,0),0)</f>
        <v>3.6666666666666701</v>
      </c>
      <c r="G429" s="13">
        <f t="shared" si="81"/>
        <v>7.0924510108533836</v>
      </c>
      <c r="H429" s="13">
        <f t="shared" si="82"/>
        <v>5.6013318842711319</v>
      </c>
      <c r="I429" s="13">
        <f t="shared" si="83"/>
        <v>6.9047962747947036</v>
      </c>
      <c r="J429" s="13">
        <f t="shared" si="84"/>
        <v>4.8798783168513813</v>
      </c>
      <c r="K429" s="13">
        <f t="shared" si="85"/>
        <v>5.270076636924518</v>
      </c>
      <c r="L429" s="13">
        <f t="shared" si="86"/>
        <v>6.681282678094866</v>
      </c>
      <c r="M429" s="13">
        <f t="shared" si="87"/>
        <v>7.8381683822188704</v>
      </c>
      <c r="N429" s="13">
        <f t="shared" si="88"/>
        <v>9.4807186083382398</v>
      </c>
      <c r="O429" s="13">
        <f t="shared" si="89"/>
        <v>11.444654982158321</v>
      </c>
      <c r="P429" s="13">
        <f t="shared" si="90"/>
        <v>13.136303598765979</v>
      </c>
      <c r="Q429" s="13">
        <f t="shared" si="91"/>
        <v>14.671813214672328</v>
      </c>
      <c r="R429" s="13" t="s">
        <v>239</v>
      </c>
      <c r="T429" s="62">
        <v>1.9343048211418301</v>
      </c>
      <c r="U429" s="62">
        <v>1.52763596843758</v>
      </c>
      <c r="V429" s="62">
        <v>1.88312625676219</v>
      </c>
      <c r="W429" s="62">
        <v>1.3308759045958301</v>
      </c>
      <c r="X429" s="62">
        <v>1.43729362825214</v>
      </c>
      <c r="Y429" s="62">
        <v>1.82216800311678</v>
      </c>
      <c r="Z429" s="62">
        <v>2.13768228605969</v>
      </c>
      <c r="AA429" s="62">
        <v>2.5856505295467902</v>
      </c>
      <c r="AB429" s="62">
        <v>3.1212695405886302</v>
      </c>
      <c r="AC429" s="62">
        <v>3.5826282542088999</v>
      </c>
      <c r="AD429" s="62">
        <v>4.0014036040015402</v>
      </c>
      <c r="AE429" s="13" t="s">
        <v>244</v>
      </c>
    </row>
    <row r="430" spans="1:31">
      <c r="A430" t="s">
        <v>267</v>
      </c>
      <c r="B430" t="s">
        <v>1</v>
      </c>
      <c r="C430" t="s">
        <v>20</v>
      </c>
      <c r="D430" s="13" t="str">
        <f>IFERROR(VLOOKUP(C430,ghg_sort!$A$86:$B$512,2,0),0)</f>
        <v>Industry</v>
      </c>
      <c r="E430" s="13" t="s">
        <v>86</v>
      </c>
      <c r="F430" s="13">
        <f>IFERROR(VLOOKUP($E430,ghg_sort!$A$3:$B$21,2,0),0)</f>
        <v>3.6666666666666701</v>
      </c>
      <c r="G430" s="13">
        <f t="shared" si="81"/>
        <v>1.6988876666666681</v>
      </c>
      <c r="H430" s="13">
        <f t="shared" si="82"/>
        <v>8.5346218181329316</v>
      </c>
      <c r="I430" s="13">
        <f t="shared" si="83"/>
        <v>12.155551287113642</v>
      </c>
      <c r="J430" s="13">
        <f t="shared" si="84"/>
        <v>15.314344419946856</v>
      </c>
      <c r="K430" s="13">
        <f t="shared" si="85"/>
        <v>14.874592289359931</v>
      </c>
      <c r="L430" s="13">
        <f t="shared" si="86"/>
        <v>16.576201876978569</v>
      </c>
      <c r="M430" s="13">
        <f t="shared" si="87"/>
        <v>17.230370736284364</v>
      </c>
      <c r="N430" s="13">
        <f t="shared" si="88"/>
        <v>17.516593254775906</v>
      </c>
      <c r="O430" s="13">
        <f t="shared" si="89"/>
        <v>13.678006403915749</v>
      </c>
      <c r="P430" s="13">
        <f t="shared" si="90"/>
        <v>6.7785878748905963</v>
      </c>
      <c r="Q430" s="13">
        <f t="shared" si="91"/>
        <v>4.5246713951544644</v>
      </c>
      <c r="R430" s="13" t="s">
        <v>239</v>
      </c>
      <c r="T430" s="62">
        <v>0.46333299999999999</v>
      </c>
      <c r="U430" s="62">
        <v>2.32762413221807</v>
      </c>
      <c r="V430" s="62">
        <v>3.3151503510309901</v>
      </c>
      <c r="W430" s="62">
        <v>4.1766393872582297</v>
      </c>
      <c r="X430" s="62">
        <v>4.0567069880072504</v>
      </c>
      <c r="Y430" s="62">
        <v>4.5207823300850603</v>
      </c>
      <c r="Z430" s="62">
        <v>4.6991920189866399</v>
      </c>
      <c r="AA430" s="62">
        <v>4.7772527058479701</v>
      </c>
      <c r="AB430" s="62">
        <v>3.7303653828861099</v>
      </c>
      <c r="AC430" s="62">
        <v>1.8487057840610699</v>
      </c>
      <c r="AD430" s="62">
        <v>1.23400128958758</v>
      </c>
      <c r="AE430" s="13" t="s">
        <v>244</v>
      </c>
    </row>
    <row r="431" spans="1:31">
      <c r="A431" t="s">
        <v>267</v>
      </c>
      <c r="B431" t="s">
        <v>1</v>
      </c>
      <c r="C431" t="s">
        <v>143</v>
      </c>
      <c r="D431" s="13" t="str">
        <f>IFERROR(VLOOKUP(C431,ghg_sort!$A$86:$B$512,2,0),0)</f>
        <v>Building</v>
      </c>
      <c r="E431" s="13" t="s">
        <v>86</v>
      </c>
      <c r="F431" s="13">
        <f>IFERROR(VLOOKUP($E431,ghg_sort!$A$3:$B$21,2,0),0)</f>
        <v>3.6666666666666701</v>
      </c>
      <c r="G431" s="13">
        <f t="shared" si="81"/>
        <v>2.207646056141737E-2</v>
      </c>
      <c r="H431" s="13">
        <f t="shared" si="82"/>
        <v>0.48726633484955478</v>
      </c>
      <c r="I431" s="13">
        <f t="shared" si="83"/>
        <v>0.56189045903865653</v>
      </c>
      <c r="J431" s="13">
        <f t="shared" si="84"/>
        <v>0.58534261678130761</v>
      </c>
      <c r="K431" s="13">
        <f t="shared" si="85"/>
        <v>0.60738849939585826</v>
      </c>
      <c r="L431" s="13">
        <f t="shared" si="86"/>
        <v>0.56270003449489192</v>
      </c>
      <c r="M431" s="13">
        <f t="shared" si="87"/>
        <v>0.55444179515156355</v>
      </c>
      <c r="N431" s="13">
        <f t="shared" si="88"/>
        <v>0.50572695452247884</v>
      </c>
      <c r="O431" s="13">
        <f t="shared" si="89"/>
        <v>0.45357431534134179</v>
      </c>
      <c r="P431" s="13">
        <f t="shared" si="90"/>
        <v>0.4135456866708167</v>
      </c>
      <c r="Q431" s="13">
        <f t="shared" si="91"/>
        <v>0.36321962827725002</v>
      </c>
      <c r="R431" s="13" t="s">
        <v>239</v>
      </c>
      <c r="T431" s="62">
        <v>6.0208528803865503E-3</v>
      </c>
      <c r="U431" s="62">
        <v>0.132890818595333</v>
      </c>
      <c r="V431" s="62">
        <v>0.15324285246508801</v>
      </c>
      <c r="W431" s="62">
        <v>0.15963889548581101</v>
      </c>
      <c r="X431" s="62">
        <v>0.165651408926143</v>
      </c>
      <c r="Y431" s="62">
        <v>0.15346364577133401</v>
      </c>
      <c r="Z431" s="62">
        <v>0.151211398677699</v>
      </c>
      <c r="AA431" s="62">
        <v>0.137925533051585</v>
      </c>
      <c r="AB431" s="62">
        <v>0.12370208600218401</v>
      </c>
      <c r="AC431" s="62">
        <v>0.112785187273859</v>
      </c>
      <c r="AD431" s="62">
        <v>9.9059898621068093E-2</v>
      </c>
      <c r="AE431" s="13" t="s">
        <v>244</v>
      </c>
    </row>
    <row r="432" spans="1:31">
      <c r="A432" t="s">
        <v>267</v>
      </c>
      <c r="B432" t="s">
        <v>1</v>
      </c>
      <c r="C432" t="s">
        <v>144</v>
      </c>
      <c r="D432" s="13" t="str">
        <f>IFERROR(VLOOKUP(C432,ghg_sort!$A$86:$B$512,2,0),0)</f>
        <v>Building</v>
      </c>
      <c r="E432" s="13" t="s">
        <v>86</v>
      </c>
      <c r="F432" s="13">
        <f>IFERROR(VLOOKUP($E432,ghg_sort!$A$3:$B$21,2,0),0)</f>
        <v>3.6666666666666701</v>
      </c>
      <c r="G432" s="13">
        <f t="shared" si="81"/>
        <v>11.381111018598761</v>
      </c>
      <c r="H432" s="13">
        <f t="shared" si="82"/>
        <v>13.759372321297583</v>
      </c>
      <c r="I432" s="13">
        <f t="shared" si="83"/>
        <v>10.705193534172768</v>
      </c>
      <c r="J432" s="13">
        <f t="shared" si="84"/>
        <v>9.8225620356508418</v>
      </c>
      <c r="K432" s="13">
        <f t="shared" si="85"/>
        <v>9.1510920270982012</v>
      </c>
      <c r="L432" s="13">
        <f t="shared" si="86"/>
        <v>10.053289944744467</v>
      </c>
      <c r="M432" s="13">
        <f t="shared" si="87"/>
        <v>10.482878113476973</v>
      </c>
      <c r="N432" s="13">
        <f t="shared" si="88"/>
        <v>10.391218468507295</v>
      </c>
      <c r="O432" s="13">
        <f t="shared" si="89"/>
        <v>9.9139422112531985</v>
      </c>
      <c r="P432" s="13">
        <f t="shared" si="90"/>
        <v>9.334351520125729</v>
      </c>
      <c r="Q432" s="13">
        <f t="shared" si="91"/>
        <v>8.587388414673649</v>
      </c>
      <c r="R432" s="13" t="s">
        <v>239</v>
      </c>
      <c r="T432" s="62">
        <v>3.1039393687087502</v>
      </c>
      <c r="U432" s="62">
        <v>3.7525560876266102</v>
      </c>
      <c r="V432" s="62">
        <v>2.9195982365925701</v>
      </c>
      <c r="W432" s="62">
        <v>2.6788805551774999</v>
      </c>
      <c r="X432" s="62">
        <v>2.4957523710267799</v>
      </c>
      <c r="Y432" s="62">
        <v>2.7418063485666702</v>
      </c>
      <c r="Z432" s="62">
        <v>2.8589667582209901</v>
      </c>
      <c r="AA432" s="62">
        <v>2.8339686732292599</v>
      </c>
      <c r="AB432" s="62">
        <v>2.7038024212508698</v>
      </c>
      <c r="AC432" s="62">
        <v>2.5457322327615599</v>
      </c>
      <c r="AD432" s="62">
        <v>2.3420150221837202</v>
      </c>
      <c r="AE432" s="13" t="s">
        <v>244</v>
      </c>
    </row>
    <row r="433" spans="1:31">
      <c r="A433" t="s">
        <v>267</v>
      </c>
      <c r="B433" t="s">
        <v>1</v>
      </c>
      <c r="C433" t="s">
        <v>145</v>
      </c>
      <c r="D433" s="13" t="str">
        <f>IFERROR(VLOOKUP(C433,ghg_sort!$A$86:$B$512,2,0),0)</f>
        <v>Building</v>
      </c>
      <c r="E433" s="13" t="s">
        <v>86</v>
      </c>
      <c r="F433" s="13">
        <f>IFERROR(VLOOKUP($E433,ghg_sort!$A$3:$B$21,2,0),0)</f>
        <v>3.6666666666666701</v>
      </c>
      <c r="G433" s="13">
        <f t="shared" si="81"/>
        <v>13.451076053389015</v>
      </c>
      <c r="H433" s="13">
        <f t="shared" si="82"/>
        <v>13.952049618316346</v>
      </c>
      <c r="I433" s="13">
        <f t="shared" si="83"/>
        <v>9.992732696569929</v>
      </c>
      <c r="J433" s="13">
        <f t="shared" si="84"/>
        <v>8.8396075974677242</v>
      </c>
      <c r="K433" s="13">
        <f t="shared" si="85"/>
        <v>9.8338616091275721</v>
      </c>
      <c r="L433" s="13">
        <f t="shared" si="86"/>
        <v>9.0790978673817477</v>
      </c>
      <c r="M433" s="13">
        <f t="shared" si="87"/>
        <v>8.7513581049549316</v>
      </c>
      <c r="N433" s="13">
        <f t="shared" si="88"/>
        <v>7.4862007696076409</v>
      </c>
      <c r="O433" s="13">
        <f t="shared" si="89"/>
        <v>6.3569752388770162</v>
      </c>
      <c r="P433" s="13">
        <f t="shared" si="90"/>
        <v>5.1516793662395282</v>
      </c>
      <c r="Q433" s="13">
        <f t="shared" si="91"/>
        <v>3.9763297953068837</v>
      </c>
      <c r="R433" s="13" t="s">
        <v>239</v>
      </c>
      <c r="T433" s="62">
        <v>3.6684752872879098</v>
      </c>
      <c r="U433" s="62">
        <v>3.8051044413590001</v>
      </c>
      <c r="V433" s="62">
        <v>2.7252907354281599</v>
      </c>
      <c r="W433" s="62">
        <v>2.4108020720366499</v>
      </c>
      <c r="X433" s="62">
        <v>2.6819622570347899</v>
      </c>
      <c r="Y433" s="62">
        <v>2.4761176001950198</v>
      </c>
      <c r="Z433" s="62">
        <v>2.3867340286240699</v>
      </c>
      <c r="AA433" s="62">
        <v>2.0416911189839002</v>
      </c>
      <c r="AB433" s="62">
        <v>1.73372051969373</v>
      </c>
      <c r="AC433" s="62">
        <v>1.40500346351987</v>
      </c>
      <c r="AD433" s="62">
        <v>1.08445358053824</v>
      </c>
      <c r="AE433" s="13" t="s">
        <v>244</v>
      </c>
    </row>
    <row r="434" spans="1:31">
      <c r="A434" t="s">
        <v>267</v>
      </c>
      <c r="B434" t="s">
        <v>1</v>
      </c>
      <c r="C434" t="s">
        <v>67</v>
      </c>
      <c r="D434" s="13" t="str">
        <f>IFERROR(VLOOKUP(C434,ghg_sort!$A$86:$B$512,2,0),0)</f>
        <v>Industry</v>
      </c>
      <c r="E434" s="13" t="s">
        <v>86</v>
      </c>
      <c r="F434" s="13">
        <f>IFERROR(VLOOKUP($E434,ghg_sort!$A$3:$B$21,2,0),0)</f>
        <v>3.6666666666666701</v>
      </c>
      <c r="G434" s="13">
        <f t="shared" si="81"/>
        <v>1.5342506666666682</v>
      </c>
      <c r="H434" s="13">
        <f t="shared" si="82"/>
        <v>1.810825567622014</v>
      </c>
      <c r="I434" s="13">
        <f t="shared" si="83"/>
        <v>2.4469682026932036</v>
      </c>
      <c r="J434" s="13">
        <f t="shared" si="84"/>
        <v>2.4809548613127546</v>
      </c>
      <c r="K434" s="13">
        <f t="shared" si="85"/>
        <v>2.6681627667554042</v>
      </c>
      <c r="L434" s="13">
        <f t="shared" si="86"/>
        <v>2.7930000205710925</v>
      </c>
      <c r="M434" s="13">
        <f t="shared" si="87"/>
        <v>2.8086486675280979</v>
      </c>
      <c r="N434" s="13">
        <f t="shared" si="88"/>
        <v>2.7810624099640275</v>
      </c>
      <c r="O434" s="13">
        <f t="shared" si="89"/>
        <v>2.7565834766961581</v>
      </c>
      <c r="P434" s="13">
        <f t="shared" si="90"/>
        <v>2.728184410398149</v>
      </c>
      <c r="Q434" s="13">
        <f t="shared" si="91"/>
        <v>2.6947891703273923</v>
      </c>
      <c r="R434" s="13" t="s">
        <v>239</v>
      </c>
      <c r="T434" s="62">
        <v>0.41843200000000003</v>
      </c>
      <c r="U434" s="62">
        <v>0.49386151844236698</v>
      </c>
      <c r="V434" s="62">
        <v>0.66735496437087305</v>
      </c>
      <c r="W434" s="62">
        <v>0.67662405308529605</v>
      </c>
      <c r="X434" s="62">
        <v>0.72768075456965498</v>
      </c>
      <c r="Y434" s="62">
        <v>0.76172727833757004</v>
      </c>
      <c r="Z434" s="62">
        <v>0.76599509114402597</v>
      </c>
      <c r="AA434" s="62">
        <v>0.75847156635382496</v>
      </c>
      <c r="AB434" s="62">
        <v>0.75179549364440601</v>
      </c>
      <c r="AC434" s="62">
        <v>0.74405029374494902</v>
      </c>
      <c r="AD434" s="62">
        <v>0.73494250099837899</v>
      </c>
      <c r="AE434" s="13" t="s">
        <v>244</v>
      </c>
    </row>
    <row r="435" spans="1:31">
      <c r="A435" t="s">
        <v>267</v>
      </c>
      <c r="B435" t="s">
        <v>1</v>
      </c>
      <c r="C435" t="s">
        <v>21</v>
      </c>
      <c r="D435" s="13" t="str">
        <f>IFERROR(VLOOKUP(C435,ghg_sort!$A$86:$B$512,2,0),0)</f>
        <v>Industry</v>
      </c>
      <c r="E435" s="13" t="s">
        <v>86</v>
      </c>
      <c r="F435" s="13">
        <f>IFERROR(VLOOKUP($E435,ghg_sort!$A$3:$B$21,2,0),0)</f>
        <v>3.6666666666666701</v>
      </c>
      <c r="G435" s="13">
        <f t="shared" si="81"/>
        <v>0</v>
      </c>
      <c r="H435" s="13">
        <f t="shared" si="82"/>
        <v>-3.8838127045414073E-4</v>
      </c>
      <c r="I435" s="13">
        <f t="shared" si="83"/>
        <v>-1.2364429624086662E-2</v>
      </c>
      <c r="J435" s="13">
        <f t="shared" si="84"/>
        <v>-1.3288318793391964E-2</v>
      </c>
      <c r="K435" s="13">
        <f t="shared" si="85"/>
        <v>-1.8706435251872884E-2</v>
      </c>
      <c r="L435" s="13">
        <f t="shared" si="86"/>
        <v>-2.4735242062169895E-2</v>
      </c>
      <c r="M435" s="13">
        <f t="shared" si="87"/>
        <v>-2.7550783089947909E-2</v>
      </c>
      <c r="N435" s="13">
        <f t="shared" si="88"/>
        <v>-3.5616463214284362E-2</v>
      </c>
      <c r="O435" s="13">
        <f t="shared" si="89"/>
        <v>-6.2441119232850659E-2</v>
      </c>
      <c r="P435" s="13">
        <f t="shared" si="90"/>
        <v>-0.1137515198337629</v>
      </c>
      <c r="Q435" s="13">
        <f t="shared" si="91"/>
        <v>-0.17434789128315292</v>
      </c>
      <c r="R435" s="13" t="s">
        <v>239</v>
      </c>
      <c r="T435" s="62">
        <v>0</v>
      </c>
      <c r="U435" s="63">
        <v>-1.05922164669311E-4</v>
      </c>
      <c r="V435" s="62">
        <v>-3.37211717020545E-3</v>
      </c>
      <c r="W435" s="62">
        <v>-3.6240869436523502E-3</v>
      </c>
      <c r="X435" s="62">
        <v>-5.1017550686925997E-3</v>
      </c>
      <c r="Y435" s="62">
        <v>-6.7459751078645103E-3</v>
      </c>
      <c r="Z435" s="62">
        <v>-7.5138499336221496E-3</v>
      </c>
      <c r="AA435" s="62">
        <v>-9.7135808766229993E-3</v>
      </c>
      <c r="AB435" s="62">
        <v>-1.70293961544138E-2</v>
      </c>
      <c r="AC435" s="62">
        <v>-3.10231417728444E-2</v>
      </c>
      <c r="AD435" s="62">
        <v>-4.7549424895405298E-2</v>
      </c>
      <c r="AE435" s="13" t="s">
        <v>244</v>
      </c>
    </row>
    <row r="436" spans="1:31">
      <c r="A436" t="s">
        <v>267</v>
      </c>
      <c r="B436" t="s">
        <v>1</v>
      </c>
      <c r="C436" t="s">
        <v>3</v>
      </c>
      <c r="D436" s="13">
        <f>IFERROR(VLOOKUP(C436,ghg_sort!$A$86:$B$512,2,0),0)</f>
        <v>0</v>
      </c>
      <c r="E436" s="13" t="s">
        <v>86</v>
      </c>
      <c r="F436" s="13">
        <f>IFERROR(VLOOKUP($E436,ghg_sort!$A$3:$B$21,2,0),0)</f>
        <v>3.6666666666666701</v>
      </c>
      <c r="G436" s="13">
        <f t="shared" si="81"/>
        <v>0</v>
      </c>
      <c r="H436" s="13">
        <f t="shared" si="82"/>
        <v>0</v>
      </c>
      <c r="I436" s="13">
        <f t="shared" si="83"/>
        <v>-3.6666732639900037E-6</v>
      </c>
      <c r="J436" s="13">
        <f t="shared" si="84"/>
        <v>0</v>
      </c>
      <c r="K436" s="13">
        <f t="shared" si="85"/>
        <v>-1.4666663290143345E-5</v>
      </c>
      <c r="L436" s="13">
        <f t="shared" si="86"/>
        <v>0</v>
      </c>
      <c r="M436" s="13">
        <f t="shared" si="87"/>
        <v>-2.5666623146193359E-5</v>
      </c>
      <c r="N436" s="13">
        <f t="shared" si="88"/>
        <v>0</v>
      </c>
      <c r="O436" s="13">
        <f t="shared" si="89"/>
        <v>-2.1999928057653354E-5</v>
      </c>
      <c r="P436" s="13">
        <f t="shared" si="90"/>
        <v>-3.6666617902346698E-5</v>
      </c>
      <c r="Q436" s="13">
        <f t="shared" si="91"/>
        <v>-1.099998779869001E-5</v>
      </c>
      <c r="R436" s="13" t="s">
        <v>239</v>
      </c>
      <c r="T436" s="62">
        <v>0</v>
      </c>
      <c r="U436" s="62">
        <v>0</v>
      </c>
      <c r="V436" s="63">
        <v>-1.00000179927E-6</v>
      </c>
      <c r="W436" s="62">
        <v>0</v>
      </c>
      <c r="X436" s="63">
        <v>-3.9999990791299996E-6</v>
      </c>
      <c r="Y436" s="63">
        <v>0</v>
      </c>
      <c r="Z436" s="63">
        <v>-6.9999881307800003E-6</v>
      </c>
      <c r="AA436" s="63">
        <v>0</v>
      </c>
      <c r="AB436" s="63">
        <v>-5.9999803793600002E-6</v>
      </c>
      <c r="AC436" s="63">
        <v>-9.9999867006399999E-6</v>
      </c>
      <c r="AD436" s="63">
        <v>-2.9999966723699999E-6</v>
      </c>
      <c r="AE436" s="13" t="s">
        <v>244</v>
      </c>
    </row>
    <row r="437" spans="1:31">
      <c r="A437" t="s">
        <v>267</v>
      </c>
      <c r="B437" t="s">
        <v>1</v>
      </c>
      <c r="C437" t="s">
        <v>162</v>
      </c>
      <c r="D437" s="13">
        <f>IFERROR(VLOOKUP(C437,ghg_sort!$A$86:$B$512,2,0),0)</f>
        <v>0</v>
      </c>
      <c r="E437" s="13" t="s">
        <v>86</v>
      </c>
      <c r="F437" s="13">
        <f>IFERROR(VLOOKUP($E437,ghg_sort!$A$3:$B$21,2,0),0)</f>
        <v>3.6666666666666701</v>
      </c>
      <c r="G437" s="13">
        <f t="shared" si="81"/>
        <v>0</v>
      </c>
      <c r="H437" s="13">
        <f t="shared" si="82"/>
        <v>-8.0244658360866348E-8</v>
      </c>
      <c r="I437" s="13">
        <f t="shared" si="83"/>
        <v>0</v>
      </c>
      <c r="J437" s="13">
        <f t="shared" si="84"/>
        <v>0</v>
      </c>
      <c r="K437" s="13">
        <f t="shared" si="85"/>
        <v>-2.7914573415527728E-7</v>
      </c>
      <c r="L437" s="13">
        <f t="shared" si="86"/>
        <v>-1.2046312534783425E-7</v>
      </c>
      <c r="M437" s="13">
        <f t="shared" si="87"/>
        <v>0</v>
      </c>
      <c r="N437" s="13">
        <f t="shared" si="88"/>
        <v>0</v>
      </c>
      <c r="O437" s="13">
        <f t="shared" si="89"/>
        <v>0</v>
      </c>
      <c r="P437" s="13">
        <f t="shared" si="90"/>
        <v>-2.6387565722309135E-6</v>
      </c>
      <c r="Q437" s="13">
        <f t="shared" si="91"/>
        <v>-1.2641291952561116E-16</v>
      </c>
      <c r="R437" s="13" t="s">
        <v>239</v>
      </c>
      <c r="T437" s="62">
        <v>0</v>
      </c>
      <c r="U437" s="63">
        <v>-2.1884906825690801E-8</v>
      </c>
      <c r="V437" s="62">
        <v>0</v>
      </c>
      <c r="W437" s="62">
        <v>0</v>
      </c>
      <c r="X437" s="63">
        <v>-7.6130654769621002E-8</v>
      </c>
      <c r="Y437" s="63">
        <v>-3.28535796403184E-8</v>
      </c>
      <c r="Z437" s="63">
        <v>0</v>
      </c>
      <c r="AA437" s="63">
        <v>0</v>
      </c>
      <c r="AB437" s="63">
        <v>0</v>
      </c>
      <c r="AC437" s="63">
        <v>-7.1966088333570303E-7</v>
      </c>
      <c r="AD437" s="63">
        <v>-3.4476250779712102E-17</v>
      </c>
      <c r="AE437" s="13" t="s">
        <v>244</v>
      </c>
    </row>
    <row r="438" spans="1:31">
      <c r="A438" t="s">
        <v>267</v>
      </c>
      <c r="B438" t="s">
        <v>1</v>
      </c>
      <c r="C438" t="s">
        <v>146</v>
      </c>
      <c r="D438" s="13" t="str">
        <f>IFERROR(VLOOKUP(C438,ghg_sort!$A$86:$B$512,2,0),0)</f>
        <v>Electricity</v>
      </c>
      <c r="E438" s="13" t="s">
        <v>86</v>
      </c>
      <c r="F438" s="13">
        <f>IFERROR(VLOOKUP($E438,ghg_sort!$A$3:$B$21,2,0),0)</f>
        <v>3.6666666666666701</v>
      </c>
      <c r="G438" s="13">
        <f t="shared" si="81"/>
        <v>2.1896434690780268E-4</v>
      </c>
      <c r="H438" s="13">
        <f t="shared" si="82"/>
        <v>4.4037520118943307E-4</v>
      </c>
      <c r="I438" s="13">
        <f t="shared" si="83"/>
        <v>4.1622197862839039E-4</v>
      </c>
      <c r="J438" s="13">
        <f t="shared" si="84"/>
        <v>4.0291476397360138E-4</v>
      </c>
      <c r="K438" s="13">
        <f t="shared" si="85"/>
        <v>7.5940309042414372E-4</v>
      </c>
      <c r="L438" s="13">
        <f t="shared" si="86"/>
        <v>1.1133889267694022E-3</v>
      </c>
      <c r="M438" s="13">
        <f t="shared" si="87"/>
        <v>1.3252125988704288E-3</v>
      </c>
      <c r="N438" s="13">
        <f t="shared" si="88"/>
        <v>1.4865613913304014E-3</v>
      </c>
      <c r="O438" s="13">
        <f t="shared" si="89"/>
        <v>1.6045574215630058E-3</v>
      </c>
      <c r="P438" s="13">
        <f t="shared" si="90"/>
        <v>1.7043369730313097E-3</v>
      </c>
      <c r="Q438" s="13">
        <f t="shared" si="91"/>
        <v>1.7739785411927827E-3</v>
      </c>
      <c r="R438" s="13" t="s">
        <v>239</v>
      </c>
      <c r="T438" s="63">
        <v>5.97175491566734E-5</v>
      </c>
      <c r="U438" s="63">
        <v>1.2010232759711799E-4</v>
      </c>
      <c r="V438" s="63">
        <v>1.1351508508047E-4</v>
      </c>
      <c r="W438" s="63">
        <v>1.0988584472007301E-4</v>
      </c>
      <c r="X438" s="63">
        <v>2.0710993375203901E-4</v>
      </c>
      <c r="Y438" s="63">
        <v>3.0365152548256398E-4</v>
      </c>
      <c r="Z438" s="63">
        <v>3.6142161787375298E-4</v>
      </c>
      <c r="AA438" s="63">
        <v>4.054258339992E-4</v>
      </c>
      <c r="AB438" s="63">
        <v>4.3760656951718298E-4</v>
      </c>
      <c r="AC438" s="63">
        <v>4.64819174463084E-4</v>
      </c>
      <c r="AD438" s="63">
        <v>4.8381232941621303E-4</v>
      </c>
      <c r="AE438" s="13" t="s">
        <v>244</v>
      </c>
    </row>
    <row r="439" spans="1:31" s="13" customFormat="1">
      <c r="A439" s="13" t="s">
        <v>267</v>
      </c>
      <c r="B439" s="13" t="s">
        <v>1</v>
      </c>
      <c r="C439" s="13" t="s">
        <v>406</v>
      </c>
      <c r="D439" s="13" t="str">
        <f>IFERROR(VLOOKUP(C439,ghg_sort!$A$86:$B$512,2,0),0)</f>
        <v>Industry</v>
      </c>
      <c r="E439" s="13" t="s">
        <v>86</v>
      </c>
      <c r="F439" s="13">
        <f>IFERROR(VLOOKUP($E439,ghg_sort!$A$3:$B$21,2,0),0)</f>
        <v>3.6666666666666701</v>
      </c>
      <c r="G439" s="13">
        <f t="shared" ref="G439:Q439" si="92">T439*$F439</f>
        <v>0</v>
      </c>
      <c r="H439" s="13">
        <f t="shared" si="92"/>
        <v>0.29201396221032921</v>
      </c>
      <c r="I439" s="13">
        <f t="shared" si="92"/>
        <v>0.41188034684177738</v>
      </c>
      <c r="J439" s="13">
        <f t="shared" si="92"/>
        <v>0.58259806963866623</v>
      </c>
      <c r="K439" s="13">
        <f t="shared" si="92"/>
        <v>0.7861769335753197</v>
      </c>
      <c r="L439" s="13">
        <f t="shared" si="92"/>
        <v>0.9662810590062858</v>
      </c>
      <c r="M439" s="13">
        <f t="shared" si="92"/>
        <v>1.0340071219247888</v>
      </c>
      <c r="N439" s="13">
        <f t="shared" si="92"/>
        <v>1.0867544106910565</v>
      </c>
      <c r="O439" s="13">
        <f t="shared" si="92"/>
        <v>1.1444747990243014</v>
      </c>
      <c r="P439" s="13">
        <f t="shared" si="92"/>
        <v>1.2131545766204124</v>
      </c>
      <c r="Q439" s="13">
        <f t="shared" si="92"/>
        <v>1.2843984319620936</v>
      </c>
      <c r="R439" s="13" t="s">
        <v>239</v>
      </c>
      <c r="T439" s="63">
        <v>0</v>
      </c>
      <c r="U439" s="63">
        <v>7.9640171511907901E-2</v>
      </c>
      <c r="V439" s="63">
        <v>0.11233100368412099</v>
      </c>
      <c r="W439" s="63">
        <v>0.15889038262872701</v>
      </c>
      <c r="X439" s="63">
        <v>0.21441189097508701</v>
      </c>
      <c r="Y439" s="63">
        <v>0.26353119791080498</v>
      </c>
      <c r="Z439" s="63">
        <v>0.28200194234312398</v>
      </c>
      <c r="AA439" s="63">
        <v>0.29638756655210602</v>
      </c>
      <c r="AB439" s="63">
        <v>0.312129490642991</v>
      </c>
      <c r="AC439" s="63">
        <v>0.33086033907829399</v>
      </c>
      <c r="AD439" s="63">
        <v>0.35029048144420699</v>
      </c>
    </row>
    <row r="440" spans="1:31">
      <c r="A440" t="s">
        <v>267</v>
      </c>
      <c r="B440" t="s">
        <v>1</v>
      </c>
      <c r="C440" t="s">
        <v>59</v>
      </c>
      <c r="D440" s="13" t="str">
        <f>IFERROR(VLOOKUP(C440,ghg_sort!$A$86:$B$512,2,0),0)</f>
        <v>Electricity</v>
      </c>
      <c r="E440" s="13" t="s">
        <v>86</v>
      </c>
      <c r="F440" s="13">
        <f>IFERROR(VLOOKUP($E440,ghg_sort!$A$3:$B$21,2,0),0)</f>
        <v>3.6666666666666701</v>
      </c>
      <c r="G440" s="13">
        <f t="shared" si="81"/>
        <v>34.424549247056277</v>
      </c>
      <c r="H440" s="13">
        <f t="shared" si="82"/>
        <v>173.72254657276841</v>
      </c>
      <c r="I440" s="13">
        <f t="shared" si="83"/>
        <v>246.00203749961278</v>
      </c>
      <c r="J440" s="13">
        <f t="shared" si="84"/>
        <v>253.59974956224687</v>
      </c>
      <c r="K440" s="13">
        <f t="shared" si="85"/>
        <v>258.34998828884324</v>
      </c>
      <c r="L440" s="13">
        <f t="shared" si="86"/>
        <v>282.44439885207356</v>
      </c>
      <c r="M440" s="13">
        <f t="shared" si="87"/>
        <v>267.92074326201862</v>
      </c>
      <c r="N440" s="13">
        <f t="shared" si="88"/>
        <v>250.74538262538258</v>
      </c>
      <c r="O440" s="13">
        <f t="shared" si="89"/>
        <v>229.58290613958465</v>
      </c>
      <c r="P440" s="13">
        <f t="shared" si="90"/>
        <v>166.70022405541428</v>
      </c>
      <c r="Q440" s="13">
        <f t="shared" si="91"/>
        <v>143.25448185913751</v>
      </c>
      <c r="R440" s="13" t="s">
        <v>239</v>
      </c>
      <c r="T440" s="62">
        <v>9.3885134310153404</v>
      </c>
      <c r="U440" s="62">
        <v>47.378876338027702</v>
      </c>
      <c r="V440" s="62">
        <v>67.091464772621606</v>
      </c>
      <c r="W440" s="62">
        <v>69.163568062430897</v>
      </c>
      <c r="X440" s="62">
        <v>70.459087715139006</v>
      </c>
      <c r="Y440" s="62">
        <v>77.030290596019995</v>
      </c>
      <c r="Z440" s="62">
        <v>73.069293616914095</v>
      </c>
      <c r="AA440" s="62">
        <v>68.385104352376999</v>
      </c>
      <c r="AB440" s="62">
        <v>62.613519856250299</v>
      </c>
      <c r="AC440" s="62">
        <v>45.463697469658399</v>
      </c>
      <c r="AD440" s="62">
        <v>39.069404143401101</v>
      </c>
      <c r="AE440" s="13" t="s">
        <v>244</v>
      </c>
    </row>
    <row r="441" spans="1:31">
      <c r="A441" t="s">
        <v>267</v>
      </c>
      <c r="B441" t="s">
        <v>1</v>
      </c>
      <c r="C441" t="s">
        <v>163</v>
      </c>
      <c r="D441" s="13" t="str">
        <f>IFERROR(VLOOKUP(C441,ghg_sort!$A$86:$B$512,2,0),0)</f>
        <v>Industry</v>
      </c>
      <c r="E441" s="13" t="s">
        <v>86</v>
      </c>
      <c r="F441" s="13">
        <f>IFERROR(VLOOKUP($E441,ghg_sort!$A$3:$B$21,2,0),0)</f>
        <v>3.6666666666666701</v>
      </c>
      <c r="G441" s="13">
        <f t="shared" si="81"/>
        <v>0</v>
      </c>
      <c r="H441" s="13">
        <f t="shared" si="82"/>
        <v>-6.2894747411195391E-7</v>
      </c>
      <c r="I441" s="13">
        <f t="shared" si="83"/>
        <v>-2.6730592860294609E-7</v>
      </c>
      <c r="J441" s="13">
        <f t="shared" si="84"/>
        <v>-1.3251332841245228E-6</v>
      </c>
      <c r="K441" s="13">
        <f t="shared" si="85"/>
        <v>-1.4591772146206616E-6</v>
      </c>
      <c r="L441" s="13">
        <f t="shared" si="86"/>
        <v>-2.976153121672327E-6</v>
      </c>
      <c r="M441" s="13">
        <f t="shared" si="87"/>
        <v>0</v>
      </c>
      <c r="N441" s="13">
        <f t="shared" si="88"/>
        <v>-1.6534343076906249E-6</v>
      </c>
      <c r="O441" s="13">
        <f t="shared" si="89"/>
        <v>-1.2998171774079042E-6</v>
      </c>
      <c r="P441" s="13">
        <f t="shared" si="90"/>
        <v>0</v>
      </c>
      <c r="Q441" s="13">
        <f t="shared" si="91"/>
        <v>0</v>
      </c>
      <c r="R441" s="13" t="s">
        <v>239</v>
      </c>
      <c r="T441" s="62">
        <v>0</v>
      </c>
      <c r="U441" s="63">
        <v>-1.7153112930326E-7</v>
      </c>
      <c r="V441" s="63">
        <v>-7.2901616891712502E-8</v>
      </c>
      <c r="W441" s="63">
        <v>-3.61399986579415E-7</v>
      </c>
      <c r="X441" s="63">
        <v>-3.9795742216927097E-7</v>
      </c>
      <c r="Y441" s="63">
        <v>-8.11678124092452E-7</v>
      </c>
      <c r="Z441" s="63">
        <v>0</v>
      </c>
      <c r="AA441" s="63">
        <v>-4.5093662937017001E-7</v>
      </c>
      <c r="AB441" s="63">
        <v>-3.54495593838519E-7</v>
      </c>
      <c r="AC441" s="63">
        <v>0</v>
      </c>
      <c r="AD441" s="63">
        <v>0</v>
      </c>
      <c r="AE441" s="13" t="s">
        <v>244</v>
      </c>
    </row>
    <row r="442" spans="1:31">
      <c r="A442" t="s">
        <v>267</v>
      </c>
      <c r="B442" t="s">
        <v>1</v>
      </c>
      <c r="C442" t="s">
        <v>147</v>
      </c>
      <c r="D442" s="13" t="str">
        <f>IFERROR(VLOOKUP(C442,ghg_sort!$A$86:$B$512,2,0),0)</f>
        <v>Industry</v>
      </c>
      <c r="E442" s="13" t="s">
        <v>86</v>
      </c>
      <c r="F442" s="13">
        <f>IFERROR(VLOOKUP($E442,ghg_sort!$A$3:$B$21,2,0),0)</f>
        <v>3.6666666666666701</v>
      </c>
      <c r="G442" s="13">
        <f t="shared" si="81"/>
        <v>3.6727754664187806E-7</v>
      </c>
      <c r="H442" s="13">
        <f t="shared" si="82"/>
        <v>4.3128216513828639E-7</v>
      </c>
      <c r="I442" s="13">
        <f t="shared" si="83"/>
        <v>-1.8090575256331691E-6</v>
      </c>
      <c r="J442" s="13">
        <f t="shared" si="84"/>
        <v>5.5974148889063212E-7</v>
      </c>
      <c r="K442" s="13">
        <f t="shared" si="85"/>
        <v>3.9866270309217772E-2</v>
      </c>
      <c r="L442" s="13">
        <f t="shared" si="86"/>
        <v>0.10856761704788789</v>
      </c>
      <c r="M442" s="13">
        <f t="shared" si="87"/>
        <v>0.18839366527835424</v>
      </c>
      <c r="N442" s="13">
        <f t="shared" si="88"/>
        <v>0.30460525007272093</v>
      </c>
      <c r="O442" s="13">
        <f t="shared" si="89"/>
        <v>0.76933318685337837</v>
      </c>
      <c r="P442" s="13">
        <f t="shared" si="90"/>
        <v>1.1835525425708282</v>
      </c>
      <c r="Q442" s="13">
        <f t="shared" si="91"/>
        <v>1.8215390995901457</v>
      </c>
      <c r="R442" s="13" t="s">
        <v>239</v>
      </c>
      <c r="T442" s="63">
        <v>1.0016660362960301E-7</v>
      </c>
      <c r="U442" s="63">
        <v>1.1762240867407799E-7</v>
      </c>
      <c r="V442" s="63">
        <v>-4.9337932517268204E-7</v>
      </c>
      <c r="W442" s="63">
        <v>1.5265676969744499E-7</v>
      </c>
      <c r="X442" s="62">
        <v>1.08726191752412E-2</v>
      </c>
      <c r="Y442" s="62">
        <v>2.9609350103969399E-2</v>
      </c>
      <c r="Z442" s="62">
        <v>5.13800905304602E-2</v>
      </c>
      <c r="AA442" s="62">
        <v>8.3074159110741994E-2</v>
      </c>
      <c r="AB442" s="62">
        <v>0.209818141869103</v>
      </c>
      <c r="AC442" s="62">
        <v>0.32278705706477101</v>
      </c>
      <c r="AD442" s="62">
        <v>0.49678339079731199</v>
      </c>
      <c r="AE442" s="13" t="s">
        <v>244</v>
      </c>
    </row>
    <row r="443" spans="1:31">
      <c r="A443" t="s">
        <v>267</v>
      </c>
      <c r="B443" t="s">
        <v>1</v>
      </c>
      <c r="C443" t="s">
        <v>32</v>
      </c>
      <c r="D443" s="13" t="str">
        <f>IFERROR(VLOOKUP(C443,ghg_sort!$A$86:$B$512,2,0),0)</f>
        <v>Industry</v>
      </c>
      <c r="E443" s="13" t="s">
        <v>86</v>
      </c>
      <c r="F443" s="13">
        <f>IFERROR(VLOOKUP($E443,ghg_sort!$A$3:$B$21,2,0),0)</f>
        <v>3.6666666666666701</v>
      </c>
      <c r="G443" s="13">
        <f t="shared" si="81"/>
        <v>27.038264000000026</v>
      </c>
      <c r="H443" s="13">
        <f t="shared" si="82"/>
        <v>3.7567432984301767</v>
      </c>
      <c r="I443" s="13">
        <f t="shared" si="83"/>
        <v>4.3146748054813369</v>
      </c>
      <c r="J443" s="13">
        <f t="shared" si="84"/>
        <v>89.060708201292016</v>
      </c>
      <c r="K443" s="13">
        <f t="shared" si="85"/>
        <v>84.585982876255017</v>
      </c>
      <c r="L443" s="13">
        <f t="shared" si="86"/>
        <v>91.372073623690284</v>
      </c>
      <c r="M443" s="13">
        <f t="shared" si="87"/>
        <v>88.920136661437482</v>
      </c>
      <c r="N443" s="13">
        <f t="shared" si="88"/>
        <v>84.001928054083308</v>
      </c>
      <c r="O443" s="13">
        <f t="shared" si="89"/>
        <v>79.375903082273297</v>
      </c>
      <c r="P443" s="13">
        <f t="shared" si="90"/>
        <v>71.473871834489003</v>
      </c>
      <c r="Q443" s="13">
        <f t="shared" si="91"/>
        <v>59.989340618969365</v>
      </c>
      <c r="R443" s="13" t="s">
        <v>239</v>
      </c>
      <c r="T443" s="62">
        <v>7.374072</v>
      </c>
      <c r="U443" s="62">
        <v>1.02456635411732</v>
      </c>
      <c r="V443" s="62">
        <v>1.1767294924039999</v>
      </c>
      <c r="W443" s="62">
        <v>24.289284054897799</v>
      </c>
      <c r="X443" s="62">
        <v>23.068904420796802</v>
      </c>
      <c r="Y443" s="62">
        <v>24.9196564428246</v>
      </c>
      <c r="Z443" s="62">
        <v>24.2509463622102</v>
      </c>
      <c r="AA443" s="62">
        <v>22.909616742022699</v>
      </c>
      <c r="AB443" s="62">
        <v>21.647973567892699</v>
      </c>
      <c r="AC443" s="62">
        <v>19.4928741366788</v>
      </c>
      <c r="AD443" s="62">
        <v>16.360729259718902</v>
      </c>
      <c r="AE443" s="13" t="s">
        <v>244</v>
      </c>
    </row>
    <row r="444" spans="1:31">
      <c r="A444" t="s">
        <v>267</v>
      </c>
      <c r="B444" t="s">
        <v>1</v>
      </c>
      <c r="C444" t="s">
        <v>66</v>
      </c>
      <c r="D444" s="13" t="str">
        <f>IFERROR(VLOOKUP(C444,ghg_sort!$A$86:$B$512,2,0),0)</f>
        <v>Industry</v>
      </c>
      <c r="E444" s="13" t="s">
        <v>86</v>
      </c>
      <c r="F444" s="13">
        <f>IFERROR(VLOOKUP($E444,ghg_sort!$A$3:$B$21,2,0),0)</f>
        <v>3.6666666666666701</v>
      </c>
      <c r="G444" s="13">
        <f t="shared" si="81"/>
        <v>0.33994510000000033</v>
      </c>
      <c r="H444" s="13">
        <f t="shared" si="82"/>
        <v>0.17747164048609471</v>
      </c>
      <c r="I444" s="13">
        <f t="shared" si="83"/>
        <v>0.25489086138252354</v>
      </c>
      <c r="J444" s="13">
        <f t="shared" si="84"/>
        <v>0.19181033255703753</v>
      </c>
      <c r="K444" s="13">
        <f t="shared" si="85"/>
        <v>0.17417249340269514</v>
      </c>
      <c r="L444" s="13">
        <f t="shared" si="86"/>
        <v>0.21018950755854682</v>
      </c>
      <c r="M444" s="13">
        <f t="shared" si="87"/>
        <v>0.22590667943278511</v>
      </c>
      <c r="N444" s="13">
        <f t="shared" si="88"/>
        <v>0.22842246657645857</v>
      </c>
      <c r="O444" s="13">
        <f t="shared" si="89"/>
        <v>0.22502837471631754</v>
      </c>
      <c r="P444" s="13">
        <f t="shared" si="90"/>
        <v>0.21634727911613064</v>
      </c>
      <c r="Q444" s="13">
        <f t="shared" si="91"/>
        <v>0.20612276009066738</v>
      </c>
      <c r="R444" s="13" t="s">
        <v>239</v>
      </c>
      <c r="T444" s="62">
        <v>9.2712299999999997E-2</v>
      </c>
      <c r="U444" s="62">
        <v>4.8401356496207602E-2</v>
      </c>
      <c r="V444" s="62">
        <v>6.9515689467960898E-2</v>
      </c>
      <c r="W444" s="62">
        <v>5.2311908879192001E-2</v>
      </c>
      <c r="X444" s="62">
        <v>4.7501589109825902E-2</v>
      </c>
      <c r="Y444" s="62">
        <v>5.7324411152330897E-2</v>
      </c>
      <c r="Z444" s="62">
        <v>6.1610912572577697E-2</v>
      </c>
      <c r="AA444" s="62">
        <v>6.2297036339034099E-2</v>
      </c>
      <c r="AB444" s="62">
        <v>6.1371374922631998E-2</v>
      </c>
      <c r="AC444" s="62">
        <v>5.90038033953083E-2</v>
      </c>
      <c r="AD444" s="62">
        <v>5.6215298206545597E-2</v>
      </c>
      <c r="AE444" s="13" t="s">
        <v>244</v>
      </c>
    </row>
    <row r="445" spans="1:31">
      <c r="A445" t="s">
        <v>267</v>
      </c>
      <c r="B445" t="s">
        <v>1</v>
      </c>
      <c r="C445" t="s">
        <v>68</v>
      </c>
      <c r="D445" s="13" t="str">
        <f>IFERROR(VLOOKUP(C445,ghg_sort!$A$86:$B$512,2,0),0)</f>
        <v>Industry</v>
      </c>
      <c r="E445" s="13" t="s">
        <v>86</v>
      </c>
      <c r="F445" s="13">
        <f>IFERROR(VLOOKUP($E445,ghg_sort!$A$3:$B$21,2,0),0)</f>
        <v>3.6666666666666701</v>
      </c>
      <c r="G445" s="13">
        <f t="shared" si="81"/>
        <v>43.655256701498971</v>
      </c>
      <c r="H445" s="13">
        <f t="shared" si="82"/>
        <v>100.7734675644775</v>
      </c>
      <c r="I445" s="13">
        <f t="shared" si="83"/>
        <v>117.31356681388567</v>
      </c>
      <c r="J445" s="13">
        <f t="shared" si="84"/>
        <v>54.87277606669582</v>
      </c>
      <c r="K445" s="13">
        <f t="shared" si="85"/>
        <v>58.18200947095832</v>
      </c>
      <c r="L445" s="13">
        <f t="shared" si="86"/>
        <v>61.654377480282093</v>
      </c>
      <c r="M445" s="13">
        <f t="shared" si="87"/>
        <v>62.832703808777886</v>
      </c>
      <c r="N445" s="13">
        <f t="shared" si="88"/>
        <v>59.252733712459516</v>
      </c>
      <c r="O445" s="13">
        <f t="shared" si="89"/>
        <v>54.462005295815381</v>
      </c>
      <c r="P445" s="13">
        <f t="shared" si="90"/>
        <v>49.401580823817618</v>
      </c>
      <c r="Q445" s="13">
        <f t="shared" si="91"/>
        <v>44.224609094229343</v>
      </c>
      <c r="R445" s="13" t="s">
        <v>239</v>
      </c>
      <c r="T445" s="62">
        <v>11.9059791004088</v>
      </c>
      <c r="U445" s="62">
        <v>27.483672972130201</v>
      </c>
      <c r="V445" s="62">
        <v>31.994609131059701</v>
      </c>
      <c r="W445" s="62">
        <v>14.9653025636443</v>
      </c>
      <c r="X445" s="62">
        <v>15.867820764806799</v>
      </c>
      <c r="Y445" s="62">
        <v>16.8148302218951</v>
      </c>
      <c r="Z445" s="62">
        <v>17.136191947848499</v>
      </c>
      <c r="AA445" s="62">
        <v>16.159836467034399</v>
      </c>
      <c r="AB445" s="62">
        <v>14.853274171585999</v>
      </c>
      <c r="AC445" s="62">
        <v>13.473158406495701</v>
      </c>
      <c r="AD445" s="62">
        <v>12.0612570256989</v>
      </c>
      <c r="AE445" s="13" t="s">
        <v>244</v>
      </c>
    </row>
    <row r="446" spans="1:31">
      <c r="A446" t="s">
        <v>267</v>
      </c>
      <c r="B446" t="s">
        <v>1</v>
      </c>
      <c r="C446" t="s">
        <v>22</v>
      </c>
      <c r="D446" s="13" t="str">
        <f>IFERROR(VLOOKUP(C446,ghg_sort!$A$86:$B$512,2,0),0)</f>
        <v>Industry</v>
      </c>
      <c r="E446" s="13" t="s">
        <v>86</v>
      </c>
      <c r="F446" s="13">
        <f>IFERROR(VLOOKUP($E446,ghg_sort!$A$3:$B$21,2,0),0)</f>
        <v>3.6666666666666701</v>
      </c>
      <c r="G446" s="13">
        <f t="shared" si="81"/>
        <v>0</v>
      </c>
      <c r="H446" s="13">
        <f t="shared" si="82"/>
        <v>-2.3974152497168228E-4</v>
      </c>
      <c r="I446" s="13">
        <f t="shared" si="83"/>
        <v>-7.2342073588457642E-3</v>
      </c>
      <c r="J446" s="13">
        <f t="shared" si="84"/>
        <v>-7.8537217290184109E-3</v>
      </c>
      <c r="K446" s="13">
        <f t="shared" si="85"/>
        <v>-1.1112468486506356E-2</v>
      </c>
      <c r="L446" s="13">
        <f t="shared" si="86"/>
        <v>-1.652010187626907E-2</v>
      </c>
      <c r="M446" s="13">
        <f t="shared" si="87"/>
        <v>-2.3009940008332293E-2</v>
      </c>
      <c r="N446" s="13">
        <f t="shared" si="88"/>
        <v>-4.4864838740454008E-2</v>
      </c>
      <c r="O446" s="13">
        <f t="shared" si="89"/>
        <v>-0.1107637683468075</v>
      </c>
      <c r="P446" s="13">
        <f t="shared" si="90"/>
        <v>-0.23338061996650009</v>
      </c>
      <c r="Q446" s="13">
        <f t="shared" si="91"/>
        <v>-0.38866183075123101</v>
      </c>
      <c r="R446" s="13" t="s">
        <v>239</v>
      </c>
      <c r="T446" s="62">
        <v>0</v>
      </c>
      <c r="U446" s="63">
        <v>-6.5384052265004197E-5</v>
      </c>
      <c r="V446" s="62">
        <v>-1.9729656433215702E-3</v>
      </c>
      <c r="W446" s="62">
        <v>-2.1419241079141099E-3</v>
      </c>
      <c r="X446" s="62">
        <v>-3.0306732235926398E-3</v>
      </c>
      <c r="Y446" s="62">
        <v>-4.5054823298915601E-3</v>
      </c>
      <c r="Z446" s="62">
        <v>-6.2754381840906199E-3</v>
      </c>
      <c r="AA446" s="62">
        <v>-1.22358651110329E-2</v>
      </c>
      <c r="AB446" s="62">
        <v>-3.0208300458220198E-2</v>
      </c>
      <c r="AC446" s="62">
        <v>-6.3649259990863599E-2</v>
      </c>
      <c r="AD446" s="62">
        <v>-0.105998681113972</v>
      </c>
      <c r="AE446" s="13" t="s">
        <v>244</v>
      </c>
    </row>
    <row r="447" spans="1:31">
      <c r="A447" t="s">
        <v>267</v>
      </c>
      <c r="B447" t="s">
        <v>1</v>
      </c>
      <c r="C447" t="s">
        <v>62</v>
      </c>
      <c r="D447" s="13" t="str">
        <f>IFERROR(VLOOKUP(C447,ghg_sort!$A$86:$B$512,2,0),0)</f>
        <v>Industry</v>
      </c>
      <c r="E447" s="13" t="s">
        <v>86</v>
      </c>
      <c r="F447" s="13">
        <f>IFERROR(VLOOKUP($E447,ghg_sort!$A$3:$B$21,2,0),0)</f>
        <v>3.6666666666666701</v>
      </c>
      <c r="G447" s="13">
        <f t="shared" si="81"/>
        <v>9.7891444583392992</v>
      </c>
      <c r="H447" s="13">
        <f t="shared" si="82"/>
        <v>13.38565064450971</v>
      </c>
      <c r="I447" s="13">
        <f t="shared" si="83"/>
        <v>12.734759733759702</v>
      </c>
      <c r="J447" s="13">
        <f t="shared" si="84"/>
        <v>12.98531614148763</v>
      </c>
      <c r="K447" s="13">
        <f t="shared" si="85"/>
        <v>13.673673226174696</v>
      </c>
      <c r="L447" s="13">
        <f t="shared" si="86"/>
        <v>16.485279160835592</v>
      </c>
      <c r="M447" s="13">
        <f t="shared" si="87"/>
        <v>17.464133754281626</v>
      </c>
      <c r="N447" s="13">
        <f t="shared" si="88"/>
        <v>18.110226186146615</v>
      </c>
      <c r="O447" s="13">
        <f t="shared" si="89"/>
        <v>18.524883278082811</v>
      </c>
      <c r="P447" s="13">
        <f t="shared" si="90"/>
        <v>18.669613133123462</v>
      </c>
      <c r="Q447" s="13">
        <f t="shared" si="91"/>
        <v>18.258162335313759</v>
      </c>
      <c r="R447" s="13" t="s">
        <v>239</v>
      </c>
      <c r="T447" s="62">
        <v>2.6697666704561702</v>
      </c>
      <c r="U447" s="62">
        <v>3.6506319939571901</v>
      </c>
      <c r="V447" s="62">
        <v>3.4731162910253701</v>
      </c>
      <c r="W447" s="62">
        <v>3.5414498567693502</v>
      </c>
      <c r="X447" s="62">
        <v>3.72918360713855</v>
      </c>
      <c r="Y447" s="62">
        <v>4.4959852256824302</v>
      </c>
      <c r="Z447" s="62">
        <v>4.7629455693495304</v>
      </c>
      <c r="AA447" s="62">
        <v>4.9391525962217999</v>
      </c>
      <c r="AB447" s="62">
        <v>5.0522408940225798</v>
      </c>
      <c r="AC447" s="62">
        <v>5.0917126726700301</v>
      </c>
      <c r="AD447" s="62">
        <v>4.9794988187219298</v>
      </c>
      <c r="AE447" s="13" t="s">
        <v>244</v>
      </c>
    </row>
    <row r="448" spans="1:31">
      <c r="A448" t="s">
        <v>267</v>
      </c>
      <c r="B448" t="s">
        <v>1</v>
      </c>
      <c r="C448" t="s">
        <v>164</v>
      </c>
      <c r="D448" s="13">
        <f>IFERROR(VLOOKUP(C448,ghg_sort!$A$86:$B$512,2,0),0)</f>
        <v>0</v>
      </c>
      <c r="E448" s="13" t="s">
        <v>86</v>
      </c>
      <c r="F448" s="13">
        <f>IFERROR(VLOOKUP($E448,ghg_sort!$A$3:$B$21,2,0),0)</f>
        <v>3.6666666666666701</v>
      </c>
      <c r="G448" s="13">
        <f t="shared" si="81"/>
        <v>0</v>
      </c>
      <c r="H448" s="13">
        <f t="shared" si="82"/>
        <v>0</v>
      </c>
      <c r="I448" s="13">
        <f t="shared" si="83"/>
        <v>-8.8992840452238148E-7</v>
      </c>
      <c r="J448" s="13">
        <f t="shared" si="84"/>
        <v>-1.5359606931265571E-6</v>
      </c>
      <c r="K448" s="13">
        <f t="shared" si="85"/>
        <v>-8.4462456740947711E-7</v>
      </c>
      <c r="L448" s="13">
        <f t="shared" si="86"/>
        <v>0</v>
      </c>
      <c r="M448" s="13">
        <f t="shared" si="87"/>
        <v>0</v>
      </c>
      <c r="N448" s="13">
        <f t="shared" si="88"/>
        <v>0</v>
      </c>
      <c r="O448" s="13">
        <f t="shared" si="89"/>
        <v>0</v>
      </c>
      <c r="P448" s="13">
        <f t="shared" si="90"/>
        <v>-3.4057484230142664E-6</v>
      </c>
      <c r="Q448" s="13">
        <f t="shared" si="91"/>
        <v>0</v>
      </c>
      <c r="R448" s="13" t="s">
        <v>239</v>
      </c>
      <c r="T448" s="62">
        <v>0</v>
      </c>
      <c r="U448" s="62">
        <v>0</v>
      </c>
      <c r="V448" s="63">
        <v>-2.42707746687922E-7</v>
      </c>
      <c r="W448" s="63">
        <v>-4.1889837085269699E-7</v>
      </c>
      <c r="X448" s="63">
        <v>-2.3035215474803899E-7</v>
      </c>
      <c r="Y448" s="63">
        <v>0</v>
      </c>
      <c r="Z448" s="63">
        <v>0</v>
      </c>
      <c r="AA448" s="63">
        <v>0</v>
      </c>
      <c r="AB448" s="63">
        <v>0</v>
      </c>
      <c r="AC448" s="63">
        <v>-9.2884047900388999E-7</v>
      </c>
      <c r="AD448" s="63">
        <v>0</v>
      </c>
      <c r="AE448" s="13" t="s">
        <v>244</v>
      </c>
    </row>
    <row r="449" spans="1:31">
      <c r="A449" t="s">
        <v>267</v>
      </c>
      <c r="B449" t="s">
        <v>1</v>
      </c>
      <c r="C449" t="s">
        <v>6</v>
      </c>
      <c r="D449" s="13" t="str">
        <f>IFERROR(VLOOKUP(C449,ghg_sort!$A$86:$B$512,2,0),0)</f>
        <v>Industry</v>
      </c>
      <c r="E449" s="13" t="s">
        <v>86</v>
      </c>
      <c r="F449" s="13">
        <f>IFERROR(VLOOKUP($E449,ghg_sort!$A$3:$B$21,2,0),0)</f>
        <v>3.6666666666666701</v>
      </c>
      <c r="G449" s="13">
        <f t="shared" si="81"/>
        <v>0</v>
      </c>
      <c r="H449" s="13">
        <f t="shared" si="82"/>
        <v>0</v>
      </c>
      <c r="I449" s="13">
        <f t="shared" si="83"/>
        <v>-5.1522214521970545E-7</v>
      </c>
      <c r="J449" s="13">
        <f t="shared" si="84"/>
        <v>0</v>
      </c>
      <c r="K449" s="13">
        <f t="shared" si="85"/>
        <v>0</v>
      </c>
      <c r="L449" s="13">
        <f t="shared" si="86"/>
        <v>0</v>
      </c>
      <c r="M449" s="13">
        <f t="shared" si="87"/>
        <v>0</v>
      </c>
      <c r="N449" s="13">
        <f t="shared" si="88"/>
        <v>0</v>
      </c>
      <c r="O449" s="13">
        <f t="shared" si="89"/>
        <v>-7.1875574242473533E-6</v>
      </c>
      <c r="P449" s="13">
        <f t="shared" si="90"/>
        <v>-4.5409996404616471E-6</v>
      </c>
      <c r="Q449" s="13">
        <f t="shared" si="91"/>
        <v>-5.6999050246684751E-7</v>
      </c>
      <c r="R449" s="13" t="s">
        <v>239</v>
      </c>
      <c r="T449" s="62">
        <v>0</v>
      </c>
      <c r="U449" s="62">
        <v>0</v>
      </c>
      <c r="V449" s="63">
        <v>-1.40515130514465E-7</v>
      </c>
      <c r="W449" s="62">
        <v>0</v>
      </c>
      <c r="X449" s="63">
        <v>0</v>
      </c>
      <c r="Y449" s="63">
        <v>0</v>
      </c>
      <c r="Z449" s="63">
        <v>0</v>
      </c>
      <c r="AA449" s="63">
        <v>0</v>
      </c>
      <c r="AB449" s="63">
        <v>-1.9602429338856399E-6</v>
      </c>
      <c r="AC449" s="63">
        <v>-1.2384544473986299E-6</v>
      </c>
      <c r="AD449" s="63">
        <v>-1.55451955218231E-7</v>
      </c>
      <c r="AE449" s="13" t="s">
        <v>244</v>
      </c>
    </row>
    <row r="450" spans="1:31">
      <c r="A450" t="s">
        <v>267</v>
      </c>
      <c r="B450" t="s">
        <v>1</v>
      </c>
      <c r="C450" t="s">
        <v>148</v>
      </c>
      <c r="D450" s="13" t="str">
        <f>IFERROR(VLOOKUP(C450,ghg_sort!$A$86:$B$512,2,0),0)</f>
        <v>Industry</v>
      </c>
      <c r="E450" s="13" t="s">
        <v>86</v>
      </c>
      <c r="F450" s="13">
        <f>IFERROR(VLOOKUP($E450,ghg_sort!$A$3:$B$21,2,0),0)</f>
        <v>3.6666666666666701</v>
      </c>
      <c r="G450" s="13">
        <f t="shared" si="81"/>
        <v>2.0245353333333354</v>
      </c>
      <c r="H450" s="13">
        <f t="shared" si="82"/>
        <v>15.065143455436079</v>
      </c>
      <c r="I450" s="13">
        <f t="shared" si="83"/>
        <v>21.17748904879786</v>
      </c>
      <c r="J450" s="13">
        <f t="shared" si="84"/>
        <v>31.351522788308351</v>
      </c>
      <c r="K450" s="13">
        <f t="shared" si="85"/>
        <v>30.363236523404613</v>
      </c>
      <c r="L450" s="13">
        <f t="shared" si="86"/>
        <v>31.716417692298709</v>
      </c>
      <c r="M450" s="13">
        <f t="shared" si="87"/>
        <v>31.542906856754509</v>
      </c>
      <c r="N450" s="13">
        <f t="shared" si="88"/>
        <v>30.916201592729411</v>
      </c>
      <c r="O450" s="13">
        <f t="shared" si="89"/>
        <v>30.598370281783506</v>
      </c>
      <c r="P450" s="13">
        <f t="shared" si="90"/>
        <v>31.254552511859117</v>
      </c>
      <c r="Q450" s="13">
        <f t="shared" si="91"/>
        <v>33.030637823817656</v>
      </c>
      <c r="R450" s="13" t="s">
        <v>239</v>
      </c>
      <c r="T450" s="62">
        <v>0.55214600000000003</v>
      </c>
      <c r="U450" s="62">
        <v>4.1086754878461997</v>
      </c>
      <c r="V450" s="62">
        <v>5.7756788314903202</v>
      </c>
      <c r="W450" s="62">
        <v>8.5504153059022698</v>
      </c>
      <c r="X450" s="62">
        <v>8.2808826882012507</v>
      </c>
      <c r="Y450" s="62">
        <v>8.6499320978996401</v>
      </c>
      <c r="Z450" s="62">
        <v>8.6026109609330401</v>
      </c>
      <c r="AA450" s="62">
        <v>8.4316913434716501</v>
      </c>
      <c r="AB450" s="62">
        <v>8.3450100768500395</v>
      </c>
      <c r="AC450" s="62">
        <v>8.5239688668706606</v>
      </c>
      <c r="AD450" s="62">
        <v>9.0083557701320807</v>
      </c>
      <c r="AE450" s="13" t="s">
        <v>244</v>
      </c>
    </row>
    <row r="451" spans="1:31">
      <c r="A451" t="s">
        <v>267</v>
      </c>
      <c r="B451" t="s">
        <v>1</v>
      </c>
      <c r="C451" t="s">
        <v>152</v>
      </c>
      <c r="D451" s="13" t="str">
        <f>IFERROR(VLOOKUP(C451,ghg_sort!$A$86:$B$512,2,0),0)</f>
        <v>Building</v>
      </c>
      <c r="E451" s="13" t="s">
        <v>86</v>
      </c>
      <c r="F451" s="13">
        <f>IFERROR(VLOOKUP($E451,ghg_sort!$A$3:$B$21,2,0),0)</f>
        <v>3.6666666666666701</v>
      </c>
      <c r="G451" s="13">
        <f t="shared" si="81"/>
        <v>15.650855202105838</v>
      </c>
      <c r="H451" s="13">
        <f t="shared" si="82"/>
        <v>19.751219919670525</v>
      </c>
      <c r="I451" s="13">
        <f t="shared" si="83"/>
        <v>19.76055040233679</v>
      </c>
      <c r="J451" s="13">
        <f t="shared" si="84"/>
        <v>18.335950936101277</v>
      </c>
      <c r="K451" s="13">
        <f t="shared" si="85"/>
        <v>14.839282496313857</v>
      </c>
      <c r="L451" s="13">
        <f t="shared" si="86"/>
        <v>15.491047880767228</v>
      </c>
      <c r="M451" s="13">
        <f t="shared" si="87"/>
        <v>15.208859446441735</v>
      </c>
      <c r="N451" s="13">
        <f t="shared" si="88"/>
        <v>13.333857423288686</v>
      </c>
      <c r="O451" s="13">
        <f t="shared" si="89"/>
        <v>10.626827060288717</v>
      </c>
      <c r="P451" s="13">
        <f t="shared" si="90"/>
        <v>6.2133716275628865</v>
      </c>
      <c r="Q451" s="13">
        <f t="shared" si="91"/>
        <v>-9.1387297667851615E-6</v>
      </c>
      <c r="R451" s="13" t="s">
        <v>239</v>
      </c>
      <c r="T451" s="62">
        <v>4.2684150551197702</v>
      </c>
      <c r="U451" s="62">
        <v>5.38669634172832</v>
      </c>
      <c r="V451" s="62">
        <v>5.3892410188191198</v>
      </c>
      <c r="W451" s="62">
        <v>5.0007138916639802</v>
      </c>
      <c r="X451" s="62">
        <v>4.0470770444492299</v>
      </c>
      <c r="Y451" s="62">
        <v>4.2248312402092401</v>
      </c>
      <c r="Z451" s="62">
        <v>4.1478707581204697</v>
      </c>
      <c r="AA451" s="62">
        <v>3.6365065699878198</v>
      </c>
      <c r="AB451" s="62">
        <v>2.8982255618969202</v>
      </c>
      <c r="AC451" s="62">
        <v>1.6945558984262401</v>
      </c>
      <c r="AD451" s="63">
        <v>-2.4923808454868601E-6</v>
      </c>
      <c r="AE451" s="13" t="s">
        <v>244</v>
      </c>
    </row>
    <row r="452" spans="1:31">
      <c r="A452" t="s">
        <v>267</v>
      </c>
      <c r="B452" t="s">
        <v>1</v>
      </c>
      <c r="C452" t="s">
        <v>153</v>
      </c>
      <c r="D452" s="13" t="str">
        <f>IFERROR(VLOOKUP(C452,ghg_sort!$A$86:$B$512,2,0),0)</f>
        <v>Building</v>
      </c>
      <c r="E452" s="13" t="s">
        <v>86</v>
      </c>
      <c r="F452" s="13">
        <f>IFERROR(VLOOKUP($E452,ghg_sort!$A$3:$B$21,2,0),0)</f>
        <v>3.6666666666666701</v>
      </c>
      <c r="G452" s="13">
        <f t="shared" si="81"/>
        <v>27.314761492950971</v>
      </c>
      <c r="H452" s="13">
        <f t="shared" si="82"/>
        <v>12.740593929886618</v>
      </c>
      <c r="I452" s="13">
        <f t="shared" si="83"/>
        <v>12.693356183611082</v>
      </c>
      <c r="J452" s="13">
        <f t="shared" si="84"/>
        <v>11.385905968042698</v>
      </c>
      <c r="K452" s="13">
        <f t="shared" si="85"/>
        <v>9.7358007037758227</v>
      </c>
      <c r="L452" s="13">
        <f t="shared" si="86"/>
        <v>10.67690494062952</v>
      </c>
      <c r="M452" s="13">
        <f t="shared" si="87"/>
        <v>11.676760227882687</v>
      </c>
      <c r="N452" s="13">
        <f t="shared" si="88"/>
        <v>11.670935618285032</v>
      </c>
      <c r="O452" s="13">
        <f t="shared" si="89"/>
        <v>11.32187141673765</v>
      </c>
      <c r="P452" s="13">
        <f t="shared" si="90"/>
        <v>10.868505078085061</v>
      </c>
      <c r="Q452" s="13">
        <f t="shared" si="91"/>
        <v>10.154842259664237</v>
      </c>
      <c r="R452" s="13" t="s">
        <v>239</v>
      </c>
      <c r="T452" s="62">
        <v>7.4494804071684397</v>
      </c>
      <c r="U452" s="62">
        <v>3.4747074354236198</v>
      </c>
      <c r="V452" s="62">
        <v>3.4618244137121099</v>
      </c>
      <c r="W452" s="62">
        <v>3.1052470821934599</v>
      </c>
      <c r="X452" s="62">
        <v>2.6552183737570401</v>
      </c>
      <c r="Y452" s="62">
        <v>2.9118831656262301</v>
      </c>
      <c r="Z452" s="62">
        <v>3.18457097124073</v>
      </c>
      <c r="AA452" s="62">
        <v>3.1829824413504602</v>
      </c>
      <c r="AB452" s="62">
        <v>3.0877831136557199</v>
      </c>
      <c r="AC452" s="62">
        <v>2.9641377485686502</v>
      </c>
      <c r="AD452" s="62">
        <v>2.7695024344538801</v>
      </c>
      <c r="AE452" s="13" t="s">
        <v>244</v>
      </c>
    </row>
    <row r="453" spans="1:31" s="13" customFormat="1">
      <c r="A453" s="13" t="s">
        <v>267</v>
      </c>
      <c r="B453" s="13" t="s">
        <v>1</v>
      </c>
      <c r="C453" s="13" t="s">
        <v>407</v>
      </c>
      <c r="D453" s="13" t="str">
        <f>IFERROR(VLOOKUP(C453,ghg_sort!$A$86:$B$512,2,0),0)</f>
        <v>Industry</v>
      </c>
      <c r="E453" s="13" t="s">
        <v>86</v>
      </c>
      <c r="F453" s="13">
        <f>IFERROR(VLOOKUP($E453,ghg_sort!$A$3:$B$21,2,0),0)</f>
        <v>3.6666666666666701</v>
      </c>
      <c r="G453" s="13">
        <f t="shared" ref="G453:Q453" si="93">T453*$F453</f>
        <v>0</v>
      </c>
      <c r="H453" s="13">
        <f t="shared" si="93"/>
        <v>0.39374674074767568</v>
      </c>
      <c r="I453" s="13">
        <f t="shared" si="93"/>
        <v>0.48845386124086976</v>
      </c>
      <c r="J453" s="13">
        <f t="shared" si="93"/>
        <v>0.6374527405845799</v>
      </c>
      <c r="K453" s="13">
        <f t="shared" si="93"/>
        <v>0.86019828903056117</v>
      </c>
      <c r="L453" s="13">
        <f t="shared" si="93"/>
        <v>1.0572611930692946</v>
      </c>
      <c r="M453" s="13">
        <f t="shared" si="93"/>
        <v>1.1313647753114127</v>
      </c>
      <c r="N453" s="13">
        <f t="shared" si="93"/>
        <v>1.1890752313846866</v>
      </c>
      <c r="O453" s="13">
        <f t="shared" si="93"/>
        <v>1.25223297952917</v>
      </c>
      <c r="P453" s="13">
        <f t="shared" si="93"/>
        <v>1.3273796241705316</v>
      </c>
      <c r="Q453" s="13">
        <f t="shared" si="93"/>
        <v>1.4053305588062597</v>
      </c>
      <c r="R453" s="13" t="s">
        <v>239</v>
      </c>
      <c r="T453" s="62">
        <v>0</v>
      </c>
      <c r="U453" s="62">
        <v>0.10738547474936599</v>
      </c>
      <c r="V453" s="62">
        <v>0.13321468942932799</v>
      </c>
      <c r="W453" s="62">
        <v>0.173850747432158</v>
      </c>
      <c r="X453" s="62">
        <v>0.23459953337197101</v>
      </c>
      <c r="Y453" s="62">
        <v>0.288343961746171</v>
      </c>
      <c r="Z453" s="62">
        <v>0.30855402963038497</v>
      </c>
      <c r="AA453" s="62">
        <v>0.32429324492309602</v>
      </c>
      <c r="AB453" s="62">
        <v>0.34151808532613698</v>
      </c>
      <c r="AC453" s="62">
        <v>0.36201262477378099</v>
      </c>
      <c r="AD453" s="62">
        <v>0.38327197058352502</v>
      </c>
    </row>
    <row r="454" spans="1:31">
      <c r="A454" t="s">
        <v>267</v>
      </c>
      <c r="B454" t="s">
        <v>1</v>
      </c>
      <c r="C454" t="s">
        <v>154</v>
      </c>
      <c r="D454" s="13" t="str">
        <f>IFERROR(VLOOKUP(C454,ghg_sort!$A$86:$B$512,2,0),0)</f>
        <v>International</v>
      </c>
      <c r="E454" s="13" t="s">
        <v>86</v>
      </c>
      <c r="F454" s="13">
        <f>IFERROR(VLOOKUP($E454,ghg_sort!$A$3:$B$21,2,0),0)</f>
        <v>3.6666666666666701</v>
      </c>
      <c r="G454" s="13">
        <f t="shared" si="81"/>
        <v>0.5610513333333339</v>
      </c>
      <c r="H454" s="13">
        <f t="shared" si="82"/>
        <v>10.161416835775233</v>
      </c>
      <c r="I454" s="13">
        <f t="shared" si="83"/>
        <v>11.947433457445211</v>
      </c>
      <c r="J454" s="13">
        <f t="shared" si="84"/>
        <v>15.461122520925672</v>
      </c>
      <c r="K454" s="13">
        <f t="shared" si="85"/>
        <v>16.169687707248805</v>
      </c>
      <c r="L454" s="13">
        <f t="shared" si="86"/>
        <v>17.380314794265811</v>
      </c>
      <c r="M454" s="13">
        <f t="shared" si="87"/>
        <v>17.770799869886599</v>
      </c>
      <c r="N454" s="13">
        <f t="shared" si="88"/>
        <v>17.882169247159595</v>
      </c>
      <c r="O454" s="13">
        <f t="shared" si="89"/>
        <v>17.778027209136901</v>
      </c>
      <c r="P454" s="13">
        <f t="shared" si="90"/>
        <v>17.058885655382138</v>
      </c>
      <c r="Q454" s="13">
        <f t="shared" si="91"/>
        <v>16.288567657480304</v>
      </c>
      <c r="R454" s="13" t="s">
        <v>239</v>
      </c>
      <c r="T454" s="62">
        <v>0.15301400000000001</v>
      </c>
      <c r="U454" s="62">
        <v>2.7712955006659699</v>
      </c>
      <c r="V454" s="62">
        <v>3.2583909429396001</v>
      </c>
      <c r="W454" s="62">
        <v>4.2166697784342704</v>
      </c>
      <c r="X454" s="62">
        <v>4.4099148292496704</v>
      </c>
      <c r="Y454" s="62">
        <v>4.7400858529815801</v>
      </c>
      <c r="Z454" s="62">
        <v>4.8465817826963402</v>
      </c>
      <c r="AA454" s="62">
        <v>4.8769552492253396</v>
      </c>
      <c r="AB454" s="62">
        <v>4.8485528752191502</v>
      </c>
      <c r="AC454" s="62">
        <v>4.6524233605587604</v>
      </c>
      <c r="AD454" s="62">
        <v>4.4423366338582602</v>
      </c>
      <c r="AE454" s="13" t="s">
        <v>244</v>
      </c>
    </row>
    <row r="455" spans="1:31">
      <c r="A455" t="s">
        <v>267</v>
      </c>
      <c r="B455" t="s">
        <v>1</v>
      </c>
      <c r="C455" t="s">
        <v>155</v>
      </c>
      <c r="D455" s="13" t="str">
        <f>IFERROR(VLOOKUP(C455,ghg_sort!$A$86:$B$512,2,0),0)</f>
        <v>Transportation</v>
      </c>
      <c r="E455" s="13" t="s">
        <v>86</v>
      </c>
      <c r="F455" s="13">
        <f>IFERROR(VLOOKUP($E455,ghg_sort!$A$3:$B$21,2,0),0)</f>
        <v>3.6666666666666701</v>
      </c>
      <c r="G455" s="13">
        <f t="shared" si="81"/>
        <v>5.0582154333333378</v>
      </c>
      <c r="H455" s="13">
        <f t="shared" si="82"/>
        <v>2.910975224378495</v>
      </c>
      <c r="I455" s="13">
        <f t="shared" si="83"/>
        <v>2.2964146719912586</v>
      </c>
      <c r="J455" s="13">
        <f t="shared" si="84"/>
        <v>0.96798718071190748</v>
      </c>
      <c r="K455" s="13">
        <f t="shared" si="85"/>
        <v>1.0492993001333857</v>
      </c>
      <c r="L455" s="13">
        <f t="shared" si="86"/>
        <v>1.1849636536279202</v>
      </c>
      <c r="M455" s="13">
        <f t="shared" si="87"/>
        <v>1.3041276761911214</v>
      </c>
      <c r="N455" s="13">
        <f t="shared" si="88"/>
        <v>1.3826447254196108</v>
      </c>
      <c r="O455" s="13">
        <f t="shared" si="89"/>
        <v>1.4176533669144014</v>
      </c>
      <c r="P455" s="13">
        <f t="shared" si="90"/>
        <v>1.4065925250026627</v>
      </c>
      <c r="Q455" s="13">
        <f t="shared" si="91"/>
        <v>1.412839328404949</v>
      </c>
      <c r="R455" s="13" t="s">
        <v>239</v>
      </c>
      <c r="T455" s="62">
        <v>1.3795132999999999</v>
      </c>
      <c r="U455" s="62">
        <v>0.79390233392140697</v>
      </c>
      <c r="V455" s="62">
        <v>0.62629491054306996</v>
      </c>
      <c r="W455" s="62">
        <v>0.26399650383051998</v>
      </c>
      <c r="X455" s="62">
        <v>0.286172536400014</v>
      </c>
      <c r="Y455" s="62">
        <v>0.32317190553488701</v>
      </c>
      <c r="Z455" s="62">
        <v>0.35567118441576001</v>
      </c>
      <c r="AA455" s="62">
        <v>0.37708492511443897</v>
      </c>
      <c r="AB455" s="62">
        <v>0.3866327364312</v>
      </c>
      <c r="AC455" s="62">
        <v>0.383616143182544</v>
      </c>
      <c r="AD455" s="62">
        <v>0.38531981683771299</v>
      </c>
      <c r="AE455" s="13" t="s">
        <v>244</v>
      </c>
    </row>
    <row r="456" spans="1:31">
      <c r="A456" t="s">
        <v>267</v>
      </c>
      <c r="B456" t="s">
        <v>1</v>
      </c>
      <c r="C456" t="s">
        <v>156</v>
      </c>
      <c r="D456" s="13" t="str">
        <f>IFERROR(VLOOKUP(C456,ghg_sort!$A$86:$B$512,2,0),0)</f>
        <v>Transportation</v>
      </c>
      <c r="E456" s="13" t="s">
        <v>86</v>
      </c>
      <c r="F456" s="13">
        <f>IFERROR(VLOOKUP($E456,ghg_sort!$A$3:$B$21,2,0),0)</f>
        <v>3.6666666666666701</v>
      </c>
      <c r="G456" s="13">
        <f t="shared" si="81"/>
        <v>9.4148633333333418</v>
      </c>
      <c r="H456" s="13">
        <f t="shared" si="82"/>
        <v>22.867889884136165</v>
      </c>
      <c r="I456" s="13">
        <f t="shared" si="83"/>
        <v>23.83525453164858</v>
      </c>
      <c r="J456" s="13">
        <f t="shared" si="84"/>
        <v>26.687851972849309</v>
      </c>
      <c r="K456" s="13">
        <f t="shared" si="85"/>
        <v>28.676401721560474</v>
      </c>
      <c r="L456" s="13">
        <f t="shared" si="86"/>
        <v>32.096571512741257</v>
      </c>
      <c r="M456" s="13">
        <f t="shared" si="87"/>
        <v>32.881212662294878</v>
      </c>
      <c r="N456" s="13">
        <f t="shared" si="88"/>
        <v>33.041519721785036</v>
      </c>
      <c r="O456" s="13">
        <f t="shared" si="89"/>
        <v>32.127318217160457</v>
      </c>
      <c r="P456" s="13">
        <f t="shared" si="90"/>
        <v>30.126392522292356</v>
      </c>
      <c r="Q456" s="13">
        <f t="shared" si="91"/>
        <v>28.430099524603285</v>
      </c>
      <c r="R456" s="13" t="s">
        <v>239</v>
      </c>
      <c r="T456" s="62">
        <v>2.5676899999999998</v>
      </c>
      <c r="U456" s="62">
        <v>6.2366972411280397</v>
      </c>
      <c r="V456" s="62">
        <v>6.5005239631768799</v>
      </c>
      <c r="W456" s="62">
        <v>7.2785050835043501</v>
      </c>
      <c r="X456" s="62">
        <v>7.8208368331528497</v>
      </c>
      <c r="Y456" s="62">
        <v>8.7536104125657896</v>
      </c>
      <c r="Z456" s="62">
        <v>8.9676034533531404</v>
      </c>
      <c r="AA456" s="62">
        <v>9.0113235604868205</v>
      </c>
      <c r="AB456" s="62">
        <v>8.7619958774073901</v>
      </c>
      <c r="AC456" s="62">
        <v>8.2162888697160898</v>
      </c>
      <c r="AD456" s="62">
        <v>7.7536635067099802</v>
      </c>
      <c r="AE456" s="13" t="s">
        <v>244</v>
      </c>
    </row>
    <row r="457" spans="1:31">
      <c r="A457" t="s">
        <v>267</v>
      </c>
      <c r="B457" t="s">
        <v>1</v>
      </c>
      <c r="C457" t="s">
        <v>157</v>
      </c>
      <c r="D457" s="13" t="str">
        <f>IFERROR(VLOOKUP(C457,ghg_sort!$A$86:$B$512,2,0),0)</f>
        <v>Transportation</v>
      </c>
      <c r="E457" s="13" t="s">
        <v>86</v>
      </c>
      <c r="F457" s="13">
        <f>IFERROR(VLOOKUP($E457,ghg_sort!$A$3:$B$21,2,0),0)</f>
        <v>3.6666666666666701</v>
      </c>
      <c r="G457" s="13">
        <f t="shared" si="81"/>
        <v>6.3019835999999687</v>
      </c>
      <c r="H457" s="13">
        <f t="shared" si="82"/>
        <v>1.4661221989921223</v>
      </c>
      <c r="I457" s="13">
        <f t="shared" si="83"/>
        <v>1.6532101999798015</v>
      </c>
      <c r="J457" s="13">
        <f t="shared" si="84"/>
        <v>2.0432535467011195</v>
      </c>
      <c r="K457" s="13">
        <f t="shared" si="85"/>
        <v>2.1747838990689954</v>
      </c>
      <c r="L457" s="13">
        <f t="shared" si="86"/>
        <v>2.3051898200176031</v>
      </c>
      <c r="M457" s="13">
        <f t="shared" si="87"/>
        <v>2.3507992766914465</v>
      </c>
      <c r="N457" s="13">
        <f t="shared" si="88"/>
        <v>2.362527842381581</v>
      </c>
      <c r="O457" s="13">
        <f t="shared" si="89"/>
        <v>2.3203919876308254</v>
      </c>
      <c r="P457" s="13">
        <f t="shared" si="90"/>
        <v>2.2196368898479619</v>
      </c>
      <c r="Q457" s="13">
        <f t="shared" si="91"/>
        <v>2.1093946457165544</v>
      </c>
      <c r="R457" s="13" t="s">
        <v>239</v>
      </c>
      <c r="T457" s="62">
        <v>1.7187227999999899</v>
      </c>
      <c r="U457" s="62">
        <v>0.39985150881603299</v>
      </c>
      <c r="V457" s="62">
        <v>0.45087550908539997</v>
      </c>
      <c r="W457" s="62">
        <v>0.55725096728212298</v>
      </c>
      <c r="X457" s="62">
        <v>0.59312288156427095</v>
      </c>
      <c r="Y457" s="62">
        <v>0.62868813273207302</v>
      </c>
      <c r="Z457" s="62">
        <v>0.64112707546130299</v>
      </c>
      <c r="AA457" s="62">
        <v>0.64432577519497602</v>
      </c>
      <c r="AB457" s="62">
        <v>0.63283417844476997</v>
      </c>
      <c r="AC457" s="62">
        <v>0.60535551541307997</v>
      </c>
      <c r="AD457" s="62">
        <v>0.57528944883178701</v>
      </c>
      <c r="AE457" s="13" t="s">
        <v>244</v>
      </c>
    </row>
    <row r="458" spans="1:31">
      <c r="A458" t="s">
        <v>267</v>
      </c>
      <c r="B458" t="s">
        <v>1</v>
      </c>
      <c r="C458" t="s">
        <v>158</v>
      </c>
      <c r="D458" s="13" t="str">
        <f>IFERROR(VLOOKUP(C458,ghg_sort!$A$86:$B$512,2,0),0)</f>
        <v>Transportation</v>
      </c>
      <c r="E458" s="13" t="s">
        <v>86</v>
      </c>
      <c r="F458" s="13">
        <f>IFERROR(VLOOKUP($E458,ghg_sort!$A$3:$B$21,2,0),0)</f>
        <v>3.6666666666666701</v>
      </c>
      <c r="G458" s="13">
        <f t="shared" si="81"/>
        <v>6.1170266666666722</v>
      </c>
      <c r="H458" s="13">
        <f t="shared" si="82"/>
        <v>15.551390976597167</v>
      </c>
      <c r="I458" s="13">
        <f t="shared" si="83"/>
        <v>17.673541300724082</v>
      </c>
      <c r="J458" s="13">
        <f t="shared" si="84"/>
        <v>19.829553376803446</v>
      </c>
      <c r="K458" s="13">
        <f t="shared" si="85"/>
        <v>20.30992833632105</v>
      </c>
      <c r="L458" s="13">
        <f t="shared" si="86"/>
        <v>17.530585845642886</v>
      </c>
      <c r="M458" s="13">
        <f t="shared" si="87"/>
        <v>14.593948313249522</v>
      </c>
      <c r="N458" s="13">
        <f t="shared" si="88"/>
        <v>12.316127957017072</v>
      </c>
      <c r="O458" s="13">
        <f t="shared" si="89"/>
        <v>11.376514490824828</v>
      </c>
      <c r="P458" s="13">
        <f t="shared" si="90"/>
        <v>10.697776119053733</v>
      </c>
      <c r="Q458" s="13">
        <f t="shared" si="91"/>
        <v>10.083308212179483</v>
      </c>
      <c r="R458" s="13" t="s">
        <v>239</v>
      </c>
      <c r="T458" s="62">
        <v>1.66828</v>
      </c>
      <c r="U458" s="62">
        <v>4.2412884481628597</v>
      </c>
      <c r="V458" s="62">
        <v>4.8200567183792904</v>
      </c>
      <c r="W458" s="62">
        <v>5.40806001185548</v>
      </c>
      <c r="X458" s="62">
        <v>5.53907136445119</v>
      </c>
      <c r="Y458" s="62">
        <v>4.7810688669935102</v>
      </c>
      <c r="Z458" s="62">
        <v>3.9801677217953202</v>
      </c>
      <c r="AA458" s="62">
        <v>3.3589439882773799</v>
      </c>
      <c r="AB458" s="62">
        <v>3.1026857702249502</v>
      </c>
      <c r="AC458" s="62">
        <v>2.9175753051964701</v>
      </c>
      <c r="AD458" s="62">
        <v>2.7499931487762201</v>
      </c>
      <c r="AE458" s="13" t="s">
        <v>244</v>
      </c>
    </row>
    <row r="459" spans="1:31">
      <c r="A459" t="s">
        <v>267</v>
      </c>
      <c r="B459" t="s">
        <v>1</v>
      </c>
      <c r="C459" t="s">
        <v>159</v>
      </c>
      <c r="D459" s="13" t="str">
        <f>IFERROR(VLOOKUP(C459,ghg_sort!$A$86:$B$512,2,0),0)</f>
        <v>Transportation</v>
      </c>
      <c r="E459" s="13" t="s">
        <v>86</v>
      </c>
      <c r="F459" s="13">
        <f>IFERROR(VLOOKUP($E459,ghg_sort!$A$3:$B$21,2,0),0)</f>
        <v>3.6666666666666701</v>
      </c>
      <c r="G459" s="13">
        <f t="shared" si="81"/>
        <v>0.48860166666666716</v>
      </c>
      <c r="H459" s="13">
        <f t="shared" si="82"/>
        <v>1.186700558870146</v>
      </c>
      <c r="I459" s="13">
        <f t="shared" si="83"/>
        <v>1.2368886599206257</v>
      </c>
      <c r="J459" s="13">
        <f t="shared" si="84"/>
        <v>1.3848928256871045</v>
      </c>
      <c r="K459" s="13">
        <f t="shared" si="85"/>
        <v>1.427399528707487</v>
      </c>
      <c r="L459" s="13">
        <f t="shared" si="86"/>
        <v>1.0273660366165507</v>
      </c>
      <c r="M459" s="13">
        <f t="shared" si="87"/>
        <v>0.76676941387290265</v>
      </c>
      <c r="N459" s="13">
        <f t="shared" si="88"/>
        <v>0.60572222269645226</v>
      </c>
      <c r="O459" s="13">
        <f t="shared" si="89"/>
        <v>0.59763493803506951</v>
      </c>
      <c r="P459" s="13">
        <f t="shared" si="90"/>
        <v>0.56905814300592816</v>
      </c>
      <c r="Q459" s="13">
        <f t="shared" si="91"/>
        <v>0.54381089010550554</v>
      </c>
      <c r="R459" s="13" t="s">
        <v>239</v>
      </c>
      <c r="T459" s="62">
        <v>0.13325500000000001</v>
      </c>
      <c r="U459" s="62">
        <v>0.323645606964585</v>
      </c>
      <c r="V459" s="62">
        <v>0.33733327088744303</v>
      </c>
      <c r="W459" s="62">
        <v>0.37769804336920998</v>
      </c>
      <c r="X459" s="62">
        <v>0.389290780556587</v>
      </c>
      <c r="Y459" s="62">
        <v>0.28019073725905902</v>
      </c>
      <c r="Z459" s="62">
        <v>0.20911893105624599</v>
      </c>
      <c r="AA459" s="62">
        <v>0.165196969826305</v>
      </c>
      <c r="AB459" s="62">
        <v>0.16299134673683699</v>
      </c>
      <c r="AC459" s="62">
        <v>0.155197675365253</v>
      </c>
      <c r="AD459" s="62">
        <v>0.148312060937865</v>
      </c>
      <c r="AE459" s="13" t="s">
        <v>244</v>
      </c>
    </row>
    <row r="460" spans="1:31">
      <c r="A460" t="s">
        <v>267</v>
      </c>
      <c r="B460" t="s">
        <v>1</v>
      </c>
      <c r="C460" t="s">
        <v>160</v>
      </c>
      <c r="D460" s="13" t="str">
        <f>IFERROR(VLOOKUP(C460,ghg_sort!$A$86:$B$512,2,0),0)</f>
        <v>Transportation</v>
      </c>
      <c r="E460" s="13" t="s">
        <v>86</v>
      </c>
      <c r="F460" s="13">
        <f>IFERROR(VLOOKUP($E460,ghg_sort!$A$3:$B$21,2,0),0)</f>
        <v>3.6666666666666701</v>
      </c>
      <c r="G460" s="13">
        <f t="shared" si="81"/>
        <v>16.483280000000015</v>
      </c>
      <c r="H460" s="13">
        <f t="shared" si="82"/>
        <v>40.043108491167871</v>
      </c>
      <c r="I460" s="13">
        <f t="shared" si="83"/>
        <v>41.756483394666738</v>
      </c>
      <c r="J460" s="13">
        <f t="shared" si="84"/>
        <v>46.753585941542013</v>
      </c>
      <c r="K460" s="13">
        <f t="shared" si="85"/>
        <v>46.730775301910747</v>
      </c>
      <c r="L460" s="13">
        <f t="shared" si="86"/>
        <v>43.984843729891573</v>
      </c>
      <c r="M460" s="13">
        <f t="shared" si="87"/>
        <v>36.204298466649647</v>
      </c>
      <c r="N460" s="13">
        <f t="shared" si="88"/>
        <v>29.091912551519535</v>
      </c>
      <c r="O460" s="13">
        <f t="shared" si="89"/>
        <v>22.034451271429543</v>
      </c>
      <c r="P460" s="13">
        <f t="shared" si="90"/>
        <v>18.212998168585017</v>
      </c>
      <c r="Q460" s="13">
        <f t="shared" si="91"/>
        <v>15.474728760057101</v>
      </c>
      <c r="R460" s="13" t="s">
        <v>239</v>
      </c>
      <c r="T460" s="62">
        <v>4.4954400000000003</v>
      </c>
      <c r="U460" s="62">
        <v>10.920847770318501</v>
      </c>
      <c r="V460" s="62">
        <v>11.3881318349091</v>
      </c>
      <c r="W460" s="62">
        <v>12.750977984056901</v>
      </c>
      <c r="X460" s="62">
        <v>12.7447569005211</v>
      </c>
      <c r="Y460" s="62">
        <v>11.995866471788601</v>
      </c>
      <c r="Z460" s="62">
        <v>9.8738995818135304</v>
      </c>
      <c r="AA460" s="62">
        <v>7.9341579685962298</v>
      </c>
      <c r="AB460" s="62">
        <v>6.0093958012989601</v>
      </c>
      <c r="AC460" s="62">
        <v>4.9671813187050002</v>
      </c>
      <c r="AD460" s="62">
        <v>4.22038057092466</v>
      </c>
      <c r="AE460" s="13" t="s">
        <v>244</v>
      </c>
    </row>
    <row r="461" spans="1:31">
      <c r="A461" t="s">
        <v>267</v>
      </c>
      <c r="B461" t="s">
        <v>1</v>
      </c>
      <c r="C461" t="s">
        <v>161</v>
      </c>
      <c r="D461" s="13" t="str">
        <f>IFERROR(VLOOKUP(C461,ghg_sort!$A$86:$B$512,2,0),0)</f>
        <v>International</v>
      </c>
      <c r="E461" s="13" t="s">
        <v>86</v>
      </c>
      <c r="F461" s="13">
        <f>IFERROR(VLOOKUP($E461,ghg_sort!$A$3:$B$21,2,0),0)</f>
        <v>3.6666666666666701</v>
      </c>
      <c r="G461" s="13">
        <f t="shared" si="81"/>
        <v>4.7456566666666715</v>
      </c>
      <c r="H461" s="13">
        <f t="shared" si="82"/>
        <v>29.914731040106613</v>
      </c>
      <c r="I461" s="13">
        <f t="shared" si="83"/>
        <v>25.682433352030827</v>
      </c>
      <c r="J461" s="13">
        <f t="shared" si="84"/>
        <v>24.149560938741686</v>
      </c>
      <c r="K461" s="13">
        <f t="shared" si="85"/>
        <v>25.208288800363114</v>
      </c>
      <c r="L461" s="13">
        <f t="shared" si="86"/>
        <v>26.6338914605703</v>
      </c>
      <c r="M461" s="13">
        <f t="shared" si="87"/>
        <v>27.451866195847675</v>
      </c>
      <c r="N461" s="13">
        <f t="shared" si="88"/>
        <v>28.018020063179986</v>
      </c>
      <c r="O461" s="13">
        <f t="shared" si="89"/>
        <v>28.226656135398443</v>
      </c>
      <c r="P461" s="13">
        <f t="shared" si="90"/>
        <v>27.837548307979876</v>
      </c>
      <c r="Q461" s="13">
        <f t="shared" si="91"/>
        <v>27.60329796728184</v>
      </c>
      <c r="R461" s="13" t="s">
        <v>239</v>
      </c>
      <c r="T461" s="62">
        <v>1.29427</v>
      </c>
      <c r="U461" s="62">
        <v>8.1585630109381597</v>
      </c>
      <c r="V461" s="62">
        <v>7.0043000050993101</v>
      </c>
      <c r="W461" s="62">
        <v>6.5862438923840898</v>
      </c>
      <c r="X461" s="62">
        <v>6.8749878546444796</v>
      </c>
      <c r="Y461" s="62">
        <v>7.2637885801555298</v>
      </c>
      <c r="Z461" s="62">
        <v>7.4868725988675404</v>
      </c>
      <c r="AA461" s="62">
        <v>7.6412781990490801</v>
      </c>
      <c r="AB461" s="62">
        <v>7.6981789460177499</v>
      </c>
      <c r="AC461" s="62">
        <v>7.59205862944905</v>
      </c>
      <c r="AD461" s="62">
        <v>7.5281721728950401</v>
      </c>
      <c r="AE461" s="13" t="s">
        <v>244</v>
      </c>
    </row>
    <row r="462" spans="1:31">
      <c r="A462" t="s">
        <v>267</v>
      </c>
      <c r="B462" t="s">
        <v>1</v>
      </c>
      <c r="C462" t="s">
        <v>7</v>
      </c>
      <c r="D462" s="13">
        <f>IFERROR(VLOOKUP(C462,ghg_sort!$A$86:$B$512,2,0),0)</f>
        <v>0</v>
      </c>
      <c r="E462" s="13" t="s">
        <v>86</v>
      </c>
      <c r="F462" s="13">
        <f>IFERROR(VLOOKUP($E462,ghg_sort!$A$3:$B$21,2,0),0)</f>
        <v>3.6666666666666701</v>
      </c>
      <c r="G462" s="13">
        <f t="shared" si="81"/>
        <v>-1.5875003831509291E-8</v>
      </c>
      <c r="H462" s="13">
        <f t="shared" si="82"/>
        <v>0</v>
      </c>
      <c r="I462" s="13">
        <f t="shared" si="83"/>
        <v>-3.0549178687298618E-7</v>
      </c>
      <c r="J462" s="13">
        <f t="shared" si="84"/>
        <v>-1.0193300674918361E-6</v>
      </c>
      <c r="K462" s="13">
        <f t="shared" si="85"/>
        <v>-3.8065345075039001E-7</v>
      </c>
      <c r="L462" s="13">
        <f t="shared" si="86"/>
        <v>-6.3774566441224892E-7</v>
      </c>
      <c r="M462" s="13">
        <f t="shared" si="87"/>
        <v>-4.2008907289657772E-7</v>
      </c>
      <c r="N462" s="13">
        <f t="shared" si="88"/>
        <v>-2.7317523542005317E-6</v>
      </c>
      <c r="O462" s="13">
        <f t="shared" si="89"/>
        <v>-7.0899166116431829E-7</v>
      </c>
      <c r="P462" s="13">
        <f t="shared" si="90"/>
        <v>0</v>
      </c>
      <c r="Q462" s="13">
        <f t="shared" si="91"/>
        <v>0</v>
      </c>
      <c r="R462" s="13" t="s">
        <v>239</v>
      </c>
      <c r="T462" s="63">
        <v>-4.3295464995025302E-9</v>
      </c>
      <c r="U462" s="63">
        <v>0</v>
      </c>
      <c r="V462" s="63">
        <v>-8.3315941874450703E-8</v>
      </c>
      <c r="W462" s="63">
        <v>-2.7799910931595501E-7</v>
      </c>
      <c r="X462" s="63">
        <v>-1.03814577477379E-7</v>
      </c>
      <c r="Y462" s="63">
        <v>-1.7393063574879499E-7</v>
      </c>
      <c r="Z462" s="63">
        <v>-1.14569747153612E-7</v>
      </c>
      <c r="AA462" s="63">
        <v>-7.4502336932741701E-7</v>
      </c>
      <c r="AB462" s="63">
        <v>-1.93361362135723E-7</v>
      </c>
      <c r="AC462" s="63">
        <v>0</v>
      </c>
      <c r="AD462" s="63">
        <v>0</v>
      </c>
      <c r="AE462" s="13" t="s">
        <v>244</v>
      </c>
    </row>
    <row r="464" spans="1:31">
      <c r="E464">
        <f>COUNTIF(E423:E462,E462)</f>
        <v>40</v>
      </c>
    </row>
    <row r="466" spans="3:38">
      <c r="S466" s="13"/>
      <c r="T466" s="13">
        <v>2015</v>
      </c>
      <c r="U466" s="13">
        <v>2020</v>
      </c>
      <c r="V466" s="13">
        <v>2025</v>
      </c>
      <c r="W466" s="13">
        <v>2030</v>
      </c>
      <c r="X466" s="13">
        <v>2035</v>
      </c>
      <c r="Y466" s="13">
        <v>2040</v>
      </c>
      <c r="Z466" s="13">
        <v>2045</v>
      </c>
      <c r="AA466" s="13">
        <v>2050</v>
      </c>
      <c r="AB466" s="13" t="s">
        <v>76</v>
      </c>
      <c r="AE466">
        <v>2015</v>
      </c>
      <c r="AF466">
        <v>2020</v>
      </c>
      <c r="AG466">
        <v>2025</v>
      </c>
      <c r="AH466">
        <v>2030</v>
      </c>
      <c r="AI466">
        <v>2035</v>
      </c>
      <c r="AJ466">
        <v>2040</v>
      </c>
      <c r="AK466">
        <v>2045</v>
      </c>
      <c r="AL466">
        <v>2050</v>
      </c>
    </row>
    <row r="467" spans="3:38">
      <c r="Q467" t="s">
        <v>691</v>
      </c>
      <c r="R467" s="13" t="s">
        <v>248</v>
      </c>
      <c r="S467" s="13" t="s">
        <v>173</v>
      </c>
      <c r="T467" s="13">
        <f t="shared" ref="T467:AA467" si="94">SUMIF($D$3:$D$417,$S467,J$3:J$417)-SUMIFS(J$3:J$417,$D$3:$D$417,$S467,$E$3:$E$417,$R467)+SUMIFS(J$423:J$462,$D$423:$D$462,$S467,$E$423:$E$462,$R467)</f>
        <v>72.988476041563871</v>
      </c>
      <c r="U467" s="13">
        <f t="shared" si="94"/>
        <v>69.806624259211333</v>
      </c>
      <c r="V467" s="13">
        <f t="shared" si="94"/>
        <v>73.899820788097827</v>
      </c>
      <c r="W467" s="13">
        <f t="shared" si="94"/>
        <v>74.251635653287877</v>
      </c>
      <c r="X467" s="13">
        <f t="shared" si="94"/>
        <v>69.933155535371128</v>
      </c>
      <c r="Y467" s="13">
        <f t="shared" si="94"/>
        <v>64.876373173127931</v>
      </c>
      <c r="Z467" s="13">
        <f t="shared" si="94"/>
        <v>55.947213065394017</v>
      </c>
      <c r="AA467" s="13">
        <f t="shared" si="94"/>
        <v>46.529691451152246</v>
      </c>
      <c r="AB467" s="13" t="s">
        <v>495</v>
      </c>
      <c r="AD467" t="s">
        <v>669</v>
      </c>
      <c r="AE467">
        <v>72.988476041563871</v>
      </c>
      <c r="AF467">
        <v>69.806624259211333</v>
      </c>
      <c r="AG467">
        <v>73.899820788097827</v>
      </c>
      <c r="AH467">
        <v>74.251635653287877</v>
      </c>
      <c r="AI467">
        <v>69.933155535371128</v>
      </c>
      <c r="AJ467">
        <v>64.876373173127931</v>
      </c>
      <c r="AK467">
        <v>55.947213065394017</v>
      </c>
      <c r="AL467">
        <v>46.529691451152246</v>
      </c>
    </row>
    <row r="468" spans="3:38">
      <c r="Q468" t="s">
        <v>692</v>
      </c>
      <c r="R468" t="s">
        <v>248</v>
      </c>
      <c r="S468" s="13" t="s">
        <v>172</v>
      </c>
      <c r="T468" s="13">
        <f>SUMIF($D$3:$D$417,$S468,J$3:J$417)-SUMIFS(J$3:J$417,$D$3:$D$417,$S468,$E$3:$E$417,$R468)+SUMIFS(J$423:J$462,$D$423:$D$462,$S468,$E$423:$E$462,$R468)</f>
        <v>267.61340792029443</v>
      </c>
      <c r="U468" s="13">
        <f t="shared" ref="U468:AA468" si="95">SUMIF($D$3:$D$417,$S468,K$3:K$417)-SUMIFS(K$3:K$417,$D$3:$D$417,$S468,$E$3:$E$417,$R468)+SUMIFS(K$423:K$462,$D$423:$D$462,$S468,$E$423:$E$462,$R468)</f>
        <v>268.59087491002157</v>
      </c>
      <c r="V468" s="13">
        <f t="shared" si="95"/>
        <v>292.75444829392774</v>
      </c>
      <c r="W468" s="13">
        <f t="shared" si="95"/>
        <v>297.39652604052634</v>
      </c>
      <c r="X468" s="13">
        <f t="shared" si="95"/>
        <v>294.64430722029613</v>
      </c>
      <c r="Y468" s="13">
        <f t="shared" si="95"/>
        <v>288.28173981649468</v>
      </c>
      <c r="Z468" s="13">
        <f t="shared" si="95"/>
        <v>275.21364603459438</v>
      </c>
      <c r="AA468" s="13">
        <f t="shared" si="95"/>
        <v>263.3898161917362</v>
      </c>
      <c r="AB468" s="62" t="s">
        <v>496</v>
      </c>
      <c r="AD468" t="s">
        <v>670</v>
      </c>
      <c r="AE468">
        <v>267.61340792029443</v>
      </c>
      <c r="AF468">
        <v>268.59087491002157</v>
      </c>
      <c r="AG468">
        <v>292.75444829392774</v>
      </c>
      <c r="AH468">
        <v>297.39652604052634</v>
      </c>
      <c r="AI468">
        <v>294.64430722029613</v>
      </c>
      <c r="AJ468">
        <v>288.28173981649468</v>
      </c>
      <c r="AK468">
        <v>275.21364603459438</v>
      </c>
      <c r="AL468">
        <v>263.3898161917362</v>
      </c>
    </row>
    <row r="469" spans="3:38">
      <c r="Q469" t="s">
        <v>693</v>
      </c>
      <c r="R469" s="13" t="s">
        <v>248</v>
      </c>
      <c r="S469" s="13" t="s">
        <v>175</v>
      </c>
      <c r="T469" s="13">
        <f>SUMIF($D$3:$D$417,$S469,J$3:J$417)-SUMIFS(J$3:J$417,$D$3:$D$417,$S469,$E$3:$E$417,$R469)+SUMIFS(J$423:J$462,$D$423:$D$462,$S469,$E$423:$E$462,$R469)</f>
        <v>98.9353429394274</v>
      </c>
      <c r="U469" s="13">
        <f t="shared" ref="U469:AA470" si="96">SUMIF($D$3:$D$417,$S469,K$3:K$417)-SUMIFS(K$3:K$417,$D$3:$D$417,$S469,$E$3:$E$417,$R469)+SUMIFS(K$423:K$462,$D$423:$D$462,$S469,$E$423:$E$462,$R469)</f>
        <v>101.67283141048212</v>
      </c>
      <c r="V469" s="13">
        <f t="shared" si="96"/>
        <v>99.430290483985274</v>
      </c>
      <c r="W469" s="13">
        <f t="shared" si="96"/>
        <v>89.290820537242027</v>
      </c>
      <c r="X469" s="13">
        <f t="shared" si="96"/>
        <v>79.883436722498772</v>
      </c>
      <c r="Y469" s="13">
        <f t="shared" si="96"/>
        <v>70.853341851635122</v>
      </c>
      <c r="Z469" s="13">
        <f t="shared" si="96"/>
        <v>64.125325208770164</v>
      </c>
      <c r="AA469" s="13">
        <f t="shared" si="96"/>
        <v>58.873902008946878</v>
      </c>
      <c r="AB469" s="62" t="s">
        <v>497</v>
      </c>
      <c r="AD469" t="s">
        <v>671</v>
      </c>
      <c r="AE469">
        <v>98.9353429394274</v>
      </c>
      <c r="AF469">
        <v>101.67283141048212</v>
      </c>
      <c r="AG469">
        <v>99.430290483985274</v>
      </c>
      <c r="AH469">
        <v>89.290820537242027</v>
      </c>
      <c r="AI469">
        <v>79.883436722498772</v>
      </c>
      <c r="AJ469">
        <v>70.853341851635122</v>
      </c>
      <c r="AK469">
        <v>64.125325208770164</v>
      </c>
      <c r="AL469">
        <v>58.873902008946878</v>
      </c>
    </row>
    <row r="470" spans="3:38">
      <c r="Q470" t="s">
        <v>694</v>
      </c>
      <c r="R470" s="13" t="s">
        <v>248</v>
      </c>
      <c r="S470" s="13" t="s">
        <v>17</v>
      </c>
      <c r="T470" s="13">
        <f>SUMIF($D$3:$D$417,$S470,J$3:J$417)-SUMIFS(J$3:J$417,$D$3:$D$417,$S470,$E$3:$E$417,$R470)+SUMIFS(J$423:J$462,$D$423:$D$462,$S470,$E$423:$E$462,$R470)</f>
        <v>259.66756087801082</v>
      </c>
      <c r="U470" s="13">
        <f t="shared" si="96"/>
        <v>263.98436043122621</v>
      </c>
      <c r="V470" s="13">
        <f t="shared" si="96"/>
        <v>288.54871984451006</v>
      </c>
      <c r="W470" s="13">
        <f t="shared" si="96"/>
        <v>273.79275207857705</v>
      </c>
      <c r="X470" s="13">
        <f t="shared" si="96"/>
        <v>256.55977728475887</v>
      </c>
      <c r="Y470" s="13">
        <f t="shared" si="96"/>
        <v>235.45882490462017</v>
      </c>
      <c r="Z470" s="13">
        <f t="shared" si="96"/>
        <v>172.95147565310961</v>
      </c>
      <c r="AA470" s="13">
        <f t="shared" si="96"/>
        <v>149.84071307289827</v>
      </c>
      <c r="AB470" s="62" t="s">
        <v>498</v>
      </c>
      <c r="AD470" t="s">
        <v>524</v>
      </c>
      <c r="AE470">
        <v>259.66756087801082</v>
      </c>
      <c r="AF470">
        <v>263.98436043122621</v>
      </c>
      <c r="AG470">
        <v>288.54871984451006</v>
      </c>
      <c r="AH470">
        <v>273.79275207857705</v>
      </c>
      <c r="AI470">
        <v>256.55977728475887</v>
      </c>
      <c r="AJ470">
        <v>235.45882490462017</v>
      </c>
      <c r="AK470">
        <v>172.95147565310961</v>
      </c>
      <c r="AL470">
        <v>149.84071307289827</v>
      </c>
    </row>
    <row r="471" spans="3:38" s="13" customFormat="1">
      <c r="Q471" s="13" t="s">
        <v>695</v>
      </c>
      <c r="R471" s="13" t="s">
        <v>248</v>
      </c>
      <c r="S471" s="13" t="s">
        <v>256</v>
      </c>
      <c r="T471" s="13">
        <f>SUMIF($D$3:$D$417,$S471,J$3:J$417)-SUMIFS(J$3:J$417,$D$3:$D$417,$S471,$E$3:$E$417,$R471)+SUMIFS(J$423:J$462,$D$423:$D$462,$S471,$E$423:$E$462,$R471)</f>
        <v>16.311936075645395</v>
      </c>
      <c r="U471" s="13">
        <f t="shared" ref="U471:AA471" si="97">SUMIF($D$3:$D$417,$S471,K$3:K$417)-SUMIFS(K$3:K$417,$D$3:$D$417,$S471,$E$3:$E$417,$R471)+SUMIFS(K$423:K$462,$D$423:$D$462,$S471,$E$423:$E$462,$R471)</f>
        <v>16.956830342754063</v>
      </c>
      <c r="V471" s="13">
        <f t="shared" si="97"/>
        <v>17.260979415282453</v>
      </c>
      <c r="W471" s="13">
        <f t="shared" si="97"/>
        <v>17.459957932411296</v>
      </c>
      <c r="X471" s="13">
        <f t="shared" si="97"/>
        <v>17.574469820803248</v>
      </c>
      <c r="Y471" s="13">
        <f t="shared" si="97"/>
        <v>17.526155410896525</v>
      </c>
      <c r="Z471" s="13">
        <f t="shared" si="97"/>
        <v>17.472184530961236</v>
      </c>
      <c r="AA471" s="13">
        <f t="shared" si="97"/>
        <v>17.271825076298029</v>
      </c>
      <c r="AB471" s="62" t="s">
        <v>499</v>
      </c>
      <c r="AD471" s="13" t="s">
        <v>672</v>
      </c>
      <c r="AE471" s="13">
        <v>16.311936075645395</v>
      </c>
      <c r="AF471" s="13">
        <v>16.956830342754063</v>
      </c>
      <c r="AG471" s="13">
        <v>17.260979415282453</v>
      </c>
      <c r="AH471" s="13">
        <v>17.459957932411296</v>
      </c>
      <c r="AI471" s="13">
        <v>17.574469820803248</v>
      </c>
      <c r="AJ471" s="13">
        <v>17.526155410896525</v>
      </c>
      <c r="AK471" s="13">
        <v>17.472184530961236</v>
      </c>
      <c r="AL471" s="13">
        <v>17.271825076298029</v>
      </c>
    </row>
    <row r="472" spans="3:38">
      <c r="Q472" t="s">
        <v>696</v>
      </c>
      <c r="R472" s="13" t="s">
        <v>248</v>
      </c>
      <c r="S472" s="13" t="s">
        <v>174</v>
      </c>
      <c r="T472" s="13">
        <f>SUMIF($D$3:$D$417,$S472,J$3:J$417)-SUMIFS(J$3:J$417,$D$3:$D$417,$S472,$E$3:$E$417,$R472)+SUMIFS(J$423:J$462,$D$423:$D$462,$S472,$E$423:$E$462,$R472)</f>
        <v>0</v>
      </c>
      <c r="U472" s="13">
        <f t="shared" ref="U472:AA472" si="98">SUMIF($D$3:$D$417,$S472,K$3:K$417)-SUMIFS(K$3:K$417,$D$3:$D$417,$S472,$E$3:$E$417,$R472)+SUMIFS(K$423:K$462,$D$423:$D$462,$S472,$E$423:$E$462,$R472)</f>
        <v>0</v>
      </c>
      <c r="V472" s="13">
        <f t="shared" si="98"/>
        <v>0</v>
      </c>
      <c r="W472" s="13">
        <f t="shared" si="98"/>
        <v>0</v>
      </c>
      <c r="X472" s="13">
        <f t="shared" si="98"/>
        <v>0</v>
      </c>
      <c r="Y472" s="13">
        <f t="shared" si="98"/>
        <v>0</v>
      </c>
      <c r="Z472" s="13">
        <f t="shared" si="98"/>
        <v>0</v>
      </c>
      <c r="AA472" s="13">
        <f t="shared" si="98"/>
        <v>0</v>
      </c>
      <c r="AB472" s="62" t="s">
        <v>500</v>
      </c>
      <c r="AD472" t="s">
        <v>673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3:38">
      <c r="Q473" t="s">
        <v>697</v>
      </c>
      <c r="R473" s="13" t="s">
        <v>248</v>
      </c>
      <c r="S473" s="13" t="s">
        <v>176</v>
      </c>
      <c r="T473" s="31">
        <v>-45</v>
      </c>
      <c r="U473" s="31">
        <v>-45</v>
      </c>
      <c r="V473" s="31">
        <v>-44.875</v>
      </c>
      <c r="W473" s="31">
        <v>-43.0625</v>
      </c>
      <c r="X473" s="13">
        <v>-39.4375</v>
      </c>
      <c r="Y473" s="13">
        <v>-37.625</v>
      </c>
      <c r="Z473" s="13">
        <v>-35.8125</v>
      </c>
      <c r="AA473" s="13">
        <v>-34</v>
      </c>
      <c r="AB473" s="62" t="s">
        <v>501</v>
      </c>
      <c r="AD473" t="s">
        <v>674</v>
      </c>
      <c r="AE473">
        <v>-45</v>
      </c>
      <c r="AF473">
        <v>-45</v>
      </c>
      <c r="AG473">
        <v>-44.875</v>
      </c>
      <c r="AH473">
        <v>-43.0625</v>
      </c>
      <c r="AI473">
        <v>-39.4375</v>
      </c>
      <c r="AJ473">
        <v>-37.625</v>
      </c>
      <c r="AK473">
        <v>-35.8125</v>
      </c>
      <c r="AL473">
        <v>-34</v>
      </c>
    </row>
    <row r="474" spans="3:38">
      <c r="R474" s="13" t="s">
        <v>248</v>
      </c>
      <c r="S474" s="13" t="s">
        <v>178</v>
      </c>
      <c r="T474" s="13">
        <f t="shared" ref="T474:AA474" si="99">SUMIF($D$3:$D$417,$S474,J$3:J$417)-SUMIFS(J$3:J$417,$D$3:$D$417,$S474,$E$3:$E$417,$R474)+SUMIFS(J$423:J$462,$D$423:$D$462,$S474,$E$423:$E$462,$R474)</f>
        <v>40.256075819667352</v>
      </c>
      <c r="U474" s="13">
        <f t="shared" si="99"/>
        <v>42.052624267611918</v>
      </c>
      <c r="V474" s="13">
        <f t="shared" si="99"/>
        <v>44.730204936836117</v>
      </c>
      <c r="W474" s="13">
        <f t="shared" si="99"/>
        <v>45.959933157734277</v>
      </c>
      <c r="X474" s="13">
        <f t="shared" si="99"/>
        <v>46.652018482339578</v>
      </c>
      <c r="Y474" s="13">
        <f t="shared" si="99"/>
        <v>46.764860364535345</v>
      </c>
      <c r="Z474" s="13">
        <f t="shared" si="99"/>
        <v>45.651065627362016</v>
      </c>
      <c r="AA474" s="13">
        <f t="shared" si="99"/>
        <v>44.64518108276215</v>
      </c>
      <c r="AB474" s="62" t="s">
        <v>502</v>
      </c>
      <c r="AD474" t="s">
        <v>675</v>
      </c>
      <c r="AE474">
        <v>40.256075819667352</v>
      </c>
      <c r="AF474">
        <v>42.052624267611918</v>
      </c>
      <c r="AG474">
        <v>44.730204936836117</v>
      </c>
      <c r="AH474">
        <v>45.959933157734277</v>
      </c>
      <c r="AI474">
        <v>46.652018482339578</v>
      </c>
      <c r="AJ474">
        <v>46.764860364535345</v>
      </c>
      <c r="AK474">
        <v>45.651065627362016</v>
      </c>
      <c r="AL474">
        <v>44.64518108276215</v>
      </c>
    </row>
    <row r="475" spans="3:38">
      <c r="S475" s="13" t="s">
        <v>29</v>
      </c>
      <c r="T475" s="13">
        <f>SUM(T467:T473)</f>
        <v>670.51672385494192</v>
      </c>
      <c r="U475" s="13">
        <f>SUM(U467:U473)</f>
        <v>676.01152135369534</v>
      </c>
      <c r="V475" s="13">
        <f t="shared" ref="V475:AA475" si="100">SUM(V467:V473)</f>
        <v>727.01925882580338</v>
      </c>
      <c r="W475" s="13">
        <f t="shared" si="100"/>
        <v>709.12919224204461</v>
      </c>
      <c r="X475" s="13">
        <f t="shared" si="100"/>
        <v>679.15764658372825</v>
      </c>
      <c r="Y475" s="13">
        <f t="shared" si="100"/>
        <v>639.37143515677451</v>
      </c>
      <c r="Z475" s="13">
        <f t="shared" si="100"/>
        <v>549.89734449282946</v>
      </c>
      <c r="AA475" s="13">
        <f t="shared" si="100"/>
        <v>501.90594780103152</v>
      </c>
      <c r="AB475" s="62" t="s">
        <v>503</v>
      </c>
    </row>
    <row r="476" spans="3:38">
      <c r="AD476" s="62"/>
      <c r="AE476" s="62" t="s">
        <v>669</v>
      </c>
      <c r="AF476" s="62" t="s">
        <v>670</v>
      </c>
      <c r="AG476" s="62" t="s">
        <v>671</v>
      </c>
      <c r="AH476" s="62" t="s">
        <v>524</v>
      </c>
      <c r="AI476" s="62" t="s">
        <v>672</v>
      </c>
      <c r="AJ476" s="62" t="s">
        <v>673</v>
      </c>
      <c r="AK476" s="62" t="s">
        <v>674</v>
      </c>
      <c r="AL476" s="62" t="s">
        <v>675</v>
      </c>
    </row>
    <row r="477" spans="3:38">
      <c r="C477" s="1" t="s">
        <v>140</v>
      </c>
      <c r="D477" s="1" t="s">
        <v>140</v>
      </c>
      <c r="AD477" s="62">
        <v>2015</v>
      </c>
      <c r="AE477" s="27">
        <v>72.988476041563871</v>
      </c>
      <c r="AF477" s="27">
        <v>267.61340792029443</v>
      </c>
      <c r="AG477" s="27">
        <v>98.9353429394274</v>
      </c>
      <c r="AH477" s="27">
        <v>259.66756087801082</v>
      </c>
      <c r="AI477" s="27">
        <v>16.311936075645395</v>
      </c>
      <c r="AJ477" s="27">
        <v>0</v>
      </c>
      <c r="AK477" s="27">
        <v>-45</v>
      </c>
      <c r="AL477" s="27">
        <v>40.256075819667352</v>
      </c>
    </row>
    <row r="478" spans="3:38">
      <c r="C478" s="1" t="s">
        <v>141</v>
      </c>
      <c r="D478" s="1" t="s">
        <v>141</v>
      </c>
      <c r="AD478" s="62">
        <v>2020</v>
      </c>
      <c r="AE478" s="27">
        <v>69.806624259211333</v>
      </c>
      <c r="AF478" s="27">
        <v>268.59087491002157</v>
      </c>
      <c r="AG478" s="27">
        <v>101.67283141048212</v>
      </c>
      <c r="AH478" s="27">
        <v>263.98436043122621</v>
      </c>
      <c r="AI478" s="27">
        <v>16.956830342754063</v>
      </c>
      <c r="AJ478" s="27">
        <v>0</v>
      </c>
      <c r="AK478" s="27">
        <v>-45</v>
      </c>
      <c r="AL478" s="27">
        <v>42.052624267611918</v>
      </c>
    </row>
    <row r="479" spans="3:38">
      <c r="C479" s="1" t="s">
        <v>63</v>
      </c>
      <c r="D479" s="1" t="s">
        <v>63</v>
      </c>
      <c r="AD479" s="62">
        <v>2025</v>
      </c>
      <c r="AE479" s="27">
        <v>73.899820788097827</v>
      </c>
      <c r="AF479" s="27">
        <v>292.75444829392774</v>
      </c>
      <c r="AG479" s="27">
        <v>99.430290483985274</v>
      </c>
      <c r="AH479" s="27">
        <v>288.54871984451006</v>
      </c>
      <c r="AI479" s="27">
        <v>17.260979415282453</v>
      </c>
      <c r="AJ479" s="27">
        <v>0</v>
      </c>
      <c r="AK479" s="27">
        <v>-44.875</v>
      </c>
      <c r="AL479" s="27">
        <v>44.730204936836117</v>
      </c>
    </row>
    <row r="480" spans="3:38">
      <c r="C480" s="1" t="s">
        <v>64</v>
      </c>
      <c r="D480" s="1" t="s">
        <v>64</v>
      </c>
      <c r="AD480" s="62">
        <v>2030</v>
      </c>
      <c r="AE480" s="27">
        <v>74.251635653287877</v>
      </c>
      <c r="AF480" s="27">
        <v>297.39652604052634</v>
      </c>
      <c r="AG480" s="27">
        <v>89.290820537242027</v>
      </c>
      <c r="AH480" s="27">
        <v>273.79275207857705</v>
      </c>
      <c r="AI480" s="27">
        <v>17.459957932411296</v>
      </c>
      <c r="AJ480" s="27">
        <v>0</v>
      </c>
      <c r="AK480" s="27">
        <v>-43.0625</v>
      </c>
      <c r="AL480" s="27">
        <v>45.959933157734277</v>
      </c>
    </row>
    <row r="481" spans="3:38">
      <c r="C481" s="1" t="s">
        <v>142</v>
      </c>
      <c r="D481" s="1" t="s">
        <v>142</v>
      </c>
      <c r="AD481" s="62">
        <v>2035</v>
      </c>
      <c r="AE481" s="27">
        <v>69.933155535371128</v>
      </c>
      <c r="AF481" s="27">
        <v>294.64430722029613</v>
      </c>
      <c r="AG481" s="27">
        <v>79.883436722498772</v>
      </c>
      <c r="AH481" s="27">
        <v>256.55977728475887</v>
      </c>
      <c r="AI481" s="27">
        <v>17.574469820803248</v>
      </c>
      <c r="AJ481" s="27">
        <v>0</v>
      </c>
      <c r="AK481" s="27">
        <v>-39.4375</v>
      </c>
      <c r="AL481" s="27">
        <v>46.652018482339578</v>
      </c>
    </row>
    <row r="482" spans="3:38">
      <c r="C482" s="1" t="s">
        <v>247</v>
      </c>
      <c r="D482" s="1" t="s">
        <v>61</v>
      </c>
      <c r="AD482" s="62">
        <v>2040</v>
      </c>
      <c r="AE482" s="27">
        <v>64.876373173127931</v>
      </c>
      <c r="AF482" s="27">
        <v>288.28173981649468</v>
      </c>
      <c r="AG482" s="27">
        <v>70.853341851635122</v>
      </c>
      <c r="AH482" s="27">
        <v>235.45882490462017</v>
      </c>
      <c r="AI482" s="27">
        <v>17.526155410896525</v>
      </c>
      <c r="AJ482" s="27">
        <v>0</v>
      </c>
      <c r="AK482" s="27">
        <v>-37.625</v>
      </c>
      <c r="AL482" s="27">
        <v>46.764860364535345</v>
      </c>
    </row>
    <row r="483" spans="3:38">
      <c r="C483" s="1" t="s">
        <v>56</v>
      </c>
      <c r="D483" s="1" t="s">
        <v>56</v>
      </c>
      <c r="AD483" s="62">
        <v>2045</v>
      </c>
      <c r="AE483" s="27">
        <v>55.947213065394017</v>
      </c>
      <c r="AF483" s="27">
        <v>275.21364603459438</v>
      </c>
      <c r="AG483" s="27">
        <v>64.125325208770164</v>
      </c>
      <c r="AH483" s="27">
        <v>172.95147565310961</v>
      </c>
      <c r="AI483" s="27">
        <v>17.472184530961236</v>
      </c>
      <c r="AJ483" s="27">
        <v>0</v>
      </c>
      <c r="AK483" s="27">
        <v>-35.8125</v>
      </c>
      <c r="AL483" s="27">
        <v>45.651065627362016</v>
      </c>
    </row>
    <row r="484" spans="3:38">
      <c r="C484" s="1" t="s">
        <v>20</v>
      </c>
      <c r="D484" s="1" t="s">
        <v>20</v>
      </c>
      <c r="AD484" s="62">
        <v>2050</v>
      </c>
      <c r="AE484" s="27">
        <v>46.529691451152246</v>
      </c>
      <c r="AF484" s="27">
        <v>263.3898161917362</v>
      </c>
      <c r="AG484" s="27">
        <v>58.873902008946878</v>
      </c>
      <c r="AH484" s="27">
        <v>149.84071307289827</v>
      </c>
      <c r="AI484" s="27">
        <v>17.271825076298029</v>
      </c>
      <c r="AJ484" s="27">
        <v>0</v>
      </c>
      <c r="AK484" s="27">
        <v>-34</v>
      </c>
      <c r="AL484" s="27">
        <v>44.64518108276215</v>
      </c>
    </row>
    <row r="485" spans="3:38">
      <c r="C485" s="1" t="s">
        <v>143</v>
      </c>
      <c r="D485" s="1" t="s">
        <v>143</v>
      </c>
    </row>
    <row r="486" spans="3:38">
      <c r="C486" s="1" t="s">
        <v>144</v>
      </c>
      <c r="D486" s="1" t="s">
        <v>144</v>
      </c>
    </row>
    <row r="487" spans="3:38">
      <c r="C487" s="1" t="s">
        <v>145</v>
      </c>
      <c r="D487" s="1" t="s">
        <v>145</v>
      </c>
    </row>
    <row r="488" spans="3:38">
      <c r="C488" s="1" t="s">
        <v>67</v>
      </c>
      <c r="D488" s="1" t="s">
        <v>67</v>
      </c>
      <c r="E488" s="1" t="s">
        <v>21</v>
      </c>
    </row>
    <row r="489" spans="3:38">
      <c r="C489" s="1" t="s">
        <v>146</v>
      </c>
      <c r="D489" s="1" t="s">
        <v>146</v>
      </c>
    </row>
    <row r="490" spans="3:38">
      <c r="C490" s="1" t="s">
        <v>122</v>
      </c>
      <c r="D490" s="1" t="s">
        <v>59</v>
      </c>
    </row>
    <row r="491" spans="3:38">
      <c r="C491" s="1" t="s">
        <v>123</v>
      </c>
      <c r="D491" s="1"/>
      <c r="E491" s="13" t="s">
        <v>3</v>
      </c>
    </row>
    <row r="492" spans="3:38">
      <c r="C492" s="1" t="s">
        <v>124</v>
      </c>
      <c r="D492" s="1"/>
      <c r="E492" s="13" t="s">
        <v>162</v>
      </c>
    </row>
    <row r="493" spans="3:38">
      <c r="C493" s="1" t="s">
        <v>125</v>
      </c>
      <c r="D493" s="1"/>
    </row>
    <row r="494" spans="3:38">
      <c r="C494" s="1" t="s">
        <v>126</v>
      </c>
      <c r="D494" s="1"/>
    </row>
    <row r="495" spans="3:38">
      <c r="C495" s="1" t="s">
        <v>127</v>
      </c>
      <c r="D495" s="1"/>
      <c r="T495">
        <v>2015</v>
      </c>
      <c r="U495">
        <v>2020</v>
      </c>
      <c r="V495">
        <v>2025</v>
      </c>
      <c r="W495">
        <v>2030</v>
      </c>
      <c r="X495">
        <v>2035</v>
      </c>
      <c r="Y495">
        <v>2040</v>
      </c>
      <c r="Z495">
        <v>2045</v>
      </c>
      <c r="AA495">
        <v>2050</v>
      </c>
      <c r="AB495" s="13" t="s">
        <v>76</v>
      </c>
    </row>
    <row r="496" spans="3:38">
      <c r="C496" s="1" t="s">
        <v>128</v>
      </c>
      <c r="D496" s="1"/>
      <c r="R496" s="13" t="s">
        <v>248</v>
      </c>
      <c r="S496" t="s">
        <v>454</v>
      </c>
      <c r="T496">
        <f>SUMIF($C$3:$C$415,$S496,J$3:J$415)-SUMIFS(J$3:J$417,$C$3:$C$417,$S496,$E$3:$E$417,$R496)+SUMIFS(J$423:J$462,$C$423:$C$462,$S496,$E$423:$E$462,$R496)</f>
        <v>89.175478270492022</v>
      </c>
      <c r="U496" s="13">
        <f t="shared" ref="U496:AA496" si="101">SUMIF($C$3:$C$415,$S496,K$3:K$415)-SUMIFS(K$3:K$417,$C$3:$C$417,$S496,$E$3:$E$417,$R496)+SUMIFS(K$423:K$462,$C$423:$C$462,$S496,$E$423:$E$462,$R496)</f>
        <v>84.69571615501502</v>
      </c>
      <c r="V496" s="13">
        <f t="shared" si="101"/>
        <v>91.496039222730289</v>
      </c>
      <c r="W496" s="13">
        <f t="shared" si="101"/>
        <v>89.049905832067481</v>
      </c>
      <c r="X496" s="13">
        <f t="shared" si="101"/>
        <v>84.136740778081304</v>
      </c>
      <c r="Y496" s="13">
        <f t="shared" si="101"/>
        <v>79.51583465593329</v>
      </c>
      <c r="Z496" s="13">
        <f t="shared" si="101"/>
        <v>71.622348914689013</v>
      </c>
      <c r="AA496" s="13">
        <f t="shared" si="101"/>
        <v>60.151360096389368</v>
      </c>
      <c r="AB496" s="13" t="s">
        <v>193</v>
      </c>
    </row>
    <row r="497" spans="3:28">
      <c r="C497" s="1" t="s">
        <v>129</v>
      </c>
      <c r="D497" s="1"/>
      <c r="R497" s="13" t="s">
        <v>248</v>
      </c>
      <c r="S497" t="s">
        <v>455</v>
      </c>
      <c r="T497" s="13">
        <f>SUMIF($C$3:$C$415,"*chemical*",J$3:J$415)-SUMIFS(J$3:J$417,$C$3:$C$417,"*chemical*",$E$3:$E$417,$R497)+SUMIFS(J$423:J$462,$C$423:$C$462,"*chemical*",$E$423:$E$462,$R497)</f>
        <v>20.240312736798238</v>
      </c>
      <c r="U497" s="13">
        <f t="shared" ref="U497:AA497" si="102">SUMIF($C$3:$C$415,"*chemical*",K$3:K$415)-SUMIFS(K$3:K$417,$C$3:$C$417,"*chemical*",$E$3:$E$417,$R497)+SUMIFS(K$423:K$462,$C$423:$C$462,"*chemical*",$E$423:$E$462,$R497)</f>
        <v>20.194652476336451</v>
      </c>
      <c r="V497" s="13">
        <f t="shared" si="102"/>
        <v>23.320958349688436</v>
      </c>
      <c r="W497" s="13">
        <f t="shared" si="102"/>
        <v>25.142950631122236</v>
      </c>
      <c r="X497" s="13">
        <f t="shared" si="102"/>
        <v>27.087190428051148</v>
      </c>
      <c r="Y497" s="13">
        <f t="shared" si="102"/>
        <v>25.23162939160007</v>
      </c>
      <c r="Z497" s="13">
        <f t="shared" si="102"/>
        <v>20.039763452954574</v>
      </c>
      <c r="AA497" s="13">
        <f t="shared" si="102"/>
        <v>19.335360521080794</v>
      </c>
      <c r="AB497" s="13" t="s">
        <v>193</v>
      </c>
    </row>
    <row r="498" spans="3:28">
      <c r="C498" s="1" t="s">
        <v>147</v>
      </c>
      <c r="D498" s="1" t="s">
        <v>147</v>
      </c>
      <c r="E498" s="13" t="s">
        <v>246</v>
      </c>
      <c r="R498" s="13" t="s">
        <v>248</v>
      </c>
      <c r="S498" t="s">
        <v>456</v>
      </c>
      <c r="T498" s="13">
        <f>SUMIF($C$3:$C$415,"*cement*",J$3:J$415)-SUMIFS(J$3:J$417,$C$3:$C$417,"*cement*",$E$3:$E$417,$R498)+SUMIFS(J$423:J$462,$C$423:$C$462,"*cement*",$E$423:$E$462,$R498)</f>
        <v>38.102302808154327</v>
      </c>
      <c r="U498" s="13">
        <f t="shared" ref="U498:Z498" si="103">SUMIF($C$3:$C$415,"*cement*",K$3:K$415)-SUMIFS(K$3:K$417,$C$3:$C$417,"*cement*",$E$3:$E$417,$R498)+SUMIFS(K$423:K$462,$C$423:$C$462,"*cement*",$E$423:$E$462,$R498)</f>
        <v>39.701608579058053</v>
      </c>
      <c r="V498" s="13">
        <f t="shared" si="103"/>
        <v>46.863211293720944</v>
      </c>
      <c r="W498" s="13">
        <f t="shared" si="103"/>
        <v>49.162644853337994</v>
      </c>
      <c r="X498" s="13">
        <f t="shared" si="103"/>
        <v>50.617302700181838</v>
      </c>
      <c r="Y498" s="13">
        <f t="shared" si="103"/>
        <v>52.119397879614105</v>
      </c>
      <c r="Z498" s="13">
        <f t="shared" si="103"/>
        <v>53.789014042579488</v>
      </c>
      <c r="AA498" s="13">
        <f>SUMIF($C$3:$C$415,"*cement*",Q$3:Q$415)-SUMIFS(Q$3:Q$417,$C$3:$C$417,"*cement*",$E$3:$E$417,$R498)+SUMIFS(Q$423:Q$462,$C$423:$C$462,"*cement*",$E$423:$E$462,$R498)</f>
        <v>55.188358538834692</v>
      </c>
      <c r="AB498" s="13" t="s">
        <v>193</v>
      </c>
    </row>
    <row r="499" spans="3:28">
      <c r="C499" s="1" t="s">
        <v>32</v>
      </c>
      <c r="D499" s="1" t="s">
        <v>32</v>
      </c>
      <c r="R499" s="13" t="s">
        <v>248</v>
      </c>
      <c r="S499" t="s">
        <v>457</v>
      </c>
      <c r="T499" s="13">
        <f t="shared" ref="T499:AA503" si="104">SUMIF($C$3:$C$415,$S499,J$3:J$415)-SUMIFS(J$3:J$417,$C$3:$C$417,$S499,$E$3:$E$417,$R499)+SUMIFS(J$423:J$462,$C$423:$C$462,$S499,$E$423:$E$462,$R499)</f>
        <v>0.6374527405845799</v>
      </c>
      <c r="U499" s="13">
        <f t="shared" si="104"/>
        <v>0.86019828903056117</v>
      </c>
      <c r="V499" s="13">
        <f t="shared" si="104"/>
        <v>1.0572611930692946</v>
      </c>
      <c r="W499" s="13">
        <f t="shared" si="104"/>
        <v>1.1313647753114127</v>
      </c>
      <c r="X499" s="13">
        <f t="shared" si="104"/>
        <v>1.1890752313846866</v>
      </c>
      <c r="Y499" s="13">
        <f t="shared" si="104"/>
        <v>1.25223297952917</v>
      </c>
      <c r="Z499" s="13">
        <f t="shared" si="104"/>
        <v>1.3273796241705316</v>
      </c>
      <c r="AA499" s="13">
        <f t="shared" si="104"/>
        <v>1.4053305588062597</v>
      </c>
      <c r="AB499" s="13" t="s">
        <v>193</v>
      </c>
    </row>
    <row r="500" spans="3:28">
      <c r="C500" s="1" t="s">
        <v>66</v>
      </c>
      <c r="D500" s="1" t="s">
        <v>66</v>
      </c>
      <c r="R500" s="13" t="s">
        <v>248</v>
      </c>
      <c r="S500" t="s">
        <v>458</v>
      </c>
      <c r="T500" s="13">
        <f t="shared" si="104"/>
        <v>0.58259806963866623</v>
      </c>
      <c r="U500" s="13">
        <f t="shared" si="104"/>
        <v>0.7861769335753197</v>
      </c>
      <c r="V500" s="13">
        <f t="shared" si="104"/>
        <v>0.9662810590062858</v>
      </c>
      <c r="W500" s="13">
        <f t="shared" si="104"/>
        <v>1.0340071219247888</v>
      </c>
      <c r="X500" s="13">
        <f t="shared" si="104"/>
        <v>1.0867544106910565</v>
      </c>
      <c r="Y500" s="13">
        <f t="shared" si="104"/>
        <v>1.1444747990243014</v>
      </c>
      <c r="Z500" s="13">
        <f t="shared" si="104"/>
        <v>1.2131545766204124</v>
      </c>
      <c r="AA500" s="13">
        <f t="shared" si="104"/>
        <v>1.2843984319620936</v>
      </c>
      <c r="AB500" s="13" t="s">
        <v>193</v>
      </c>
    </row>
    <row r="501" spans="3:28">
      <c r="C501" s="1" t="s">
        <v>68</v>
      </c>
      <c r="D501" s="1" t="s">
        <v>68</v>
      </c>
      <c r="E501" s="13" t="s">
        <v>22</v>
      </c>
      <c r="R501" s="13" t="s">
        <v>248</v>
      </c>
      <c r="S501" t="s">
        <v>463</v>
      </c>
      <c r="T501" s="13">
        <f t="shared" si="104"/>
        <v>0.35744067867627499</v>
      </c>
      <c r="U501" s="13">
        <f t="shared" si="104"/>
        <v>0.36864386420127715</v>
      </c>
      <c r="V501" s="13">
        <f t="shared" si="104"/>
        <v>0.36932951312687995</v>
      </c>
      <c r="W501" s="13">
        <f t="shared" si="104"/>
        <v>0.35940069241508854</v>
      </c>
      <c r="X501" s="13">
        <f t="shared" si="104"/>
        <v>0.32894901818324218</v>
      </c>
      <c r="Y501" s="13">
        <f t="shared" si="104"/>
        <v>0.29254454512642369</v>
      </c>
      <c r="Z501" s="13">
        <f t="shared" si="104"/>
        <v>0.27257859136876356</v>
      </c>
      <c r="AA501" s="13">
        <f t="shared" si="104"/>
        <v>0.25847783756678266</v>
      </c>
      <c r="AB501" s="13" t="s">
        <v>193</v>
      </c>
    </row>
    <row r="502" spans="3:28">
      <c r="C502" s="1" t="s">
        <v>62</v>
      </c>
      <c r="D502" s="1" t="s">
        <v>62</v>
      </c>
      <c r="R502" s="13" t="s">
        <v>248</v>
      </c>
      <c r="S502" t="s">
        <v>459</v>
      </c>
      <c r="T502" s="13">
        <f t="shared" si="104"/>
        <v>1.4314709246868484</v>
      </c>
      <c r="U502" s="13">
        <f t="shared" si="104"/>
        <v>1.4231897362487813</v>
      </c>
      <c r="V502" s="13">
        <f t="shared" si="104"/>
        <v>1.6694748145329823</v>
      </c>
      <c r="W502" s="13">
        <f t="shared" si="104"/>
        <v>1.7827140202708631</v>
      </c>
      <c r="X502" s="13">
        <f t="shared" si="104"/>
        <v>1.7746422491807039</v>
      </c>
      <c r="Y502" s="13">
        <f t="shared" si="104"/>
        <v>1.730747162417807</v>
      </c>
      <c r="Z502" s="13">
        <f t="shared" si="104"/>
        <v>1.6497511148736821</v>
      </c>
      <c r="AA502" s="13">
        <f t="shared" si="104"/>
        <v>1.5620210668174193</v>
      </c>
      <c r="AB502" s="13" t="s">
        <v>193</v>
      </c>
    </row>
    <row r="503" spans="3:28">
      <c r="C503" s="1" t="s">
        <v>148</v>
      </c>
      <c r="D503" s="1" t="s">
        <v>148</v>
      </c>
      <c r="R503" s="13" t="s">
        <v>248</v>
      </c>
      <c r="S503" t="s">
        <v>460</v>
      </c>
      <c r="T503" s="13">
        <f t="shared" si="104"/>
        <v>0.19181033255703753</v>
      </c>
      <c r="U503" s="13">
        <f t="shared" si="104"/>
        <v>0.17417249340269514</v>
      </c>
      <c r="V503" s="13">
        <f t="shared" si="104"/>
        <v>0.21018950755854682</v>
      </c>
      <c r="W503" s="13">
        <f t="shared" si="104"/>
        <v>0.22590667943278511</v>
      </c>
      <c r="X503" s="13">
        <f t="shared" si="104"/>
        <v>0.22842246657645857</v>
      </c>
      <c r="Y503" s="13">
        <f t="shared" si="104"/>
        <v>0.22502837471631754</v>
      </c>
      <c r="Z503" s="13">
        <f t="shared" si="104"/>
        <v>0.21634727911613064</v>
      </c>
      <c r="AA503" s="13">
        <f t="shared" si="104"/>
        <v>0.20612276009066738</v>
      </c>
      <c r="AB503" s="13" t="s">
        <v>193</v>
      </c>
    </row>
    <row r="504" spans="3:28">
      <c r="C504" s="13" t="s">
        <v>149</v>
      </c>
      <c r="E504" s="13" t="s">
        <v>164</v>
      </c>
      <c r="R504" s="13" t="s">
        <v>248</v>
      </c>
      <c r="S504" t="s">
        <v>461</v>
      </c>
      <c r="T504" s="13">
        <f>SUMIF($C$3:$C$415,"*construction*",J$3:J$415)-SUMIFS(J$3:J$417,$C$3:$C$417,"*construction*",$E$3:$E$417,$R504)+SUMIFS(J$423:J$462,$C$423:$C$462,"*construction*",$E$423:$E$462,$R504)</f>
        <v>2.4778565425193628</v>
      </c>
      <c r="U504" s="13">
        <f t="shared" ref="U504:AA504" si="105">SUMIF($C$3:$C$415,"*construction*",K$3:K$415)-SUMIFS(K$3:K$417,$C$3:$C$417,"*construction*",$E$3:$E$417,$R504)+SUMIFS(K$423:K$462,$C$423:$C$462,"*construction*",$E$423:$E$462,$R504)</f>
        <v>2.6609797413035312</v>
      </c>
      <c r="V504" s="13">
        <f t="shared" si="105"/>
        <v>2.7815157401089223</v>
      </c>
      <c r="W504" s="13">
        <f t="shared" si="105"/>
        <v>2.7958451964681501</v>
      </c>
      <c r="X504" s="13">
        <f t="shared" si="105"/>
        <v>2.7611754643267434</v>
      </c>
      <c r="Y504" s="13">
        <f t="shared" si="105"/>
        <v>2.7101108334733075</v>
      </c>
      <c r="Z504" s="13">
        <f t="shared" si="105"/>
        <v>2.6302841784433859</v>
      </c>
      <c r="AA504" s="13">
        <f t="shared" si="105"/>
        <v>2.5359131815402391</v>
      </c>
      <c r="AB504" s="13" t="s">
        <v>193</v>
      </c>
    </row>
    <row r="505" spans="3:28">
      <c r="C505" s="13" t="s">
        <v>150</v>
      </c>
      <c r="E505" s="13" t="s">
        <v>6</v>
      </c>
      <c r="R505" s="13" t="s">
        <v>248</v>
      </c>
      <c r="S505" t="s">
        <v>462</v>
      </c>
      <c r="T505" s="13">
        <f>SUMIF($C$3:$C$415,"*other industrial*",J$3:J$415)-SUMIFS(J$3:J$417,$C$3:$C$417,"*other industrial*",$E$3:$E$417,$R505)+SUMIFS(J$423:J$462,$C$423:$C$462,"*other industrial*",$E$423:$E$462,$R505)</f>
        <v>55.057755594966793</v>
      </c>
      <c r="U505" s="13">
        <f t="shared" ref="U505:AA505" si="106">SUMIF($C$3:$C$415,"*other industrial*",K$3:K$415)-SUMIFS(K$3:K$417,$C$3:$C$417,"*other industrial*",$E$3:$E$417,$R505)+SUMIFS(K$423:K$462,$C$423:$C$462,"*other industrial*",$E$423:$E$462,$R505)</f>
        <v>58.37893403681182</v>
      </c>
      <c r="V505" s="13">
        <f t="shared" si="106"/>
        <v>61.862393473465829</v>
      </c>
      <c r="W505" s="13">
        <f t="shared" si="106"/>
        <v>63.042941690339561</v>
      </c>
      <c r="X505" s="13">
        <f t="shared" si="106"/>
        <v>59.442599943819062</v>
      </c>
      <c r="Y505" s="13">
        <f t="shared" si="106"/>
        <v>54.579506805628569</v>
      </c>
      <c r="Z505" s="13">
        <f t="shared" si="106"/>
        <v>49.384414609111111</v>
      </c>
      <c r="AA505" s="13">
        <f t="shared" si="106"/>
        <v>44.038945181669114</v>
      </c>
      <c r="AB505" s="13" t="s">
        <v>193</v>
      </c>
    </row>
    <row r="506" spans="3:28">
      <c r="C506" s="13" t="s">
        <v>151</v>
      </c>
    </row>
    <row r="507" spans="3:28">
      <c r="C507" s="1" t="s">
        <v>152</v>
      </c>
      <c r="D507" s="1" t="s">
        <v>152</v>
      </c>
    </row>
    <row r="508" spans="3:28">
      <c r="C508" s="1" t="s">
        <v>153</v>
      </c>
      <c r="D508" s="1" t="s">
        <v>153</v>
      </c>
    </row>
    <row r="509" spans="3:28">
      <c r="C509" s="1" t="s">
        <v>154</v>
      </c>
      <c r="D509" s="1" t="s">
        <v>154</v>
      </c>
    </row>
    <row r="510" spans="3:28">
      <c r="C510" s="1" t="s">
        <v>155</v>
      </c>
      <c r="D510" s="1" t="s">
        <v>155</v>
      </c>
    </row>
    <row r="511" spans="3:28">
      <c r="C511" s="1" t="s">
        <v>156</v>
      </c>
      <c r="D511" s="1" t="s">
        <v>156</v>
      </c>
    </row>
    <row r="512" spans="3:28">
      <c r="C512" s="1" t="s">
        <v>157</v>
      </c>
      <c r="D512" s="1" t="s">
        <v>157</v>
      </c>
    </row>
    <row r="513" spans="3:5">
      <c r="C513" s="1" t="s">
        <v>158</v>
      </c>
      <c r="D513" s="1" t="s">
        <v>158</v>
      </c>
    </row>
    <row r="514" spans="3:5">
      <c r="C514" s="1" t="s">
        <v>159</v>
      </c>
      <c r="D514" s="1" t="s">
        <v>159</v>
      </c>
    </row>
    <row r="515" spans="3:5">
      <c r="C515" s="1" t="s">
        <v>160</v>
      </c>
      <c r="D515" s="1" t="s">
        <v>160</v>
      </c>
    </row>
    <row r="516" spans="3:5">
      <c r="C516" s="1" t="s">
        <v>161</v>
      </c>
      <c r="D516" s="1" t="s">
        <v>161</v>
      </c>
      <c r="E516" s="13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2090-120E-4D9E-A681-7958AC4B6C19}">
  <dimension ref="A1:AE581"/>
  <sheetViews>
    <sheetView topLeftCell="D485" zoomScale="70" zoomScaleNormal="70" workbookViewId="0">
      <selection activeCell="T430" sqref="T430:AD472"/>
    </sheetView>
  </sheetViews>
  <sheetFormatPr defaultColWidth="8.69921875" defaultRowHeight="17.399999999999999"/>
  <cols>
    <col min="1" max="2" width="8.69921875" style="13"/>
    <col min="3" max="4" width="25.5" style="13" customWidth="1"/>
    <col min="5" max="5" width="13.59765625" style="13" bestFit="1" customWidth="1"/>
    <col min="6" max="10" width="8.69921875" style="13"/>
    <col min="11" max="11" width="10.69921875" style="13" bestFit="1" customWidth="1"/>
    <col min="12" max="17" width="9.59765625" style="13" bestFit="1" customWidth="1"/>
    <col min="18" max="16384" width="8.69921875" style="13"/>
  </cols>
  <sheetData>
    <row r="1" spans="1:31">
      <c r="A1" s="1" t="s">
        <v>180</v>
      </c>
    </row>
    <row r="2" spans="1:31">
      <c r="A2" s="13" t="s">
        <v>8</v>
      </c>
      <c r="B2" s="13" t="s">
        <v>9</v>
      </c>
      <c r="C2" s="13" t="s">
        <v>39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  <c r="R2" s="13" t="s">
        <v>76</v>
      </c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  <c r="AE2" s="13" t="s">
        <v>76</v>
      </c>
    </row>
    <row r="3" spans="1:31">
      <c r="A3" s="13" t="s">
        <v>260</v>
      </c>
      <c r="B3" s="13" t="s">
        <v>1</v>
      </c>
      <c r="C3" s="13" t="s">
        <v>201</v>
      </c>
      <c r="D3" s="13" t="str">
        <f>IFERROR(VLOOKUP(C3,ghg_sort!$A$86:$B$512,2,0),0)</f>
        <v>Agriculture</v>
      </c>
      <c r="E3" s="33" t="s">
        <v>104</v>
      </c>
      <c r="F3" s="13">
        <f>IFERROR(VLOOKUP($E3,ghg_sort!$A$3:$B$21,2,0),0)</f>
        <v>25</v>
      </c>
      <c r="G3" s="13">
        <f>T3*$F3</f>
        <v>0.99247552500000003</v>
      </c>
      <c r="H3" s="13">
        <f t="shared" ref="H3:Q3" si="0">U3*$F3</f>
        <v>1.033558025</v>
      </c>
      <c r="I3" s="13">
        <f t="shared" si="0"/>
        <v>1.7732504999999998</v>
      </c>
      <c r="J3" s="13">
        <f t="shared" si="0"/>
        <v>1.8104767500000001</v>
      </c>
      <c r="K3" s="13">
        <f t="shared" si="0"/>
        <v>2.1339272499999997</v>
      </c>
      <c r="L3" s="13">
        <f t="shared" si="0"/>
        <v>2.5069937499999999</v>
      </c>
      <c r="M3" s="13">
        <f t="shared" si="0"/>
        <v>2.6210174999999998</v>
      </c>
      <c r="N3" s="13">
        <f t="shared" si="0"/>
        <v>2.741708</v>
      </c>
      <c r="O3" s="13">
        <f t="shared" si="0"/>
        <v>2.8972502499999999</v>
      </c>
      <c r="P3" s="13">
        <f t="shared" si="0"/>
        <v>3.0543719999999999</v>
      </c>
      <c r="Q3" s="13">
        <f t="shared" si="0"/>
        <v>3.137839</v>
      </c>
      <c r="R3" s="13" t="s">
        <v>193</v>
      </c>
      <c r="T3" s="13">
        <v>3.9699021000000001E-2</v>
      </c>
      <c r="U3" s="13">
        <v>4.1342321000000001E-2</v>
      </c>
      <c r="V3" s="13">
        <v>7.0930019999999996E-2</v>
      </c>
      <c r="W3" s="13">
        <v>7.2419070000000002E-2</v>
      </c>
      <c r="X3" s="13">
        <v>8.5357089999999997E-2</v>
      </c>
      <c r="Y3" s="13">
        <v>0.10027975</v>
      </c>
      <c r="Z3" s="13">
        <v>0.1048407</v>
      </c>
      <c r="AA3" s="13">
        <v>0.10966832</v>
      </c>
      <c r="AB3" s="13">
        <v>0.11589001</v>
      </c>
      <c r="AC3" s="13">
        <v>0.12217488</v>
      </c>
      <c r="AD3" s="13">
        <v>0.12551356</v>
      </c>
      <c r="AE3" s="13" t="s">
        <v>93</v>
      </c>
    </row>
    <row r="4" spans="1:31">
      <c r="A4" s="13" t="s">
        <v>260</v>
      </c>
      <c r="B4" s="13" t="s">
        <v>1</v>
      </c>
      <c r="C4" s="13" t="s">
        <v>201</v>
      </c>
      <c r="D4" s="13" t="str">
        <f>IFERROR(VLOOKUP(C4,ghg_sort!$A$86:$B$512,2,0),0)</f>
        <v>Agriculture</v>
      </c>
      <c r="E4" s="33" t="s">
        <v>101</v>
      </c>
      <c r="F4" s="13">
        <f>IFERROR(VLOOKUP($E4,ghg_sort!$A$3:$B$21,2,0),0)</f>
        <v>298</v>
      </c>
      <c r="G4" s="13">
        <f t="shared" ref="G4:G67" si="1">T4*$F4</f>
        <v>0.38681961519999997</v>
      </c>
      <c r="H4" s="13">
        <f t="shared" ref="H4:H67" si="2">U4*$F4</f>
        <v>0.44792517080000005</v>
      </c>
      <c r="I4" s="13">
        <f t="shared" ref="I4:I67" si="3">V4*$F4</f>
        <v>0.77636214579999996</v>
      </c>
      <c r="J4" s="13">
        <f t="shared" ref="J4:J67" si="4">W4*$F4</f>
        <v>0.7945247392</v>
      </c>
      <c r="K4" s="13">
        <f t="shared" ref="K4:K67" si="5">X4*$F4</f>
        <v>0.93647194340000006</v>
      </c>
      <c r="L4" s="13">
        <f t="shared" ref="L4:L67" si="6">Y4*$F4</f>
        <v>1.1001919811999998</v>
      </c>
      <c r="M4" s="13">
        <f t="shared" ref="M4:M67" si="7">Z4*$F4</f>
        <v>1.1502319921999999</v>
      </c>
      <c r="N4" s="13">
        <f t="shared" ref="N4:N67" si="8">AA4*$F4</f>
        <v>1.2031965752</v>
      </c>
      <c r="O4" s="13">
        <f t="shared" ref="O4:O67" si="9">AB4*$F4</f>
        <v>1.2714566936</v>
      </c>
      <c r="P4" s="13">
        <f t="shared" ref="P4:P67" si="10">AC4*$F4</f>
        <v>1.340407635599997</v>
      </c>
      <c r="Q4" s="13">
        <f t="shared" ref="Q4:Q67" si="11">AD4*$F4</f>
        <v>1.3770379446000001</v>
      </c>
      <c r="R4" s="13" t="s">
        <v>193</v>
      </c>
      <c r="T4" s="13">
        <v>1.2980524E-3</v>
      </c>
      <c r="U4" s="13">
        <v>1.5031046000000001E-3</v>
      </c>
      <c r="V4" s="13">
        <v>2.6052420999999998E-3</v>
      </c>
      <c r="W4" s="13">
        <v>2.6661903999999998E-3</v>
      </c>
      <c r="X4" s="13">
        <v>3.1425233E-3</v>
      </c>
      <c r="Y4" s="13">
        <v>3.6919193999999998E-3</v>
      </c>
      <c r="Z4" s="13">
        <v>3.8598388999999999E-3</v>
      </c>
      <c r="AA4" s="13">
        <v>4.0375723999999998E-3</v>
      </c>
      <c r="AB4" s="13">
        <v>4.2666331999999998E-3</v>
      </c>
      <c r="AC4" s="13">
        <v>4.4980121999999897E-3</v>
      </c>
      <c r="AD4" s="13">
        <v>4.6209327000000001E-3</v>
      </c>
      <c r="AE4" s="13" t="s">
        <v>93</v>
      </c>
    </row>
    <row r="5" spans="1:31">
      <c r="A5" s="13" t="s">
        <v>260</v>
      </c>
      <c r="B5" s="13" t="s">
        <v>1</v>
      </c>
      <c r="C5" s="13" t="s">
        <v>201</v>
      </c>
      <c r="D5" s="13" t="str">
        <f>IFERROR(VLOOKUP(C5,ghg_sort!$A$86:$B$512,2,0),0)</f>
        <v>Agriculture</v>
      </c>
      <c r="E5" s="33" t="s">
        <v>202</v>
      </c>
      <c r="F5" s="13">
        <f>IFERROR(VLOOKUP($E5,ghg_sort!$A$3:$B$21,2,0),0)</f>
        <v>0</v>
      </c>
      <c r="G5" s="13">
        <f t="shared" si="1"/>
        <v>0</v>
      </c>
      <c r="H5" s="13">
        <f t="shared" si="2"/>
        <v>0</v>
      </c>
      <c r="I5" s="13">
        <f t="shared" si="3"/>
        <v>0</v>
      </c>
      <c r="J5" s="13">
        <f t="shared" si="4"/>
        <v>0</v>
      </c>
      <c r="K5" s="13">
        <f t="shared" si="5"/>
        <v>0</v>
      </c>
      <c r="L5" s="13">
        <f t="shared" si="6"/>
        <v>0</v>
      </c>
      <c r="M5" s="13">
        <f t="shared" si="7"/>
        <v>0</v>
      </c>
      <c r="N5" s="13">
        <f t="shared" si="8"/>
        <v>0</v>
      </c>
      <c r="O5" s="13">
        <f t="shared" si="9"/>
        <v>0</v>
      </c>
      <c r="P5" s="13">
        <f t="shared" si="10"/>
        <v>0</v>
      </c>
      <c r="Q5" s="13">
        <f t="shared" si="11"/>
        <v>0</v>
      </c>
      <c r="R5" s="13" t="s">
        <v>193</v>
      </c>
      <c r="T5" s="13">
        <v>1.1704479E-2</v>
      </c>
      <c r="U5" s="13">
        <v>1.2114076E-2</v>
      </c>
      <c r="V5" s="13">
        <v>1.6957112999999999E-2</v>
      </c>
      <c r="W5" s="13">
        <v>1.8404225E-2</v>
      </c>
      <c r="X5" s="13">
        <v>2.1929077000000002E-2</v>
      </c>
      <c r="Y5" s="13">
        <v>2.7421658000000002E-2</v>
      </c>
      <c r="Z5" s="13">
        <v>3.0068116999999998E-2</v>
      </c>
      <c r="AA5" s="13">
        <v>3.2410956999999997E-2</v>
      </c>
      <c r="AB5" s="13">
        <v>3.4266343999999997E-2</v>
      </c>
      <c r="AC5" s="13">
        <v>3.6145473999999997E-2</v>
      </c>
      <c r="AD5" s="13">
        <v>3.7133186999999998E-2</v>
      </c>
      <c r="AE5" s="13" t="s">
        <v>93</v>
      </c>
    </row>
    <row r="6" spans="1:31">
      <c r="A6" s="13" t="s">
        <v>260</v>
      </c>
      <c r="B6" s="13" t="s">
        <v>1</v>
      </c>
      <c r="C6" s="13" t="s">
        <v>201</v>
      </c>
      <c r="D6" s="13" t="str">
        <f>IFERROR(VLOOKUP(C6,ghg_sort!$A$86:$B$512,2,0),0)</f>
        <v>Agriculture</v>
      </c>
      <c r="E6" s="33" t="s">
        <v>203</v>
      </c>
      <c r="F6" s="13">
        <f>IFERROR(VLOOKUP($E6,ghg_sort!$A$3:$B$21,2,0),0)</f>
        <v>0</v>
      </c>
      <c r="G6" s="13">
        <f t="shared" si="1"/>
        <v>0</v>
      </c>
      <c r="H6" s="13">
        <f t="shared" si="2"/>
        <v>0</v>
      </c>
      <c r="I6" s="13">
        <f t="shared" si="3"/>
        <v>0</v>
      </c>
      <c r="J6" s="13">
        <f t="shared" si="4"/>
        <v>0</v>
      </c>
      <c r="K6" s="13">
        <f t="shared" si="5"/>
        <v>0</v>
      </c>
      <c r="L6" s="13">
        <f t="shared" si="6"/>
        <v>0</v>
      </c>
      <c r="M6" s="13">
        <f t="shared" si="7"/>
        <v>0</v>
      </c>
      <c r="N6" s="13">
        <f t="shared" si="8"/>
        <v>0</v>
      </c>
      <c r="O6" s="13">
        <f t="shared" si="9"/>
        <v>0</v>
      </c>
      <c r="P6" s="13">
        <f t="shared" si="10"/>
        <v>0</v>
      </c>
      <c r="Q6" s="13">
        <f t="shared" si="11"/>
        <v>0</v>
      </c>
      <c r="R6" s="13" t="s">
        <v>193</v>
      </c>
      <c r="T6" s="13">
        <v>4.5667601E-3</v>
      </c>
      <c r="U6" s="13">
        <v>6.9354789999999996E-3</v>
      </c>
      <c r="V6" s="13">
        <v>1.22145179999999E-2</v>
      </c>
      <c r="W6" s="13">
        <v>1.3038045999999999E-2</v>
      </c>
      <c r="X6" s="13">
        <v>1.5535155E-2</v>
      </c>
      <c r="Y6" s="13">
        <v>1.9426267999999899E-2</v>
      </c>
      <c r="Z6" s="13">
        <v>2.1301064000000001E-2</v>
      </c>
      <c r="AA6" s="13">
        <v>2.296076E-2</v>
      </c>
      <c r="AB6" s="13">
        <v>2.4275231000000001E-2</v>
      </c>
      <c r="AC6" s="13">
        <v>2.5606436999999999E-2</v>
      </c>
      <c r="AD6" s="13">
        <v>2.6306177999999899E-2</v>
      </c>
      <c r="AE6" s="13" t="s">
        <v>93</v>
      </c>
    </row>
    <row r="7" spans="1:31">
      <c r="A7" s="13" t="s">
        <v>260</v>
      </c>
      <c r="B7" s="13" t="s">
        <v>1</v>
      </c>
      <c r="C7" s="13" t="s">
        <v>201</v>
      </c>
      <c r="D7" s="13" t="str">
        <f>IFERROR(VLOOKUP(C7,ghg_sort!$A$86:$B$512,2,0),0)</f>
        <v>Agriculture</v>
      </c>
      <c r="E7" s="33" t="s">
        <v>204</v>
      </c>
      <c r="F7" s="13">
        <f>IFERROR(VLOOKUP($E7,ghg_sort!$A$3:$B$21,2,0),0)</f>
        <v>0</v>
      </c>
      <c r="G7" s="13">
        <f t="shared" si="1"/>
        <v>0</v>
      </c>
      <c r="H7" s="13">
        <f t="shared" si="2"/>
        <v>0</v>
      </c>
      <c r="I7" s="13">
        <f t="shared" si="3"/>
        <v>0</v>
      </c>
      <c r="J7" s="13">
        <f t="shared" si="4"/>
        <v>0</v>
      </c>
      <c r="K7" s="13">
        <f t="shared" si="5"/>
        <v>0</v>
      </c>
      <c r="L7" s="13">
        <f t="shared" si="6"/>
        <v>0</v>
      </c>
      <c r="M7" s="13">
        <f t="shared" si="7"/>
        <v>0</v>
      </c>
      <c r="N7" s="13">
        <f t="shared" si="8"/>
        <v>0</v>
      </c>
      <c r="O7" s="13">
        <f t="shared" si="9"/>
        <v>0</v>
      </c>
      <c r="P7" s="13">
        <f t="shared" si="10"/>
        <v>0</v>
      </c>
      <c r="Q7" s="13">
        <f t="shared" si="11"/>
        <v>0</v>
      </c>
      <c r="R7" s="13" t="s">
        <v>193</v>
      </c>
      <c r="T7" s="14">
        <v>5.4373659999999995E-4</v>
      </c>
      <c r="U7" s="14">
        <v>7.0553919999999902E-4</v>
      </c>
      <c r="V7" s="13">
        <v>1.2299593E-3</v>
      </c>
      <c r="W7" s="13">
        <v>1.25048069999999E-3</v>
      </c>
      <c r="X7" s="13">
        <v>1.4899784E-3</v>
      </c>
      <c r="Y7" s="13">
        <v>1.8631759999999901E-3</v>
      </c>
      <c r="Z7" s="13">
        <v>2.0429873999999902E-3</v>
      </c>
      <c r="AA7" s="13">
        <v>2.2021699999999998E-3</v>
      </c>
      <c r="AB7" s="13">
        <v>2.3282407999999999E-3</v>
      </c>
      <c r="AC7" s="13">
        <v>2.4559171000000002E-3</v>
      </c>
      <c r="AD7" s="13">
        <v>2.5230298999999999E-3</v>
      </c>
      <c r="AE7" s="13" t="s">
        <v>93</v>
      </c>
    </row>
    <row r="8" spans="1:31">
      <c r="A8" s="13" t="s">
        <v>260</v>
      </c>
      <c r="B8" s="13" t="s">
        <v>1</v>
      </c>
      <c r="C8" s="13" t="s">
        <v>205</v>
      </c>
      <c r="D8" s="13" t="str">
        <f>IFERROR(VLOOKUP(C8,ghg_sort!$A$86:$B$512,2,0),0)</f>
        <v>Agriculture</v>
      </c>
      <c r="E8" s="33" t="s">
        <v>206</v>
      </c>
      <c r="F8" s="13">
        <f>IFERROR(VLOOKUP($E8,ghg_sort!$A$3:$B$21,2,0),0)</f>
        <v>0</v>
      </c>
      <c r="G8" s="13">
        <f t="shared" si="1"/>
        <v>0</v>
      </c>
      <c r="H8" s="13">
        <f t="shared" si="2"/>
        <v>0</v>
      </c>
      <c r="I8" s="13">
        <f t="shared" si="3"/>
        <v>0</v>
      </c>
      <c r="J8" s="13">
        <f t="shared" si="4"/>
        <v>0</v>
      </c>
      <c r="K8" s="13">
        <f t="shared" si="5"/>
        <v>0</v>
      </c>
      <c r="L8" s="13">
        <f t="shared" si="6"/>
        <v>0</v>
      </c>
      <c r="M8" s="13">
        <f t="shared" si="7"/>
        <v>0</v>
      </c>
      <c r="N8" s="13">
        <f t="shared" si="8"/>
        <v>0</v>
      </c>
      <c r="O8" s="13">
        <f t="shared" si="9"/>
        <v>0</v>
      </c>
      <c r="P8" s="13">
        <f t="shared" si="10"/>
        <v>0</v>
      </c>
      <c r="Q8" s="13">
        <f t="shared" si="11"/>
        <v>0</v>
      </c>
      <c r="R8" s="13" t="s">
        <v>193</v>
      </c>
      <c r="T8" s="14">
        <v>1.1246E-6</v>
      </c>
      <c r="U8" s="14">
        <v>9.540000000000001E-7</v>
      </c>
      <c r="V8" s="14">
        <v>1.63201699999999E-5</v>
      </c>
      <c r="W8" s="14">
        <v>1.5337950000000001E-5</v>
      </c>
      <c r="X8" s="14">
        <v>1.026552E-5</v>
      </c>
      <c r="Y8" s="14">
        <v>8.2942499999999994E-6</v>
      </c>
      <c r="Z8" s="14">
        <v>8.3932299999999999E-6</v>
      </c>
      <c r="AA8" s="14">
        <v>9.0167800000000001E-6</v>
      </c>
      <c r="AB8" s="14">
        <v>9.9818199999999996E-6</v>
      </c>
      <c r="AC8" s="14">
        <v>1.161801E-5</v>
      </c>
      <c r="AD8" s="14">
        <v>1.2683179999999999E-5</v>
      </c>
      <c r="AE8" s="13" t="s">
        <v>93</v>
      </c>
    </row>
    <row r="9" spans="1:31">
      <c r="A9" s="13" t="s">
        <v>260</v>
      </c>
      <c r="B9" s="13" t="s">
        <v>1</v>
      </c>
      <c r="C9" s="13" t="s">
        <v>205</v>
      </c>
      <c r="D9" s="13" t="str">
        <f>IFERROR(VLOOKUP(C9,ghg_sort!$A$86:$B$512,2,0),0)</f>
        <v>Agriculture</v>
      </c>
      <c r="E9" s="33" t="s">
        <v>105</v>
      </c>
      <c r="F9" s="13">
        <f>IFERROR(VLOOKUP($E9,ghg_sort!$A$3:$B$21,2,0),0)</f>
        <v>25</v>
      </c>
      <c r="G9" s="13">
        <f t="shared" si="1"/>
        <v>2.1817249999999999E-4</v>
      </c>
      <c r="H9" s="13">
        <f t="shared" si="2"/>
        <v>1.8506749999999976E-4</v>
      </c>
      <c r="I9" s="13">
        <f t="shared" si="3"/>
        <v>1.9603949999999999E-4</v>
      </c>
      <c r="J9" s="13">
        <f t="shared" si="4"/>
        <v>1.84241E-4</v>
      </c>
      <c r="K9" s="13">
        <f t="shared" si="5"/>
        <v>1.2331024999999974E-4</v>
      </c>
      <c r="L9" s="13">
        <f t="shared" si="6"/>
        <v>9.9631249999999986E-5</v>
      </c>
      <c r="M9" s="13">
        <f t="shared" si="7"/>
        <v>1.0082024999999999E-4</v>
      </c>
      <c r="N9" s="13">
        <f t="shared" si="8"/>
        <v>1.0831025E-4</v>
      </c>
      <c r="O9" s="13">
        <f t="shared" si="9"/>
        <v>1.199025E-4</v>
      </c>
      <c r="P9" s="13">
        <f t="shared" si="10"/>
        <v>1.395565E-4</v>
      </c>
      <c r="Q9" s="13">
        <f t="shared" si="11"/>
        <v>1.5235149999999974E-4</v>
      </c>
      <c r="R9" s="13" t="s">
        <v>193</v>
      </c>
      <c r="T9" s="14">
        <v>8.7268999999999994E-6</v>
      </c>
      <c r="U9" s="14">
        <v>7.4026999999999901E-6</v>
      </c>
      <c r="V9" s="14">
        <v>7.8415799999999999E-6</v>
      </c>
      <c r="W9" s="14">
        <v>7.36964E-6</v>
      </c>
      <c r="X9" s="14">
        <v>4.9324099999999901E-6</v>
      </c>
      <c r="Y9" s="14">
        <v>3.9852499999999997E-6</v>
      </c>
      <c r="Z9" s="14">
        <v>4.0328099999999996E-6</v>
      </c>
      <c r="AA9" s="14">
        <v>4.3324100000000001E-6</v>
      </c>
      <c r="AB9" s="14">
        <v>4.7960999999999997E-6</v>
      </c>
      <c r="AC9" s="14">
        <v>5.5822599999999996E-6</v>
      </c>
      <c r="AD9" s="14">
        <v>6.0940599999999902E-6</v>
      </c>
      <c r="AE9" s="13" t="s">
        <v>93</v>
      </c>
    </row>
    <row r="10" spans="1:31">
      <c r="A10" s="13" t="s">
        <v>260</v>
      </c>
      <c r="B10" s="13" t="s">
        <v>1</v>
      </c>
      <c r="C10" s="13" t="s">
        <v>205</v>
      </c>
      <c r="D10" s="13" t="str">
        <f>IFERROR(VLOOKUP(C10,ghg_sort!$A$86:$B$512,2,0),0)</f>
        <v>Agriculture</v>
      </c>
      <c r="E10" s="33" t="s">
        <v>207</v>
      </c>
      <c r="F10" s="13">
        <f>IFERROR(VLOOKUP($E10,ghg_sort!$A$3:$B$21,2,0),0)</f>
        <v>0</v>
      </c>
      <c r="G10" s="13">
        <f t="shared" si="1"/>
        <v>0</v>
      </c>
      <c r="H10" s="13">
        <f t="shared" si="2"/>
        <v>0</v>
      </c>
      <c r="I10" s="13">
        <f t="shared" si="3"/>
        <v>0</v>
      </c>
      <c r="J10" s="13">
        <f t="shared" si="4"/>
        <v>0</v>
      </c>
      <c r="K10" s="13">
        <f t="shared" si="5"/>
        <v>0</v>
      </c>
      <c r="L10" s="13">
        <f t="shared" si="6"/>
        <v>0</v>
      </c>
      <c r="M10" s="13">
        <f t="shared" si="7"/>
        <v>0</v>
      </c>
      <c r="N10" s="13">
        <f t="shared" si="8"/>
        <v>0</v>
      </c>
      <c r="O10" s="13">
        <f t="shared" si="9"/>
        <v>0</v>
      </c>
      <c r="P10" s="13">
        <f t="shared" si="10"/>
        <v>0</v>
      </c>
      <c r="Q10" s="13">
        <f t="shared" si="11"/>
        <v>0</v>
      </c>
      <c r="R10" s="13" t="s">
        <v>193</v>
      </c>
      <c r="T10" s="14">
        <v>1.5294500000000001E-4</v>
      </c>
      <c r="U10" s="14">
        <v>1.297375E-4</v>
      </c>
      <c r="V10" s="14">
        <v>1.3742909999999901E-4</v>
      </c>
      <c r="W10" s="14">
        <v>1.2915799999999901E-4</v>
      </c>
      <c r="X10" s="14">
        <v>8.6444000000000001E-5</v>
      </c>
      <c r="Y10" s="14">
        <v>6.9844299999999998E-5</v>
      </c>
      <c r="Z10" s="14">
        <v>7.0677800000000003E-5</v>
      </c>
      <c r="AA10" s="14">
        <v>7.5928599999999997E-5</v>
      </c>
      <c r="AB10" s="14">
        <v>8.4055100000000001E-5</v>
      </c>
      <c r="AC10" s="14">
        <v>9.7832999999999997E-5</v>
      </c>
      <c r="AD10" s="14">
        <v>1.068026E-4</v>
      </c>
      <c r="AE10" s="13" t="s">
        <v>93</v>
      </c>
    </row>
    <row r="11" spans="1:31">
      <c r="A11" s="13" t="s">
        <v>260</v>
      </c>
      <c r="B11" s="13" t="s">
        <v>1</v>
      </c>
      <c r="C11" s="13" t="s">
        <v>205</v>
      </c>
      <c r="D11" s="13" t="str">
        <f>IFERROR(VLOOKUP(C11,ghg_sort!$A$86:$B$512,2,0),0)</f>
        <v>Agriculture</v>
      </c>
      <c r="E11" s="33" t="s">
        <v>208</v>
      </c>
      <c r="F11" s="13">
        <f>IFERROR(VLOOKUP($E11,ghg_sort!$A$3:$B$21,2,0),0)</f>
        <v>0</v>
      </c>
      <c r="G11" s="13">
        <f t="shared" si="1"/>
        <v>0</v>
      </c>
      <c r="H11" s="13">
        <f t="shared" si="2"/>
        <v>0</v>
      </c>
      <c r="I11" s="13">
        <f t="shared" si="3"/>
        <v>0</v>
      </c>
      <c r="J11" s="13">
        <f t="shared" si="4"/>
        <v>0</v>
      </c>
      <c r="K11" s="13">
        <f t="shared" si="5"/>
        <v>0</v>
      </c>
      <c r="L11" s="13">
        <f t="shared" si="6"/>
        <v>0</v>
      </c>
      <c r="M11" s="13">
        <f t="shared" si="7"/>
        <v>0</v>
      </c>
      <c r="N11" s="13">
        <f t="shared" si="8"/>
        <v>0</v>
      </c>
      <c r="O11" s="13">
        <f t="shared" si="9"/>
        <v>0</v>
      </c>
      <c r="P11" s="13">
        <f t="shared" si="10"/>
        <v>0</v>
      </c>
      <c r="Q11" s="13">
        <f t="shared" si="11"/>
        <v>0</v>
      </c>
      <c r="R11" s="13" t="s">
        <v>193</v>
      </c>
      <c r="T11" s="14">
        <v>3.5406999999999998E-6</v>
      </c>
      <c r="U11" s="14">
        <v>3.0081999999999998E-6</v>
      </c>
      <c r="V11" s="14">
        <v>3.18655E-6</v>
      </c>
      <c r="W11" s="14">
        <v>2.9947700000000001E-6</v>
      </c>
      <c r="X11" s="14">
        <v>2.0043609999999998E-6</v>
      </c>
      <c r="Y11" s="14">
        <v>1.6194670000000001E-6</v>
      </c>
      <c r="Z11" s="14">
        <v>1.638796E-6</v>
      </c>
      <c r="AA11" s="14">
        <v>1.76054E-6</v>
      </c>
      <c r="AB11" s="14">
        <v>1.9489690000000001E-6</v>
      </c>
      <c r="AC11" s="14">
        <v>2.2684359999999999E-6</v>
      </c>
      <c r="AD11" s="14">
        <v>2.47641599999999E-6</v>
      </c>
      <c r="AE11" s="13" t="s">
        <v>93</v>
      </c>
    </row>
    <row r="12" spans="1:31">
      <c r="A12" s="13" t="s">
        <v>260</v>
      </c>
      <c r="B12" s="13" t="s">
        <v>1</v>
      </c>
      <c r="C12" s="13" t="s">
        <v>205</v>
      </c>
      <c r="D12" s="13" t="str">
        <f>IFERROR(VLOOKUP(C12,ghg_sort!$A$86:$B$512,2,0),0)</f>
        <v>Agriculture</v>
      </c>
      <c r="E12" s="33" t="s">
        <v>101</v>
      </c>
      <c r="F12" s="13">
        <f>IFERROR(VLOOKUP($E12,ghg_sort!$A$3:$B$21,2,0),0)</f>
        <v>298</v>
      </c>
      <c r="G12" s="13">
        <f t="shared" si="1"/>
        <v>4.6037364399999704E-2</v>
      </c>
      <c r="H12" s="13">
        <f t="shared" si="2"/>
        <v>4.6858235200000001E-2</v>
      </c>
      <c r="I12" s="13">
        <f t="shared" si="3"/>
        <v>4.0786872600000003E-2</v>
      </c>
      <c r="J12" s="13">
        <f t="shared" si="4"/>
        <v>4.4116039199999998E-2</v>
      </c>
      <c r="K12" s="13">
        <f t="shared" si="5"/>
        <v>4.6152273200000003E-2</v>
      </c>
      <c r="L12" s="13">
        <f t="shared" si="6"/>
        <v>5.3036490399999997E-2</v>
      </c>
      <c r="M12" s="13">
        <f t="shared" si="7"/>
        <v>5.5411967600000001E-2</v>
      </c>
      <c r="N12" s="13">
        <f t="shared" si="8"/>
        <v>5.8082554200000004E-2</v>
      </c>
      <c r="O12" s="13">
        <f t="shared" si="9"/>
        <v>6.4238638200000003E-2</v>
      </c>
      <c r="P12" s="13">
        <f t="shared" si="10"/>
        <v>7.4632371600000011E-2</v>
      </c>
      <c r="Q12" s="13">
        <f t="shared" si="11"/>
        <v>8.0921512599999995E-2</v>
      </c>
      <c r="R12" s="13" t="s">
        <v>193</v>
      </c>
      <c r="T12" s="14">
        <v>1.54487799999999E-4</v>
      </c>
      <c r="U12" s="14">
        <v>1.5724240000000001E-4</v>
      </c>
      <c r="V12" s="14">
        <v>1.368687E-4</v>
      </c>
      <c r="W12" s="14">
        <v>1.480404E-4</v>
      </c>
      <c r="X12" s="14">
        <v>1.5487340000000001E-4</v>
      </c>
      <c r="Y12" s="14">
        <v>1.7797479999999999E-4</v>
      </c>
      <c r="Z12" s="14">
        <v>1.859462E-4</v>
      </c>
      <c r="AA12" s="14">
        <v>1.949079E-4</v>
      </c>
      <c r="AB12" s="14">
        <v>2.1556590000000001E-4</v>
      </c>
      <c r="AC12" s="14">
        <v>2.5044420000000002E-4</v>
      </c>
      <c r="AD12" s="14">
        <v>2.715487E-4</v>
      </c>
      <c r="AE12" s="13" t="s">
        <v>93</v>
      </c>
    </row>
    <row r="13" spans="1:31">
      <c r="A13" s="13" t="s">
        <v>260</v>
      </c>
      <c r="B13" s="13" t="s">
        <v>1</v>
      </c>
      <c r="C13" s="13" t="s">
        <v>205</v>
      </c>
      <c r="D13" s="13" t="str">
        <f>IFERROR(VLOOKUP(C13,ghg_sort!$A$86:$B$512,2,0),0)</f>
        <v>Agriculture</v>
      </c>
      <c r="E13" s="33" t="s">
        <v>102</v>
      </c>
      <c r="F13" s="13">
        <f>IFERROR(VLOOKUP($E13,ghg_sort!$A$3:$B$21,2,0),0)</f>
        <v>298</v>
      </c>
      <c r="G13" s="13">
        <f t="shared" si="1"/>
        <v>4.4670199999999707E-5</v>
      </c>
      <c r="H13" s="13">
        <f t="shared" si="2"/>
        <v>3.7905599999999998E-5</v>
      </c>
      <c r="I13" s="13">
        <f t="shared" si="3"/>
        <v>4.0152847800000001E-5</v>
      </c>
      <c r="J13" s="13">
        <f t="shared" si="4"/>
        <v>3.7736306199999999E-5</v>
      </c>
      <c r="K13" s="13">
        <f t="shared" si="5"/>
        <v>2.5256453600000002E-5</v>
      </c>
      <c r="L13" s="13">
        <f t="shared" si="6"/>
        <v>2.0406533400000002E-5</v>
      </c>
      <c r="M13" s="13">
        <f t="shared" si="7"/>
        <v>2.06500292E-5</v>
      </c>
      <c r="N13" s="13">
        <f t="shared" si="8"/>
        <v>2.2184192800000001E-5</v>
      </c>
      <c r="O13" s="13">
        <f t="shared" si="9"/>
        <v>2.4558477999999999E-5</v>
      </c>
      <c r="P13" s="13">
        <f t="shared" si="10"/>
        <v>2.8584010999999969E-5</v>
      </c>
      <c r="Q13" s="13">
        <f t="shared" si="11"/>
        <v>3.1204682600000003E-5</v>
      </c>
      <c r="R13" s="13" t="s">
        <v>193</v>
      </c>
      <c r="T13" s="14">
        <v>1.4989999999999901E-7</v>
      </c>
      <c r="U13" s="14">
        <v>1.272E-7</v>
      </c>
      <c r="V13" s="14">
        <v>1.3474109999999999E-7</v>
      </c>
      <c r="W13" s="14">
        <v>1.266319E-7</v>
      </c>
      <c r="X13" s="14">
        <v>8.4753200000000002E-8</v>
      </c>
      <c r="Y13" s="14">
        <v>6.8478300000000002E-8</v>
      </c>
      <c r="Z13" s="14">
        <v>6.9295399999999995E-8</v>
      </c>
      <c r="AA13" s="14">
        <v>7.4443600000000006E-8</v>
      </c>
      <c r="AB13" s="14">
        <v>8.2410999999999996E-8</v>
      </c>
      <c r="AC13" s="14">
        <v>9.5919499999999895E-8</v>
      </c>
      <c r="AD13" s="14">
        <v>1.047137E-7</v>
      </c>
      <c r="AE13" s="13" t="s">
        <v>93</v>
      </c>
    </row>
    <row r="14" spans="1:31">
      <c r="A14" s="13" t="s">
        <v>260</v>
      </c>
      <c r="B14" s="13" t="s">
        <v>1</v>
      </c>
      <c r="C14" s="13" t="s">
        <v>205</v>
      </c>
      <c r="D14" s="13" t="str">
        <f>IFERROR(VLOOKUP(C14,ghg_sort!$A$86:$B$512,2,0),0)</f>
        <v>Agriculture</v>
      </c>
      <c r="E14" s="33" t="s">
        <v>202</v>
      </c>
      <c r="F14" s="13">
        <f>IFERROR(VLOOKUP($E14,ghg_sort!$A$3:$B$21,2,0),0)</f>
        <v>0</v>
      </c>
      <c r="G14" s="13">
        <f t="shared" si="1"/>
        <v>0</v>
      </c>
      <c r="H14" s="13">
        <f t="shared" si="2"/>
        <v>0</v>
      </c>
      <c r="I14" s="13">
        <f t="shared" si="3"/>
        <v>0</v>
      </c>
      <c r="J14" s="13">
        <f t="shared" si="4"/>
        <v>0</v>
      </c>
      <c r="K14" s="13">
        <f t="shared" si="5"/>
        <v>0</v>
      </c>
      <c r="L14" s="13">
        <f t="shared" si="6"/>
        <v>0</v>
      </c>
      <c r="M14" s="13">
        <f t="shared" si="7"/>
        <v>0</v>
      </c>
      <c r="N14" s="13">
        <f t="shared" si="8"/>
        <v>0</v>
      </c>
      <c r="O14" s="13">
        <f t="shared" si="9"/>
        <v>0</v>
      </c>
      <c r="P14" s="13">
        <f t="shared" si="10"/>
        <v>0</v>
      </c>
      <c r="Q14" s="13">
        <f t="shared" si="11"/>
        <v>0</v>
      </c>
      <c r="R14" s="13" t="s">
        <v>193</v>
      </c>
      <c r="T14" s="14">
        <v>8.8997200000000005E-4</v>
      </c>
      <c r="U14" s="14">
        <v>9.5202500000000001E-4</v>
      </c>
      <c r="V14" s="14">
        <v>9.0653900000000004E-4</v>
      </c>
      <c r="W14" s="14">
        <v>9.3075999999999999E-4</v>
      </c>
      <c r="X14" s="14">
        <v>9.9359199999999996E-4</v>
      </c>
      <c r="Y14" s="13">
        <v>1.167242E-3</v>
      </c>
      <c r="Z14" s="13">
        <v>1.2733250000000001E-3</v>
      </c>
      <c r="AA14" s="13">
        <v>1.3679230000000001E-3</v>
      </c>
      <c r="AB14" s="13">
        <v>1.5143279999999999E-3</v>
      </c>
      <c r="AC14" s="13">
        <v>1.7625550000000001E-3</v>
      </c>
      <c r="AD14" s="13">
        <v>1.924149E-3</v>
      </c>
      <c r="AE14" s="13" t="s">
        <v>93</v>
      </c>
    </row>
    <row r="15" spans="1:31">
      <c r="A15" s="13" t="s">
        <v>260</v>
      </c>
      <c r="B15" s="13" t="s">
        <v>1</v>
      </c>
      <c r="C15" s="13" t="s">
        <v>205</v>
      </c>
      <c r="D15" s="13" t="str">
        <f>IFERROR(VLOOKUP(C15,ghg_sort!$A$86:$B$512,2,0),0)</f>
        <v>Agriculture</v>
      </c>
      <c r="E15" s="33" t="s">
        <v>209</v>
      </c>
      <c r="F15" s="13">
        <f>IFERROR(VLOOKUP($E15,ghg_sort!$A$3:$B$21,2,0),0)</f>
        <v>0</v>
      </c>
      <c r="G15" s="13">
        <f t="shared" si="1"/>
        <v>0</v>
      </c>
      <c r="H15" s="13">
        <f t="shared" si="2"/>
        <v>0</v>
      </c>
      <c r="I15" s="13">
        <f t="shared" si="3"/>
        <v>0</v>
      </c>
      <c r="J15" s="13">
        <f t="shared" si="4"/>
        <v>0</v>
      </c>
      <c r="K15" s="13">
        <f t="shared" si="5"/>
        <v>0</v>
      </c>
      <c r="L15" s="13">
        <f t="shared" si="6"/>
        <v>0</v>
      </c>
      <c r="M15" s="13">
        <f t="shared" si="7"/>
        <v>0</v>
      </c>
      <c r="N15" s="13">
        <f t="shared" si="8"/>
        <v>0</v>
      </c>
      <c r="O15" s="13">
        <f t="shared" si="9"/>
        <v>0</v>
      </c>
      <c r="P15" s="13">
        <f t="shared" si="10"/>
        <v>0</v>
      </c>
      <c r="Q15" s="13">
        <f t="shared" si="11"/>
        <v>0</v>
      </c>
      <c r="R15" s="13" t="s">
        <v>239</v>
      </c>
      <c r="T15" s="14">
        <v>3.2538000000000001E-6</v>
      </c>
      <c r="U15" s="14">
        <v>2.7601000000000001E-6</v>
      </c>
      <c r="V15" s="14">
        <v>2.92373E-6</v>
      </c>
      <c r="W15" s="14">
        <v>2.74776999999999E-6</v>
      </c>
      <c r="X15" s="14">
        <v>1.839051E-6</v>
      </c>
      <c r="Y15" s="14">
        <v>1.4859019999999899E-6</v>
      </c>
      <c r="Z15" s="14">
        <v>1.5036389999999999E-6</v>
      </c>
      <c r="AA15" s="14">
        <v>1.615338E-6</v>
      </c>
      <c r="AB15" s="14">
        <v>1.7882249999999999E-6</v>
      </c>
      <c r="AC15" s="14">
        <v>2.0813479999999999E-6</v>
      </c>
      <c r="AD15" s="14">
        <v>2.2721689999999998E-6</v>
      </c>
      <c r="AE15" s="13" t="s">
        <v>93</v>
      </c>
    </row>
    <row r="16" spans="1:31">
      <c r="A16" s="13" t="s">
        <v>260</v>
      </c>
      <c r="B16" s="13" t="s">
        <v>1</v>
      </c>
      <c r="C16" s="13" t="s">
        <v>205</v>
      </c>
      <c r="D16" s="13" t="str">
        <f>IFERROR(VLOOKUP(C16,ghg_sort!$A$86:$B$512,2,0),0)</f>
        <v>Agriculture</v>
      </c>
      <c r="E16" s="33" t="s">
        <v>210</v>
      </c>
      <c r="F16" s="13">
        <f>IFERROR(VLOOKUP($E16,ghg_sort!$A$3:$B$21,2,0),0)</f>
        <v>0</v>
      </c>
      <c r="G16" s="13">
        <f t="shared" si="1"/>
        <v>0</v>
      </c>
      <c r="H16" s="13">
        <f t="shared" si="2"/>
        <v>0</v>
      </c>
      <c r="I16" s="13">
        <f t="shared" si="3"/>
        <v>0</v>
      </c>
      <c r="J16" s="13">
        <f t="shared" si="4"/>
        <v>0</v>
      </c>
      <c r="K16" s="13">
        <f t="shared" si="5"/>
        <v>0</v>
      </c>
      <c r="L16" s="13">
        <f t="shared" si="6"/>
        <v>0</v>
      </c>
      <c r="M16" s="13">
        <f t="shared" si="7"/>
        <v>0</v>
      </c>
      <c r="N16" s="13">
        <f t="shared" si="8"/>
        <v>0</v>
      </c>
      <c r="O16" s="13">
        <f t="shared" si="9"/>
        <v>0</v>
      </c>
      <c r="P16" s="13">
        <f t="shared" si="10"/>
        <v>0</v>
      </c>
      <c r="Q16" s="13">
        <f t="shared" si="11"/>
        <v>0</v>
      </c>
      <c r="R16" s="13" t="s">
        <v>239</v>
      </c>
      <c r="T16" s="14">
        <v>3.6662999999999998E-5</v>
      </c>
      <c r="U16" s="14">
        <v>3.10456E-5</v>
      </c>
      <c r="V16" s="14">
        <v>3.2886199999999997E-5</v>
      </c>
      <c r="W16" s="14">
        <v>3.09069E-5</v>
      </c>
      <c r="X16" s="14">
        <v>2.0685679999999999E-5</v>
      </c>
      <c r="Y16" s="14">
        <v>1.6713439999999899E-5</v>
      </c>
      <c r="Z16" s="14">
        <v>1.6912899999999999E-5</v>
      </c>
      <c r="AA16" s="14">
        <v>1.816937E-5</v>
      </c>
      <c r="AB16" s="14">
        <v>2.011403E-5</v>
      </c>
      <c r="AC16" s="14">
        <v>2.3411009999999899E-5</v>
      </c>
      <c r="AD16" s="14">
        <v>2.555739E-5</v>
      </c>
      <c r="AE16" s="13" t="s">
        <v>93</v>
      </c>
    </row>
    <row r="17" spans="1:31">
      <c r="A17" s="13" t="s">
        <v>260</v>
      </c>
      <c r="B17" s="13" t="s">
        <v>1</v>
      </c>
      <c r="C17" s="13" t="s">
        <v>205</v>
      </c>
      <c r="D17" s="13" t="str">
        <f>IFERROR(VLOOKUP(C17,ghg_sort!$A$86:$B$512,2,0),0)</f>
        <v>Agriculture</v>
      </c>
      <c r="E17" s="33" t="s">
        <v>204</v>
      </c>
      <c r="F17" s="13">
        <f>IFERROR(VLOOKUP($E17,ghg_sort!$A$3:$B$21,2,0),0)</f>
        <v>0</v>
      </c>
      <c r="G17" s="13">
        <f t="shared" si="1"/>
        <v>0</v>
      </c>
      <c r="H17" s="13">
        <f t="shared" si="2"/>
        <v>0</v>
      </c>
      <c r="I17" s="13">
        <f t="shared" si="3"/>
        <v>0</v>
      </c>
      <c r="J17" s="13">
        <f t="shared" si="4"/>
        <v>0</v>
      </c>
      <c r="K17" s="13">
        <f t="shared" si="5"/>
        <v>0</v>
      </c>
      <c r="L17" s="13">
        <f t="shared" si="6"/>
        <v>0</v>
      </c>
      <c r="M17" s="13">
        <f t="shared" si="7"/>
        <v>0</v>
      </c>
      <c r="N17" s="13">
        <f t="shared" si="8"/>
        <v>0</v>
      </c>
      <c r="O17" s="13">
        <f t="shared" si="9"/>
        <v>0</v>
      </c>
      <c r="P17" s="13">
        <f t="shared" si="10"/>
        <v>0</v>
      </c>
      <c r="Q17" s="13">
        <f t="shared" si="11"/>
        <v>0</v>
      </c>
      <c r="R17" s="13" t="s">
        <v>239</v>
      </c>
      <c r="T17" s="14">
        <v>7.46506E-5</v>
      </c>
      <c r="U17" s="14">
        <v>6.1217900000000002E-5</v>
      </c>
      <c r="V17" s="14">
        <v>6.1715699999999996E-5</v>
      </c>
      <c r="W17" s="14">
        <v>5.38679E-5</v>
      </c>
      <c r="X17" s="14">
        <v>5.7504299999999998E-5</v>
      </c>
      <c r="Y17" s="14">
        <v>6.7554399999999998E-5</v>
      </c>
      <c r="Z17" s="14">
        <v>7.3693899999999996E-5</v>
      </c>
      <c r="AA17" s="14">
        <v>7.91688E-5</v>
      </c>
      <c r="AB17" s="14">
        <v>8.7641999999999999E-5</v>
      </c>
      <c r="AC17" s="14">
        <v>1.02008E-4</v>
      </c>
      <c r="AD17" s="14">
        <v>1.1136040000000001E-4</v>
      </c>
      <c r="AE17" s="13" t="s">
        <v>93</v>
      </c>
    </row>
    <row r="18" spans="1:31">
      <c r="A18" s="13" t="s">
        <v>260</v>
      </c>
      <c r="B18" s="13" t="s">
        <v>1</v>
      </c>
      <c r="C18" s="13" t="s">
        <v>205</v>
      </c>
      <c r="D18" s="13" t="str">
        <f>IFERROR(VLOOKUP(C18,ghg_sort!$A$86:$B$512,2,0),0)</f>
        <v>Agriculture</v>
      </c>
      <c r="E18" s="33" t="s">
        <v>211</v>
      </c>
      <c r="F18" s="13">
        <f>IFERROR(VLOOKUP($E18,ghg_sort!$A$3:$B$21,2,0),0)</f>
        <v>0</v>
      </c>
      <c r="G18" s="13">
        <f t="shared" si="1"/>
        <v>0</v>
      </c>
      <c r="H18" s="13">
        <f t="shared" si="2"/>
        <v>0</v>
      </c>
      <c r="I18" s="13">
        <f t="shared" si="3"/>
        <v>0</v>
      </c>
      <c r="J18" s="13">
        <f t="shared" si="4"/>
        <v>0</v>
      </c>
      <c r="K18" s="13">
        <f t="shared" si="5"/>
        <v>0</v>
      </c>
      <c r="L18" s="13">
        <f t="shared" si="6"/>
        <v>0</v>
      </c>
      <c r="M18" s="13">
        <f t="shared" si="7"/>
        <v>0</v>
      </c>
      <c r="N18" s="13">
        <f t="shared" si="8"/>
        <v>0</v>
      </c>
      <c r="O18" s="13">
        <f t="shared" si="9"/>
        <v>0</v>
      </c>
      <c r="P18" s="13">
        <f t="shared" si="10"/>
        <v>0</v>
      </c>
      <c r="Q18" s="13">
        <f t="shared" si="11"/>
        <v>0</v>
      </c>
      <c r="R18" s="13" t="s">
        <v>239</v>
      </c>
      <c r="T18" s="14">
        <v>4.6632999999999999E-6</v>
      </c>
      <c r="U18" s="14">
        <v>3.9557000000000001E-6</v>
      </c>
      <c r="V18" s="14">
        <v>4.1902199999999998E-6</v>
      </c>
      <c r="W18" s="14">
        <v>3.9380299999999998E-6</v>
      </c>
      <c r="X18" s="14">
        <v>2.6356799999999999E-6</v>
      </c>
      <c r="Y18" s="14">
        <v>2.1295499999999998E-6</v>
      </c>
      <c r="Z18" s="14">
        <v>2.1549649999999998E-6</v>
      </c>
      <c r="AA18" s="14">
        <v>2.3150610000000001E-6</v>
      </c>
      <c r="AB18" s="14">
        <v>2.5628409999999999E-6</v>
      </c>
      <c r="AC18" s="14">
        <v>2.98293299999999E-6</v>
      </c>
      <c r="AD18" s="14">
        <v>3.2564159999999999E-6</v>
      </c>
      <c r="AE18" s="13" t="s">
        <v>93</v>
      </c>
    </row>
    <row r="19" spans="1:31">
      <c r="A19" s="13" t="s">
        <v>260</v>
      </c>
      <c r="B19" s="13" t="s">
        <v>1</v>
      </c>
      <c r="C19" s="13" t="s">
        <v>205</v>
      </c>
      <c r="D19" s="13" t="str">
        <f>IFERROR(VLOOKUP(C19,ghg_sort!$A$86:$B$512,2,0),0)</f>
        <v>Agriculture</v>
      </c>
      <c r="E19" s="33" t="s">
        <v>212</v>
      </c>
      <c r="F19" s="13">
        <f>IFERROR(VLOOKUP($E19,ghg_sort!$A$3:$B$21,2,0),0)</f>
        <v>0</v>
      </c>
      <c r="G19" s="13">
        <f t="shared" si="1"/>
        <v>0</v>
      </c>
      <c r="H19" s="13">
        <f t="shared" si="2"/>
        <v>0</v>
      </c>
      <c r="I19" s="13">
        <f t="shared" si="3"/>
        <v>0</v>
      </c>
      <c r="J19" s="13">
        <f t="shared" si="4"/>
        <v>0</v>
      </c>
      <c r="K19" s="13">
        <f t="shared" si="5"/>
        <v>0</v>
      </c>
      <c r="L19" s="13">
        <f t="shared" si="6"/>
        <v>0</v>
      </c>
      <c r="M19" s="13">
        <f t="shared" si="7"/>
        <v>0</v>
      </c>
      <c r="N19" s="13">
        <f t="shared" si="8"/>
        <v>0</v>
      </c>
      <c r="O19" s="13">
        <f t="shared" si="9"/>
        <v>0</v>
      </c>
      <c r="P19" s="13">
        <f t="shared" si="10"/>
        <v>0</v>
      </c>
      <c r="Q19" s="13">
        <f t="shared" si="11"/>
        <v>0</v>
      </c>
      <c r="R19" s="13" t="s">
        <v>239</v>
      </c>
      <c r="T19" s="14">
        <v>3.4487999999999999E-6</v>
      </c>
      <c r="U19" s="14">
        <v>2.9255000000000002E-6</v>
      </c>
      <c r="V19" s="14">
        <v>7.8149400000000001E-5</v>
      </c>
      <c r="W19" s="14">
        <v>7.3446099999999995E-5</v>
      </c>
      <c r="X19" s="14">
        <v>4.9156600000000003E-5</v>
      </c>
      <c r="Y19" s="14">
        <v>3.97172E-5</v>
      </c>
      <c r="Z19" s="14">
        <v>4.0191100000000002E-5</v>
      </c>
      <c r="AA19" s="14">
        <v>4.3176999999999997E-5</v>
      </c>
      <c r="AB19" s="14">
        <v>4.7798099999999999E-5</v>
      </c>
      <c r="AC19" s="14">
        <v>5.5633099999999899E-5</v>
      </c>
      <c r="AD19" s="14">
        <v>6.0733599999999997E-5</v>
      </c>
      <c r="AE19" s="13" t="s">
        <v>93</v>
      </c>
    </row>
    <row r="20" spans="1:31">
      <c r="A20" s="13" t="s">
        <v>260</v>
      </c>
      <c r="B20" s="13" t="s">
        <v>1</v>
      </c>
      <c r="C20" s="13" t="s">
        <v>205</v>
      </c>
      <c r="D20" s="13" t="str">
        <f>IFERROR(VLOOKUP(C20,ghg_sort!$A$86:$B$512,2,0),0)</f>
        <v>Agriculture</v>
      </c>
      <c r="E20" s="33" t="s">
        <v>213</v>
      </c>
      <c r="F20" s="13">
        <f>IFERROR(VLOOKUP($E20,ghg_sort!$A$3:$B$21,2,0),0)</f>
        <v>0</v>
      </c>
      <c r="G20" s="13">
        <f t="shared" si="1"/>
        <v>0</v>
      </c>
      <c r="H20" s="13">
        <f t="shared" si="2"/>
        <v>0</v>
      </c>
      <c r="I20" s="13">
        <f t="shared" si="3"/>
        <v>0</v>
      </c>
      <c r="J20" s="13">
        <f t="shared" si="4"/>
        <v>0</v>
      </c>
      <c r="K20" s="13">
        <f t="shared" si="5"/>
        <v>0</v>
      </c>
      <c r="L20" s="13">
        <f t="shared" si="6"/>
        <v>0</v>
      </c>
      <c r="M20" s="13">
        <f t="shared" si="7"/>
        <v>0</v>
      </c>
      <c r="N20" s="13">
        <f t="shared" si="8"/>
        <v>0</v>
      </c>
      <c r="O20" s="13">
        <f t="shared" si="9"/>
        <v>0</v>
      </c>
      <c r="P20" s="13">
        <f t="shared" si="10"/>
        <v>0</v>
      </c>
      <c r="Q20" s="13">
        <f t="shared" si="11"/>
        <v>0</v>
      </c>
      <c r="R20" s="13" t="s">
        <v>239</v>
      </c>
      <c r="T20" s="14">
        <v>5.9979999999999996E-7</v>
      </c>
      <c r="U20" s="14">
        <v>5.088E-7</v>
      </c>
      <c r="V20" s="14">
        <v>5.3896500000000004E-7</v>
      </c>
      <c r="W20" s="14">
        <v>5.0652699999999899E-7</v>
      </c>
      <c r="X20" s="14">
        <v>3.3901299999999999E-7</v>
      </c>
      <c r="Y20" s="14">
        <v>2.739133E-7</v>
      </c>
      <c r="Z20" s="14">
        <v>2.7718190000000001E-7</v>
      </c>
      <c r="AA20" s="14">
        <v>2.9777449999999901E-7</v>
      </c>
      <c r="AB20" s="14">
        <v>3.2964440000000001E-7</v>
      </c>
      <c r="AC20" s="14">
        <v>3.8367790000000001E-7</v>
      </c>
      <c r="AD20" s="14">
        <v>4.1885490000000001E-7</v>
      </c>
      <c r="AE20" s="13" t="s">
        <v>93</v>
      </c>
    </row>
    <row r="21" spans="1:31">
      <c r="A21" s="13" t="s">
        <v>260</v>
      </c>
      <c r="B21" s="13" t="s">
        <v>1</v>
      </c>
      <c r="C21" s="13" t="s">
        <v>214</v>
      </c>
      <c r="D21" s="13" t="str">
        <f>IFERROR(VLOOKUP(C21,ghg_sort!$A$86:$B$512,2,0),0)</f>
        <v>Agriculture</v>
      </c>
      <c r="E21" s="33" t="s">
        <v>104</v>
      </c>
      <c r="F21" s="13">
        <f>IFERROR(VLOOKUP($E21,ghg_sort!$A$3:$B$21,2,0),0)</f>
        <v>25</v>
      </c>
      <c r="G21" s="13">
        <f t="shared" si="1"/>
        <v>0.96781077500000001</v>
      </c>
      <c r="H21" s="13">
        <f t="shared" si="2"/>
        <v>0.96967777499999996</v>
      </c>
      <c r="I21" s="13">
        <f t="shared" si="3"/>
        <v>1.106965625</v>
      </c>
      <c r="J21" s="13">
        <f t="shared" si="4"/>
        <v>0.93321787499999997</v>
      </c>
      <c r="K21" s="13">
        <f t="shared" si="5"/>
        <v>0.95896432499999995</v>
      </c>
      <c r="L21" s="13">
        <f t="shared" si="6"/>
        <v>0.93741294999999758</v>
      </c>
      <c r="M21" s="13">
        <f t="shared" si="7"/>
        <v>0.91777620000000004</v>
      </c>
      <c r="N21" s="13">
        <f t="shared" si="8"/>
        <v>0.90842897499999997</v>
      </c>
      <c r="O21" s="13">
        <f t="shared" si="9"/>
        <v>0.92080047500000006</v>
      </c>
      <c r="P21" s="13">
        <f t="shared" si="10"/>
        <v>0.92931704999999998</v>
      </c>
      <c r="Q21" s="13">
        <f t="shared" si="11"/>
        <v>0.92112252500000003</v>
      </c>
      <c r="R21" s="13" t="s">
        <v>239</v>
      </c>
      <c r="T21" s="13">
        <v>3.8712430999999999E-2</v>
      </c>
      <c r="U21" s="13">
        <v>3.8787110999999999E-2</v>
      </c>
      <c r="V21" s="13">
        <v>4.4278625000000002E-2</v>
      </c>
      <c r="W21" s="13">
        <v>3.7328714999999998E-2</v>
      </c>
      <c r="X21" s="13">
        <v>3.8358573E-2</v>
      </c>
      <c r="Y21" s="13">
        <v>3.7496517999999902E-2</v>
      </c>
      <c r="Z21" s="13">
        <v>3.6711048000000003E-2</v>
      </c>
      <c r="AA21" s="13">
        <v>3.6337159000000001E-2</v>
      </c>
      <c r="AB21" s="13">
        <v>3.6832019000000001E-2</v>
      </c>
      <c r="AC21" s="13">
        <v>3.7172681999999999E-2</v>
      </c>
      <c r="AD21" s="13">
        <v>3.6844900999999999E-2</v>
      </c>
      <c r="AE21" s="13" t="s">
        <v>93</v>
      </c>
    </row>
    <row r="22" spans="1:31">
      <c r="A22" s="13" t="s">
        <v>260</v>
      </c>
      <c r="B22" s="13" t="s">
        <v>1</v>
      </c>
      <c r="C22" s="13" t="s">
        <v>214</v>
      </c>
      <c r="D22" s="13" t="str">
        <f>IFERROR(VLOOKUP(C22,ghg_sort!$A$86:$B$512,2,0),0)</f>
        <v>Agriculture</v>
      </c>
      <c r="E22" s="33" t="s">
        <v>101</v>
      </c>
      <c r="F22" s="13">
        <f>IFERROR(VLOOKUP($E22,ghg_sort!$A$3:$B$21,2,0),0)</f>
        <v>298</v>
      </c>
      <c r="G22" s="13">
        <f t="shared" si="1"/>
        <v>0.37720664180000002</v>
      </c>
      <c r="H22" s="13">
        <f t="shared" si="2"/>
        <v>0.42023998739999996</v>
      </c>
      <c r="I22" s="13">
        <f t="shared" si="3"/>
        <v>0.48465042259999996</v>
      </c>
      <c r="J22" s="13">
        <f t="shared" si="4"/>
        <v>0.40954169800000001</v>
      </c>
      <c r="K22" s="13">
        <f t="shared" si="5"/>
        <v>0.42083974219999698</v>
      </c>
      <c r="L22" s="13">
        <f t="shared" si="6"/>
        <v>0.41138277179999705</v>
      </c>
      <c r="M22" s="13">
        <f t="shared" si="7"/>
        <v>0.40276520780000002</v>
      </c>
      <c r="N22" s="13">
        <f t="shared" si="8"/>
        <v>0.39866228419999999</v>
      </c>
      <c r="O22" s="13">
        <f t="shared" si="9"/>
        <v>0.40409285739999995</v>
      </c>
      <c r="P22" s="13">
        <f t="shared" si="10"/>
        <v>0.40783019459999698</v>
      </c>
      <c r="Q22" s="13">
        <f t="shared" si="11"/>
        <v>0.4042329174</v>
      </c>
      <c r="R22" s="13" t="s">
        <v>239</v>
      </c>
      <c r="T22" s="13">
        <v>1.2657941E-3</v>
      </c>
      <c r="U22" s="13">
        <v>1.4102012999999999E-3</v>
      </c>
      <c r="V22" s="13">
        <v>1.6263437E-3</v>
      </c>
      <c r="W22" s="13">
        <v>1.3743010000000001E-3</v>
      </c>
      <c r="X22" s="13">
        <v>1.41221389999999E-3</v>
      </c>
      <c r="Y22" s="13">
        <v>1.3804790999999901E-3</v>
      </c>
      <c r="Z22" s="13">
        <v>1.3515611000000001E-3</v>
      </c>
      <c r="AA22" s="13">
        <v>1.3377929000000001E-3</v>
      </c>
      <c r="AB22" s="13">
        <v>1.3560162999999999E-3</v>
      </c>
      <c r="AC22" s="13">
        <v>1.3685576999999899E-3</v>
      </c>
      <c r="AD22" s="13">
        <v>1.3564862999999999E-3</v>
      </c>
      <c r="AE22" s="13" t="s">
        <v>93</v>
      </c>
    </row>
    <row r="23" spans="1:31">
      <c r="A23" s="13" t="s">
        <v>260</v>
      </c>
      <c r="B23" s="13" t="s">
        <v>1</v>
      </c>
      <c r="C23" s="13" t="s">
        <v>214</v>
      </c>
      <c r="D23" s="13" t="str">
        <f>IFERROR(VLOOKUP(C23,ghg_sort!$A$86:$B$512,2,0),0)</f>
        <v>Agriculture</v>
      </c>
      <c r="E23" s="33" t="s">
        <v>202</v>
      </c>
      <c r="F23" s="13">
        <f>IFERROR(VLOOKUP($E23,ghg_sort!$A$3:$B$21,2,0),0)</f>
        <v>0</v>
      </c>
      <c r="G23" s="13">
        <f t="shared" si="1"/>
        <v>0</v>
      </c>
      <c r="H23" s="13">
        <f t="shared" si="2"/>
        <v>0</v>
      </c>
      <c r="I23" s="13">
        <f t="shared" si="3"/>
        <v>0</v>
      </c>
      <c r="J23" s="13">
        <f t="shared" si="4"/>
        <v>0</v>
      </c>
      <c r="K23" s="13">
        <f t="shared" si="5"/>
        <v>0</v>
      </c>
      <c r="L23" s="13">
        <f t="shared" si="6"/>
        <v>0</v>
      </c>
      <c r="M23" s="13">
        <f t="shared" si="7"/>
        <v>0</v>
      </c>
      <c r="N23" s="13">
        <f t="shared" si="8"/>
        <v>0</v>
      </c>
      <c r="O23" s="13">
        <f t="shared" si="9"/>
        <v>0</v>
      </c>
      <c r="P23" s="13">
        <f t="shared" si="10"/>
        <v>0</v>
      </c>
      <c r="Q23" s="13">
        <f t="shared" si="11"/>
        <v>0</v>
      </c>
      <c r="R23" s="13" t="s">
        <v>239</v>
      </c>
      <c r="T23" s="13">
        <v>1.1413596E-2</v>
      </c>
      <c r="U23" s="13">
        <v>1.1365335000000001E-2</v>
      </c>
      <c r="V23" s="13">
        <v>1.0585617E-2</v>
      </c>
      <c r="W23" s="13">
        <v>9.4865469999999997E-3</v>
      </c>
      <c r="X23" s="13">
        <v>9.8546850000000002E-3</v>
      </c>
      <c r="Y23" s="13">
        <v>1.0253508E-2</v>
      </c>
      <c r="Z23" s="13">
        <v>1.05286659999999E-2</v>
      </c>
      <c r="AA23" s="13">
        <v>1.0738915999999999E-2</v>
      </c>
      <c r="AB23" s="13">
        <v>1.0890509E-2</v>
      </c>
      <c r="AC23" s="13">
        <v>1.0997564E-2</v>
      </c>
      <c r="AD23" s="13">
        <v>1.0900564E-2</v>
      </c>
      <c r="AE23" s="13" t="s">
        <v>93</v>
      </c>
    </row>
    <row r="24" spans="1:31">
      <c r="A24" s="13" t="s">
        <v>260</v>
      </c>
      <c r="B24" s="13" t="s">
        <v>1</v>
      </c>
      <c r="C24" s="13" t="s">
        <v>214</v>
      </c>
      <c r="D24" s="13" t="str">
        <f>IFERROR(VLOOKUP(C24,ghg_sort!$A$86:$B$512,2,0),0)</f>
        <v>Agriculture</v>
      </c>
      <c r="E24" s="33" t="s">
        <v>203</v>
      </c>
      <c r="F24" s="13">
        <f>IFERROR(VLOOKUP($E24,ghg_sort!$A$3:$B$21,2,0),0)</f>
        <v>0</v>
      </c>
      <c r="G24" s="13">
        <f t="shared" si="1"/>
        <v>0</v>
      </c>
      <c r="H24" s="13">
        <f t="shared" si="2"/>
        <v>0</v>
      </c>
      <c r="I24" s="13">
        <f t="shared" si="3"/>
        <v>0</v>
      </c>
      <c r="J24" s="13">
        <f t="shared" si="4"/>
        <v>0</v>
      </c>
      <c r="K24" s="13">
        <f t="shared" si="5"/>
        <v>0</v>
      </c>
      <c r="L24" s="13">
        <f t="shared" si="6"/>
        <v>0</v>
      </c>
      <c r="M24" s="13">
        <f t="shared" si="7"/>
        <v>0</v>
      </c>
      <c r="N24" s="13">
        <f t="shared" si="8"/>
        <v>0</v>
      </c>
      <c r="O24" s="13">
        <f t="shared" si="9"/>
        <v>0</v>
      </c>
      <c r="P24" s="13">
        <f t="shared" si="10"/>
        <v>0</v>
      </c>
      <c r="Q24" s="13">
        <f t="shared" si="11"/>
        <v>0</v>
      </c>
      <c r="R24" s="13" t="s">
        <v>239</v>
      </c>
      <c r="T24" s="13">
        <v>4.4532639999999898E-3</v>
      </c>
      <c r="U24" s="13">
        <v>6.5068041000000002E-3</v>
      </c>
      <c r="V24" s="13">
        <v>7.6250181000000004E-3</v>
      </c>
      <c r="W24" s="13">
        <v>6.7205292999999904E-3</v>
      </c>
      <c r="X24" s="13">
        <v>6.9813213999999997E-3</v>
      </c>
      <c r="Y24" s="13">
        <v>7.2638634999999899E-3</v>
      </c>
      <c r="Z24" s="13">
        <v>7.4587827000000004E-3</v>
      </c>
      <c r="AA24" s="13">
        <v>7.6077412000000004E-3</v>
      </c>
      <c r="AB24" s="13">
        <v>7.7151381999999999E-3</v>
      </c>
      <c r="AC24" s="13">
        <v>7.7909690999999996E-3</v>
      </c>
      <c r="AD24" s="13">
        <v>7.7222532999999998E-3</v>
      </c>
      <c r="AE24" s="13" t="s">
        <v>93</v>
      </c>
    </row>
    <row r="25" spans="1:31">
      <c r="A25" s="13" t="s">
        <v>260</v>
      </c>
      <c r="B25" s="13" t="s">
        <v>1</v>
      </c>
      <c r="C25" s="13" t="s">
        <v>214</v>
      </c>
      <c r="D25" s="13" t="str">
        <f>IFERROR(VLOOKUP(C25,ghg_sort!$A$86:$B$512,2,0),0)</f>
        <v>Agriculture</v>
      </c>
      <c r="E25" s="33" t="s">
        <v>204</v>
      </c>
      <c r="F25" s="13">
        <f>IFERROR(VLOOKUP($E25,ghg_sort!$A$3:$B$21,2,0),0)</f>
        <v>0</v>
      </c>
      <c r="G25" s="13">
        <f t="shared" si="1"/>
        <v>0</v>
      </c>
      <c r="H25" s="13">
        <f t="shared" si="2"/>
        <v>0</v>
      </c>
      <c r="I25" s="13">
        <f t="shared" si="3"/>
        <v>0</v>
      </c>
      <c r="J25" s="13">
        <f t="shared" si="4"/>
        <v>0</v>
      </c>
      <c r="K25" s="13">
        <f t="shared" si="5"/>
        <v>0</v>
      </c>
      <c r="L25" s="13">
        <f t="shared" si="6"/>
        <v>0</v>
      </c>
      <c r="M25" s="13">
        <f t="shared" si="7"/>
        <v>0</v>
      </c>
      <c r="N25" s="13">
        <f t="shared" si="8"/>
        <v>0</v>
      </c>
      <c r="O25" s="13">
        <f t="shared" si="9"/>
        <v>0</v>
      </c>
      <c r="P25" s="13">
        <f t="shared" si="10"/>
        <v>0</v>
      </c>
      <c r="Q25" s="13">
        <f t="shared" si="11"/>
        <v>0</v>
      </c>
      <c r="R25" s="13" t="s">
        <v>239</v>
      </c>
      <c r="T25" s="14">
        <v>5.3022360000000001E-4</v>
      </c>
      <c r="U25" s="14">
        <v>6.6193169999999996E-4</v>
      </c>
      <c r="V25" s="14">
        <v>7.6781180000000003E-4</v>
      </c>
      <c r="W25" s="14">
        <v>6.4456669999999998E-4</v>
      </c>
      <c r="X25" s="14">
        <v>6.6957899000000005E-4</v>
      </c>
      <c r="Y25" s="14">
        <v>6.9667760999999999E-4</v>
      </c>
      <c r="Z25" s="14">
        <v>7.1537291999999896E-4</v>
      </c>
      <c r="AA25" s="14">
        <v>7.2965854999999997E-4</v>
      </c>
      <c r="AB25" s="14">
        <v>7.3995949999999995E-4</v>
      </c>
      <c r="AC25" s="14">
        <v>7.4723170999999998E-4</v>
      </c>
      <c r="AD25" s="14">
        <v>7.4064192000000001E-4</v>
      </c>
      <c r="AE25" s="13" t="s">
        <v>93</v>
      </c>
    </row>
    <row r="26" spans="1:31">
      <c r="A26" s="13" t="s">
        <v>260</v>
      </c>
      <c r="B26" s="13" t="s">
        <v>1</v>
      </c>
      <c r="C26" s="13" t="s">
        <v>215</v>
      </c>
      <c r="D26" s="13" t="str">
        <f>IFERROR(VLOOKUP(C26,ghg_sort!$A$86:$B$512,2,0),0)</f>
        <v>Agriculture</v>
      </c>
      <c r="E26" s="33" t="s">
        <v>101</v>
      </c>
      <c r="F26" s="13">
        <f>IFERROR(VLOOKUP($E26,ghg_sort!$A$3:$B$21,2,0),0)</f>
        <v>298</v>
      </c>
      <c r="G26" s="13">
        <f t="shared" si="1"/>
        <v>2.3542584080000002E-3</v>
      </c>
      <c r="H26" s="13">
        <f t="shared" si="2"/>
        <v>6.7109599999999999E-5</v>
      </c>
      <c r="I26" s="13">
        <f t="shared" si="3"/>
        <v>1.7641600000000001E-5</v>
      </c>
      <c r="J26" s="13">
        <f t="shared" si="4"/>
        <v>1.6747599999999999E-5</v>
      </c>
      <c r="K26" s="13">
        <f t="shared" si="5"/>
        <v>1.7148460659999999E-5</v>
      </c>
      <c r="L26" s="13">
        <f t="shared" si="6"/>
        <v>1.8923303960000001E-5</v>
      </c>
      <c r="M26" s="13">
        <f t="shared" si="7"/>
        <v>1.9144294799999972E-5</v>
      </c>
      <c r="N26" s="13">
        <f t="shared" si="8"/>
        <v>1.9665854399999971E-5</v>
      </c>
      <c r="O26" s="13">
        <f t="shared" si="9"/>
        <v>2.0643407640000001E-5</v>
      </c>
      <c r="P26" s="13">
        <f t="shared" si="10"/>
        <v>2.174778968E-5</v>
      </c>
      <c r="Q26" s="13">
        <f t="shared" si="11"/>
        <v>2.210649824E-5</v>
      </c>
      <c r="R26" s="13" t="s">
        <v>239</v>
      </c>
      <c r="T26" s="14">
        <v>7.9001960000000001E-6</v>
      </c>
      <c r="U26" s="14">
        <v>2.252E-7</v>
      </c>
      <c r="V26" s="14">
        <v>5.9200000000000001E-8</v>
      </c>
      <c r="W26" s="14">
        <v>5.62E-8</v>
      </c>
      <c r="X26" s="14">
        <v>5.7545169999999998E-8</v>
      </c>
      <c r="Y26" s="14">
        <v>6.350102E-8</v>
      </c>
      <c r="Z26" s="14">
        <v>6.4242599999999901E-8</v>
      </c>
      <c r="AA26" s="14">
        <v>6.5992799999999897E-8</v>
      </c>
      <c r="AB26" s="14">
        <v>6.9273180000000005E-8</v>
      </c>
      <c r="AC26" s="14">
        <v>7.2979160000000006E-8</v>
      </c>
      <c r="AD26" s="14">
        <v>7.4182879999999998E-8</v>
      </c>
      <c r="AE26" s="13" t="s">
        <v>93</v>
      </c>
    </row>
    <row r="27" spans="1:31">
      <c r="A27" s="13" t="s">
        <v>260</v>
      </c>
      <c r="B27" s="13" t="s">
        <v>1</v>
      </c>
      <c r="C27" s="13" t="s">
        <v>215</v>
      </c>
      <c r="D27" s="13" t="str">
        <f>IFERROR(VLOOKUP(C27,ghg_sort!$A$86:$B$512,2,0),0)</f>
        <v>Agriculture</v>
      </c>
      <c r="E27" s="33" t="s">
        <v>202</v>
      </c>
      <c r="F27" s="13">
        <f>IFERROR(VLOOKUP($E27,ghg_sort!$A$3:$B$21,2,0),0)</f>
        <v>0</v>
      </c>
      <c r="G27" s="13">
        <f t="shared" si="1"/>
        <v>0</v>
      </c>
      <c r="H27" s="13">
        <f t="shared" si="2"/>
        <v>0</v>
      </c>
      <c r="I27" s="13">
        <f t="shared" si="3"/>
        <v>0</v>
      </c>
      <c r="J27" s="13">
        <f t="shared" si="4"/>
        <v>0</v>
      </c>
      <c r="K27" s="13">
        <f t="shared" si="5"/>
        <v>0</v>
      </c>
      <c r="L27" s="13">
        <f t="shared" si="6"/>
        <v>0</v>
      </c>
      <c r="M27" s="13">
        <f t="shared" si="7"/>
        <v>0</v>
      </c>
      <c r="N27" s="13">
        <f t="shared" si="8"/>
        <v>0</v>
      </c>
      <c r="O27" s="13">
        <f t="shared" si="9"/>
        <v>0</v>
      </c>
      <c r="P27" s="13">
        <f t="shared" si="10"/>
        <v>0</v>
      </c>
      <c r="Q27" s="13">
        <f t="shared" si="11"/>
        <v>0</v>
      </c>
      <c r="R27" s="13" t="s">
        <v>239</v>
      </c>
      <c r="T27" s="14">
        <v>4.5511299999999999E-5</v>
      </c>
      <c r="U27" s="14">
        <v>1.3632999999999999E-6</v>
      </c>
      <c r="V27" s="14">
        <v>3.9239999999999999E-7</v>
      </c>
      <c r="W27" s="14">
        <v>3.53E-7</v>
      </c>
      <c r="X27" s="14">
        <v>3.688253E-7</v>
      </c>
      <c r="Y27" s="14">
        <v>4.1606879999999998E-7</v>
      </c>
      <c r="Z27" s="14">
        <v>4.3949679999999902E-7</v>
      </c>
      <c r="AA27" s="14">
        <v>4.627106E-7</v>
      </c>
      <c r="AB27" s="14">
        <v>4.861669E-7</v>
      </c>
      <c r="AC27" s="14">
        <v>5.1310800000000002E-7</v>
      </c>
      <c r="AD27" s="14">
        <v>5.2514019999999999E-7</v>
      </c>
      <c r="AE27" s="13" t="s">
        <v>93</v>
      </c>
    </row>
    <row r="28" spans="1:31">
      <c r="A28" s="13" t="s">
        <v>260</v>
      </c>
      <c r="B28" s="13" t="s">
        <v>1</v>
      </c>
      <c r="C28" s="13" t="s">
        <v>215</v>
      </c>
      <c r="D28" s="13" t="str">
        <f>IFERROR(VLOOKUP(C28,ghg_sort!$A$86:$B$512,2,0),0)</f>
        <v>Agriculture</v>
      </c>
      <c r="E28" s="33" t="s">
        <v>204</v>
      </c>
      <c r="F28" s="13">
        <f>IFERROR(VLOOKUP($E28,ghg_sort!$A$3:$B$21,2,0),0)</f>
        <v>0</v>
      </c>
      <c r="G28" s="13">
        <f t="shared" si="1"/>
        <v>0</v>
      </c>
      <c r="H28" s="13">
        <f t="shared" si="2"/>
        <v>0</v>
      </c>
      <c r="I28" s="13">
        <f t="shared" si="3"/>
        <v>0</v>
      </c>
      <c r="J28" s="13">
        <f t="shared" si="4"/>
        <v>0</v>
      </c>
      <c r="K28" s="13">
        <f t="shared" si="5"/>
        <v>0</v>
      </c>
      <c r="L28" s="13">
        <f t="shared" si="6"/>
        <v>0</v>
      </c>
      <c r="M28" s="13">
        <f t="shared" si="7"/>
        <v>0</v>
      </c>
      <c r="N28" s="13">
        <f t="shared" si="8"/>
        <v>0</v>
      </c>
      <c r="O28" s="13">
        <f t="shared" si="9"/>
        <v>0</v>
      </c>
      <c r="P28" s="13">
        <f t="shared" si="10"/>
        <v>0</v>
      </c>
      <c r="Q28" s="13">
        <f t="shared" si="11"/>
        <v>0</v>
      </c>
      <c r="R28" s="13" t="s">
        <v>239</v>
      </c>
      <c r="T28" s="14">
        <v>3.8175000000000003E-6</v>
      </c>
      <c r="U28" s="14">
        <v>8.7700030000000001E-8</v>
      </c>
      <c r="V28" s="14">
        <v>2.6700010000000001E-8</v>
      </c>
      <c r="W28" s="14">
        <v>2.0499999999999899E-8</v>
      </c>
      <c r="X28" s="14">
        <v>2.1419050000000001E-8</v>
      </c>
      <c r="Y28" s="14">
        <v>2.4162659999999901E-8</v>
      </c>
      <c r="Z28" s="14">
        <v>2.552322E-8</v>
      </c>
      <c r="AA28" s="14">
        <v>2.6871349999999999E-8</v>
      </c>
      <c r="AB28" s="14">
        <v>2.8233630000000001E-8</v>
      </c>
      <c r="AC28" s="14">
        <v>2.979829E-8</v>
      </c>
      <c r="AD28" s="14">
        <v>3.0496939999999999E-8</v>
      </c>
      <c r="AE28" s="13" t="s">
        <v>93</v>
      </c>
    </row>
    <row r="29" spans="1:31">
      <c r="A29" s="13" t="s">
        <v>260</v>
      </c>
      <c r="B29" s="13" t="s">
        <v>1</v>
      </c>
      <c r="C29" s="13" t="s">
        <v>216</v>
      </c>
      <c r="D29" s="13" t="str">
        <f>IFERROR(VLOOKUP(C29,ghg_sort!$A$86:$B$512,2,0),0)</f>
        <v>Agriculture</v>
      </c>
      <c r="E29" s="33" t="s">
        <v>101</v>
      </c>
      <c r="F29" s="13">
        <f>IFERROR(VLOOKUP($E29,ghg_sort!$A$3:$B$21,2,0),0)</f>
        <v>298</v>
      </c>
      <c r="G29" s="13">
        <f t="shared" si="1"/>
        <v>0.2965710899999997</v>
      </c>
      <c r="H29" s="13">
        <f t="shared" si="2"/>
        <v>3.9915282200000006E-2</v>
      </c>
      <c r="I29" s="13">
        <f t="shared" si="3"/>
        <v>1.7350543400000001E-2</v>
      </c>
      <c r="J29" s="13">
        <f t="shared" si="4"/>
        <v>1.84014404E-2</v>
      </c>
      <c r="K29" s="13">
        <f t="shared" si="5"/>
        <v>2.2049139200000002E-2</v>
      </c>
      <c r="L29" s="13">
        <f t="shared" si="6"/>
        <v>2.78301008E-2</v>
      </c>
      <c r="M29" s="13">
        <f t="shared" si="7"/>
        <v>3.00220696E-2</v>
      </c>
      <c r="N29" s="13">
        <f t="shared" si="8"/>
        <v>3.2475145999999996E-2</v>
      </c>
      <c r="O29" s="13">
        <f t="shared" si="9"/>
        <v>3.5170675199999703E-2</v>
      </c>
      <c r="P29" s="13">
        <f t="shared" si="10"/>
        <v>3.7951372800000001E-2</v>
      </c>
      <c r="Q29" s="13">
        <f t="shared" si="11"/>
        <v>3.9062167799999999E-2</v>
      </c>
      <c r="R29" s="13" t="s">
        <v>239</v>
      </c>
      <c r="T29" s="14">
        <v>9.9520499999999901E-4</v>
      </c>
      <c r="U29" s="14">
        <v>1.3394390000000001E-4</v>
      </c>
      <c r="V29" s="14">
        <v>5.8223300000000002E-5</v>
      </c>
      <c r="W29" s="14">
        <v>6.1749799999999996E-5</v>
      </c>
      <c r="X29" s="14">
        <v>7.3990400000000002E-5</v>
      </c>
      <c r="Y29" s="14">
        <v>9.3389599999999998E-5</v>
      </c>
      <c r="Z29" s="14">
        <v>1.007452E-4</v>
      </c>
      <c r="AA29" s="14">
        <v>1.08977E-4</v>
      </c>
      <c r="AB29" s="14">
        <v>1.18022399999999E-4</v>
      </c>
      <c r="AC29" s="14">
        <v>1.2735360000000001E-4</v>
      </c>
      <c r="AD29" s="14">
        <v>1.3108109999999999E-4</v>
      </c>
      <c r="AE29" s="13" t="s">
        <v>93</v>
      </c>
    </row>
    <row r="30" spans="1:31">
      <c r="A30" s="13" t="s">
        <v>260</v>
      </c>
      <c r="B30" s="13" t="s">
        <v>1</v>
      </c>
      <c r="C30" s="13" t="s">
        <v>216</v>
      </c>
      <c r="D30" s="13" t="str">
        <f>IFERROR(VLOOKUP(C30,ghg_sort!$A$86:$B$512,2,0),0)</f>
        <v>Agriculture</v>
      </c>
      <c r="E30" s="33" t="s">
        <v>202</v>
      </c>
      <c r="F30" s="13">
        <f>IFERROR(VLOOKUP($E30,ghg_sort!$A$3:$B$21,2,0),0)</f>
        <v>0</v>
      </c>
      <c r="G30" s="13">
        <f t="shared" si="1"/>
        <v>0</v>
      </c>
      <c r="H30" s="13">
        <f t="shared" si="2"/>
        <v>0</v>
      </c>
      <c r="I30" s="13">
        <f t="shared" si="3"/>
        <v>0</v>
      </c>
      <c r="J30" s="13">
        <f t="shared" si="4"/>
        <v>0</v>
      </c>
      <c r="K30" s="13">
        <f t="shared" si="5"/>
        <v>0</v>
      </c>
      <c r="L30" s="13">
        <f t="shared" si="6"/>
        <v>0</v>
      </c>
      <c r="M30" s="13">
        <f t="shared" si="7"/>
        <v>0</v>
      </c>
      <c r="N30" s="13">
        <f t="shared" si="8"/>
        <v>0</v>
      </c>
      <c r="O30" s="13">
        <f t="shared" si="9"/>
        <v>0</v>
      </c>
      <c r="P30" s="13">
        <f t="shared" si="10"/>
        <v>0</v>
      </c>
      <c r="Q30" s="13">
        <f t="shared" si="11"/>
        <v>0</v>
      </c>
      <c r="R30" s="13" t="s">
        <v>239</v>
      </c>
      <c r="T30" s="13">
        <v>5.7331700000000001E-3</v>
      </c>
      <c r="U30" s="14">
        <v>8.1096499999999997E-4</v>
      </c>
      <c r="V30" s="14">
        <v>3.8563699999999998E-4</v>
      </c>
      <c r="W30" s="14">
        <v>3.8823299999999998E-4</v>
      </c>
      <c r="X30" s="14">
        <v>4.7468599999999999E-4</v>
      </c>
      <c r="Y30" s="14">
        <v>6.1249399999999999E-4</v>
      </c>
      <c r="Z30" s="14">
        <v>6.8988399999999998E-4</v>
      </c>
      <c r="AA30" s="14">
        <v>7.6483400000000004E-4</v>
      </c>
      <c r="AB30" s="14">
        <v>8.2909499999999996E-4</v>
      </c>
      <c r="AC30" s="14">
        <v>8.9627700000000001E-4</v>
      </c>
      <c r="AD30" s="14">
        <v>9.2882000000000001E-4</v>
      </c>
      <c r="AE30" s="13" t="s">
        <v>93</v>
      </c>
    </row>
    <row r="31" spans="1:31">
      <c r="A31" s="13" t="s">
        <v>260</v>
      </c>
      <c r="B31" s="13" t="s">
        <v>1</v>
      </c>
      <c r="C31" s="13" t="s">
        <v>216</v>
      </c>
      <c r="D31" s="13" t="str">
        <f>IFERROR(VLOOKUP(C31,ghg_sort!$A$86:$B$512,2,0),0)</f>
        <v>Agriculture</v>
      </c>
      <c r="E31" s="33" t="s">
        <v>204</v>
      </c>
      <c r="F31" s="13">
        <f>IFERROR(VLOOKUP($E31,ghg_sort!$A$3:$B$21,2,0),0)</f>
        <v>0</v>
      </c>
      <c r="G31" s="13">
        <f t="shared" si="1"/>
        <v>0</v>
      </c>
      <c r="H31" s="13">
        <f t="shared" si="2"/>
        <v>0</v>
      </c>
      <c r="I31" s="13">
        <f t="shared" si="3"/>
        <v>0</v>
      </c>
      <c r="J31" s="13">
        <f t="shared" si="4"/>
        <v>0</v>
      </c>
      <c r="K31" s="13">
        <f t="shared" si="5"/>
        <v>0</v>
      </c>
      <c r="L31" s="13">
        <f t="shared" si="6"/>
        <v>0</v>
      </c>
      <c r="M31" s="13">
        <f t="shared" si="7"/>
        <v>0</v>
      </c>
      <c r="N31" s="13">
        <f t="shared" si="8"/>
        <v>0</v>
      </c>
      <c r="O31" s="13">
        <f t="shared" si="9"/>
        <v>0</v>
      </c>
      <c r="P31" s="13">
        <f t="shared" si="10"/>
        <v>0</v>
      </c>
      <c r="Q31" s="13">
        <f t="shared" si="11"/>
        <v>0</v>
      </c>
      <c r="R31" s="13" t="s">
        <v>239</v>
      </c>
      <c r="T31" s="14">
        <v>4.8089600000000003E-4</v>
      </c>
      <c r="U31" s="14">
        <v>5.21472999999999E-5</v>
      </c>
      <c r="V31" s="14">
        <v>2.6253499999999999E-5</v>
      </c>
      <c r="W31" s="14">
        <v>2.2469140000000001E-5</v>
      </c>
      <c r="X31" s="14">
        <v>2.7472559999999999E-5</v>
      </c>
      <c r="Y31" s="14">
        <v>3.5448299999999997E-5</v>
      </c>
      <c r="Z31" s="14">
        <v>3.99273E-5</v>
      </c>
      <c r="AA31" s="14">
        <v>4.4264999999999997E-5</v>
      </c>
      <c r="AB31" s="14">
        <v>4.79841E-5</v>
      </c>
      <c r="AC31" s="14">
        <v>5.1872219999999901E-5</v>
      </c>
      <c r="AD31" s="14">
        <v>5.3755670000000002E-5</v>
      </c>
      <c r="AE31" s="13" t="s">
        <v>93</v>
      </c>
    </row>
    <row r="32" spans="1:31">
      <c r="A32" s="13" t="s">
        <v>260</v>
      </c>
      <c r="B32" s="13" t="s">
        <v>1</v>
      </c>
      <c r="C32" s="13" t="s">
        <v>140</v>
      </c>
      <c r="D32" s="13" t="str">
        <f>IFERROR(VLOOKUP(C32,ghg_sort!$A$86:$B$512,2,0),0)</f>
        <v>Industry</v>
      </c>
      <c r="E32" s="33" t="s">
        <v>84</v>
      </c>
      <c r="F32" s="13">
        <f>IFERROR(VLOOKUP($E32,ghg_sort!$A$3:$B$21,2,0),0)</f>
        <v>25</v>
      </c>
      <c r="G32" s="13">
        <f t="shared" si="1"/>
        <v>0</v>
      </c>
      <c r="H32" s="13">
        <f t="shared" si="2"/>
        <v>0</v>
      </c>
      <c r="I32" s="13">
        <f t="shared" si="3"/>
        <v>0</v>
      </c>
      <c r="J32" s="13">
        <f t="shared" si="4"/>
        <v>0</v>
      </c>
      <c r="K32" s="13">
        <f t="shared" si="5"/>
        <v>8.1519500000000008E-6</v>
      </c>
      <c r="L32" s="13">
        <f t="shared" si="6"/>
        <v>2.761887245E-4</v>
      </c>
      <c r="M32" s="13">
        <f t="shared" si="7"/>
        <v>1.075606425E-3</v>
      </c>
      <c r="N32" s="13">
        <f t="shared" si="8"/>
        <v>2.5282849999999752E-3</v>
      </c>
      <c r="O32" s="13">
        <f t="shared" si="9"/>
        <v>5.2908710500000006E-3</v>
      </c>
      <c r="P32" s="13">
        <f t="shared" si="10"/>
        <v>6.6313889975000003E-3</v>
      </c>
      <c r="Q32" s="13">
        <f t="shared" si="11"/>
        <v>6.4383040849999998E-3</v>
      </c>
      <c r="R32" s="13" t="s">
        <v>239</v>
      </c>
      <c r="T32" s="13">
        <v>0</v>
      </c>
      <c r="U32" s="13">
        <v>0</v>
      </c>
      <c r="V32" s="13">
        <v>0</v>
      </c>
      <c r="W32" s="13">
        <v>0</v>
      </c>
      <c r="X32" s="14">
        <v>3.2607800000000002E-7</v>
      </c>
      <c r="Y32" s="14">
        <v>1.104754898E-5</v>
      </c>
      <c r="Z32" s="14">
        <v>4.3024257000000003E-5</v>
      </c>
      <c r="AA32" s="14">
        <v>1.01131399999999E-4</v>
      </c>
      <c r="AB32" s="14">
        <v>2.1163484200000001E-4</v>
      </c>
      <c r="AC32" s="14">
        <v>2.652555599E-4</v>
      </c>
      <c r="AD32" s="14">
        <v>2.5753216340000001E-4</v>
      </c>
      <c r="AE32" s="13" t="s">
        <v>93</v>
      </c>
    </row>
    <row r="33" spans="1:31">
      <c r="A33" s="13" t="s">
        <v>260</v>
      </c>
      <c r="B33" s="13" t="s">
        <v>1</v>
      </c>
      <c r="C33" s="13" t="s">
        <v>140</v>
      </c>
      <c r="D33" s="13" t="str">
        <f>IFERROR(VLOOKUP(C33,ghg_sort!$A$86:$B$512,2,0),0)</f>
        <v>Industry</v>
      </c>
      <c r="E33" s="33" t="s">
        <v>85</v>
      </c>
      <c r="F33" s="13">
        <f>IFERROR(VLOOKUP($E33,ghg_sort!$A$3:$B$21,2,0),0)</f>
        <v>0</v>
      </c>
      <c r="G33" s="13">
        <f t="shared" si="1"/>
        <v>0</v>
      </c>
      <c r="H33" s="13">
        <f t="shared" si="2"/>
        <v>0</v>
      </c>
      <c r="I33" s="13">
        <f t="shared" si="3"/>
        <v>0</v>
      </c>
      <c r="J33" s="13">
        <f t="shared" si="4"/>
        <v>0</v>
      </c>
      <c r="K33" s="13">
        <f t="shared" si="5"/>
        <v>0</v>
      </c>
      <c r="L33" s="13">
        <f t="shared" si="6"/>
        <v>0</v>
      </c>
      <c r="M33" s="13">
        <f t="shared" si="7"/>
        <v>0</v>
      </c>
      <c r="N33" s="13">
        <f t="shared" si="8"/>
        <v>0</v>
      </c>
      <c r="O33" s="13">
        <f t="shared" si="9"/>
        <v>0</v>
      </c>
      <c r="P33" s="13">
        <f t="shared" si="10"/>
        <v>0</v>
      </c>
      <c r="Q33" s="13">
        <f t="shared" si="11"/>
        <v>0</v>
      </c>
      <c r="R33" s="13" t="s">
        <v>239</v>
      </c>
      <c r="T33" s="13">
        <v>0</v>
      </c>
      <c r="U33" s="13">
        <v>0</v>
      </c>
      <c r="V33" s="13">
        <v>0</v>
      </c>
      <c r="W33" s="13">
        <v>0</v>
      </c>
      <c r="X33" s="14">
        <v>7.2658499999999996E-7</v>
      </c>
      <c r="Y33" s="14">
        <v>1.0382807875000001E-5</v>
      </c>
      <c r="Z33" s="14">
        <v>2.6940711999999899E-5</v>
      </c>
      <c r="AA33" s="14">
        <v>4.482763E-5</v>
      </c>
      <c r="AB33" s="14">
        <v>7.3433699999999995E-5</v>
      </c>
      <c r="AC33" s="14">
        <v>8.8674599880000002E-5</v>
      </c>
      <c r="AD33" s="14">
        <v>9.1147086680999997E-5</v>
      </c>
      <c r="AE33" s="13" t="s">
        <v>93</v>
      </c>
    </row>
    <row r="34" spans="1:31">
      <c r="A34" s="13" t="s">
        <v>260</v>
      </c>
      <c r="B34" s="13" t="s">
        <v>1</v>
      </c>
      <c r="C34" s="13" t="s">
        <v>140</v>
      </c>
      <c r="D34" s="13" t="str">
        <f>IFERROR(VLOOKUP(C34,ghg_sort!$A$86:$B$512,2,0),0)</f>
        <v>Industry</v>
      </c>
      <c r="E34" s="34" t="s">
        <v>86</v>
      </c>
      <c r="F34" s="13">
        <f>IFERROR(VLOOKUP($E34,ghg_sort!$A$3:$B$21,2,0),0)</f>
        <v>3.6666666666666701</v>
      </c>
      <c r="G34" s="13">
        <f t="shared" si="1"/>
        <v>0</v>
      </c>
      <c r="H34" s="13">
        <f t="shared" si="2"/>
        <v>0</v>
      </c>
      <c r="I34" s="13">
        <f t="shared" si="3"/>
        <v>0</v>
      </c>
      <c r="J34" s="13">
        <f t="shared" si="4"/>
        <v>0</v>
      </c>
      <c r="K34" s="13">
        <f t="shared" si="5"/>
        <v>9.3384463333333417E-2</v>
      </c>
      <c r="L34" s="13">
        <f t="shared" si="6"/>
        <v>1.5069361958933347</v>
      </c>
      <c r="M34" s="13">
        <f t="shared" si="7"/>
        <v>4.2642308793333372</v>
      </c>
      <c r="N34" s="13">
        <f t="shared" si="8"/>
        <v>3.9778885666666701</v>
      </c>
      <c r="O34" s="13">
        <f t="shared" si="9"/>
        <v>2.0077911333333356</v>
      </c>
      <c r="P34" s="13">
        <f t="shared" si="10"/>
        <v>1.8150039490000018</v>
      </c>
      <c r="Q34" s="13">
        <f t="shared" si="11"/>
        <v>1.7449527271000016</v>
      </c>
      <c r="R34" s="13" t="s">
        <v>239</v>
      </c>
      <c r="T34" s="13">
        <v>0</v>
      </c>
      <c r="U34" s="13">
        <v>0</v>
      </c>
      <c r="V34" s="13">
        <v>0</v>
      </c>
      <c r="W34" s="13">
        <v>0</v>
      </c>
      <c r="X34" s="13">
        <v>2.546849E-2</v>
      </c>
      <c r="Y34" s="13">
        <v>0.41098259887999999</v>
      </c>
      <c r="Z34" s="13">
        <v>1.162972058</v>
      </c>
      <c r="AA34" s="13">
        <v>1.0848787</v>
      </c>
      <c r="AB34" s="13">
        <v>0.54757940000000005</v>
      </c>
      <c r="AC34" s="13">
        <v>0.49500107700000001</v>
      </c>
      <c r="AD34" s="13">
        <v>0.47589619830000002</v>
      </c>
      <c r="AE34" s="13" t="s">
        <v>94</v>
      </c>
    </row>
    <row r="35" spans="1:31">
      <c r="A35" s="13" t="s">
        <v>260</v>
      </c>
      <c r="B35" s="13" t="s">
        <v>1</v>
      </c>
      <c r="C35" s="13" t="s">
        <v>140</v>
      </c>
      <c r="D35" s="13" t="str">
        <f>IFERROR(VLOOKUP(C35,ghg_sort!$A$86:$B$512,2,0),0)</f>
        <v>Industry</v>
      </c>
      <c r="E35" s="33" t="s">
        <v>89</v>
      </c>
      <c r="F35" s="13">
        <f>IFERROR(VLOOKUP($E35,ghg_sort!$A$3:$B$21,2,0),0)</f>
        <v>0</v>
      </c>
      <c r="G35" s="13">
        <f t="shared" si="1"/>
        <v>0</v>
      </c>
      <c r="H35" s="13">
        <f t="shared" si="2"/>
        <v>0</v>
      </c>
      <c r="I35" s="13">
        <f t="shared" si="3"/>
        <v>0</v>
      </c>
      <c r="J35" s="13">
        <f t="shared" si="4"/>
        <v>0</v>
      </c>
      <c r="K35" s="13">
        <f t="shared" si="5"/>
        <v>0</v>
      </c>
      <c r="L35" s="13">
        <f t="shared" si="6"/>
        <v>0</v>
      </c>
      <c r="M35" s="13">
        <f t="shared" si="7"/>
        <v>0</v>
      </c>
      <c r="N35" s="13">
        <f t="shared" si="8"/>
        <v>0</v>
      </c>
      <c r="O35" s="13">
        <f t="shared" si="9"/>
        <v>0</v>
      </c>
      <c r="P35" s="13">
        <f t="shared" si="10"/>
        <v>0</v>
      </c>
      <c r="Q35" s="13">
        <f t="shared" si="11"/>
        <v>0</v>
      </c>
      <c r="R35" s="13" t="s">
        <v>239</v>
      </c>
      <c r="T35" s="13">
        <v>0</v>
      </c>
      <c r="U35" s="13">
        <v>0</v>
      </c>
      <c r="V35" s="13">
        <v>0</v>
      </c>
      <c r="W35" s="13">
        <v>0</v>
      </c>
      <c r="X35" s="14">
        <v>1.0222E-7</v>
      </c>
      <c r="Y35" s="14">
        <v>2.115805887E-6</v>
      </c>
      <c r="Z35" s="14">
        <v>7.3537712999999901E-6</v>
      </c>
      <c r="AA35" s="14">
        <v>1.6822270000000001E-5</v>
      </c>
      <c r="AB35" s="14">
        <v>3.6401817999999997E-5</v>
      </c>
      <c r="AC35" s="14">
        <v>4.4956021969999999E-5</v>
      </c>
      <c r="AD35" s="14">
        <v>4.2177312681000002E-5</v>
      </c>
      <c r="AE35" s="13" t="s">
        <v>93</v>
      </c>
    </row>
    <row r="36" spans="1:31">
      <c r="A36" s="13" t="s">
        <v>260</v>
      </c>
      <c r="B36" s="13" t="s">
        <v>1</v>
      </c>
      <c r="C36" s="13" t="s">
        <v>140</v>
      </c>
      <c r="D36" s="13" t="str">
        <f>IFERROR(VLOOKUP(C36,ghg_sort!$A$86:$B$512,2,0),0)</f>
        <v>Industry</v>
      </c>
      <c r="E36" s="33" t="s">
        <v>90</v>
      </c>
      <c r="F36" s="13">
        <f>IFERROR(VLOOKUP($E36,ghg_sort!$A$3:$B$21,2,0),0)</f>
        <v>0</v>
      </c>
      <c r="G36" s="13">
        <f t="shared" si="1"/>
        <v>0</v>
      </c>
      <c r="H36" s="13">
        <f t="shared" si="2"/>
        <v>0</v>
      </c>
      <c r="I36" s="13">
        <f t="shared" si="3"/>
        <v>0</v>
      </c>
      <c r="J36" s="13">
        <f t="shared" si="4"/>
        <v>0</v>
      </c>
      <c r="K36" s="13">
        <f t="shared" si="5"/>
        <v>0</v>
      </c>
      <c r="L36" s="13">
        <f t="shared" si="6"/>
        <v>0</v>
      </c>
      <c r="M36" s="13">
        <f t="shared" si="7"/>
        <v>0</v>
      </c>
      <c r="N36" s="13">
        <f t="shared" si="8"/>
        <v>0</v>
      </c>
      <c r="O36" s="13">
        <f t="shared" si="9"/>
        <v>0</v>
      </c>
      <c r="P36" s="13">
        <f t="shared" si="10"/>
        <v>0</v>
      </c>
      <c r="Q36" s="13">
        <f t="shared" si="11"/>
        <v>0</v>
      </c>
      <c r="R36" s="13" t="s">
        <v>239</v>
      </c>
      <c r="T36" s="13">
        <v>0</v>
      </c>
      <c r="U36" s="13">
        <v>0</v>
      </c>
      <c r="V36" s="13">
        <v>0</v>
      </c>
      <c r="W36" s="13">
        <v>0</v>
      </c>
      <c r="X36" s="14">
        <v>5.492049E-6</v>
      </c>
      <c r="Y36" s="14">
        <v>6.6522936775000003E-5</v>
      </c>
      <c r="Z36" s="14">
        <v>1.59566612E-4</v>
      </c>
      <c r="AA36" s="14">
        <v>2.3641472999999999E-4</v>
      </c>
      <c r="AB36" s="14">
        <v>3.4047439999999998E-4</v>
      </c>
      <c r="AC36" s="14">
        <v>4.7329401088E-4</v>
      </c>
      <c r="AD36" s="14">
        <v>5.33861413412E-4</v>
      </c>
      <c r="AE36" s="13" t="s">
        <v>93</v>
      </c>
    </row>
    <row r="37" spans="1:31">
      <c r="A37" s="13" t="s">
        <v>260</v>
      </c>
      <c r="B37" s="13" t="s">
        <v>1</v>
      </c>
      <c r="C37" s="13" t="s">
        <v>140</v>
      </c>
      <c r="D37" s="13" t="str">
        <f>IFERROR(VLOOKUP(C37,ghg_sort!$A$86:$B$512,2,0),0)</f>
        <v>Industry</v>
      </c>
      <c r="E37" s="33" t="s">
        <v>92</v>
      </c>
      <c r="F37" s="13">
        <f>IFERROR(VLOOKUP($E37,ghg_sort!$A$3:$B$21,2,0),0)</f>
        <v>0</v>
      </c>
      <c r="G37" s="13">
        <f t="shared" si="1"/>
        <v>0</v>
      </c>
      <c r="H37" s="13">
        <f t="shared" si="2"/>
        <v>0</v>
      </c>
      <c r="I37" s="13">
        <f t="shared" si="3"/>
        <v>0</v>
      </c>
      <c r="J37" s="13">
        <f t="shared" si="4"/>
        <v>0</v>
      </c>
      <c r="K37" s="13">
        <f t="shared" si="5"/>
        <v>0</v>
      </c>
      <c r="L37" s="13">
        <f t="shared" si="6"/>
        <v>0</v>
      </c>
      <c r="M37" s="13">
        <f t="shared" si="7"/>
        <v>0</v>
      </c>
      <c r="N37" s="13">
        <f t="shared" si="8"/>
        <v>0</v>
      </c>
      <c r="O37" s="13">
        <f t="shared" si="9"/>
        <v>0</v>
      </c>
      <c r="P37" s="13">
        <f t="shared" si="10"/>
        <v>0</v>
      </c>
      <c r="Q37" s="13">
        <f t="shared" si="11"/>
        <v>0</v>
      </c>
      <c r="R37" s="13" t="s">
        <v>239</v>
      </c>
      <c r="T37" s="13">
        <v>0</v>
      </c>
      <c r="U37" s="13">
        <v>0</v>
      </c>
      <c r="V37" s="13">
        <v>0</v>
      </c>
      <c r="W37" s="13">
        <v>0</v>
      </c>
      <c r="X37" s="14">
        <v>2.9347E-6</v>
      </c>
      <c r="Y37" s="14">
        <v>8.8320440799999998E-5</v>
      </c>
      <c r="Z37" s="14">
        <v>3.3091961E-4</v>
      </c>
      <c r="AA37" s="14">
        <v>7.5700300000000002E-4</v>
      </c>
      <c r="AB37" s="14">
        <v>1.6380840800000001E-3</v>
      </c>
      <c r="AC37" s="14">
        <v>2.0230229389999999E-3</v>
      </c>
      <c r="AD37" s="14">
        <v>1.8979826705999899E-3</v>
      </c>
      <c r="AE37" s="13" t="s">
        <v>93</v>
      </c>
    </row>
    <row r="38" spans="1:31">
      <c r="A38" s="13" t="s">
        <v>260</v>
      </c>
      <c r="B38" s="13" t="s">
        <v>1</v>
      </c>
      <c r="C38" s="13" t="s">
        <v>141</v>
      </c>
      <c r="D38" s="13" t="str">
        <f>IFERROR(VLOOKUP(C38,ghg_sort!$A$86:$B$512,2,0),0)</f>
        <v>Industry</v>
      </c>
      <c r="E38" s="33" t="s">
        <v>85</v>
      </c>
      <c r="F38" s="13">
        <f>IFERROR(VLOOKUP($E38,ghg_sort!$A$3:$B$21,2,0),0)</f>
        <v>0</v>
      </c>
      <c r="G38" s="13">
        <f t="shared" si="1"/>
        <v>0</v>
      </c>
      <c r="H38" s="13">
        <f t="shared" si="2"/>
        <v>0</v>
      </c>
      <c r="I38" s="13">
        <f t="shared" si="3"/>
        <v>0</v>
      </c>
      <c r="J38" s="13">
        <f t="shared" si="4"/>
        <v>0</v>
      </c>
      <c r="K38" s="13">
        <f t="shared" si="5"/>
        <v>0</v>
      </c>
      <c r="L38" s="13">
        <f t="shared" si="6"/>
        <v>0</v>
      </c>
      <c r="M38" s="13">
        <f t="shared" si="7"/>
        <v>0</v>
      </c>
      <c r="N38" s="13">
        <f t="shared" si="8"/>
        <v>0</v>
      </c>
      <c r="O38" s="13">
        <f t="shared" si="9"/>
        <v>0</v>
      </c>
      <c r="P38" s="13">
        <f t="shared" si="10"/>
        <v>0</v>
      </c>
      <c r="Q38" s="13">
        <f t="shared" si="11"/>
        <v>0</v>
      </c>
      <c r="R38" s="13" t="s">
        <v>239</v>
      </c>
      <c r="T38" s="13">
        <v>0</v>
      </c>
      <c r="U38" s="13">
        <v>0</v>
      </c>
      <c r="V38" s="13">
        <v>0</v>
      </c>
      <c r="W38" s="13">
        <v>0</v>
      </c>
      <c r="X38" s="14">
        <v>3.66517E-7</v>
      </c>
      <c r="Y38" s="14">
        <v>7.99785E-6</v>
      </c>
      <c r="Z38" s="14">
        <v>2.6599200000000001E-5</v>
      </c>
      <c r="AA38" s="14">
        <v>4.1770899999999997E-5</v>
      </c>
      <c r="AB38" s="14">
        <v>3.6777799999999999E-5</v>
      </c>
      <c r="AC38" s="14">
        <v>2.7240500000000001E-5</v>
      </c>
      <c r="AD38" s="14">
        <v>1.9305099999999999E-5</v>
      </c>
      <c r="AE38" s="13" t="s">
        <v>93</v>
      </c>
    </row>
    <row r="39" spans="1:31">
      <c r="A39" s="13" t="s">
        <v>260</v>
      </c>
      <c r="B39" s="13" t="s">
        <v>1</v>
      </c>
      <c r="C39" s="13" t="s">
        <v>141</v>
      </c>
      <c r="D39" s="13" t="str">
        <f>IFERROR(VLOOKUP(C39,ghg_sort!$A$86:$B$512,2,0),0)</f>
        <v>Industry</v>
      </c>
      <c r="E39" s="12" t="s">
        <v>86</v>
      </c>
      <c r="F39" s="13">
        <f>IFERROR(VLOOKUP($E39,ghg_sort!$A$3:$B$21,2,0),0)</f>
        <v>3.6666666666666701</v>
      </c>
      <c r="G39" s="13">
        <f t="shared" si="1"/>
        <v>0</v>
      </c>
      <c r="H39" s="13">
        <f t="shared" si="2"/>
        <v>0</v>
      </c>
      <c r="I39" s="13">
        <f t="shared" si="3"/>
        <v>0</v>
      </c>
      <c r="J39" s="13">
        <f t="shared" si="4"/>
        <v>0</v>
      </c>
      <c r="K39" s="13">
        <f t="shared" si="5"/>
        <v>4.6247666666666708E-2</v>
      </c>
      <c r="L39" s="13">
        <f t="shared" si="6"/>
        <v>1.0091840000000007</v>
      </c>
      <c r="M39" s="13">
        <f t="shared" si="7"/>
        <v>3.3563346666666698</v>
      </c>
      <c r="N39" s="13">
        <f t="shared" si="8"/>
        <v>5.2707233333333381</v>
      </c>
      <c r="O39" s="13">
        <f t="shared" si="9"/>
        <v>4.640680000000005</v>
      </c>
      <c r="P39" s="13">
        <f t="shared" si="10"/>
        <v>3.437258000000003</v>
      </c>
      <c r="Q39" s="13">
        <f t="shared" si="11"/>
        <v>2.435953666666669</v>
      </c>
      <c r="R39" s="13" t="s">
        <v>239</v>
      </c>
      <c r="T39" s="13">
        <v>0</v>
      </c>
      <c r="U39" s="13">
        <v>0</v>
      </c>
      <c r="V39" s="13">
        <v>0</v>
      </c>
      <c r="W39" s="13">
        <v>0</v>
      </c>
      <c r="X39" s="13">
        <v>1.2612999999999999E-2</v>
      </c>
      <c r="Y39" s="13">
        <v>0.27523199999999998</v>
      </c>
      <c r="Z39" s="13">
        <v>0.91536399999999996</v>
      </c>
      <c r="AA39" s="13">
        <v>1.43747</v>
      </c>
      <c r="AB39" s="13">
        <v>1.2656400000000001</v>
      </c>
      <c r="AC39" s="13">
        <v>0.93743399999999999</v>
      </c>
      <c r="AD39" s="13">
        <v>0.66435100000000002</v>
      </c>
      <c r="AE39" s="13" t="s">
        <v>94</v>
      </c>
    </row>
    <row r="40" spans="1:31">
      <c r="A40" s="13" t="s">
        <v>260</v>
      </c>
      <c r="B40" s="13" t="s">
        <v>1</v>
      </c>
      <c r="C40" s="13" t="s">
        <v>141</v>
      </c>
      <c r="D40" s="13" t="str">
        <f>IFERROR(VLOOKUP(C40,ghg_sort!$A$86:$B$512,2,0),0)</f>
        <v>Industry</v>
      </c>
      <c r="E40" s="33" t="s">
        <v>90</v>
      </c>
      <c r="F40" s="13">
        <f>IFERROR(VLOOKUP($E40,ghg_sort!$A$3:$B$21,2,0),0)</f>
        <v>0</v>
      </c>
      <c r="G40" s="13">
        <f t="shared" si="1"/>
        <v>0</v>
      </c>
      <c r="H40" s="13">
        <f t="shared" si="2"/>
        <v>0</v>
      </c>
      <c r="I40" s="13">
        <f t="shared" si="3"/>
        <v>0</v>
      </c>
      <c r="J40" s="13">
        <f t="shared" si="4"/>
        <v>0</v>
      </c>
      <c r="K40" s="13">
        <f t="shared" si="5"/>
        <v>0</v>
      </c>
      <c r="L40" s="13">
        <f t="shared" si="6"/>
        <v>0</v>
      </c>
      <c r="M40" s="13">
        <f t="shared" si="7"/>
        <v>0</v>
      </c>
      <c r="N40" s="13">
        <f t="shared" si="8"/>
        <v>0</v>
      </c>
      <c r="O40" s="13">
        <f t="shared" si="9"/>
        <v>0</v>
      </c>
      <c r="P40" s="13">
        <f t="shared" si="10"/>
        <v>0</v>
      </c>
      <c r="Q40" s="13">
        <f t="shared" si="11"/>
        <v>0</v>
      </c>
      <c r="R40" s="13" t="s">
        <v>239</v>
      </c>
      <c r="T40" s="13">
        <v>0</v>
      </c>
      <c r="U40" s="13">
        <v>0</v>
      </c>
      <c r="V40" s="13">
        <v>0</v>
      </c>
      <c r="W40" s="13">
        <v>0</v>
      </c>
      <c r="X40" s="14">
        <v>3.7116000000000002E-6</v>
      </c>
      <c r="Y40" s="14">
        <v>8.0991799999999999E-5</v>
      </c>
      <c r="Z40" s="14">
        <v>2.6936199999999999E-4</v>
      </c>
      <c r="AA40" s="14">
        <v>4.23001E-4</v>
      </c>
      <c r="AB40" s="14">
        <v>3.7243699999999999E-4</v>
      </c>
      <c r="AC40" s="14">
        <v>2.7585700000000001E-4</v>
      </c>
      <c r="AD40" s="14">
        <v>1.9549699999999999E-4</v>
      </c>
      <c r="AE40" s="13" t="s">
        <v>93</v>
      </c>
    </row>
    <row r="41" spans="1:31">
      <c r="A41" s="13" t="s">
        <v>260</v>
      </c>
      <c r="B41" s="13" t="s">
        <v>1</v>
      </c>
      <c r="C41" s="13" t="s">
        <v>217</v>
      </c>
      <c r="D41" s="13" t="str">
        <f>IFERROR(VLOOKUP(C41,ghg_sort!$A$86:$B$512,2,0),0)</f>
        <v>Agriculture</v>
      </c>
      <c r="E41" s="33" t="s">
        <v>206</v>
      </c>
      <c r="F41" s="13">
        <f>IFERROR(VLOOKUP($E41,ghg_sort!$A$3:$B$21,2,0),0)</f>
        <v>0</v>
      </c>
      <c r="G41" s="13">
        <f t="shared" si="1"/>
        <v>0</v>
      </c>
      <c r="H41" s="13">
        <f t="shared" si="2"/>
        <v>0</v>
      </c>
      <c r="I41" s="13">
        <f t="shared" si="3"/>
        <v>0</v>
      </c>
      <c r="J41" s="13">
        <f t="shared" si="4"/>
        <v>0</v>
      </c>
      <c r="K41" s="13">
        <f t="shared" si="5"/>
        <v>0</v>
      </c>
      <c r="L41" s="13">
        <f t="shared" si="6"/>
        <v>0</v>
      </c>
      <c r="M41" s="13">
        <f t="shared" si="7"/>
        <v>0</v>
      </c>
      <c r="N41" s="13">
        <f t="shared" si="8"/>
        <v>0</v>
      </c>
      <c r="O41" s="13">
        <f t="shared" si="9"/>
        <v>0</v>
      </c>
      <c r="P41" s="13">
        <f t="shared" si="10"/>
        <v>0</v>
      </c>
      <c r="Q41" s="13">
        <f t="shared" si="11"/>
        <v>0</v>
      </c>
      <c r="R41" s="13" t="s">
        <v>239</v>
      </c>
      <c r="T41" s="14">
        <v>6.0504999999999999E-6</v>
      </c>
      <c r="U41" s="14">
        <v>8.4236000000000001E-6</v>
      </c>
      <c r="V41" s="14">
        <v>1.352325E-4</v>
      </c>
      <c r="W41" s="14">
        <v>1.3706689999999999E-4</v>
      </c>
      <c r="X41" s="14">
        <v>9.1296699999999996E-5</v>
      </c>
      <c r="Y41" s="14">
        <v>6.531896E-5</v>
      </c>
      <c r="Z41" s="14">
        <v>6.2277509999999995E-5</v>
      </c>
      <c r="AA41" s="14">
        <v>6.326387E-5</v>
      </c>
      <c r="AB41" s="14">
        <v>6.3677019999999995E-5</v>
      </c>
      <c r="AC41" s="14">
        <v>6.3603919999999896E-5</v>
      </c>
      <c r="AD41" s="14">
        <v>6.2648339999999997E-5</v>
      </c>
      <c r="AE41" s="13" t="s">
        <v>93</v>
      </c>
    </row>
    <row r="42" spans="1:31">
      <c r="A42" s="13" t="s">
        <v>260</v>
      </c>
      <c r="B42" s="13" t="s">
        <v>1</v>
      </c>
      <c r="C42" s="13" t="s">
        <v>217</v>
      </c>
      <c r="D42" s="13" t="str">
        <f>IFERROR(VLOOKUP(C42,ghg_sort!$A$86:$B$512,2,0),0)</f>
        <v>Agriculture</v>
      </c>
      <c r="E42" s="33" t="s">
        <v>105</v>
      </c>
      <c r="F42" s="13">
        <f>IFERROR(VLOOKUP($E42,ghg_sort!$A$3:$B$21,2,0),0)</f>
        <v>25</v>
      </c>
      <c r="G42" s="13">
        <f t="shared" si="1"/>
        <v>1.1737925000000001E-3</v>
      </c>
      <c r="H42" s="13">
        <f t="shared" si="2"/>
        <v>1.6341734999999998E-3</v>
      </c>
      <c r="I42" s="13">
        <f t="shared" si="3"/>
        <v>1.6244110000000001E-3</v>
      </c>
      <c r="J42" s="13">
        <f t="shared" si="4"/>
        <v>1.6464464999999999E-3</v>
      </c>
      <c r="K42" s="13">
        <f t="shared" si="5"/>
        <v>1.09665575E-3</v>
      </c>
      <c r="L42" s="13">
        <f t="shared" si="6"/>
        <v>7.8461074999999997E-4</v>
      </c>
      <c r="M42" s="13">
        <f t="shared" si="7"/>
        <v>7.4807675000000001E-4</v>
      </c>
      <c r="N42" s="13">
        <f t="shared" si="8"/>
        <v>7.5992425000000001E-4</v>
      </c>
      <c r="O42" s="13">
        <f t="shared" si="9"/>
        <v>7.6488624999999997E-4</v>
      </c>
      <c r="P42" s="13">
        <f t="shared" si="10"/>
        <v>7.6400924999999993E-4</v>
      </c>
      <c r="Q42" s="13">
        <f t="shared" si="11"/>
        <v>7.5253049999999752E-4</v>
      </c>
      <c r="R42" s="13" t="s">
        <v>239</v>
      </c>
      <c r="T42" s="14">
        <v>4.69517E-5</v>
      </c>
      <c r="U42" s="14">
        <v>6.5366939999999995E-5</v>
      </c>
      <c r="V42" s="14">
        <v>6.497644E-5</v>
      </c>
      <c r="W42" s="14">
        <v>6.5857859999999996E-5</v>
      </c>
      <c r="X42" s="14">
        <v>4.3866229999999999E-5</v>
      </c>
      <c r="Y42" s="14">
        <v>3.1384429999999999E-5</v>
      </c>
      <c r="Z42" s="14">
        <v>2.9923069999999999E-5</v>
      </c>
      <c r="AA42" s="14">
        <v>3.0396969999999998E-5</v>
      </c>
      <c r="AB42" s="14">
        <v>3.0595449999999999E-5</v>
      </c>
      <c r="AC42" s="14">
        <v>3.0560369999999998E-5</v>
      </c>
      <c r="AD42" s="14">
        <v>3.0101219999999899E-5</v>
      </c>
      <c r="AE42" s="13" t="s">
        <v>93</v>
      </c>
    </row>
    <row r="43" spans="1:31">
      <c r="A43" s="13" t="s">
        <v>260</v>
      </c>
      <c r="B43" s="13" t="s">
        <v>1</v>
      </c>
      <c r="C43" s="13" t="s">
        <v>217</v>
      </c>
      <c r="D43" s="13" t="str">
        <f>IFERROR(VLOOKUP(C43,ghg_sort!$A$86:$B$512,2,0),0)</f>
        <v>Agriculture</v>
      </c>
      <c r="E43" s="33" t="s">
        <v>207</v>
      </c>
      <c r="F43" s="13">
        <f>IFERROR(VLOOKUP($E43,ghg_sort!$A$3:$B$21,2,0),0)</f>
        <v>0</v>
      </c>
      <c r="G43" s="13">
        <f t="shared" si="1"/>
        <v>0</v>
      </c>
      <c r="H43" s="13">
        <f t="shared" si="2"/>
        <v>0</v>
      </c>
      <c r="I43" s="13">
        <f t="shared" si="3"/>
        <v>0</v>
      </c>
      <c r="J43" s="13">
        <f t="shared" si="4"/>
        <v>0</v>
      </c>
      <c r="K43" s="13">
        <f t="shared" si="5"/>
        <v>0</v>
      </c>
      <c r="L43" s="13">
        <f t="shared" si="6"/>
        <v>0</v>
      </c>
      <c r="M43" s="13">
        <f t="shared" si="7"/>
        <v>0</v>
      </c>
      <c r="N43" s="13">
        <f t="shared" si="8"/>
        <v>0</v>
      </c>
      <c r="O43" s="13">
        <f t="shared" si="9"/>
        <v>0</v>
      </c>
      <c r="P43" s="13">
        <f t="shared" si="10"/>
        <v>0</v>
      </c>
      <c r="Q43" s="13">
        <f t="shared" si="11"/>
        <v>0</v>
      </c>
      <c r="R43" s="13" t="s">
        <v>239</v>
      </c>
      <c r="T43" s="14">
        <v>8.2286599999999903E-4</v>
      </c>
      <c r="U43" s="13">
        <v>1.1456050000000001E-3</v>
      </c>
      <c r="V43" s="13">
        <v>1.1387629999999899E-3</v>
      </c>
      <c r="W43" s="13">
        <v>1.154209E-3</v>
      </c>
      <c r="X43" s="14">
        <v>7.6878880000000001E-4</v>
      </c>
      <c r="Y43" s="14">
        <v>5.5003539999999996E-4</v>
      </c>
      <c r="Z43" s="14">
        <v>5.2442459999999999E-4</v>
      </c>
      <c r="AA43" s="14">
        <v>5.3273090000000001E-4</v>
      </c>
      <c r="AB43" s="14">
        <v>5.3620860000000003E-4</v>
      </c>
      <c r="AC43" s="14">
        <v>5.3559400000000002E-4</v>
      </c>
      <c r="AD43" s="14">
        <v>5.2754699999999996E-4</v>
      </c>
      <c r="AE43" s="13" t="s">
        <v>93</v>
      </c>
    </row>
    <row r="44" spans="1:31">
      <c r="A44" s="13" t="s">
        <v>260</v>
      </c>
      <c r="B44" s="13" t="s">
        <v>1</v>
      </c>
      <c r="C44" s="13" t="s">
        <v>217</v>
      </c>
      <c r="D44" s="13" t="str">
        <f>IFERROR(VLOOKUP(C44,ghg_sort!$A$86:$B$512,2,0),0)</f>
        <v>Agriculture</v>
      </c>
      <c r="E44" s="33" t="s">
        <v>208</v>
      </c>
      <c r="F44" s="13">
        <f>IFERROR(VLOOKUP($E44,ghg_sort!$A$3:$B$21,2,0),0)</f>
        <v>0</v>
      </c>
      <c r="G44" s="13">
        <f t="shared" si="1"/>
        <v>0</v>
      </c>
      <c r="H44" s="13">
        <f t="shared" si="2"/>
        <v>0</v>
      </c>
      <c r="I44" s="13">
        <f t="shared" si="3"/>
        <v>0</v>
      </c>
      <c r="J44" s="13">
        <f t="shared" si="4"/>
        <v>0</v>
      </c>
      <c r="K44" s="13">
        <f t="shared" si="5"/>
        <v>0</v>
      </c>
      <c r="L44" s="13">
        <f t="shared" si="6"/>
        <v>0</v>
      </c>
      <c r="M44" s="13">
        <f t="shared" si="7"/>
        <v>0</v>
      </c>
      <c r="N44" s="13">
        <f t="shared" si="8"/>
        <v>0</v>
      </c>
      <c r="O44" s="13">
        <f t="shared" si="9"/>
        <v>0</v>
      </c>
      <c r="P44" s="13">
        <f t="shared" si="10"/>
        <v>0</v>
      </c>
      <c r="Q44" s="13">
        <f t="shared" si="11"/>
        <v>0</v>
      </c>
      <c r="R44" s="13" t="s">
        <v>239</v>
      </c>
      <c r="T44" s="14">
        <v>1.9049300000000001E-5</v>
      </c>
      <c r="U44" s="14">
        <v>2.6563E-5</v>
      </c>
      <c r="V44" s="14">
        <v>2.6404289999999902E-5</v>
      </c>
      <c r="W44" s="14">
        <v>2.67624699999999E-5</v>
      </c>
      <c r="X44" s="14">
        <v>1.7825790000000001E-5</v>
      </c>
      <c r="Y44" s="14">
        <v>1.275361E-5</v>
      </c>
      <c r="Z44" s="14">
        <v>1.215978E-5</v>
      </c>
      <c r="AA44" s="14">
        <v>1.235235E-5</v>
      </c>
      <c r="AB44" s="14">
        <v>1.2433020000000001E-5</v>
      </c>
      <c r="AC44" s="14">
        <v>1.2418729999999901E-5</v>
      </c>
      <c r="AD44" s="14">
        <v>1.223216E-5</v>
      </c>
      <c r="AE44" s="13" t="s">
        <v>93</v>
      </c>
    </row>
    <row r="45" spans="1:31">
      <c r="A45" s="13" t="s">
        <v>260</v>
      </c>
      <c r="B45" s="13" t="s">
        <v>1</v>
      </c>
      <c r="C45" s="13" t="s">
        <v>217</v>
      </c>
      <c r="D45" s="13" t="str">
        <f>IFERROR(VLOOKUP(C45,ghg_sort!$A$86:$B$512,2,0),0)</f>
        <v>Agriculture</v>
      </c>
      <c r="E45" s="33" t="s">
        <v>101</v>
      </c>
      <c r="F45" s="13">
        <f>IFERROR(VLOOKUP($E45,ghg_sort!$A$3:$B$21,2,0),0)</f>
        <v>298</v>
      </c>
      <c r="G45" s="13">
        <f t="shared" si="1"/>
        <v>1.2622177399999999</v>
      </c>
      <c r="H45" s="13">
        <f t="shared" si="2"/>
        <v>1.6690869739999998</v>
      </c>
      <c r="I45" s="13">
        <f t="shared" si="3"/>
        <v>1.3292945599999999</v>
      </c>
      <c r="J45" s="13">
        <f t="shared" si="4"/>
        <v>1.4677692</v>
      </c>
      <c r="K45" s="13">
        <f t="shared" si="5"/>
        <v>1.5281434039999999</v>
      </c>
      <c r="L45" s="13">
        <f t="shared" si="6"/>
        <v>1.5550098919999999</v>
      </c>
      <c r="M45" s="13">
        <f t="shared" si="7"/>
        <v>1.530743454</v>
      </c>
      <c r="N45" s="13">
        <f t="shared" si="8"/>
        <v>1.5172130620000002</v>
      </c>
      <c r="O45" s="13">
        <f t="shared" si="9"/>
        <v>1.5256866919999998</v>
      </c>
      <c r="P45" s="13">
        <f t="shared" si="10"/>
        <v>1.5211624559999999</v>
      </c>
      <c r="Q45" s="13">
        <f t="shared" si="11"/>
        <v>1.4881306459999999</v>
      </c>
      <c r="R45" s="13" t="s">
        <v>239</v>
      </c>
      <c r="T45" s="13">
        <v>4.2356299999999998E-3</v>
      </c>
      <c r="U45" s="13">
        <v>5.6009629999999996E-3</v>
      </c>
      <c r="V45" s="13">
        <v>4.4607199999999996E-3</v>
      </c>
      <c r="W45" s="13">
        <v>4.9253999999999999E-3</v>
      </c>
      <c r="X45" s="13">
        <v>5.1279979999999999E-3</v>
      </c>
      <c r="Y45" s="13">
        <v>5.218154E-3</v>
      </c>
      <c r="Z45" s="13">
        <v>5.1367230000000002E-3</v>
      </c>
      <c r="AA45" s="13">
        <v>5.0913190000000004E-3</v>
      </c>
      <c r="AB45" s="13">
        <v>5.1197539999999998E-3</v>
      </c>
      <c r="AC45" s="13">
        <v>5.1045719999999999E-3</v>
      </c>
      <c r="AD45" s="13">
        <v>4.9937269999999999E-3</v>
      </c>
      <c r="AE45" s="13" t="s">
        <v>93</v>
      </c>
    </row>
    <row r="46" spans="1:31">
      <c r="A46" s="13" t="s">
        <v>260</v>
      </c>
      <c r="B46" s="13" t="s">
        <v>1</v>
      </c>
      <c r="C46" s="13" t="s">
        <v>217</v>
      </c>
      <c r="D46" s="13" t="str">
        <f>IFERROR(VLOOKUP(C46,ghg_sort!$A$86:$B$512,2,0),0)</f>
        <v>Agriculture</v>
      </c>
      <c r="E46" s="33" t="s">
        <v>102</v>
      </c>
      <c r="F46" s="13">
        <f>IFERROR(VLOOKUP($E46,ghg_sort!$A$3:$B$21,2,0),0)</f>
        <v>298</v>
      </c>
      <c r="G46" s="13">
        <f t="shared" si="1"/>
        <v>2.4039660000000002E-4</v>
      </c>
      <c r="H46" s="13">
        <f t="shared" si="2"/>
        <v>3.3468380000000001E-4</v>
      </c>
      <c r="I46" s="13">
        <f t="shared" si="3"/>
        <v>3.3268481600000002E-4</v>
      </c>
      <c r="J46" s="13">
        <f t="shared" si="4"/>
        <v>3.3719742999999998E-4</v>
      </c>
      <c r="K46" s="13">
        <f t="shared" si="5"/>
        <v>2.2459818959999999E-4</v>
      </c>
      <c r="L46" s="13">
        <f t="shared" si="6"/>
        <v>1.6069036119999999E-4</v>
      </c>
      <c r="M46" s="13">
        <f t="shared" si="7"/>
        <v>1.532085347999997E-4</v>
      </c>
      <c r="N46" s="13">
        <f t="shared" si="8"/>
        <v>1.5563499979999999E-4</v>
      </c>
      <c r="O46" s="13">
        <f t="shared" si="9"/>
        <v>1.5665138839999999E-4</v>
      </c>
      <c r="P46" s="13">
        <f t="shared" si="10"/>
        <v>1.5647151559999999E-4</v>
      </c>
      <c r="Q46" s="13">
        <f t="shared" si="11"/>
        <v>1.5412080220000003E-4</v>
      </c>
      <c r="R46" s="13" t="s">
        <v>239</v>
      </c>
      <c r="T46" s="14">
        <v>8.0670000000000004E-7</v>
      </c>
      <c r="U46" s="14">
        <v>1.1231000000000001E-6</v>
      </c>
      <c r="V46" s="14">
        <v>1.116392E-6</v>
      </c>
      <c r="W46" s="14">
        <v>1.131535E-6</v>
      </c>
      <c r="X46" s="14">
        <v>7.5368519999999997E-7</v>
      </c>
      <c r="Y46" s="14">
        <v>5.3922939999999999E-7</v>
      </c>
      <c r="Z46" s="14">
        <v>5.1412259999999895E-7</v>
      </c>
      <c r="AA46" s="14">
        <v>5.2226509999999999E-7</v>
      </c>
      <c r="AB46" s="14">
        <v>5.2567579999999999E-7</v>
      </c>
      <c r="AC46" s="14">
        <v>5.2507220000000002E-7</v>
      </c>
      <c r="AD46" s="14">
        <v>5.1718390000000004E-7</v>
      </c>
      <c r="AE46" s="13" t="s">
        <v>93</v>
      </c>
    </row>
    <row r="47" spans="1:31">
      <c r="A47" s="13" t="s">
        <v>260</v>
      </c>
      <c r="B47" s="13" t="s">
        <v>1</v>
      </c>
      <c r="C47" s="13" t="s">
        <v>217</v>
      </c>
      <c r="D47" s="13" t="str">
        <f>IFERROR(VLOOKUP(C47,ghg_sort!$A$86:$B$512,2,0),0)</f>
        <v>Agriculture</v>
      </c>
      <c r="E47" s="33" t="s">
        <v>202</v>
      </c>
      <c r="F47" s="13">
        <f>IFERROR(VLOOKUP($E47,ghg_sort!$A$3:$B$21,2,0),0)</f>
        <v>0</v>
      </c>
      <c r="G47" s="13">
        <f t="shared" si="1"/>
        <v>0</v>
      </c>
      <c r="H47" s="13">
        <f t="shared" si="2"/>
        <v>0</v>
      </c>
      <c r="I47" s="13">
        <f t="shared" si="3"/>
        <v>0</v>
      </c>
      <c r="J47" s="13">
        <f t="shared" si="4"/>
        <v>0</v>
      </c>
      <c r="K47" s="13">
        <f t="shared" si="5"/>
        <v>0</v>
      </c>
      <c r="L47" s="13">
        <f t="shared" si="6"/>
        <v>0</v>
      </c>
      <c r="M47" s="13">
        <f t="shared" si="7"/>
        <v>0</v>
      </c>
      <c r="N47" s="13">
        <f t="shared" si="8"/>
        <v>0</v>
      </c>
      <c r="O47" s="13">
        <f t="shared" si="9"/>
        <v>0</v>
      </c>
      <c r="P47" s="13">
        <f t="shared" si="10"/>
        <v>0</v>
      </c>
      <c r="Q47" s="13">
        <f t="shared" si="11"/>
        <v>0</v>
      </c>
      <c r="R47" s="13" t="s">
        <v>239</v>
      </c>
      <c r="T47" s="13">
        <v>2.4400580000000002E-2</v>
      </c>
      <c r="U47" s="13">
        <v>3.3911110000000001E-2</v>
      </c>
      <c r="V47" s="13">
        <v>2.954526E-2</v>
      </c>
      <c r="W47" s="13">
        <v>3.096695E-2</v>
      </c>
      <c r="X47" s="13">
        <v>3.2898740000000003E-2</v>
      </c>
      <c r="Y47" s="13">
        <v>3.4223139999999999E-2</v>
      </c>
      <c r="Z47" s="13">
        <v>3.5175339999999999E-2</v>
      </c>
      <c r="AA47" s="13">
        <v>3.5732390000000003E-2</v>
      </c>
      <c r="AB47" s="13">
        <v>3.5965739999999899E-2</v>
      </c>
      <c r="AC47" s="13">
        <v>3.592443E-2</v>
      </c>
      <c r="AD47" s="13">
        <v>3.5384800000000001E-2</v>
      </c>
      <c r="AE47" s="13" t="s">
        <v>93</v>
      </c>
    </row>
    <row r="48" spans="1:31">
      <c r="A48" s="13" t="s">
        <v>260</v>
      </c>
      <c r="B48" s="13" t="s">
        <v>1</v>
      </c>
      <c r="C48" s="13" t="s">
        <v>217</v>
      </c>
      <c r="D48" s="13" t="str">
        <f>IFERROR(VLOOKUP(C48,ghg_sort!$A$86:$B$512,2,0),0)</f>
        <v>Agriculture</v>
      </c>
      <c r="E48" s="33" t="s">
        <v>209</v>
      </c>
      <c r="F48" s="13">
        <f>IFERROR(VLOOKUP($E48,ghg_sort!$A$3:$B$21,2,0),0)</f>
        <v>0</v>
      </c>
      <c r="G48" s="13">
        <f t="shared" si="1"/>
        <v>0</v>
      </c>
      <c r="H48" s="13">
        <f t="shared" si="2"/>
        <v>0</v>
      </c>
      <c r="I48" s="13">
        <f t="shared" si="3"/>
        <v>0</v>
      </c>
      <c r="J48" s="13">
        <f t="shared" si="4"/>
        <v>0</v>
      </c>
      <c r="K48" s="13">
        <f t="shared" si="5"/>
        <v>0</v>
      </c>
      <c r="L48" s="13">
        <f t="shared" si="6"/>
        <v>0</v>
      </c>
      <c r="M48" s="13">
        <f t="shared" si="7"/>
        <v>0</v>
      </c>
      <c r="N48" s="13">
        <f t="shared" si="8"/>
        <v>0</v>
      </c>
      <c r="O48" s="13">
        <f t="shared" si="9"/>
        <v>0</v>
      </c>
      <c r="P48" s="13">
        <f t="shared" si="10"/>
        <v>0</v>
      </c>
      <c r="Q48" s="13">
        <f t="shared" si="11"/>
        <v>0</v>
      </c>
      <c r="R48" s="13" t="s">
        <v>239</v>
      </c>
      <c r="T48" s="14">
        <v>1.75059999999999E-5</v>
      </c>
      <c r="U48" s="14">
        <v>2.43722E-5</v>
      </c>
      <c r="V48" s="14">
        <v>2.4226609999999898E-5</v>
      </c>
      <c r="W48" s="14">
        <v>2.4555229999999899E-5</v>
      </c>
      <c r="X48" s="14">
        <v>1.63556E-5</v>
      </c>
      <c r="Y48" s="14">
        <v>1.170175E-5</v>
      </c>
      <c r="Z48" s="14">
        <v>1.1156889999999999E-5</v>
      </c>
      <c r="AA48" s="14">
        <v>1.133359E-5</v>
      </c>
      <c r="AB48" s="14">
        <v>1.1407600000000001E-5</v>
      </c>
      <c r="AC48" s="14">
        <v>1.139449E-5</v>
      </c>
      <c r="AD48" s="14">
        <v>1.12233E-5</v>
      </c>
      <c r="AE48" s="13" t="s">
        <v>93</v>
      </c>
    </row>
    <row r="49" spans="1:31">
      <c r="A49" s="13" t="s">
        <v>260</v>
      </c>
      <c r="B49" s="13" t="s">
        <v>1</v>
      </c>
      <c r="C49" s="13" t="s">
        <v>217</v>
      </c>
      <c r="D49" s="13" t="str">
        <f>IFERROR(VLOOKUP(C49,ghg_sort!$A$86:$B$512,2,0),0)</f>
        <v>Agriculture</v>
      </c>
      <c r="E49" s="33" t="s">
        <v>210</v>
      </c>
      <c r="F49" s="13">
        <f>IFERROR(VLOOKUP($E49,ghg_sort!$A$3:$B$21,2,0),0)</f>
        <v>0</v>
      </c>
      <c r="G49" s="13">
        <f t="shared" si="1"/>
        <v>0</v>
      </c>
      <c r="H49" s="13">
        <f t="shared" si="2"/>
        <v>0</v>
      </c>
      <c r="I49" s="13">
        <f t="shared" si="3"/>
        <v>0</v>
      </c>
      <c r="J49" s="13">
        <f t="shared" si="4"/>
        <v>0</v>
      </c>
      <c r="K49" s="13">
        <f t="shared" si="5"/>
        <v>0</v>
      </c>
      <c r="L49" s="13">
        <f t="shared" si="6"/>
        <v>0</v>
      </c>
      <c r="M49" s="13">
        <f t="shared" si="7"/>
        <v>0</v>
      </c>
      <c r="N49" s="13">
        <f t="shared" si="8"/>
        <v>0</v>
      </c>
      <c r="O49" s="13">
        <f t="shared" si="9"/>
        <v>0</v>
      </c>
      <c r="P49" s="13">
        <f t="shared" si="10"/>
        <v>0</v>
      </c>
      <c r="Q49" s="13">
        <f t="shared" si="11"/>
        <v>0</v>
      </c>
      <c r="R49" s="13" t="s">
        <v>239</v>
      </c>
      <c r="T49" s="14">
        <v>1.9725179999999999E-4</v>
      </c>
      <c r="U49" s="14">
        <v>2.7413859999999998E-4</v>
      </c>
      <c r="V49" s="14">
        <v>2.7250119999999999E-4</v>
      </c>
      <c r="W49" s="14">
        <v>2.7619729999999999E-4</v>
      </c>
      <c r="X49" s="14">
        <v>1.839678E-4</v>
      </c>
      <c r="Y49" s="14">
        <v>1.3162119999999999E-4</v>
      </c>
      <c r="Z49" s="14">
        <v>1.2549259999999901E-4</v>
      </c>
      <c r="AA49" s="14">
        <v>1.2748020000000001E-4</v>
      </c>
      <c r="AB49" s="14">
        <v>1.283128E-4</v>
      </c>
      <c r="AC49" s="14">
        <v>1.2816530000000001E-4</v>
      </c>
      <c r="AD49" s="14">
        <v>1.2623969999999999E-4</v>
      </c>
      <c r="AE49" s="13" t="s">
        <v>93</v>
      </c>
    </row>
    <row r="50" spans="1:31">
      <c r="A50" s="13" t="s">
        <v>260</v>
      </c>
      <c r="B50" s="13" t="s">
        <v>1</v>
      </c>
      <c r="C50" s="13" t="s">
        <v>217</v>
      </c>
      <c r="D50" s="13" t="str">
        <f>IFERROR(VLOOKUP(C50,ghg_sort!$A$86:$B$512,2,0),0)</f>
        <v>Agriculture</v>
      </c>
      <c r="E50" s="33" t="s">
        <v>204</v>
      </c>
      <c r="F50" s="13">
        <f>IFERROR(VLOOKUP($E50,ghg_sort!$A$3:$B$21,2,0),0)</f>
        <v>0</v>
      </c>
      <c r="G50" s="13">
        <f t="shared" si="1"/>
        <v>0</v>
      </c>
      <c r="H50" s="13">
        <f t="shared" si="2"/>
        <v>0</v>
      </c>
      <c r="I50" s="13">
        <f t="shared" si="3"/>
        <v>0</v>
      </c>
      <c r="J50" s="13">
        <f t="shared" si="4"/>
        <v>0</v>
      </c>
      <c r="K50" s="13">
        <f t="shared" si="5"/>
        <v>0</v>
      </c>
      <c r="L50" s="13">
        <f t="shared" si="6"/>
        <v>0</v>
      </c>
      <c r="M50" s="13">
        <f t="shared" si="7"/>
        <v>0</v>
      </c>
      <c r="N50" s="13">
        <f t="shared" si="8"/>
        <v>0</v>
      </c>
      <c r="O50" s="13">
        <f t="shared" si="9"/>
        <v>0</v>
      </c>
      <c r="P50" s="13">
        <f t="shared" si="10"/>
        <v>0</v>
      </c>
      <c r="Q50" s="13">
        <f t="shared" si="11"/>
        <v>0</v>
      </c>
      <c r="R50" s="13" t="s">
        <v>239</v>
      </c>
      <c r="T50" s="13">
        <v>2.0467129999999999E-3</v>
      </c>
      <c r="U50" s="13">
        <v>2.180576E-3</v>
      </c>
      <c r="V50" s="13">
        <v>2.011391E-3</v>
      </c>
      <c r="W50" s="13">
        <v>1.7922209999999899E-3</v>
      </c>
      <c r="X50" s="13">
        <v>1.9040179999999999E-3</v>
      </c>
      <c r="Y50" s="13">
        <v>1.9806680000000001E-3</v>
      </c>
      <c r="Z50" s="13">
        <v>2.0357779999999998E-3</v>
      </c>
      <c r="AA50" s="13">
        <v>2.0680199999999998E-3</v>
      </c>
      <c r="AB50" s="13">
        <v>2.081524E-3</v>
      </c>
      <c r="AC50" s="13">
        <v>2.0791339999999998E-3</v>
      </c>
      <c r="AD50" s="13">
        <v>2.0478990000000002E-3</v>
      </c>
      <c r="AE50" s="13" t="s">
        <v>93</v>
      </c>
    </row>
    <row r="51" spans="1:31">
      <c r="A51" s="13" t="s">
        <v>260</v>
      </c>
      <c r="B51" s="13" t="s">
        <v>1</v>
      </c>
      <c r="C51" s="13" t="s">
        <v>217</v>
      </c>
      <c r="D51" s="13" t="str">
        <f>IFERROR(VLOOKUP(C51,ghg_sort!$A$86:$B$512,2,0),0)</f>
        <v>Agriculture</v>
      </c>
      <c r="E51" s="33" t="s">
        <v>211</v>
      </c>
      <c r="F51" s="13">
        <f>IFERROR(VLOOKUP($E51,ghg_sort!$A$3:$B$21,2,0),0)</f>
        <v>0</v>
      </c>
      <c r="G51" s="13">
        <f t="shared" si="1"/>
        <v>0</v>
      </c>
      <c r="H51" s="13">
        <f t="shared" si="2"/>
        <v>0</v>
      </c>
      <c r="I51" s="13">
        <f t="shared" si="3"/>
        <v>0</v>
      </c>
      <c r="J51" s="13">
        <f t="shared" si="4"/>
        <v>0</v>
      </c>
      <c r="K51" s="13">
        <f t="shared" si="5"/>
        <v>0</v>
      </c>
      <c r="L51" s="13">
        <f t="shared" si="6"/>
        <v>0</v>
      </c>
      <c r="M51" s="13">
        <f t="shared" si="7"/>
        <v>0</v>
      </c>
      <c r="N51" s="13">
        <f t="shared" si="8"/>
        <v>0</v>
      </c>
      <c r="O51" s="13">
        <f t="shared" si="9"/>
        <v>0</v>
      </c>
      <c r="P51" s="13">
        <f t="shared" si="10"/>
        <v>0</v>
      </c>
      <c r="Q51" s="13">
        <f t="shared" si="11"/>
        <v>0</v>
      </c>
      <c r="R51" s="13" t="s">
        <v>239</v>
      </c>
      <c r="T51" s="14">
        <v>2.5089319999999999E-5</v>
      </c>
      <c r="U51" s="14">
        <v>3.4929759999999901E-5</v>
      </c>
      <c r="V51" s="14">
        <v>3.4721139999999998E-5</v>
      </c>
      <c r="W51" s="14">
        <v>3.5192079999999997E-5</v>
      </c>
      <c r="X51" s="14">
        <v>2.344055E-5</v>
      </c>
      <c r="Y51" s="14">
        <v>1.6770740000000001E-5</v>
      </c>
      <c r="Z51" s="14">
        <v>1.5989850000000001E-5</v>
      </c>
      <c r="AA51" s="14">
        <v>1.62431E-5</v>
      </c>
      <c r="AB51" s="14">
        <v>1.634916E-5</v>
      </c>
      <c r="AC51" s="14">
        <v>1.6330380000000001E-5</v>
      </c>
      <c r="AD51" s="14">
        <v>1.6085039999999999E-5</v>
      </c>
      <c r="AE51" s="13" t="s">
        <v>93</v>
      </c>
    </row>
    <row r="52" spans="1:31">
      <c r="A52" s="13" t="s">
        <v>260</v>
      </c>
      <c r="B52" s="13" t="s">
        <v>1</v>
      </c>
      <c r="C52" s="13" t="s">
        <v>217</v>
      </c>
      <c r="D52" s="13" t="str">
        <f>IFERROR(VLOOKUP(C52,ghg_sort!$A$86:$B$512,2,0),0)</f>
        <v>Agriculture</v>
      </c>
      <c r="E52" s="33" t="s">
        <v>212</v>
      </c>
      <c r="F52" s="13">
        <f>IFERROR(VLOOKUP($E52,ghg_sort!$A$3:$B$21,2,0),0)</f>
        <v>0</v>
      </c>
      <c r="G52" s="13">
        <f t="shared" si="1"/>
        <v>0</v>
      </c>
      <c r="H52" s="13">
        <f t="shared" si="2"/>
        <v>0</v>
      </c>
      <c r="I52" s="13">
        <f t="shared" si="3"/>
        <v>0</v>
      </c>
      <c r="J52" s="13">
        <f t="shared" si="4"/>
        <v>0</v>
      </c>
      <c r="K52" s="13">
        <f t="shared" si="5"/>
        <v>0</v>
      </c>
      <c r="L52" s="13">
        <f t="shared" si="6"/>
        <v>0</v>
      </c>
      <c r="M52" s="13">
        <f t="shared" si="7"/>
        <v>0</v>
      </c>
      <c r="N52" s="13">
        <f t="shared" si="8"/>
        <v>0</v>
      </c>
      <c r="O52" s="13">
        <f t="shared" si="9"/>
        <v>0</v>
      </c>
      <c r="P52" s="13">
        <f t="shared" si="10"/>
        <v>0</v>
      </c>
      <c r="Q52" s="13">
        <f t="shared" si="11"/>
        <v>0</v>
      </c>
      <c r="R52" s="13" t="s">
        <v>239</v>
      </c>
      <c r="T52" s="14">
        <v>1.8554800000000001E-5</v>
      </c>
      <c r="U52" s="14">
        <v>2.58323E-5</v>
      </c>
      <c r="V52" s="14">
        <v>6.4755979999999997E-4</v>
      </c>
      <c r="W52" s="14">
        <v>6.5634519999999998E-4</v>
      </c>
      <c r="X52" s="14">
        <v>4.3717389999999999E-4</v>
      </c>
      <c r="Y52" s="14">
        <v>3.1277989999999999E-4</v>
      </c>
      <c r="Z52" s="14">
        <v>2.9821630000000001E-4</v>
      </c>
      <c r="AA52" s="14">
        <v>3.0293909999999999E-4</v>
      </c>
      <c r="AB52" s="14">
        <v>3.049172E-4</v>
      </c>
      <c r="AC52" s="14">
        <v>3.0456720000000001E-4</v>
      </c>
      <c r="AD52" s="14">
        <v>2.9999099999999999E-4</v>
      </c>
      <c r="AE52" s="13" t="s">
        <v>93</v>
      </c>
    </row>
    <row r="53" spans="1:31">
      <c r="A53" s="13" t="s">
        <v>260</v>
      </c>
      <c r="B53" s="13" t="s">
        <v>1</v>
      </c>
      <c r="C53" s="13" t="s">
        <v>217</v>
      </c>
      <c r="D53" s="13" t="str">
        <f>IFERROR(VLOOKUP(C53,ghg_sort!$A$86:$B$512,2,0),0)</f>
        <v>Agriculture</v>
      </c>
      <c r="E53" s="33" t="s">
        <v>213</v>
      </c>
      <c r="F53" s="13">
        <f>IFERROR(VLOOKUP($E53,ghg_sort!$A$3:$B$21,2,0),0)</f>
        <v>0</v>
      </c>
      <c r="G53" s="13">
        <f t="shared" si="1"/>
        <v>0</v>
      </c>
      <c r="H53" s="13">
        <f t="shared" si="2"/>
        <v>0</v>
      </c>
      <c r="I53" s="13">
        <f t="shared" si="3"/>
        <v>0</v>
      </c>
      <c r="J53" s="13">
        <f t="shared" si="4"/>
        <v>0</v>
      </c>
      <c r="K53" s="13">
        <f t="shared" si="5"/>
        <v>0</v>
      </c>
      <c r="L53" s="13">
        <f t="shared" si="6"/>
        <v>0</v>
      </c>
      <c r="M53" s="13">
        <f t="shared" si="7"/>
        <v>0</v>
      </c>
      <c r="N53" s="13">
        <f t="shared" si="8"/>
        <v>0</v>
      </c>
      <c r="O53" s="13">
        <f t="shared" si="9"/>
        <v>0</v>
      </c>
      <c r="P53" s="13">
        <f t="shared" si="10"/>
        <v>0</v>
      </c>
      <c r="Q53" s="13">
        <f t="shared" si="11"/>
        <v>0</v>
      </c>
      <c r="R53" s="13" t="s">
        <v>239</v>
      </c>
      <c r="T53" s="14">
        <v>3.2269E-6</v>
      </c>
      <c r="U53" s="14">
        <v>4.4926E-6</v>
      </c>
      <c r="V53" s="14">
        <v>4.4657649999999998E-6</v>
      </c>
      <c r="W53" s="14">
        <v>4.526331E-6</v>
      </c>
      <c r="X53" s="14">
        <v>3.0148729999999899E-6</v>
      </c>
      <c r="Y53" s="14">
        <v>2.1570179999999999E-6</v>
      </c>
      <c r="Z53" s="14">
        <v>2.0565830000000001E-6</v>
      </c>
      <c r="AA53" s="14">
        <v>2.089153E-6</v>
      </c>
      <c r="AB53" s="14">
        <v>2.10279699999999E-6</v>
      </c>
      <c r="AC53" s="14">
        <v>2.1003800000000001E-6</v>
      </c>
      <c r="AD53" s="14">
        <v>2.0688259999999999E-6</v>
      </c>
      <c r="AE53" s="13" t="s">
        <v>93</v>
      </c>
    </row>
    <row r="54" spans="1:31">
      <c r="A54" s="13" t="s">
        <v>260</v>
      </c>
      <c r="B54" s="13" t="s">
        <v>1</v>
      </c>
      <c r="C54" s="13" t="s">
        <v>63</v>
      </c>
      <c r="D54" s="13" t="str">
        <f>IFERROR(VLOOKUP(C54,ghg_sort!$A$86:$B$512,2,0),0)</f>
        <v>Agriculture</v>
      </c>
      <c r="E54" s="33" t="s">
        <v>83</v>
      </c>
      <c r="F54" s="13">
        <f>IFERROR(VLOOKUP($E54,ghg_sort!$A$3:$B$21,2,0),0)</f>
        <v>0</v>
      </c>
      <c r="G54" s="13">
        <f t="shared" si="1"/>
        <v>0</v>
      </c>
      <c r="H54" s="13">
        <f t="shared" si="2"/>
        <v>0</v>
      </c>
      <c r="I54" s="13">
        <f t="shared" si="3"/>
        <v>0</v>
      </c>
      <c r="J54" s="13">
        <f t="shared" si="4"/>
        <v>0</v>
      </c>
      <c r="K54" s="13">
        <f t="shared" si="5"/>
        <v>0</v>
      </c>
      <c r="L54" s="13">
        <f t="shared" si="6"/>
        <v>0</v>
      </c>
      <c r="M54" s="13">
        <f t="shared" si="7"/>
        <v>0</v>
      </c>
      <c r="N54" s="13">
        <f t="shared" si="8"/>
        <v>0</v>
      </c>
      <c r="O54" s="13">
        <f t="shared" si="9"/>
        <v>0</v>
      </c>
      <c r="P54" s="13">
        <f t="shared" si="10"/>
        <v>0</v>
      </c>
      <c r="Q54" s="13">
        <f t="shared" si="11"/>
        <v>0</v>
      </c>
      <c r="R54" s="13" t="s">
        <v>239</v>
      </c>
      <c r="T54" s="13">
        <v>6.0243800000000002E-3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 t="s">
        <v>93</v>
      </c>
    </row>
    <row r="55" spans="1:31">
      <c r="A55" s="13" t="s">
        <v>260</v>
      </c>
      <c r="B55" s="13" t="s">
        <v>1</v>
      </c>
      <c r="C55" s="13" t="s">
        <v>63</v>
      </c>
      <c r="D55" s="13" t="str">
        <f>IFERROR(VLOOKUP(C55,ghg_sort!$A$86:$B$512,2,0),0)</f>
        <v>Agriculture</v>
      </c>
      <c r="E55" s="33" t="s">
        <v>84</v>
      </c>
      <c r="F55" s="13">
        <f>IFERROR(VLOOKUP($E55,ghg_sort!$A$3:$B$21,2,0),0)</f>
        <v>25</v>
      </c>
      <c r="G55" s="13">
        <f t="shared" si="1"/>
        <v>1.6270375E-2</v>
      </c>
      <c r="H55" s="13">
        <f t="shared" si="2"/>
        <v>2.6098499999999997E-2</v>
      </c>
      <c r="I55" s="13">
        <f t="shared" si="3"/>
        <v>2.8029999999999999E-2</v>
      </c>
      <c r="J55" s="13">
        <f t="shared" si="4"/>
        <v>2.0786725000000002E-2</v>
      </c>
      <c r="K55" s="13">
        <f t="shared" si="5"/>
        <v>2.1715267499999975E-2</v>
      </c>
      <c r="L55" s="13">
        <f t="shared" si="6"/>
        <v>2.2307834999999998E-2</v>
      </c>
      <c r="M55" s="13">
        <f t="shared" si="7"/>
        <v>2.188565E-2</v>
      </c>
      <c r="N55" s="13">
        <f t="shared" si="8"/>
        <v>1.9083462499999999E-2</v>
      </c>
      <c r="O55" s="13">
        <f t="shared" si="9"/>
        <v>1.3794372499999999E-2</v>
      </c>
      <c r="P55" s="13">
        <f t="shared" si="10"/>
        <v>9.9131842500000001E-3</v>
      </c>
      <c r="Q55" s="13">
        <f t="shared" si="11"/>
        <v>7.1367679999999999E-3</v>
      </c>
      <c r="R55" s="13" t="s">
        <v>239</v>
      </c>
      <c r="T55" s="14">
        <v>6.5081500000000001E-4</v>
      </c>
      <c r="U55" s="13">
        <v>1.0439399999999999E-3</v>
      </c>
      <c r="V55" s="13">
        <v>1.1211999999999999E-3</v>
      </c>
      <c r="W55" s="14">
        <v>8.3146900000000004E-4</v>
      </c>
      <c r="X55" s="14">
        <v>8.6861069999999896E-4</v>
      </c>
      <c r="Y55" s="14">
        <v>8.9231339999999997E-4</v>
      </c>
      <c r="Z55" s="14">
        <v>8.75426E-4</v>
      </c>
      <c r="AA55" s="14">
        <v>7.6333849999999997E-4</v>
      </c>
      <c r="AB55" s="14">
        <v>5.5177489999999997E-4</v>
      </c>
      <c r="AC55" s="14">
        <v>3.9652737000000002E-4</v>
      </c>
      <c r="AD55" s="14">
        <v>2.8547072000000001E-4</v>
      </c>
      <c r="AE55" s="13" t="s">
        <v>93</v>
      </c>
    </row>
    <row r="56" spans="1:31">
      <c r="A56" s="13" t="s">
        <v>260</v>
      </c>
      <c r="B56" s="13" t="s">
        <v>1</v>
      </c>
      <c r="C56" s="13" t="s">
        <v>63</v>
      </c>
      <c r="D56" s="13" t="str">
        <f>IFERROR(VLOOKUP(C56,ghg_sort!$A$86:$B$512,2,0),0)</f>
        <v>Agriculture</v>
      </c>
      <c r="E56" s="33" t="s">
        <v>85</v>
      </c>
      <c r="F56" s="13">
        <f>IFERROR(VLOOKUP($E56,ghg_sort!$A$3:$B$21,2,0),0)</f>
        <v>0</v>
      </c>
      <c r="G56" s="13">
        <f t="shared" si="1"/>
        <v>0</v>
      </c>
      <c r="H56" s="13">
        <f t="shared" si="2"/>
        <v>0</v>
      </c>
      <c r="I56" s="13">
        <f t="shared" si="3"/>
        <v>0</v>
      </c>
      <c r="J56" s="13">
        <f t="shared" si="4"/>
        <v>0</v>
      </c>
      <c r="K56" s="13">
        <f t="shared" si="5"/>
        <v>0</v>
      </c>
      <c r="L56" s="13">
        <f t="shared" si="6"/>
        <v>0</v>
      </c>
      <c r="M56" s="13">
        <f t="shared" si="7"/>
        <v>0</v>
      </c>
      <c r="N56" s="13">
        <f t="shared" si="8"/>
        <v>0</v>
      </c>
      <c r="O56" s="13">
        <f t="shared" si="9"/>
        <v>0</v>
      </c>
      <c r="P56" s="13">
        <f t="shared" si="10"/>
        <v>0</v>
      </c>
      <c r="Q56" s="13">
        <f t="shared" si="11"/>
        <v>0</v>
      </c>
      <c r="R56" s="13" t="s">
        <v>239</v>
      </c>
      <c r="T56" s="13">
        <v>2.6126299999999999E-3</v>
      </c>
      <c r="U56" s="14">
        <v>6.1274500000000004E-4</v>
      </c>
      <c r="V56" s="14">
        <v>8.2614799999999996E-4</v>
      </c>
      <c r="W56" s="14">
        <v>7.6955100000000005E-4</v>
      </c>
      <c r="X56" s="14">
        <v>8.0392719999999895E-4</v>
      </c>
      <c r="Y56" s="14">
        <v>8.2586420000000001E-4</v>
      </c>
      <c r="Z56" s="14">
        <v>8.1023409999999999E-4</v>
      </c>
      <c r="AA56" s="14">
        <v>7.0649410000000004E-4</v>
      </c>
      <c r="AB56" s="14">
        <v>5.1068449999999905E-4</v>
      </c>
      <c r="AC56" s="14">
        <v>3.669988E-4</v>
      </c>
      <c r="AD56" s="14">
        <v>2.6421236999999998E-4</v>
      </c>
      <c r="AE56" s="13" t="s">
        <v>93</v>
      </c>
    </row>
    <row r="57" spans="1:31">
      <c r="A57" s="13" t="s">
        <v>260</v>
      </c>
      <c r="B57" s="13" t="s">
        <v>1</v>
      </c>
      <c r="C57" s="13" t="s">
        <v>63</v>
      </c>
      <c r="D57" s="13" t="str">
        <f>IFERROR(VLOOKUP(C57,ghg_sort!$A$86:$B$512,2,0),0)</f>
        <v>Agriculture</v>
      </c>
      <c r="E57" s="12" t="s">
        <v>86</v>
      </c>
      <c r="F57" s="13">
        <f>IFERROR(VLOOKUP($E57,ghg_sort!$A$3:$B$21,2,0),0)</f>
        <v>3.6666666666666701</v>
      </c>
      <c r="G57" s="13">
        <f t="shared" si="1"/>
        <v>2.1277428333333317</v>
      </c>
      <c r="H57" s="13">
        <f t="shared" si="2"/>
        <v>0.80868700000000071</v>
      </c>
      <c r="I57" s="13">
        <f t="shared" si="3"/>
        <v>0.65195533333333389</v>
      </c>
      <c r="J57" s="13">
        <f t="shared" si="4"/>
        <v>0.33822103333333364</v>
      </c>
      <c r="K57" s="13">
        <f t="shared" si="5"/>
        <v>0.35332913000000032</v>
      </c>
      <c r="L57" s="13">
        <f t="shared" si="6"/>
        <v>0.36298749113000034</v>
      </c>
      <c r="M57" s="13">
        <f t="shared" si="7"/>
        <v>0.35633628811000034</v>
      </c>
      <c r="N57" s="13">
        <f t="shared" si="8"/>
        <v>0.31291081140000032</v>
      </c>
      <c r="O57" s="13">
        <f t="shared" si="9"/>
        <v>0.23306739742000021</v>
      </c>
      <c r="P57" s="13">
        <f t="shared" si="10"/>
        <v>0.1753766214933335</v>
      </c>
      <c r="Q57" s="13">
        <f t="shared" si="11"/>
        <v>0.13391525128299975</v>
      </c>
      <c r="R57" s="13" t="s">
        <v>239</v>
      </c>
      <c r="T57" s="13">
        <v>0.58029349999999902</v>
      </c>
      <c r="U57" s="13">
        <v>0.220551</v>
      </c>
      <c r="V57" s="13">
        <v>0.17780599999999999</v>
      </c>
      <c r="W57" s="13">
        <v>9.2242099999999994E-2</v>
      </c>
      <c r="X57" s="13">
        <v>9.6362489999999995E-2</v>
      </c>
      <c r="Y57" s="13">
        <v>9.8996588489999995E-2</v>
      </c>
      <c r="Z57" s="13">
        <v>9.7182624029999998E-2</v>
      </c>
      <c r="AA57" s="13">
        <v>8.5339312200000003E-2</v>
      </c>
      <c r="AB57" s="13">
        <v>6.3563835659999998E-2</v>
      </c>
      <c r="AC57" s="13">
        <v>4.7829987679999998E-2</v>
      </c>
      <c r="AD57" s="13">
        <v>3.6522341258999898E-2</v>
      </c>
      <c r="AE57" s="13" t="s">
        <v>94</v>
      </c>
    </row>
    <row r="58" spans="1:31">
      <c r="A58" s="13" t="s">
        <v>260</v>
      </c>
      <c r="B58" s="13" t="s">
        <v>1</v>
      </c>
      <c r="C58" s="13" t="s">
        <v>63</v>
      </c>
      <c r="D58" s="13" t="str">
        <f>IFERROR(VLOOKUP(C58,ghg_sort!$A$86:$B$512,2,0),0)</f>
        <v>Agriculture</v>
      </c>
      <c r="E58" s="33" t="s">
        <v>87</v>
      </c>
      <c r="F58" s="13">
        <f>IFERROR(VLOOKUP($E58,ghg_sort!$A$3:$B$21,2,0),0)</f>
        <v>298</v>
      </c>
      <c r="G58" s="13">
        <f t="shared" si="1"/>
        <v>3.6690653999999996E-2</v>
      </c>
      <c r="H58" s="13">
        <f t="shared" si="2"/>
        <v>0</v>
      </c>
      <c r="I58" s="13">
        <f t="shared" si="3"/>
        <v>0</v>
      </c>
      <c r="J58" s="13">
        <f t="shared" si="4"/>
        <v>0</v>
      </c>
      <c r="K58" s="13">
        <f t="shared" si="5"/>
        <v>0</v>
      </c>
      <c r="L58" s="13">
        <f t="shared" si="6"/>
        <v>0</v>
      </c>
      <c r="M58" s="13">
        <f t="shared" si="7"/>
        <v>0</v>
      </c>
      <c r="N58" s="13">
        <f t="shared" si="8"/>
        <v>0</v>
      </c>
      <c r="O58" s="13">
        <f t="shared" si="9"/>
        <v>0</v>
      </c>
      <c r="P58" s="13">
        <f t="shared" si="10"/>
        <v>0</v>
      </c>
      <c r="Q58" s="13">
        <f t="shared" si="11"/>
        <v>0</v>
      </c>
      <c r="R58" s="13" t="s">
        <v>239</v>
      </c>
      <c r="T58" s="14">
        <v>1.2312299999999999E-4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 t="s">
        <v>93</v>
      </c>
    </row>
    <row r="59" spans="1:31">
      <c r="A59" s="13" t="s">
        <v>260</v>
      </c>
      <c r="B59" s="13" t="s">
        <v>1</v>
      </c>
      <c r="C59" s="13" t="s">
        <v>63</v>
      </c>
      <c r="D59" s="13" t="str">
        <f>IFERROR(VLOOKUP(C59,ghg_sort!$A$86:$B$512,2,0),0)</f>
        <v>Agriculture</v>
      </c>
      <c r="E59" s="33" t="s">
        <v>88</v>
      </c>
      <c r="F59" s="13">
        <f>IFERROR(VLOOKUP($E59,ghg_sort!$A$3:$B$21,2,0),0)</f>
        <v>0</v>
      </c>
      <c r="G59" s="13">
        <f t="shared" si="1"/>
        <v>0</v>
      </c>
      <c r="H59" s="13">
        <f t="shared" si="2"/>
        <v>0</v>
      </c>
      <c r="I59" s="13">
        <f t="shared" si="3"/>
        <v>0</v>
      </c>
      <c r="J59" s="13">
        <f t="shared" si="4"/>
        <v>0</v>
      </c>
      <c r="K59" s="13">
        <f t="shared" si="5"/>
        <v>0</v>
      </c>
      <c r="L59" s="13">
        <f t="shared" si="6"/>
        <v>0</v>
      </c>
      <c r="M59" s="13">
        <f t="shared" si="7"/>
        <v>0</v>
      </c>
      <c r="N59" s="13">
        <f t="shared" si="8"/>
        <v>0</v>
      </c>
      <c r="O59" s="13">
        <f t="shared" si="9"/>
        <v>0</v>
      </c>
      <c r="P59" s="13">
        <f t="shared" si="10"/>
        <v>0</v>
      </c>
      <c r="Q59" s="13">
        <f t="shared" si="11"/>
        <v>0</v>
      </c>
      <c r="R59" s="13" t="s">
        <v>239</v>
      </c>
      <c r="T59" s="14">
        <v>2.7216700000000003E-4</v>
      </c>
      <c r="U59" s="14">
        <v>1.51295E-5</v>
      </c>
      <c r="V59" s="14">
        <v>3.2783700000000003E-5</v>
      </c>
      <c r="W59" s="14">
        <v>1.76908E-5</v>
      </c>
      <c r="X59" s="14">
        <v>1.8481117999999899E-5</v>
      </c>
      <c r="Y59" s="14">
        <v>1.8985382E-5</v>
      </c>
      <c r="Z59" s="14">
        <v>1.8626109999999998E-5</v>
      </c>
      <c r="AA59" s="14">
        <v>1.6241255999999999E-5</v>
      </c>
      <c r="AB59" s="14">
        <v>1.1739885E-5</v>
      </c>
      <c r="AC59" s="14">
        <v>8.4367409999999904E-6</v>
      </c>
      <c r="AD59" s="14">
        <v>6.0738504999999898E-6</v>
      </c>
      <c r="AE59" s="13" t="s">
        <v>93</v>
      </c>
    </row>
    <row r="60" spans="1:31">
      <c r="A60" s="13" t="s">
        <v>260</v>
      </c>
      <c r="B60" s="13" t="s">
        <v>1</v>
      </c>
      <c r="C60" s="13" t="s">
        <v>63</v>
      </c>
      <c r="D60" s="13" t="str">
        <f>IFERROR(VLOOKUP(C60,ghg_sort!$A$86:$B$512,2,0),0)</f>
        <v>Agriculture</v>
      </c>
      <c r="E60" s="33" t="s">
        <v>89</v>
      </c>
      <c r="F60" s="13">
        <f>IFERROR(VLOOKUP($E60,ghg_sort!$A$3:$B$21,2,0),0)</f>
        <v>0</v>
      </c>
      <c r="G60" s="13">
        <f t="shared" si="1"/>
        <v>0</v>
      </c>
      <c r="H60" s="13">
        <f t="shared" si="2"/>
        <v>0</v>
      </c>
      <c r="I60" s="13">
        <f t="shared" si="3"/>
        <v>0</v>
      </c>
      <c r="J60" s="13">
        <f t="shared" si="4"/>
        <v>0</v>
      </c>
      <c r="K60" s="13">
        <f t="shared" si="5"/>
        <v>0</v>
      </c>
      <c r="L60" s="13">
        <f t="shared" si="6"/>
        <v>0</v>
      </c>
      <c r="M60" s="13">
        <f t="shared" si="7"/>
        <v>0</v>
      </c>
      <c r="N60" s="13">
        <f t="shared" si="8"/>
        <v>0</v>
      </c>
      <c r="O60" s="13">
        <f t="shared" si="9"/>
        <v>0</v>
      </c>
      <c r="P60" s="13">
        <f t="shared" si="10"/>
        <v>0</v>
      </c>
      <c r="Q60" s="13">
        <f t="shared" si="11"/>
        <v>0</v>
      </c>
      <c r="R60" s="13" t="s">
        <v>239</v>
      </c>
      <c r="T60" s="14">
        <v>3.8233000000000001E-4</v>
      </c>
      <c r="U60" s="14">
        <v>5.29532E-5</v>
      </c>
      <c r="V60" s="14">
        <v>7.8680800000000001E-5</v>
      </c>
      <c r="W60" s="14">
        <v>5.3072499999999997E-5</v>
      </c>
      <c r="X60" s="14">
        <v>5.5443250000000001E-5</v>
      </c>
      <c r="Y60" s="14">
        <v>5.6956139999999998E-5</v>
      </c>
      <c r="Z60" s="14">
        <v>5.5878219999999998E-5</v>
      </c>
      <c r="AA60" s="14">
        <v>4.8723749999999999E-5</v>
      </c>
      <c r="AB60" s="14">
        <v>3.521964E-5</v>
      </c>
      <c r="AC60" s="14">
        <v>2.5310238000000001E-5</v>
      </c>
      <c r="AD60" s="14">
        <v>1.8221542E-5</v>
      </c>
      <c r="AE60" s="13" t="s">
        <v>93</v>
      </c>
    </row>
    <row r="61" spans="1:31">
      <c r="A61" s="13" t="s">
        <v>260</v>
      </c>
      <c r="B61" s="13" t="s">
        <v>1</v>
      </c>
      <c r="C61" s="13" t="s">
        <v>63</v>
      </c>
      <c r="D61" s="13" t="str">
        <f>IFERROR(VLOOKUP(C61,ghg_sort!$A$86:$B$512,2,0),0)</f>
        <v>Agriculture</v>
      </c>
      <c r="E61" s="33" t="s">
        <v>90</v>
      </c>
      <c r="F61" s="13">
        <f>IFERROR(VLOOKUP($E61,ghg_sort!$A$3:$B$21,2,0),0)</f>
        <v>0</v>
      </c>
      <c r="G61" s="13">
        <f t="shared" si="1"/>
        <v>0</v>
      </c>
      <c r="H61" s="13">
        <f t="shared" si="2"/>
        <v>0</v>
      </c>
      <c r="I61" s="13">
        <f t="shared" si="3"/>
        <v>0</v>
      </c>
      <c r="J61" s="13">
        <f t="shared" si="4"/>
        <v>0</v>
      </c>
      <c r="K61" s="13">
        <f t="shared" si="5"/>
        <v>0</v>
      </c>
      <c r="L61" s="13">
        <f t="shared" si="6"/>
        <v>0</v>
      </c>
      <c r="M61" s="13">
        <f t="shared" si="7"/>
        <v>0</v>
      </c>
      <c r="N61" s="13">
        <f t="shared" si="8"/>
        <v>0</v>
      </c>
      <c r="O61" s="13">
        <f t="shared" si="9"/>
        <v>0</v>
      </c>
      <c r="P61" s="13">
        <f t="shared" si="10"/>
        <v>0</v>
      </c>
      <c r="Q61" s="13">
        <f t="shared" si="11"/>
        <v>0</v>
      </c>
      <c r="R61" s="13" t="s">
        <v>239</v>
      </c>
      <c r="T61" s="13">
        <v>2.8236000000000001E-2</v>
      </c>
      <c r="U61" s="13">
        <v>3.8202000000000002E-3</v>
      </c>
      <c r="V61" s="13">
        <v>6.1305400000000003E-3</v>
      </c>
      <c r="W61" s="13">
        <v>5.9131599999999998E-3</v>
      </c>
      <c r="X61" s="13">
        <v>6.1772989999999998E-3</v>
      </c>
      <c r="Y61" s="13">
        <v>6.3458630000000002E-3</v>
      </c>
      <c r="Z61" s="13">
        <v>6.2257659999999998E-3</v>
      </c>
      <c r="AA61" s="13">
        <v>5.4286450000000002E-3</v>
      </c>
      <c r="AB61" s="13">
        <v>3.9240550000000001E-3</v>
      </c>
      <c r="AC61" s="13">
        <v>2.8199797E-3</v>
      </c>
      <c r="AD61" s="13">
        <v>2.0301832000000001E-3</v>
      </c>
      <c r="AE61" s="13" t="s">
        <v>93</v>
      </c>
    </row>
    <row r="62" spans="1:31">
      <c r="A62" s="13" t="s">
        <v>260</v>
      </c>
      <c r="B62" s="13" t="s">
        <v>1</v>
      </c>
      <c r="C62" s="13" t="s">
        <v>63</v>
      </c>
      <c r="D62" s="13" t="str">
        <f>IFERROR(VLOOKUP(C62,ghg_sort!$A$86:$B$512,2,0),0)</f>
        <v>Agriculture</v>
      </c>
      <c r="E62" s="33" t="s">
        <v>91</v>
      </c>
      <c r="F62" s="13">
        <f>IFERROR(VLOOKUP($E62,ghg_sort!$A$3:$B$21,2,0),0)</f>
        <v>0</v>
      </c>
      <c r="G62" s="13">
        <f t="shared" si="1"/>
        <v>0</v>
      </c>
      <c r="H62" s="13">
        <f t="shared" si="2"/>
        <v>0</v>
      </c>
      <c r="I62" s="13">
        <f t="shared" si="3"/>
        <v>0</v>
      </c>
      <c r="J62" s="13">
        <f t="shared" si="4"/>
        <v>0</v>
      </c>
      <c r="K62" s="13">
        <f t="shared" si="5"/>
        <v>0</v>
      </c>
      <c r="L62" s="13">
        <f t="shared" si="6"/>
        <v>0</v>
      </c>
      <c r="M62" s="13">
        <f t="shared" si="7"/>
        <v>0</v>
      </c>
      <c r="N62" s="13">
        <f t="shared" si="8"/>
        <v>0</v>
      </c>
      <c r="O62" s="13">
        <f t="shared" si="9"/>
        <v>0</v>
      </c>
      <c r="P62" s="13">
        <f t="shared" si="10"/>
        <v>0</v>
      </c>
      <c r="Q62" s="13">
        <f t="shared" si="11"/>
        <v>0</v>
      </c>
      <c r="R62" s="13" t="s">
        <v>239</v>
      </c>
      <c r="T62" s="13">
        <v>6.5838600000000004E-3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 t="s">
        <v>93</v>
      </c>
    </row>
    <row r="63" spans="1:31">
      <c r="A63" s="13" t="s">
        <v>260</v>
      </c>
      <c r="B63" s="13" t="s">
        <v>1</v>
      </c>
      <c r="C63" s="13" t="s">
        <v>63</v>
      </c>
      <c r="D63" s="13" t="str">
        <f>IFERROR(VLOOKUP(C63,ghg_sort!$A$86:$B$512,2,0),0)</f>
        <v>Agriculture</v>
      </c>
      <c r="E63" s="33" t="s">
        <v>92</v>
      </c>
      <c r="F63" s="13">
        <f>IFERROR(VLOOKUP($E63,ghg_sort!$A$3:$B$21,2,0),0)</f>
        <v>0</v>
      </c>
      <c r="G63" s="13">
        <f t="shared" si="1"/>
        <v>0</v>
      </c>
      <c r="H63" s="13">
        <f t="shared" si="2"/>
        <v>0</v>
      </c>
      <c r="I63" s="13">
        <f t="shared" si="3"/>
        <v>0</v>
      </c>
      <c r="J63" s="13">
        <f t="shared" si="4"/>
        <v>0</v>
      </c>
      <c r="K63" s="13">
        <f t="shared" si="5"/>
        <v>0</v>
      </c>
      <c r="L63" s="13">
        <f t="shared" si="6"/>
        <v>0</v>
      </c>
      <c r="M63" s="13">
        <f t="shared" si="7"/>
        <v>0</v>
      </c>
      <c r="N63" s="13">
        <f t="shared" si="8"/>
        <v>0</v>
      </c>
      <c r="O63" s="13">
        <f t="shared" si="9"/>
        <v>0</v>
      </c>
      <c r="P63" s="13">
        <f t="shared" si="10"/>
        <v>0</v>
      </c>
      <c r="Q63" s="13">
        <f t="shared" si="11"/>
        <v>0</v>
      </c>
      <c r="R63" s="13" t="s">
        <v>239</v>
      </c>
      <c r="T63" s="13">
        <v>7.3777402379999996E-2</v>
      </c>
      <c r="U63" s="14">
        <v>1.0747999999999999E-5</v>
      </c>
      <c r="V63" s="14">
        <v>1.40226E-5</v>
      </c>
      <c r="W63" s="14">
        <v>7.3731800000000003E-6</v>
      </c>
      <c r="X63" s="14">
        <v>7.7025369999999906E-6</v>
      </c>
      <c r="Y63" s="14">
        <v>7.9127229999999992E-6</v>
      </c>
      <c r="Z63" s="14">
        <v>7.7629709999999906E-6</v>
      </c>
      <c r="AA63" s="14">
        <v>6.7690230000000003E-6</v>
      </c>
      <c r="AB63" s="14">
        <v>4.8929369999999997E-6</v>
      </c>
      <c r="AC63" s="14">
        <v>3.516264E-6</v>
      </c>
      <c r="AD63" s="14">
        <v>2.5314518999999998E-6</v>
      </c>
      <c r="AE63" s="13" t="s">
        <v>93</v>
      </c>
    </row>
    <row r="64" spans="1:31">
      <c r="A64" s="13" t="s">
        <v>260</v>
      </c>
      <c r="B64" s="13" t="s">
        <v>1</v>
      </c>
      <c r="C64" s="13" t="s">
        <v>218</v>
      </c>
      <c r="D64" s="13" t="str">
        <f>IFERROR(VLOOKUP(C64,ghg_sort!$A$86:$B$512,2,0),0)</f>
        <v>Agriculture</v>
      </c>
      <c r="E64" s="33" t="s">
        <v>206</v>
      </c>
      <c r="F64" s="13">
        <f>IFERROR(VLOOKUP($E64,ghg_sort!$A$3:$B$21,2,0),0)</f>
        <v>0</v>
      </c>
      <c r="G64" s="13">
        <f t="shared" si="1"/>
        <v>0</v>
      </c>
      <c r="H64" s="13">
        <f t="shared" si="2"/>
        <v>0</v>
      </c>
      <c r="I64" s="13">
        <f t="shared" si="3"/>
        <v>0</v>
      </c>
      <c r="J64" s="13">
        <f t="shared" si="4"/>
        <v>0</v>
      </c>
      <c r="K64" s="13">
        <f t="shared" si="5"/>
        <v>0</v>
      </c>
      <c r="L64" s="13">
        <f t="shared" si="6"/>
        <v>0</v>
      </c>
      <c r="M64" s="13">
        <f t="shared" si="7"/>
        <v>0</v>
      </c>
      <c r="N64" s="13">
        <f t="shared" si="8"/>
        <v>0</v>
      </c>
      <c r="O64" s="13">
        <f t="shared" si="9"/>
        <v>0</v>
      </c>
      <c r="P64" s="13">
        <f t="shared" si="10"/>
        <v>0</v>
      </c>
      <c r="Q64" s="13">
        <f t="shared" si="11"/>
        <v>0</v>
      </c>
      <c r="R64" s="13" t="s">
        <v>239</v>
      </c>
      <c r="T64" s="14">
        <v>5.8033009999999901E-6</v>
      </c>
      <c r="U64" s="14">
        <v>4.0888999999999999E-6</v>
      </c>
      <c r="V64" s="14">
        <v>6.4062660000000003E-5</v>
      </c>
      <c r="W64" s="14">
        <v>6.4133499999999998E-5</v>
      </c>
      <c r="X64" s="14">
        <v>4.4278689999999999E-5</v>
      </c>
      <c r="Y64" s="14">
        <v>3.770008E-5</v>
      </c>
      <c r="Z64" s="14">
        <v>3.9024199999999998E-5</v>
      </c>
      <c r="AA64" s="14">
        <v>4.252969E-5</v>
      </c>
      <c r="AB64" s="14">
        <v>4.7034899999999999E-5</v>
      </c>
      <c r="AC64" s="14">
        <v>5.2698560000000001E-5</v>
      </c>
      <c r="AD64" s="14">
        <v>5.6898019999999998E-5</v>
      </c>
      <c r="AE64" s="13" t="s">
        <v>93</v>
      </c>
    </row>
    <row r="65" spans="1:31">
      <c r="A65" s="13" t="s">
        <v>260</v>
      </c>
      <c r="B65" s="13" t="s">
        <v>1</v>
      </c>
      <c r="C65" s="13" t="s">
        <v>218</v>
      </c>
      <c r="D65" s="13" t="str">
        <f>IFERROR(VLOOKUP(C65,ghg_sort!$A$86:$B$512,2,0),0)</f>
        <v>Agriculture</v>
      </c>
      <c r="E65" s="33" t="s">
        <v>105</v>
      </c>
      <c r="F65" s="13">
        <f>IFERROR(VLOOKUP($E65,ghg_sort!$A$3:$B$21,2,0),0)</f>
        <v>25</v>
      </c>
      <c r="G65" s="13">
        <f t="shared" si="1"/>
        <v>1.1258474999999975E-3</v>
      </c>
      <c r="H65" s="13">
        <f t="shared" si="2"/>
        <v>7.9324599999999995E-4</v>
      </c>
      <c r="I65" s="13">
        <f t="shared" si="3"/>
        <v>7.6952549999999992E-4</v>
      </c>
      <c r="J65" s="13">
        <f t="shared" si="4"/>
        <v>7.7037424999999997E-4</v>
      </c>
      <c r="K65" s="13">
        <f t="shared" si="5"/>
        <v>5.3187925000000005E-4</v>
      </c>
      <c r="L65" s="13">
        <f t="shared" si="6"/>
        <v>4.5285574999999998E-4</v>
      </c>
      <c r="M65" s="13">
        <f t="shared" si="7"/>
        <v>4.6876074999999747E-4</v>
      </c>
      <c r="N65" s="13">
        <f t="shared" si="8"/>
        <v>5.108697499999975E-4</v>
      </c>
      <c r="O65" s="13">
        <f t="shared" si="9"/>
        <v>5.6498474999999997E-4</v>
      </c>
      <c r="P65" s="13">
        <f t="shared" si="10"/>
        <v>6.3302025000000007E-4</v>
      </c>
      <c r="Q65" s="13">
        <f t="shared" si="11"/>
        <v>6.8346225E-4</v>
      </c>
      <c r="R65" s="13" t="s">
        <v>239</v>
      </c>
      <c r="T65" s="14">
        <v>4.5033899999999901E-5</v>
      </c>
      <c r="U65" s="14">
        <v>3.1729839999999998E-5</v>
      </c>
      <c r="V65" s="14">
        <v>3.0781019999999997E-5</v>
      </c>
      <c r="W65" s="14">
        <v>3.081497E-5</v>
      </c>
      <c r="X65" s="14">
        <v>2.127517E-5</v>
      </c>
      <c r="Y65" s="14">
        <v>1.8114229999999999E-5</v>
      </c>
      <c r="Z65" s="14">
        <v>1.87504299999999E-5</v>
      </c>
      <c r="AA65" s="14">
        <v>2.0434789999999901E-5</v>
      </c>
      <c r="AB65" s="14">
        <v>2.2599389999999998E-5</v>
      </c>
      <c r="AC65" s="14">
        <v>2.5320810000000001E-5</v>
      </c>
      <c r="AD65" s="14">
        <v>2.7338489999999999E-5</v>
      </c>
      <c r="AE65" s="13" t="s">
        <v>93</v>
      </c>
    </row>
    <row r="66" spans="1:31">
      <c r="A66" s="13" t="s">
        <v>260</v>
      </c>
      <c r="B66" s="13" t="s">
        <v>1</v>
      </c>
      <c r="C66" s="13" t="s">
        <v>218</v>
      </c>
      <c r="D66" s="13" t="str">
        <f>IFERROR(VLOOKUP(C66,ghg_sort!$A$86:$B$512,2,0),0)</f>
        <v>Agriculture</v>
      </c>
      <c r="E66" s="33" t="s">
        <v>207</v>
      </c>
      <c r="F66" s="13">
        <f>IFERROR(VLOOKUP($E66,ghg_sort!$A$3:$B$21,2,0),0)</f>
        <v>0</v>
      </c>
      <c r="G66" s="13">
        <f t="shared" si="1"/>
        <v>0</v>
      </c>
      <c r="H66" s="13">
        <f t="shared" si="2"/>
        <v>0</v>
      </c>
      <c r="I66" s="13">
        <f t="shared" si="3"/>
        <v>0</v>
      </c>
      <c r="J66" s="13">
        <f t="shared" si="4"/>
        <v>0</v>
      </c>
      <c r="K66" s="13">
        <f t="shared" si="5"/>
        <v>0</v>
      </c>
      <c r="L66" s="13">
        <f t="shared" si="6"/>
        <v>0</v>
      </c>
      <c r="M66" s="13">
        <f t="shared" si="7"/>
        <v>0</v>
      </c>
      <c r="N66" s="13">
        <f t="shared" si="8"/>
        <v>0</v>
      </c>
      <c r="O66" s="13">
        <f t="shared" si="9"/>
        <v>0</v>
      </c>
      <c r="P66" s="13">
        <f t="shared" si="10"/>
        <v>0</v>
      </c>
      <c r="Q66" s="13">
        <f t="shared" si="11"/>
        <v>0</v>
      </c>
      <c r="R66" s="13" t="s">
        <v>239</v>
      </c>
      <c r="T66" s="14">
        <v>7.8925499999999999E-4</v>
      </c>
      <c r="U66" s="14">
        <v>5.5608809999999997E-4</v>
      </c>
      <c r="V66" s="14">
        <v>5.394601E-4</v>
      </c>
      <c r="W66" s="14">
        <v>5.4005669999999896E-4</v>
      </c>
      <c r="X66" s="14">
        <v>3.7286329999999899E-4</v>
      </c>
      <c r="Y66" s="14">
        <v>3.1746469999999899E-4</v>
      </c>
      <c r="Z66" s="14">
        <v>3.2861499999999998E-4</v>
      </c>
      <c r="AA66" s="14">
        <v>3.5813419999999998E-4</v>
      </c>
      <c r="AB66" s="14">
        <v>3.9607169999999998E-4</v>
      </c>
      <c r="AC66" s="14">
        <v>4.4376460000000002E-4</v>
      </c>
      <c r="AD66" s="14">
        <v>4.7912759999999899E-4</v>
      </c>
      <c r="AE66" s="13" t="s">
        <v>93</v>
      </c>
    </row>
    <row r="67" spans="1:31">
      <c r="A67" s="13" t="s">
        <v>260</v>
      </c>
      <c r="B67" s="13" t="s">
        <v>1</v>
      </c>
      <c r="C67" s="13" t="s">
        <v>218</v>
      </c>
      <c r="D67" s="13" t="str">
        <f>IFERROR(VLOOKUP(C67,ghg_sort!$A$86:$B$512,2,0),0)</f>
        <v>Agriculture</v>
      </c>
      <c r="E67" s="33" t="s">
        <v>208</v>
      </c>
      <c r="F67" s="13">
        <f>IFERROR(VLOOKUP($E67,ghg_sort!$A$3:$B$21,2,0),0)</f>
        <v>0</v>
      </c>
      <c r="G67" s="13">
        <f t="shared" si="1"/>
        <v>0</v>
      </c>
      <c r="H67" s="13">
        <f t="shared" si="2"/>
        <v>0</v>
      </c>
      <c r="I67" s="13">
        <f t="shared" si="3"/>
        <v>0</v>
      </c>
      <c r="J67" s="13">
        <f t="shared" si="4"/>
        <v>0</v>
      </c>
      <c r="K67" s="13">
        <f t="shared" si="5"/>
        <v>0</v>
      </c>
      <c r="L67" s="13">
        <f t="shared" si="6"/>
        <v>0</v>
      </c>
      <c r="M67" s="13">
        <f t="shared" si="7"/>
        <v>0</v>
      </c>
      <c r="N67" s="13">
        <f t="shared" si="8"/>
        <v>0</v>
      </c>
      <c r="O67" s="13">
        <f t="shared" si="9"/>
        <v>0</v>
      </c>
      <c r="P67" s="13">
        <f t="shared" si="10"/>
        <v>0</v>
      </c>
      <c r="Q67" s="13">
        <f t="shared" si="11"/>
        <v>0</v>
      </c>
      <c r="R67" s="13" t="s">
        <v>239</v>
      </c>
      <c r="T67" s="14">
        <v>1.8271299999999999E-5</v>
      </c>
      <c r="U67" s="14">
        <v>1.2893999999999901E-5</v>
      </c>
      <c r="V67" s="14">
        <v>1.250844E-5</v>
      </c>
      <c r="W67" s="14">
        <v>1.2522259999999899E-5</v>
      </c>
      <c r="X67" s="14">
        <v>8.6455700000000003E-6</v>
      </c>
      <c r="Y67" s="14">
        <v>7.3610509999999998E-6</v>
      </c>
      <c r="Z67" s="14">
        <v>7.61958699999999E-6</v>
      </c>
      <c r="AA67" s="14">
        <v>8.3040609999999905E-6</v>
      </c>
      <c r="AB67" s="14">
        <v>9.1837089999999995E-6</v>
      </c>
      <c r="AC67" s="14">
        <v>1.0289565999999999E-5</v>
      </c>
      <c r="AD67" s="14">
        <v>1.1109505E-5</v>
      </c>
      <c r="AE67" s="13" t="s">
        <v>93</v>
      </c>
    </row>
    <row r="68" spans="1:31">
      <c r="A68" s="13" t="s">
        <v>260</v>
      </c>
      <c r="B68" s="13" t="s">
        <v>1</v>
      </c>
      <c r="C68" s="13" t="s">
        <v>218</v>
      </c>
      <c r="D68" s="13" t="str">
        <f>IFERROR(VLOOKUP(C68,ghg_sort!$A$86:$B$512,2,0),0)</f>
        <v>Agriculture</v>
      </c>
      <c r="E68" s="33" t="s">
        <v>101</v>
      </c>
      <c r="F68" s="13">
        <f>IFERROR(VLOOKUP($E68,ghg_sort!$A$3:$B$21,2,0),0)</f>
        <v>298</v>
      </c>
      <c r="G68" s="13">
        <f t="shared" ref="G68:G131" si="12">T68*$F68</f>
        <v>0.50572268799999998</v>
      </c>
      <c r="H68" s="13">
        <f t="shared" ref="H68:H131" si="13">U68*$F68</f>
        <v>0.43663853999999697</v>
      </c>
      <c r="I68" s="13">
        <f t="shared" ref="I68:I131" si="14">V68*$F68</f>
        <v>0.35186171199999999</v>
      </c>
      <c r="J68" s="13">
        <f t="shared" ref="J68:J131" si="15">W68*$F68</f>
        <v>0.39478622799999702</v>
      </c>
      <c r="K68" s="13">
        <f t="shared" ref="K68:K131" si="16">X68*$F68</f>
        <v>0.42604523599999999</v>
      </c>
      <c r="L68" s="13">
        <f t="shared" ref="L68:L131" si="17">Y68*$F68</f>
        <v>0.51592531399999708</v>
      </c>
      <c r="M68" s="13">
        <f t="shared" ref="M68:M131" si="18">Z68*$F68</f>
        <v>0.55138642000000004</v>
      </c>
      <c r="N68" s="13">
        <f t="shared" ref="N68:N131" si="19">AA68*$F68</f>
        <v>0.58631917200000006</v>
      </c>
      <c r="O68" s="13">
        <f t="shared" ref="O68:O131" si="20">AB68*$F68</f>
        <v>0.64782100799999998</v>
      </c>
      <c r="P68" s="13">
        <f t="shared" ref="P68:P131" si="21">AC68*$F68</f>
        <v>0.72450743399999706</v>
      </c>
      <c r="Q68" s="13">
        <f t="shared" ref="Q68:Q131" si="22">AD68*$F68</f>
        <v>0.77692593199999704</v>
      </c>
      <c r="R68" s="13" t="s">
        <v>239</v>
      </c>
      <c r="T68" s="13">
        <v>1.697056E-3</v>
      </c>
      <c r="U68" s="13">
        <v>1.4652299999999899E-3</v>
      </c>
      <c r="V68" s="13">
        <v>1.1807440000000001E-3</v>
      </c>
      <c r="W68" s="13">
        <v>1.3247859999999899E-3</v>
      </c>
      <c r="X68" s="13">
        <v>1.429682E-3</v>
      </c>
      <c r="Y68" s="13">
        <v>1.7312929999999901E-3</v>
      </c>
      <c r="Z68" s="13">
        <v>1.8502900000000001E-3</v>
      </c>
      <c r="AA68" s="13">
        <v>1.9675140000000001E-3</v>
      </c>
      <c r="AB68" s="13">
        <v>2.1738959999999998E-3</v>
      </c>
      <c r="AC68" s="13">
        <v>2.4312329999999901E-3</v>
      </c>
      <c r="AD68" s="13">
        <v>2.6071339999999901E-3</v>
      </c>
      <c r="AE68" s="13" t="s">
        <v>93</v>
      </c>
    </row>
    <row r="69" spans="1:31">
      <c r="A69" s="13" t="s">
        <v>260</v>
      </c>
      <c r="B69" s="13" t="s">
        <v>1</v>
      </c>
      <c r="C69" s="13" t="s">
        <v>218</v>
      </c>
      <c r="D69" s="13" t="str">
        <f>IFERROR(VLOOKUP(C69,ghg_sort!$A$86:$B$512,2,0),0)</f>
        <v>Agriculture</v>
      </c>
      <c r="E69" s="33" t="s">
        <v>102</v>
      </c>
      <c r="F69" s="13">
        <f>IFERROR(VLOOKUP($E69,ghg_sort!$A$3:$B$21,2,0),0)</f>
        <v>298</v>
      </c>
      <c r="G69" s="13">
        <f t="shared" si="12"/>
        <v>2.305924E-4</v>
      </c>
      <c r="H69" s="13">
        <f t="shared" si="13"/>
        <v>1.6246962980000001E-4</v>
      </c>
      <c r="I69" s="13">
        <f t="shared" si="14"/>
        <v>1.576114848E-4</v>
      </c>
      <c r="J69" s="13">
        <f t="shared" si="15"/>
        <v>1.577854571999997E-4</v>
      </c>
      <c r="K69" s="13">
        <f t="shared" si="16"/>
        <v>1.089376846E-4</v>
      </c>
      <c r="L69" s="13">
        <f t="shared" si="17"/>
        <v>9.2752142399999706E-5</v>
      </c>
      <c r="M69" s="13">
        <f t="shared" si="18"/>
        <v>9.600987839999999E-5</v>
      </c>
      <c r="N69" s="13">
        <f t="shared" si="19"/>
        <v>1.046343262E-4</v>
      </c>
      <c r="O69" s="13">
        <f t="shared" si="20"/>
        <v>1.1571837660000001E-4</v>
      </c>
      <c r="P69" s="13">
        <f t="shared" si="21"/>
        <v>1.296526778E-4</v>
      </c>
      <c r="Q69" s="13">
        <f t="shared" si="22"/>
        <v>1.3998436759999971E-4</v>
      </c>
      <c r="R69" s="13" t="s">
        <v>239</v>
      </c>
      <c r="T69" s="14">
        <v>7.7380000000000001E-7</v>
      </c>
      <c r="U69" s="14">
        <v>5.4520010000000003E-7</v>
      </c>
      <c r="V69" s="14">
        <v>5.2889760000000001E-7</v>
      </c>
      <c r="W69" s="14">
        <v>5.2948139999999899E-7</v>
      </c>
      <c r="X69" s="14">
        <v>3.655627E-7</v>
      </c>
      <c r="Y69" s="14">
        <v>3.1124879999999902E-7</v>
      </c>
      <c r="Z69" s="14">
        <v>3.2218079999999998E-7</v>
      </c>
      <c r="AA69" s="14">
        <v>3.5112189999999999E-7</v>
      </c>
      <c r="AB69" s="14">
        <v>3.8831670000000002E-7</v>
      </c>
      <c r="AC69" s="14">
        <v>4.3507609999999999E-7</v>
      </c>
      <c r="AD69" s="14">
        <v>4.6974619999999901E-7</v>
      </c>
      <c r="AE69" s="13" t="s">
        <v>93</v>
      </c>
    </row>
    <row r="70" spans="1:31">
      <c r="A70" s="13" t="s">
        <v>260</v>
      </c>
      <c r="B70" s="13" t="s">
        <v>1</v>
      </c>
      <c r="C70" s="13" t="s">
        <v>218</v>
      </c>
      <c r="D70" s="13" t="str">
        <f>IFERROR(VLOOKUP(C70,ghg_sort!$A$86:$B$512,2,0),0)</f>
        <v>Agriculture</v>
      </c>
      <c r="E70" s="33" t="s">
        <v>202</v>
      </c>
      <c r="F70" s="13">
        <f>IFERROR(VLOOKUP($E70,ghg_sort!$A$3:$B$21,2,0),0)</f>
        <v>0</v>
      </c>
      <c r="G70" s="13">
        <f t="shared" si="12"/>
        <v>0</v>
      </c>
      <c r="H70" s="13">
        <f t="shared" si="13"/>
        <v>0</v>
      </c>
      <c r="I70" s="13">
        <f t="shared" si="14"/>
        <v>0</v>
      </c>
      <c r="J70" s="13">
        <f t="shared" si="15"/>
        <v>0</v>
      </c>
      <c r="K70" s="13">
        <f t="shared" si="16"/>
        <v>0</v>
      </c>
      <c r="L70" s="13">
        <f t="shared" si="17"/>
        <v>0</v>
      </c>
      <c r="M70" s="13">
        <f t="shared" si="18"/>
        <v>0</v>
      </c>
      <c r="N70" s="13">
        <f t="shared" si="19"/>
        <v>0</v>
      </c>
      <c r="O70" s="13">
        <f t="shared" si="20"/>
        <v>0</v>
      </c>
      <c r="P70" s="13">
        <f t="shared" si="21"/>
        <v>0</v>
      </c>
      <c r="Q70" s="13">
        <f t="shared" si="22"/>
        <v>0</v>
      </c>
      <c r="R70" s="13" t="s">
        <v>239</v>
      </c>
      <c r="T70" s="13">
        <v>9.7763799999999994E-3</v>
      </c>
      <c r="U70" s="13">
        <v>8.8712500000000007E-3</v>
      </c>
      <c r="V70" s="13">
        <v>7.8205600000000007E-3</v>
      </c>
      <c r="W70" s="13">
        <v>8.3291800000000003E-3</v>
      </c>
      <c r="X70" s="13">
        <v>9.1721399999999901E-3</v>
      </c>
      <c r="Y70" s="13">
        <v>1.13546699999999E-2</v>
      </c>
      <c r="Z70" s="13">
        <v>1.267043E-2</v>
      </c>
      <c r="AA70" s="13">
        <v>1.3808630000000001E-2</v>
      </c>
      <c r="AB70" s="13">
        <v>1.5271359999999901E-2</v>
      </c>
      <c r="AC70" s="13">
        <v>1.7110279999999999E-2</v>
      </c>
      <c r="AD70" s="13">
        <v>1.8473739999999898E-2</v>
      </c>
      <c r="AE70" s="13" t="s">
        <v>93</v>
      </c>
    </row>
    <row r="71" spans="1:31">
      <c r="A71" s="13" t="s">
        <v>260</v>
      </c>
      <c r="B71" s="13" t="s">
        <v>1</v>
      </c>
      <c r="C71" s="13" t="s">
        <v>218</v>
      </c>
      <c r="D71" s="13" t="str">
        <f>IFERROR(VLOOKUP(C71,ghg_sort!$A$86:$B$512,2,0),0)</f>
        <v>Agriculture</v>
      </c>
      <c r="E71" s="33" t="s">
        <v>209</v>
      </c>
      <c r="F71" s="13">
        <f>IFERROR(VLOOKUP($E71,ghg_sort!$A$3:$B$21,2,0),0)</f>
        <v>0</v>
      </c>
      <c r="G71" s="13">
        <f t="shared" si="12"/>
        <v>0</v>
      </c>
      <c r="H71" s="13">
        <f t="shared" si="13"/>
        <v>0</v>
      </c>
      <c r="I71" s="13">
        <f t="shared" si="14"/>
        <v>0</v>
      </c>
      <c r="J71" s="13">
        <f t="shared" si="15"/>
        <v>0</v>
      </c>
      <c r="K71" s="13">
        <f t="shared" si="16"/>
        <v>0</v>
      </c>
      <c r="L71" s="13">
        <f t="shared" si="17"/>
        <v>0</v>
      </c>
      <c r="M71" s="13">
        <f t="shared" si="18"/>
        <v>0</v>
      </c>
      <c r="N71" s="13">
        <f t="shared" si="19"/>
        <v>0</v>
      </c>
      <c r="O71" s="13">
        <f t="shared" si="20"/>
        <v>0</v>
      </c>
      <c r="P71" s="13">
        <f t="shared" si="21"/>
        <v>0</v>
      </c>
      <c r="Q71" s="13">
        <f t="shared" si="22"/>
        <v>0</v>
      </c>
      <c r="R71" s="13" t="s">
        <v>239</v>
      </c>
      <c r="T71" s="14">
        <v>1.6790999999999999E-5</v>
      </c>
      <c r="U71" s="14">
        <v>1.18305E-5</v>
      </c>
      <c r="V71" s="14">
        <v>1.147675E-5</v>
      </c>
      <c r="W71" s="14">
        <v>1.148942E-5</v>
      </c>
      <c r="X71" s="14">
        <v>7.9324700000000003E-6</v>
      </c>
      <c r="Y71" s="14">
        <v>6.7539099999999997E-6</v>
      </c>
      <c r="Z71" s="14">
        <v>6.9911229999999901E-6</v>
      </c>
      <c r="AA71" s="14">
        <v>7.6191399999999999E-6</v>
      </c>
      <c r="AB71" s="14">
        <v>8.4262280000000007E-6</v>
      </c>
      <c r="AC71" s="14">
        <v>9.4408790000000006E-6</v>
      </c>
      <c r="AD71" s="14">
        <v>1.01931879999999E-5</v>
      </c>
      <c r="AE71" s="13" t="s">
        <v>93</v>
      </c>
    </row>
    <row r="72" spans="1:31">
      <c r="A72" s="13" t="s">
        <v>260</v>
      </c>
      <c r="B72" s="13" t="s">
        <v>1</v>
      </c>
      <c r="C72" s="13" t="s">
        <v>218</v>
      </c>
      <c r="D72" s="13" t="str">
        <f>IFERROR(VLOOKUP(C72,ghg_sort!$A$86:$B$512,2,0),0)</f>
        <v>Agriculture</v>
      </c>
      <c r="E72" s="33" t="s">
        <v>210</v>
      </c>
      <c r="F72" s="13">
        <f>IFERROR(VLOOKUP($E72,ghg_sort!$A$3:$B$21,2,0),0)</f>
        <v>0</v>
      </c>
      <c r="G72" s="13">
        <f t="shared" si="12"/>
        <v>0</v>
      </c>
      <c r="H72" s="13">
        <f t="shared" si="13"/>
        <v>0</v>
      </c>
      <c r="I72" s="13">
        <f t="shared" si="14"/>
        <v>0</v>
      </c>
      <c r="J72" s="13">
        <f t="shared" si="15"/>
        <v>0</v>
      </c>
      <c r="K72" s="13">
        <f t="shared" si="16"/>
        <v>0</v>
      </c>
      <c r="L72" s="13">
        <f t="shared" si="17"/>
        <v>0</v>
      </c>
      <c r="M72" s="13">
        <f t="shared" si="18"/>
        <v>0</v>
      </c>
      <c r="N72" s="13">
        <f t="shared" si="19"/>
        <v>0</v>
      </c>
      <c r="O72" s="13">
        <f t="shared" si="20"/>
        <v>0</v>
      </c>
      <c r="P72" s="13">
        <f t="shared" si="21"/>
        <v>0</v>
      </c>
      <c r="Q72" s="13">
        <f t="shared" si="22"/>
        <v>0</v>
      </c>
      <c r="R72" s="13" t="s">
        <v>239</v>
      </c>
      <c r="T72" s="14">
        <v>1.891951E-4</v>
      </c>
      <c r="U72" s="14">
        <v>1.330696E-4</v>
      </c>
      <c r="V72" s="14">
        <v>1.2909050000000001E-4</v>
      </c>
      <c r="W72" s="14">
        <v>1.2923319999999999E-4</v>
      </c>
      <c r="X72" s="14">
        <v>8.9224599999999905E-5</v>
      </c>
      <c r="Y72" s="14">
        <v>7.5968089999999995E-5</v>
      </c>
      <c r="Z72" s="14">
        <v>7.8636209999999998E-5</v>
      </c>
      <c r="AA72" s="14">
        <v>8.5700199999999996E-5</v>
      </c>
      <c r="AB72" s="14">
        <v>9.4778249999999997E-5</v>
      </c>
      <c r="AC72" s="14">
        <v>1.0619113E-4</v>
      </c>
      <c r="AD72" s="14">
        <v>1.1465309999999999E-4</v>
      </c>
      <c r="AE72" s="13" t="s">
        <v>93</v>
      </c>
    </row>
    <row r="73" spans="1:31">
      <c r="A73" s="13" t="s">
        <v>260</v>
      </c>
      <c r="B73" s="13" t="s">
        <v>1</v>
      </c>
      <c r="C73" s="13" t="s">
        <v>218</v>
      </c>
      <c r="D73" s="13" t="str">
        <f>IFERROR(VLOOKUP(C73,ghg_sort!$A$86:$B$512,2,0),0)</f>
        <v>Agriculture</v>
      </c>
      <c r="E73" s="33" t="s">
        <v>204</v>
      </c>
      <c r="F73" s="13">
        <f>IFERROR(VLOOKUP($E73,ghg_sort!$A$3:$B$21,2,0),0)</f>
        <v>0</v>
      </c>
      <c r="G73" s="13">
        <f t="shared" si="12"/>
        <v>0</v>
      </c>
      <c r="H73" s="13">
        <f t="shared" si="13"/>
        <v>0</v>
      </c>
      <c r="I73" s="13">
        <f t="shared" si="14"/>
        <v>0</v>
      </c>
      <c r="J73" s="13">
        <f t="shared" si="15"/>
        <v>0</v>
      </c>
      <c r="K73" s="13">
        <f t="shared" si="16"/>
        <v>0</v>
      </c>
      <c r="L73" s="13">
        <f t="shared" si="17"/>
        <v>0</v>
      </c>
      <c r="M73" s="13">
        <f t="shared" si="18"/>
        <v>0</v>
      </c>
      <c r="N73" s="13">
        <f t="shared" si="19"/>
        <v>0</v>
      </c>
      <c r="O73" s="13">
        <f t="shared" si="20"/>
        <v>0</v>
      </c>
      <c r="P73" s="13">
        <f t="shared" si="21"/>
        <v>0</v>
      </c>
      <c r="Q73" s="13">
        <f t="shared" si="22"/>
        <v>0</v>
      </c>
      <c r="R73" s="13" t="s">
        <v>239</v>
      </c>
      <c r="T73" s="14">
        <v>8.2003999999999996E-4</v>
      </c>
      <c r="U73" s="14">
        <v>5.7044509999999997E-4</v>
      </c>
      <c r="V73" s="14">
        <v>5.3241110000000003E-4</v>
      </c>
      <c r="W73" s="14">
        <v>4.8205359999999899E-4</v>
      </c>
      <c r="X73" s="14">
        <v>5.308391E-4</v>
      </c>
      <c r="Y73" s="14">
        <v>6.5715309999999998E-4</v>
      </c>
      <c r="Z73" s="14">
        <v>7.3330399999999897E-4</v>
      </c>
      <c r="AA73" s="14">
        <v>7.9917620000000003E-4</v>
      </c>
      <c r="AB73" s="14">
        <v>8.8383250000000004E-4</v>
      </c>
      <c r="AC73" s="14">
        <v>9.9026119999999994E-4</v>
      </c>
      <c r="AD73" s="14">
        <v>1.0691711999999999E-3</v>
      </c>
      <c r="AE73" s="13" t="s">
        <v>93</v>
      </c>
    </row>
    <row r="74" spans="1:31">
      <c r="A74" s="13" t="s">
        <v>260</v>
      </c>
      <c r="B74" s="13" t="s">
        <v>1</v>
      </c>
      <c r="C74" s="13" t="s">
        <v>218</v>
      </c>
      <c r="D74" s="13" t="str">
        <f>IFERROR(VLOOKUP(C74,ghg_sort!$A$86:$B$512,2,0),0)</f>
        <v>Agriculture</v>
      </c>
      <c r="E74" s="33" t="s">
        <v>211</v>
      </c>
      <c r="F74" s="13">
        <f>IFERROR(VLOOKUP($E74,ghg_sort!$A$3:$B$21,2,0),0)</f>
        <v>0</v>
      </c>
      <c r="G74" s="13">
        <f t="shared" si="12"/>
        <v>0</v>
      </c>
      <c r="H74" s="13">
        <f t="shared" si="13"/>
        <v>0</v>
      </c>
      <c r="I74" s="13">
        <f t="shared" si="14"/>
        <v>0</v>
      </c>
      <c r="J74" s="13">
        <f t="shared" si="15"/>
        <v>0</v>
      </c>
      <c r="K74" s="13">
        <f t="shared" si="16"/>
        <v>0</v>
      </c>
      <c r="L74" s="13">
        <f t="shared" si="17"/>
        <v>0</v>
      </c>
      <c r="M74" s="13">
        <f t="shared" si="18"/>
        <v>0</v>
      </c>
      <c r="N74" s="13">
        <f t="shared" si="19"/>
        <v>0</v>
      </c>
      <c r="O74" s="13">
        <f t="shared" si="20"/>
        <v>0</v>
      </c>
      <c r="P74" s="13">
        <f t="shared" si="21"/>
        <v>0</v>
      </c>
      <c r="Q74" s="13">
        <f t="shared" si="22"/>
        <v>0</v>
      </c>
      <c r="R74" s="13" t="s">
        <v>239</v>
      </c>
      <c r="T74" s="14">
        <v>2.40646E-5</v>
      </c>
      <c r="U74" s="14">
        <v>1.69552E-5</v>
      </c>
      <c r="V74" s="14">
        <v>1.644821E-5</v>
      </c>
      <c r="W74" s="14">
        <v>1.646637E-5</v>
      </c>
      <c r="X74" s="14">
        <v>1.1368639999999999E-5</v>
      </c>
      <c r="Y74" s="14">
        <v>9.6795499999999995E-6</v>
      </c>
      <c r="Z74" s="14">
        <v>1.0019519999999999E-5</v>
      </c>
      <c r="AA74" s="14">
        <v>1.0919569999999999E-5</v>
      </c>
      <c r="AB74" s="14">
        <v>1.2076289999999999E-5</v>
      </c>
      <c r="AC74" s="14">
        <v>1.3530459999999999E-5</v>
      </c>
      <c r="AD74" s="14">
        <v>1.4608649999999999E-5</v>
      </c>
      <c r="AE74" s="13" t="s">
        <v>93</v>
      </c>
    </row>
    <row r="75" spans="1:31">
      <c r="A75" s="13" t="s">
        <v>260</v>
      </c>
      <c r="B75" s="13" t="s">
        <v>1</v>
      </c>
      <c r="C75" s="13" t="s">
        <v>218</v>
      </c>
      <c r="D75" s="13" t="str">
        <f>IFERROR(VLOOKUP(C75,ghg_sort!$A$86:$B$512,2,0),0)</f>
        <v>Agriculture</v>
      </c>
      <c r="E75" s="33" t="s">
        <v>212</v>
      </c>
      <c r="F75" s="13">
        <f>IFERROR(VLOOKUP($E75,ghg_sort!$A$3:$B$21,2,0),0)</f>
        <v>0</v>
      </c>
      <c r="G75" s="13">
        <f t="shared" si="12"/>
        <v>0</v>
      </c>
      <c r="H75" s="13">
        <f t="shared" si="13"/>
        <v>0</v>
      </c>
      <c r="I75" s="13">
        <f t="shared" si="14"/>
        <v>0</v>
      </c>
      <c r="J75" s="13">
        <f t="shared" si="15"/>
        <v>0</v>
      </c>
      <c r="K75" s="13">
        <f t="shared" si="16"/>
        <v>0</v>
      </c>
      <c r="L75" s="13">
        <f t="shared" si="17"/>
        <v>0</v>
      </c>
      <c r="M75" s="13">
        <f t="shared" si="18"/>
        <v>0</v>
      </c>
      <c r="N75" s="13">
        <f t="shared" si="19"/>
        <v>0</v>
      </c>
      <c r="O75" s="13">
        <f t="shared" si="20"/>
        <v>0</v>
      </c>
      <c r="P75" s="13">
        <f t="shared" si="21"/>
        <v>0</v>
      </c>
      <c r="Q75" s="13">
        <f t="shared" si="22"/>
        <v>0</v>
      </c>
      <c r="R75" s="13" t="s">
        <v>239</v>
      </c>
      <c r="T75" s="14">
        <v>1.7796899999999999E-5</v>
      </c>
      <c r="U75" s="14">
        <v>1.25391999999999E-5</v>
      </c>
      <c r="V75" s="14">
        <v>3.0676580000000002E-4</v>
      </c>
      <c r="W75" s="14">
        <v>3.0710470000000001E-4</v>
      </c>
      <c r="X75" s="14">
        <v>2.120298E-4</v>
      </c>
      <c r="Y75" s="14">
        <v>1.805275E-4</v>
      </c>
      <c r="Z75" s="14">
        <v>1.8686789999999999E-4</v>
      </c>
      <c r="AA75" s="14">
        <v>2.03654399999999E-4</v>
      </c>
      <c r="AB75" s="14">
        <v>2.252275E-4</v>
      </c>
      <c r="AC75" s="14">
        <v>2.5234809999999998E-4</v>
      </c>
      <c r="AD75" s="14">
        <v>2.7245660000000001E-4</v>
      </c>
      <c r="AE75" s="13" t="s">
        <v>93</v>
      </c>
    </row>
    <row r="76" spans="1:31">
      <c r="A76" s="13" t="s">
        <v>260</v>
      </c>
      <c r="B76" s="13" t="s">
        <v>1</v>
      </c>
      <c r="C76" s="13" t="s">
        <v>218</v>
      </c>
      <c r="D76" s="13" t="str">
        <f>IFERROR(VLOOKUP(C76,ghg_sort!$A$86:$B$512,2,0),0)</f>
        <v>Agriculture</v>
      </c>
      <c r="E76" s="33" t="s">
        <v>213</v>
      </c>
      <c r="F76" s="13">
        <f>IFERROR(VLOOKUP($E76,ghg_sort!$A$3:$B$21,2,0),0)</f>
        <v>0</v>
      </c>
      <c r="G76" s="13">
        <f t="shared" si="12"/>
        <v>0</v>
      </c>
      <c r="H76" s="13">
        <f t="shared" si="13"/>
        <v>0</v>
      </c>
      <c r="I76" s="13">
        <f t="shared" si="14"/>
        <v>0</v>
      </c>
      <c r="J76" s="13">
        <f t="shared" si="15"/>
        <v>0</v>
      </c>
      <c r="K76" s="13">
        <f t="shared" si="16"/>
        <v>0</v>
      </c>
      <c r="L76" s="13">
        <f t="shared" si="17"/>
        <v>0</v>
      </c>
      <c r="M76" s="13">
        <f t="shared" si="18"/>
        <v>0</v>
      </c>
      <c r="N76" s="13">
        <f t="shared" si="19"/>
        <v>0</v>
      </c>
      <c r="O76" s="13">
        <f t="shared" si="20"/>
        <v>0</v>
      </c>
      <c r="P76" s="13">
        <f t="shared" si="21"/>
        <v>0</v>
      </c>
      <c r="Q76" s="13">
        <f t="shared" si="22"/>
        <v>0</v>
      </c>
      <c r="R76" s="13" t="s">
        <v>239</v>
      </c>
      <c r="T76" s="14">
        <v>3.0950999999999998E-6</v>
      </c>
      <c r="U76" s="14">
        <v>2.18069999999999E-6</v>
      </c>
      <c r="V76" s="14">
        <v>2.1154929999999999E-6</v>
      </c>
      <c r="W76" s="14">
        <v>2.117829E-6</v>
      </c>
      <c r="X76" s="14">
        <v>1.4621820000000001E-6</v>
      </c>
      <c r="Y76" s="14">
        <v>1.24494E-6</v>
      </c>
      <c r="Z76" s="14">
        <v>1.2886639999999999E-6</v>
      </c>
      <c r="AA76" s="14">
        <v>1.4044259999999999E-6</v>
      </c>
      <c r="AB76" s="14">
        <v>1.5531959999999999E-6</v>
      </c>
      <c r="AC76" s="14">
        <v>1.7402249999999999E-6</v>
      </c>
      <c r="AD76" s="14">
        <v>1.8788980000000001E-6</v>
      </c>
      <c r="AE76" s="13" t="s">
        <v>93</v>
      </c>
    </row>
    <row r="77" spans="1:31">
      <c r="A77" s="13" t="s">
        <v>260</v>
      </c>
      <c r="B77" s="13" t="s">
        <v>1</v>
      </c>
      <c r="C77" s="13" t="s">
        <v>219</v>
      </c>
      <c r="D77" s="13" t="str">
        <f>IFERROR(VLOOKUP(C77,ghg_sort!$A$86:$B$512,2,0),0)</f>
        <v>Agriculture</v>
      </c>
      <c r="E77" s="33" t="s">
        <v>206</v>
      </c>
      <c r="F77" s="13">
        <f>IFERROR(VLOOKUP($E77,ghg_sort!$A$3:$B$21,2,0),0)</f>
        <v>0</v>
      </c>
      <c r="G77" s="13">
        <f t="shared" si="12"/>
        <v>0</v>
      </c>
      <c r="H77" s="13">
        <f t="shared" si="13"/>
        <v>0</v>
      </c>
      <c r="I77" s="13">
        <f t="shared" si="14"/>
        <v>0</v>
      </c>
      <c r="J77" s="13">
        <f t="shared" si="15"/>
        <v>0</v>
      </c>
      <c r="K77" s="13">
        <f t="shared" si="16"/>
        <v>0</v>
      </c>
      <c r="L77" s="13">
        <f t="shared" si="17"/>
        <v>0</v>
      </c>
      <c r="M77" s="13">
        <f t="shared" si="18"/>
        <v>0</v>
      </c>
      <c r="N77" s="13">
        <f t="shared" si="19"/>
        <v>0</v>
      </c>
      <c r="O77" s="13">
        <f t="shared" si="20"/>
        <v>0</v>
      </c>
      <c r="P77" s="13">
        <f t="shared" si="21"/>
        <v>0</v>
      </c>
      <c r="Q77" s="13">
        <f t="shared" si="22"/>
        <v>0</v>
      </c>
      <c r="R77" s="13" t="s">
        <v>239</v>
      </c>
      <c r="T77" s="14">
        <v>2.7025E-6</v>
      </c>
      <c r="U77" s="14">
        <v>1.2482E-6</v>
      </c>
      <c r="V77" s="14">
        <v>1.04549684E-5</v>
      </c>
      <c r="W77" s="14">
        <v>7.7385291999999997E-6</v>
      </c>
      <c r="X77" s="14">
        <v>5.0199859000000003E-6</v>
      </c>
      <c r="Y77" s="14">
        <v>3.8502076299999999E-6</v>
      </c>
      <c r="Z77" s="14">
        <v>3.7874172399999998E-6</v>
      </c>
      <c r="AA77" s="14">
        <v>4.0155813999999996E-6</v>
      </c>
      <c r="AB77" s="14">
        <v>4.2570437999999997E-6</v>
      </c>
      <c r="AC77" s="14">
        <v>4.5315394299999998E-6</v>
      </c>
      <c r="AD77" s="14">
        <v>4.7081336700000002E-6</v>
      </c>
      <c r="AE77" s="13" t="s">
        <v>93</v>
      </c>
    </row>
    <row r="78" spans="1:31">
      <c r="A78" s="13" t="s">
        <v>260</v>
      </c>
      <c r="B78" s="13" t="s">
        <v>1</v>
      </c>
      <c r="C78" s="13" t="s">
        <v>219</v>
      </c>
      <c r="D78" s="13" t="str">
        <f>IFERROR(VLOOKUP(C78,ghg_sort!$A$86:$B$512,2,0),0)</f>
        <v>Agriculture</v>
      </c>
      <c r="E78" s="33" t="s">
        <v>105</v>
      </c>
      <c r="F78" s="13">
        <f>IFERROR(VLOOKUP($E78,ghg_sort!$A$3:$B$21,2,0),0)</f>
        <v>25</v>
      </c>
      <c r="G78" s="13">
        <f t="shared" si="12"/>
        <v>5.2428749999999997E-4</v>
      </c>
      <c r="H78" s="13">
        <f t="shared" si="13"/>
        <v>2.4215749999999977E-4</v>
      </c>
      <c r="I78" s="13">
        <f t="shared" si="14"/>
        <v>1.255856025E-4</v>
      </c>
      <c r="J78" s="13">
        <f t="shared" si="15"/>
        <v>9.2955437000000009E-5</v>
      </c>
      <c r="K78" s="13">
        <f t="shared" si="16"/>
        <v>6.0300323249999998E-5</v>
      </c>
      <c r="L78" s="13">
        <f t="shared" si="17"/>
        <v>4.6248955499999999E-5</v>
      </c>
      <c r="M78" s="13">
        <f t="shared" si="18"/>
        <v>4.5494735500000004E-5</v>
      </c>
      <c r="N78" s="13">
        <f t="shared" si="19"/>
        <v>4.8235435249999997E-5</v>
      </c>
      <c r="O78" s="13">
        <f t="shared" si="20"/>
        <v>5.1135949E-5</v>
      </c>
      <c r="P78" s="13">
        <f t="shared" si="21"/>
        <v>5.4432942249999999E-5</v>
      </c>
      <c r="Q78" s="13">
        <f t="shared" si="22"/>
        <v>5.6554389749999995E-5</v>
      </c>
      <c r="R78" s="13" t="s">
        <v>239</v>
      </c>
      <c r="T78" s="14">
        <v>2.0971500000000001E-5</v>
      </c>
      <c r="U78" s="14">
        <v>9.6862999999999906E-6</v>
      </c>
      <c r="V78" s="14">
        <v>5.0234240999999998E-6</v>
      </c>
      <c r="W78" s="14">
        <v>3.7182174800000001E-6</v>
      </c>
      <c r="X78" s="14">
        <v>2.4120129300000001E-6</v>
      </c>
      <c r="Y78" s="14">
        <v>1.8499582199999999E-6</v>
      </c>
      <c r="Z78" s="14">
        <v>1.8197894200000001E-6</v>
      </c>
      <c r="AA78" s="14">
        <v>1.92941741E-6</v>
      </c>
      <c r="AB78" s="14">
        <v>2.04543796E-6</v>
      </c>
      <c r="AC78" s="14">
        <v>2.1773176899999999E-6</v>
      </c>
      <c r="AD78" s="14">
        <v>2.2621755899999999E-6</v>
      </c>
      <c r="AE78" s="13" t="s">
        <v>93</v>
      </c>
    </row>
    <row r="79" spans="1:31">
      <c r="A79" s="13" t="s">
        <v>260</v>
      </c>
      <c r="B79" s="13" t="s">
        <v>1</v>
      </c>
      <c r="C79" s="13" t="s">
        <v>219</v>
      </c>
      <c r="D79" s="13" t="str">
        <f>IFERROR(VLOOKUP(C79,ghg_sort!$A$86:$B$512,2,0),0)</f>
        <v>Agriculture</v>
      </c>
      <c r="E79" s="33" t="s">
        <v>207</v>
      </c>
      <c r="F79" s="13">
        <f>IFERROR(VLOOKUP($E79,ghg_sort!$A$3:$B$21,2,0),0)</f>
        <v>0</v>
      </c>
      <c r="G79" s="13">
        <f t="shared" si="12"/>
        <v>0</v>
      </c>
      <c r="H79" s="13">
        <f t="shared" si="13"/>
        <v>0</v>
      </c>
      <c r="I79" s="13">
        <f t="shared" si="14"/>
        <v>0</v>
      </c>
      <c r="J79" s="13">
        <f t="shared" si="15"/>
        <v>0</v>
      </c>
      <c r="K79" s="13">
        <f t="shared" si="16"/>
        <v>0</v>
      </c>
      <c r="L79" s="13">
        <f t="shared" si="17"/>
        <v>0</v>
      </c>
      <c r="M79" s="13">
        <f t="shared" si="18"/>
        <v>0</v>
      </c>
      <c r="N79" s="13">
        <f t="shared" si="19"/>
        <v>0</v>
      </c>
      <c r="O79" s="13">
        <f t="shared" si="20"/>
        <v>0</v>
      </c>
      <c r="P79" s="13">
        <f t="shared" si="21"/>
        <v>0</v>
      </c>
      <c r="Q79" s="13">
        <f t="shared" si="22"/>
        <v>0</v>
      </c>
      <c r="R79" s="13" t="s">
        <v>239</v>
      </c>
      <c r="T79" s="14">
        <v>3.6754219999999898E-4</v>
      </c>
      <c r="U79" s="14">
        <v>1.6975900000000001E-4</v>
      </c>
      <c r="V79" s="14">
        <v>8.8039284000000006E-5</v>
      </c>
      <c r="W79" s="14">
        <v>6.5164604999999996E-5</v>
      </c>
      <c r="X79" s="14">
        <v>4.2272296999999997E-5</v>
      </c>
      <c r="Y79" s="14">
        <v>3.2421758199999997E-5</v>
      </c>
      <c r="Z79" s="14">
        <v>3.1893129199999997E-5</v>
      </c>
      <c r="AA79" s="14">
        <v>3.3814475399999998E-5</v>
      </c>
      <c r="AB79" s="14">
        <v>3.5847679199999998E-5</v>
      </c>
      <c r="AC79" s="14">
        <v>3.81592428E-5</v>
      </c>
      <c r="AD79" s="14">
        <v>3.9646262400000003E-5</v>
      </c>
      <c r="AE79" s="13" t="s">
        <v>93</v>
      </c>
    </row>
    <row r="80" spans="1:31">
      <c r="A80" s="13" t="s">
        <v>260</v>
      </c>
      <c r="B80" s="13" t="s">
        <v>1</v>
      </c>
      <c r="C80" s="13" t="s">
        <v>219</v>
      </c>
      <c r="D80" s="13" t="str">
        <f>IFERROR(VLOOKUP(C80,ghg_sort!$A$86:$B$512,2,0),0)</f>
        <v>Agriculture</v>
      </c>
      <c r="E80" s="33" t="s">
        <v>208</v>
      </c>
      <c r="F80" s="13">
        <f>IFERROR(VLOOKUP($E80,ghg_sort!$A$3:$B$21,2,0),0)</f>
        <v>0</v>
      </c>
      <c r="G80" s="13">
        <f t="shared" si="12"/>
        <v>0</v>
      </c>
      <c r="H80" s="13">
        <f t="shared" si="13"/>
        <v>0</v>
      </c>
      <c r="I80" s="13">
        <f t="shared" si="14"/>
        <v>0</v>
      </c>
      <c r="J80" s="13">
        <f t="shared" si="15"/>
        <v>0</v>
      </c>
      <c r="K80" s="13">
        <f t="shared" si="16"/>
        <v>0</v>
      </c>
      <c r="L80" s="13">
        <f t="shared" si="17"/>
        <v>0</v>
      </c>
      <c r="M80" s="13">
        <f t="shared" si="18"/>
        <v>0</v>
      </c>
      <c r="N80" s="13">
        <f t="shared" si="19"/>
        <v>0</v>
      </c>
      <c r="O80" s="13">
        <f t="shared" si="20"/>
        <v>0</v>
      </c>
      <c r="P80" s="13">
        <f t="shared" si="21"/>
        <v>0</v>
      </c>
      <c r="Q80" s="13">
        <f t="shared" si="22"/>
        <v>0</v>
      </c>
      <c r="R80" s="13" t="s">
        <v>239</v>
      </c>
      <c r="T80" s="14">
        <v>8.5086000000000002E-6</v>
      </c>
      <c r="U80" s="14">
        <v>3.9361999999999997E-6</v>
      </c>
      <c r="V80" s="14">
        <v>2.0413553599999999E-6</v>
      </c>
      <c r="W80" s="14">
        <v>1.51096519E-6</v>
      </c>
      <c r="X80" s="14">
        <v>9.8016483000000006E-7</v>
      </c>
      <c r="Y80" s="14">
        <v>7.5176232999999998E-7</v>
      </c>
      <c r="Z80" s="14">
        <v>7.3950372000000002E-7</v>
      </c>
      <c r="AA80" s="14">
        <v>7.8405310999999999E-7</v>
      </c>
      <c r="AB80" s="14">
        <v>8.3119873000000003E-7</v>
      </c>
      <c r="AC80" s="14">
        <v>8.8479412000000004E-7</v>
      </c>
      <c r="AD80" s="14">
        <v>9.1927703999999997E-7</v>
      </c>
      <c r="AE80" s="13" t="s">
        <v>93</v>
      </c>
    </row>
    <row r="81" spans="1:31">
      <c r="A81" s="13" t="s">
        <v>260</v>
      </c>
      <c r="B81" s="13" t="s">
        <v>1</v>
      </c>
      <c r="C81" s="13" t="s">
        <v>219</v>
      </c>
      <c r="D81" s="13" t="str">
        <f>IFERROR(VLOOKUP(C81,ghg_sort!$A$86:$B$512,2,0),0)</f>
        <v>Agriculture</v>
      </c>
      <c r="E81" s="33" t="s">
        <v>101</v>
      </c>
      <c r="F81" s="13">
        <f>IFERROR(VLOOKUP($E81,ghg_sort!$A$3:$B$21,2,0),0)</f>
        <v>298</v>
      </c>
      <c r="G81" s="13">
        <f t="shared" si="12"/>
        <v>0.32715655839999996</v>
      </c>
      <c r="H81" s="13">
        <f t="shared" si="13"/>
        <v>0.20152759579999999</v>
      </c>
      <c r="I81" s="13">
        <f t="shared" si="14"/>
        <v>0.12816750539999969</v>
      </c>
      <c r="J81" s="13">
        <f t="shared" si="15"/>
        <v>0.11869772099999999</v>
      </c>
      <c r="K81" s="13">
        <f t="shared" si="16"/>
        <v>0.120356564224</v>
      </c>
      <c r="L81" s="13">
        <f t="shared" si="17"/>
        <v>0.13129140274599971</v>
      </c>
      <c r="M81" s="13">
        <f t="shared" si="18"/>
        <v>0.13334396923200001</v>
      </c>
      <c r="N81" s="13">
        <f t="shared" si="19"/>
        <v>0.13794207317400001</v>
      </c>
      <c r="O81" s="13">
        <f t="shared" si="20"/>
        <v>0.14609954931199998</v>
      </c>
      <c r="P81" s="13">
        <f t="shared" si="21"/>
        <v>0.15523713612600001</v>
      </c>
      <c r="Q81" s="13">
        <f t="shared" si="22"/>
        <v>0.16019150711399999</v>
      </c>
      <c r="R81" s="13" t="s">
        <v>239</v>
      </c>
      <c r="T81" s="13">
        <v>1.0978407999999999E-3</v>
      </c>
      <c r="U81" s="14">
        <v>6.7626709999999996E-4</v>
      </c>
      <c r="V81" s="14">
        <v>4.3009229999999899E-4</v>
      </c>
      <c r="W81" s="14">
        <v>3.9831449999999999E-4</v>
      </c>
      <c r="X81" s="14">
        <v>4.0388108800000001E-4</v>
      </c>
      <c r="Y81" s="14">
        <v>4.4057517699999898E-4</v>
      </c>
      <c r="Z81" s="14">
        <v>4.47462984E-4</v>
      </c>
      <c r="AA81" s="14">
        <v>4.6289286299999998E-4</v>
      </c>
      <c r="AB81" s="14">
        <v>4.9026694399999997E-4</v>
      </c>
      <c r="AC81" s="14">
        <v>5.2092998700000001E-4</v>
      </c>
      <c r="AD81" s="14">
        <v>5.3755539299999995E-4</v>
      </c>
      <c r="AE81" s="13" t="s">
        <v>93</v>
      </c>
    </row>
    <row r="82" spans="1:31">
      <c r="A82" s="13" t="s">
        <v>260</v>
      </c>
      <c r="B82" s="13" t="s">
        <v>1</v>
      </c>
      <c r="C82" s="13" t="s">
        <v>219</v>
      </c>
      <c r="D82" s="13" t="str">
        <f>IFERROR(VLOOKUP(C82,ghg_sort!$A$86:$B$512,2,0),0)</f>
        <v>Agriculture</v>
      </c>
      <c r="E82" s="33" t="s">
        <v>102</v>
      </c>
      <c r="F82" s="13">
        <f>IFERROR(VLOOKUP($E82,ghg_sort!$A$3:$B$21,2,0),0)</f>
        <v>298</v>
      </c>
      <c r="G82" s="13">
        <f t="shared" si="12"/>
        <v>1.0736939999999971E-4</v>
      </c>
      <c r="H82" s="13">
        <f t="shared" si="13"/>
        <v>4.9616999999999996E-5</v>
      </c>
      <c r="I82" s="13">
        <f t="shared" si="14"/>
        <v>2.5731955511999969E-5</v>
      </c>
      <c r="J82" s="13">
        <f t="shared" si="15"/>
        <v>1.9046175915999998E-5</v>
      </c>
      <c r="K82" s="13">
        <f t="shared" si="16"/>
        <v>1.2355248966E-5</v>
      </c>
      <c r="L82" s="13">
        <f t="shared" si="17"/>
        <v>9.4540133459999995E-6</v>
      </c>
      <c r="M82" s="13">
        <f t="shared" si="18"/>
        <v>9.3010675279999997E-6</v>
      </c>
      <c r="N82" s="13">
        <f t="shared" si="19"/>
        <v>9.8629080859999703E-6</v>
      </c>
      <c r="O82" s="13">
        <f t="shared" si="20"/>
        <v>1.0457436562E-5</v>
      </c>
      <c r="P82" s="13">
        <f t="shared" si="21"/>
        <v>1.113336016199997E-5</v>
      </c>
      <c r="Q82" s="13">
        <f t="shared" si="22"/>
        <v>1.156765672E-5</v>
      </c>
      <c r="R82" s="13" t="s">
        <v>239</v>
      </c>
      <c r="T82" s="14">
        <v>3.6029999999999901E-7</v>
      </c>
      <c r="U82" s="14">
        <v>1.6649999999999999E-7</v>
      </c>
      <c r="V82" s="14">
        <v>8.6348843999999898E-8</v>
      </c>
      <c r="W82" s="14">
        <v>6.3913341999999995E-8</v>
      </c>
      <c r="X82" s="14">
        <v>4.1460567000000001E-8</v>
      </c>
      <c r="Y82" s="14">
        <v>3.1724876999999998E-8</v>
      </c>
      <c r="Z82" s="14">
        <v>3.1211635999999998E-8</v>
      </c>
      <c r="AA82" s="14">
        <v>3.3097006999999901E-8</v>
      </c>
      <c r="AB82" s="14">
        <v>3.5092069E-8</v>
      </c>
      <c r="AC82" s="14">
        <v>3.7360268999999902E-8</v>
      </c>
      <c r="AD82" s="14">
        <v>3.8817640000000002E-8</v>
      </c>
      <c r="AE82" s="13" t="s">
        <v>93</v>
      </c>
    </row>
    <row r="83" spans="1:31">
      <c r="A83" s="13" t="s">
        <v>260</v>
      </c>
      <c r="B83" s="13" t="s">
        <v>1</v>
      </c>
      <c r="C83" s="13" t="s">
        <v>219</v>
      </c>
      <c r="D83" s="13" t="str">
        <f>IFERROR(VLOOKUP(C83,ghg_sort!$A$86:$B$512,2,0),0)</f>
        <v>Agriculture</v>
      </c>
      <c r="E83" s="33" t="s">
        <v>202</v>
      </c>
      <c r="F83" s="13">
        <f>IFERROR(VLOOKUP($E83,ghg_sort!$A$3:$B$21,2,0),0)</f>
        <v>0</v>
      </c>
      <c r="G83" s="13">
        <f t="shared" si="12"/>
        <v>0</v>
      </c>
      <c r="H83" s="13">
        <f t="shared" si="13"/>
        <v>0</v>
      </c>
      <c r="I83" s="13">
        <f t="shared" si="14"/>
        <v>0</v>
      </c>
      <c r="J83" s="13">
        <f t="shared" si="15"/>
        <v>0</v>
      </c>
      <c r="K83" s="13">
        <f t="shared" si="16"/>
        <v>0</v>
      </c>
      <c r="L83" s="13">
        <f t="shared" si="17"/>
        <v>0</v>
      </c>
      <c r="M83" s="13">
        <f t="shared" si="18"/>
        <v>0</v>
      </c>
      <c r="N83" s="13">
        <f t="shared" si="19"/>
        <v>0</v>
      </c>
      <c r="O83" s="13">
        <f t="shared" si="20"/>
        <v>0</v>
      </c>
      <c r="P83" s="13">
        <f t="shared" si="21"/>
        <v>0</v>
      </c>
      <c r="Q83" s="13">
        <f t="shared" si="22"/>
        <v>0</v>
      </c>
      <c r="R83" s="13" t="s">
        <v>239</v>
      </c>
      <c r="T83" s="13">
        <v>6.3244305000000004E-3</v>
      </c>
      <c r="U83" s="13">
        <v>4.0944589999999999E-3</v>
      </c>
      <c r="V83" s="13">
        <v>2.8486894999999999E-3</v>
      </c>
      <c r="W83" s="13">
        <v>2.5042787000000002E-3</v>
      </c>
      <c r="X83" s="13">
        <v>2.59109714E-3</v>
      </c>
      <c r="Y83" s="13">
        <v>2.8895073799999902E-3</v>
      </c>
      <c r="Z83" s="13">
        <v>3.0641325199999999E-3</v>
      </c>
      <c r="AA83" s="13">
        <v>3.2487216399999901E-3</v>
      </c>
      <c r="AB83" s="13">
        <v>3.44407403E-3</v>
      </c>
      <c r="AC83" s="13">
        <v>3.6661523999999999E-3</v>
      </c>
      <c r="AD83" s="13">
        <v>3.8090228500000001E-3</v>
      </c>
      <c r="AE83" s="13" t="s">
        <v>93</v>
      </c>
    </row>
    <row r="84" spans="1:31">
      <c r="A84" s="13" t="s">
        <v>260</v>
      </c>
      <c r="B84" s="13" t="s">
        <v>1</v>
      </c>
      <c r="C84" s="13" t="s">
        <v>219</v>
      </c>
      <c r="D84" s="13" t="str">
        <f>IFERROR(VLOOKUP(C84,ghg_sort!$A$86:$B$512,2,0),0)</f>
        <v>Agriculture</v>
      </c>
      <c r="E84" s="33" t="s">
        <v>209</v>
      </c>
      <c r="F84" s="13">
        <f>IFERROR(VLOOKUP($E84,ghg_sort!$A$3:$B$21,2,0),0)</f>
        <v>0</v>
      </c>
      <c r="G84" s="13">
        <f t="shared" si="12"/>
        <v>0</v>
      </c>
      <c r="H84" s="13">
        <f t="shared" si="13"/>
        <v>0</v>
      </c>
      <c r="I84" s="13">
        <f t="shared" si="14"/>
        <v>0</v>
      </c>
      <c r="J84" s="13">
        <f t="shared" si="15"/>
        <v>0</v>
      </c>
      <c r="K84" s="13">
        <f t="shared" si="16"/>
        <v>0</v>
      </c>
      <c r="L84" s="13">
        <f t="shared" si="17"/>
        <v>0</v>
      </c>
      <c r="M84" s="13">
        <f t="shared" si="18"/>
        <v>0</v>
      </c>
      <c r="N84" s="13">
        <f t="shared" si="19"/>
        <v>0</v>
      </c>
      <c r="O84" s="13">
        <f t="shared" si="20"/>
        <v>0</v>
      </c>
      <c r="P84" s="13">
        <f t="shared" si="21"/>
        <v>0</v>
      </c>
      <c r="Q84" s="13">
        <f t="shared" si="22"/>
        <v>0</v>
      </c>
      <c r="R84" s="13" t="s">
        <v>239</v>
      </c>
      <c r="T84" s="14">
        <v>7.8191999999999996E-6</v>
      </c>
      <c r="U84" s="14">
        <v>3.6115999999999999E-6</v>
      </c>
      <c r="V84" s="14">
        <v>1.8730162E-6</v>
      </c>
      <c r="W84" s="14">
        <v>1.3863634800000001E-6</v>
      </c>
      <c r="X84" s="14">
        <v>8.9933552000000001E-7</v>
      </c>
      <c r="Y84" s="14">
        <v>6.8976695999999899E-7</v>
      </c>
      <c r="Z84" s="14">
        <v>6.7851987000000002E-7</v>
      </c>
      <c r="AA84" s="14">
        <v>7.1939463000000005E-7</v>
      </c>
      <c r="AB84" s="14">
        <v>7.6265243999999997E-7</v>
      </c>
      <c r="AC84" s="14">
        <v>8.1182832000000003E-7</v>
      </c>
      <c r="AD84" s="14">
        <v>8.4346724999999899E-7</v>
      </c>
      <c r="AE84" s="13" t="s">
        <v>93</v>
      </c>
    </row>
    <row r="85" spans="1:31">
      <c r="A85" s="13" t="s">
        <v>260</v>
      </c>
      <c r="B85" s="13" t="s">
        <v>1</v>
      </c>
      <c r="C85" s="13" t="s">
        <v>219</v>
      </c>
      <c r="D85" s="13" t="str">
        <f>IFERROR(VLOOKUP(C85,ghg_sort!$A$86:$B$512,2,0),0)</f>
        <v>Agriculture</v>
      </c>
      <c r="E85" s="33" t="s">
        <v>210</v>
      </c>
      <c r="F85" s="13">
        <f>IFERROR(VLOOKUP($E85,ghg_sort!$A$3:$B$21,2,0),0)</f>
        <v>0</v>
      </c>
      <c r="G85" s="13">
        <f t="shared" si="12"/>
        <v>0</v>
      </c>
      <c r="H85" s="13">
        <f t="shared" si="13"/>
        <v>0</v>
      </c>
      <c r="I85" s="13">
        <f t="shared" si="14"/>
        <v>0</v>
      </c>
      <c r="J85" s="13">
        <f t="shared" si="15"/>
        <v>0</v>
      </c>
      <c r="K85" s="13">
        <f t="shared" si="16"/>
        <v>0</v>
      </c>
      <c r="L85" s="13">
        <f t="shared" si="17"/>
        <v>0</v>
      </c>
      <c r="M85" s="13">
        <f t="shared" si="18"/>
        <v>0</v>
      </c>
      <c r="N85" s="13">
        <f t="shared" si="19"/>
        <v>0</v>
      </c>
      <c r="O85" s="13">
        <f t="shared" si="20"/>
        <v>0</v>
      </c>
      <c r="P85" s="13">
        <f t="shared" si="21"/>
        <v>0</v>
      </c>
      <c r="Q85" s="13">
        <f t="shared" si="22"/>
        <v>0</v>
      </c>
      <c r="R85" s="13" t="s">
        <v>239</v>
      </c>
      <c r="T85" s="14">
        <v>8.8104799999999997E-5</v>
      </c>
      <c r="U85" s="14">
        <v>4.06227E-5</v>
      </c>
      <c r="V85" s="14">
        <v>2.1067421600000001E-5</v>
      </c>
      <c r="W85" s="14">
        <v>1.5593594700000001E-5</v>
      </c>
      <c r="X85" s="14">
        <v>1.0115582099999999E-5</v>
      </c>
      <c r="Y85" s="14">
        <v>7.7583917000000001E-6</v>
      </c>
      <c r="Z85" s="14">
        <v>7.6318808000000004E-6</v>
      </c>
      <c r="AA85" s="14">
        <v>8.0916453000000002E-6</v>
      </c>
      <c r="AB85" s="14">
        <v>8.5782072999999993E-6</v>
      </c>
      <c r="AC85" s="14">
        <v>9.1313184000000008E-6</v>
      </c>
      <c r="AD85" s="14">
        <v>9.4871884999999998E-6</v>
      </c>
      <c r="AE85" s="13" t="s">
        <v>93</v>
      </c>
    </row>
    <row r="86" spans="1:31">
      <c r="A86" s="13" t="s">
        <v>260</v>
      </c>
      <c r="B86" s="13" t="s">
        <v>1</v>
      </c>
      <c r="C86" s="13" t="s">
        <v>219</v>
      </c>
      <c r="D86" s="13" t="str">
        <f>IFERROR(VLOOKUP(C86,ghg_sort!$A$86:$B$512,2,0),0)</f>
        <v>Agriculture</v>
      </c>
      <c r="E86" s="33" t="s">
        <v>204</v>
      </c>
      <c r="F86" s="13">
        <f>IFERROR(VLOOKUP($E86,ghg_sort!$A$3:$B$21,2,0),0)</f>
        <v>0</v>
      </c>
      <c r="G86" s="13">
        <f t="shared" si="12"/>
        <v>0</v>
      </c>
      <c r="H86" s="13">
        <f t="shared" si="13"/>
        <v>0</v>
      </c>
      <c r="I86" s="13">
        <f t="shared" si="14"/>
        <v>0</v>
      </c>
      <c r="J86" s="13">
        <f t="shared" si="15"/>
        <v>0</v>
      </c>
      <c r="K86" s="13">
        <f t="shared" si="16"/>
        <v>0</v>
      </c>
      <c r="L86" s="13">
        <f t="shared" si="17"/>
        <v>0</v>
      </c>
      <c r="M86" s="13">
        <f t="shared" si="18"/>
        <v>0</v>
      </c>
      <c r="N86" s="13">
        <f t="shared" si="19"/>
        <v>0</v>
      </c>
      <c r="O86" s="13">
        <f t="shared" si="20"/>
        <v>0</v>
      </c>
      <c r="P86" s="13">
        <f t="shared" si="21"/>
        <v>0</v>
      </c>
      <c r="Q86" s="13">
        <f t="shared" si="22"/>
        <v>0</v>
      </c>
      <c r="R86" s="13" t="s">
        <v>239</v>
      </c>
      <c r="T86" s="14">
        <v>5.3049219999999999E-4</v>
      </c>
      <c r="U86" s="14">
        <v>2.6328549999999999E-4</v>
      </c>
      <c r="V86" s="14">
        <v>1.939337E-4</v>
      </c>
      <c r="W86" s="14">
        <v>1.449356E-4</v>
      </c>
      <c r="X86" s="14">
        <v>1.4996043E-4</v>
      </c>
      <c r="Y86" s="14">
        <v>1.6723004000000001E-4</v>
      </c>
      <c r="Z86" s="14">
        <v>1.7733773300000001E-4</v>
      </c>
      <c r="AA86" s="14">
        <v>1.8802063000000001E-4</v>
      </c>
      <c r="AB86" s="14">
        <v>1.9932678999999901E-4</v>
      </c>
      <c r="AC86" s="14">
        <v>2.1217905699999999E-4</v>
      </c>
      <c r="AD86" s="14">
        <v>2.2044801E-4</v>
      </c>
      <c r="AE86" s="13" t="s">
        <v>93</v>
      </c>
    </row>
    <row r="87" spans="1:31">
      <c r="A87" s="13" t="s">
        <v>260</v>
      </c>
      <c r="B87" s="13" t="s">
        <v>1</v>
      </c>
      <c r="C87" s="13" t="s">
        <v>219</v>
      </c>
      <c r="D87" s="13" t="str">
        <f>IFERROR(VLOOKUP(C87,ghg_sort!$A$86:$B$512,2,0),0)</f>
        <v>Agriculture</v>
      </c>
      <c r="E87" s="33" t="s">
        <v>211</v>
      </c>
      <c r="F87" s="13">
        <f>IFERROR(VLOOKUP($E87,ghg_sort!$A$3:$B$21,2,0),0)</f>
        <v>0</v>
      </c>
      <c r="G87" s="13">
        <f t="shared" si="12"/>
        <v>0</v>
      </c>
      <c r="H87" s="13">
        <f t="shared" si="13"/>
        <v>0</v>
      </c>
      <c r="I87" s="13">
        <f t="shared" si="14"/>
        <v>0</v>
      </c>
      <c r="J87" s="13">
        <f t="shared" si="15"/>
        <v>0</v>
      </c>
      <c r="K87" s="13">
        <f t="shared" si="16"/>
        <v>0</v>
      </c>
      <c r="L87" s="13">
        <f t="shared" si="17"/>
        <v>0</v>
      </c>
      <c r="M87" s="13">
        <f t="shared" si="18"/>
        <v>0</v>
      </c>
      <c r="N87" s="13">
        <f t="shared" si="19"/>
        <v>0</v>
      </c>
      <c r="O87" s="13">
        <f t="shared" si="20"/>
        <v>0</v>
      </c>
      <c r="P87" s="13">
        <f t="shared" si="21"/>
        <v>0</v>
      </c>
      <c r="Q87" s="13">
        <f t="shared" si="22"/>
        <v>0</v>
      </c>
      <c r="R87" s="13" t="s">
        <v>239</v>
      </c>
      <c r="T87" s="14">
        <v>1.12065E-5</v>
      </c>
      <c r="U87" s="14">
        <v>5.1759999999999899E-6</v>
      </c>
      <c r="V87" s="14">
        <v>2.6843370100000001E-6</v>
      </c>
      <c r="W87" s="14">
        <v>1.9868780399999999E-6</v>
      </c>
      <c r="X87" s="14">
        <v>1.28889005E-6</v>
      </c>
      <c r="Y87" s="14">
        <v>9.8854682999999998E-7</v>
      </c>
      <c r="Z87" s="14">
        <v>9.7242711999999991E-7</v>
      </c>
      <c r="AA87" s="14">
        <v>1.0310079799999899E-6</v>
      </c>
      <c r="AB87" s="14">
        <v>1.09300292E-6</v>
      </c>
      <c r="AC87" s="14">
        <v>1.16348034E-6</v>
      </c>
      <c r="AD87" s="14">
        <v>1.2088241599999999E-6</v>
      </c>
      <c r="AE87" s="13" t="s">
        <v>93</v>
      </c>
    </row>
    <row r="88" spans="1:31">
      <c r="A88" s="13" t="s">
        <v>260</v>
      </c>
      <c r="B88" s="13" t="s">
        <v>1</v>
      </c>
      <c r="C88" s="13" t="s">
        <v>219</v>
      </c>
      <c r="D88" s="13" t="str">
        <f>IFERROR(VLOOKUP(C88,ghg_sort!$A$86:$B$512,2,0),0)</f>
        <v>Agriculture</v>
      </c>
      <c r="E88" s="33" t="s">
        <v>212</v>
      </c>
      <c r="F88" s="13">
        <f>IFERROR(VLOOKUP($E88,ghg_sort!$A$3:$B$21,2,0),0)</f>
        <v>0</v>
      </c>
      <c r="G88" s="13">
        <f t="shared" si="12"/>
        <v>0</v>
      </c>
      <c r="H88" s="13">
        <f t="shared" si="13"/>
        <v>0</v>
      </c>
      <c r="I88" s="13">
        <f t="shared" si="14"/>
        <v>0</v>
      </c>
      <c r="J88" s="13">
        <f t="shared" si="15"/>
        <v>0</v>
      </c>
      <c r="K88" s="13">
        <f t="shared" si="16"/>
        <v>0</v>
      </c>
      <c r="L88" s="13">
        <f t="shared" si="17"/>
        <v>0</v>
      </c>
      <c r="M88" s="13">
        <f t="shared" si="18"/>
        <v>0</v>
      </c>
      <c r="N88" s="13">
        <f t="shared" si="19"/>
        <v>0</v>
      </c>
      <c r="O88" s="13">
        <f t="shared" si="20"/>
        <v>0</v>
      </c>
      <c r="P88" s="13">
        <f t="shared" si="21"/>
        <v>0</v>
      </c>
      <c r="Q88" s="13">
        <f t="shared" si="22"/>
        <v>0</v>
      </c>
      <c r="R88" s="13" t="s">
        <v>239</v>
      </c>
      <c r="T88" s="14">
        <v>8.2877999999999903E-6</v>
      </c>
      <c r="U88" s="14">
        <v>3.8279000000000002E-6</v>
      </c>
      <c r="V88" s="14">
        <v>5.0063762000000003E-5</v>
      </c>
      <c r="W88" s="14">
        <v>3.7056049999999901E-5</v>
      </c>
      <c r="X88" s="14">
        <v>2.4038276099999999E-5</v>
      </c>
      <c r="Y88" s="14">
        <v>1.8436781000000001E-5</v>
      </c>
      <c r="Z88" s="14">
        <v>1.8136102700000001E-5</v>
      </c>
      <c r="AA88" s="14">
        <v>1.92286767E-5</v>
      </c>
      <c r="AB88" s="14">
        <v>2.0384915100000001E-5</v>
      </c>
      <c r="AC88" s="14">
        <v>2.1699302799999999E-5</v>
      </c>
      <c r="AD88" s="14">
        <v>2.2544980199999899E-5</v>
      </c>
      <c r="AE88" s="13" t="s">
        <v>93</v>
      </c>
    </row>
    <row r="89" spans="1:31">
      <c r="A89" s="13" t="s">
        <v>260</v>
      </c>
      <c r="B89" s="13" t="s">
        <v>1</v>
      </c>
      <c r="C89" s="13" t="s">
        <v>219</v>
      </c>
      <c r="D89" s="13" t="str">
        <f>IFERROR(VLOOKUP(C89,ghg_sort!$A$86:$B$512,2,0),0)</f>
        <v>Agriculture</v>
      </c>
      <c r="E89" s="33" t="s">
        <v>213</v>
      </c>
      <c r="F89" s="13">
        <f>IFERROR(VLOOKUP($E89,ghg_sort!$A$3:$B$21,2,0),0)</f>
        <v>0</v>
      </c>
      <c r="G89" s="13">
        <f t="shared" si="12"/>
        <v>0</v>
      </c>
      <c r="H89" s="13">
        <f t="shared" si="13"/>
        <v>0</v>
      </c>
      <c r="I89" s="13">
        <f t="shared" si="14"/>
        <v>0</v>
      </c>
      <c r="J89" s="13">
        <f t="shared" si="15"/>
        <v>0</v>
      </c>
      <c r="K89" s="13">
        <f t="shared" si="16"/>
        <v>0</v>
      </c>
      <c r="L89" s="13">
        <f t="shared" si="17"/>
        <v>0</v>
      </c>
      <c r="M89" s="13">
        <f t="shared" si="18"/>
        <v>0</v>
      </c>
      <c r="N89" s="13">
        <f t="shared" si="19"/>
        <v>0</v>
      </c>
      <c r="O89" s="13">
        <f t="shared" si="20"/>
        <v>0</v>
      </c>
      <c r="P89" s="13">
        <f t="shared" si="21"/>
        <v>0</v>
      </c>
      <c r="Q89" s="13">
        <f t="shared" si="22"/>
        <v>0</v>
      </c>
      <c r="R89" s="13" t="s">
        <v>239</v>
      </c>
      <c r="T89" s="14">
        <v>1.4413000000000001E-6</v>
      </c>
      <c r="U89" s="14">
        <v>6.6580000000000005E-7</v>
      </c>
      <c r="V89" s="14">
        <v>3.4529191600000001E-7</v>
      </c>
      <c r="W89" s="14">
        <v>2.5557658300000001E-7</v>
      </c>
      <c r="X89" s="14">
        <v>1.6579315300000001E-7</v>
      </c>
      <c r="Y89" s="14">
        <v>1.2715885699999999E-7</v>
      </c>
      <c r="Z89" s="14">
        <v>1.2508522899999999E-7</v>
      </c>
      <c r="AA89" s="14">
        <v>1.32620458E-7</v>
      </c>
      <c r="AB89" s="14">
        <v>1.4059498800000001E-7</v>
      </c>
      <c r="AC89" s="14">
        <v>1.4966047699999999E-7</v>
      </c>
      <c r="AD89" s="14">
        <v>1.5549262900000001E-7</v>
      </c>
      <c r="AE89" s="13" t="s">
        <v>93</v>
      </c>
    </row>
    <row r="90" spans="1:31">
      <c r="A90" s="13" t="s">
        <v>260</v>
      </c>
      <c r="B90" s="13" t="s">
        <v>1</v>
      </c>
      <c r="C90" s="13" t="s">
        <v>220</v>
      </c>
      <c r="D90" s="13" t="str">
        <f>IFERROR(VLOOKUP(C90,ghg_sort!$A$86:$B$512,2,0),0)</f>
        <v>Agriculture</v>
      </c>
      <c r="E90" s="33" t="s">
        <v>104</v>
      </c>
      <c r="F90" s="13">
        <f>IFERROR(VLOOKUP($E90,ghg_sort!$A$3:$B$21,2,0),0)</f>
        <v>25</v>
      </c>
      <c r="G90" s="13">
        <f t="shared" si="12"/>
        <v>1.1045722500000001</v>
      </c>
      <c r="H90" s="13">
        <f t="shared" si="13"/>
        <v>1.5813289749999977</v>
      </c>
      <c r="I90" s="13">
        <f t="shared" si="14"/>
        <v>1.97413145</v>
      </c>
      <c r="J90" s="13">
        <f t="shared" si="15"/>
        <v>1.9511843</v>
      </c>
      <c r="K90" s="13">
        <f t="shared" si="16"/>
        <v>2.088483825</v>
      </c>
      <c r="L90" s="13">
        <f t="shared" si="17"/>
        <v>2.0952804</v>
      </c>
      <c r="M90" s="13">
        <f t="shared" si="18"/>
        <v>2.08314215</v>
      </c>
      <c r="N90" s="13">
        <f t="shared" si="19"/>
        <v>2.0859082999999998</v>
      </c>
      <c r="O90" s="13">
        <f t="shared" si="20"/>
        <v>2.1322782249999999</v>
      </c>
      <c r="P90" s="13">
        <f t="shared" si="21"/>
        <v>2.1746799750000001</v>
      </c>
      <c r="Q90" s="13">
        <f t="shared" si="22"/>
        <v>2.1533783500000001</v>
      </c>
      <c r="R90" s="13" t="s">
        <v>239</v>
      </c>
      <c r="T90" s="13">
        <v>4.4182890000000002E-2</v>
      </c>
      <c r="U90" s="13">
        <v>6.3253158999999906E-2</v>
      </c>
      <c r="V90" s="13">
        <v>7.8965257999999997E-2</v>
      </c>
      <c r="W90" s="13">
        <v>7.8047372000000004E-2</v>
      </c>
      <c r="X90" s="13">
        <v>8.3539352999999997E-2</v>
      </c>
      <c r="Y90" s="13">
        <v>8.3811215999999994E-2</v>
      </c>
      <c r="Z90" s="13">
        <v>8.3325685999999996E-2</v>
      </c>
      <c r="AA90" s="13">
        <v>8.3436332000000002E-2</v>
      </c>
      <c r="AB90" s="13">
        <v>8.5291128999999993E-2</v>
      </c>
      <c r="AC90" s="13">
        <v>8.6987199000000001E-2</v>
      </c>
      <c r="AD90" s="13">
        <v>8.6135134000000002E-2</v>
      </c>
      <c r="AE90" s="13" t="s">
        <v>93</v>
      </c>
    </row>
    <row r="91" spans="1:31">
      <c r="A91" s="13" t="s">
        <v>260</v>
      </c>
      <c r="B91" s="13" t="s">
        <v>1</v>
      </c>
      <c r="C91" s="13" t="s">
        <v>220</v>
      </c>
      <c r="D91" s="13" t="str">
        <f>IFERROR(VLOOKUP(C91,ghg_sort!$A$86:$B$512,2,0),0)</f>
        <v>Agriculture</v>
      </c>
      <c r="E91" s="33" t="s">
        <v>101</v>
      </c>
      <c r="F91" s="13">
        <f>IFERROR(VLOOKUP($E91,ghg_sort!$A$3:$B$21,2,0),0)</f>
        <v>298</v>
      </c>
      <c r="G91" s="13">
        <f t="shared" si="12"/>
        <v>0.43050882899999998</v>
      </c>
      <c r="H91" s="13">
        <f t="shared" si="13"/>
        <v>0.68532022540000004</v>
      </c>
      <c r="I91" s="13">
        <f t="shared" si="14"/>
        <v>0.86431151159999997</v>
      </c>
      <c r="J91" s="13">
        <f t="shared" si="15"/>
        <v>0.8562759714</v>
      </c>
      <c r="K91" s="13">
        <f t="shared" si="16"/>
        <v>0.91652868079999994</v>
      </c>
      <c r="L91" s="13">
        <f t="shared" si="17"/>
        <v>0.91951169059999993</v>
      </c>
      <c r="M91" s="13">
        <f t="shared" si="18"/>
        <v>0.91418583459999991</v>
      </c>
      <c r="N91" s="13">
        <f t="shared" si="19"/>
        <v>0.91539857539999991</v>
      </c>
      <c r="O91" s="13">
        <f t="shared" si="20"/>
        <v>0.93574825039999998</v>
      </c>
      <c r="P91" s="13">
        <f t="shared" si="21"/>
        <v>0.95435575779999993</v>
      </c>
      <c r="Q91" s="13">
        <f t="shared" si="22"/>
        <v>0.94500916660000012</v>
      </c>
      <c r="R91" s="13" t="s">
        <v>239</v>
      </c>
      <c r="T91" s="13">
        <v>1.4446604999999999E-3</v>
      </c>
      <c r="U91" s="13">
        <v>2.2997323000000002E-3</v>
      </c>
      <c r="V91" s="13">
        <v>2.9003741999999999E-3</v>
      </c>
      <c r="W91" s="13">
        <v>2.8734093E-3</v>
      </c>
      <c r="X91" s="13">
        <v>3.0755995999999998E-3</v>
      </c>
      <c r="Y91" s="13">
        <v>3.0856096999999998E-3</v>
      </c>
      <c r="Z91" s="13">
        <v>3.0677376999999999E-3</v>
      </c>
      <c r="AA91" s="13">
        <v>3.0718072999999999E-3</v>
      </c>
      <c r="AB91" s="13">
        <v>3.1400947999999998E-3</v>
      </c>
      <c r="AC91" s="13">
        <v>3.2025360999999998E-3</v>
      </c>
      <c r="AD91" s="13">
        <v>3.1711717000000002E-3</v>
      </c>
      <c r="AE91" s="13" t="s">
        <v>93</v>
      </c>
    </row>
    <row r="92" spans="1:31">
      <c r="A92" s="13" t="s">
        <v>260</v>
      </c>
      <c r="B92" s="13" t="s">
        <v>1</v>
      </c>
      <c r="C92" s="13" t="s">
        <v>220</v>
      </c>
      <c r="D92" s="13" t="str">
        <f>IFERROR(VLOOKUP(C92,ghg_sort!$A$86:$B$512,2,0),0)</f>
        <v>Agriculture</v>
      </c>
      <c r="E92" s="33" t="s">
        <v>202</v>
      </c>
      <c r="F92" s="13">
        <f>IFERROR(VLOOKUP($E92,ghg_sort!$A$3:$B$21,2,0),0)</f>
        <v>0</v>
      </c>
      <c r="G92" s="13">
        <f t="shared" si="12"/>
        <v>0</v>
      </c>
      <c r="H92" s="13">
        <f t="shared" si="13"/>
        <v>0</v>
      </c>
      <c r="I92" s="13">
        <f t="shared" si="14"/>
        <v>0</v>
      </c>
      <c r="J92" s="13">
        <f t="shared" si="15"/>
        <v>0</v>
      </c>
      <c r="K92" s="13">
        <f t="shared" si="16"/>
        <v>0</v>
      </c>
      <c r="L92" s="13">
        <f t="shared" si="17"/>
        <v>0</v>
      </c>
      <c r="M92" s="13">
        <f t="shared" si="18"/>
        <v>0</v>
      </c>
      <c r="N92" s="13">
        <f t="shared" si="19"/>
        <v>0</v>
      </c>
      <c r="O92" s="13">
        <f t="shared" si="20"/>
        <v>0</v>
      </c>
      <c r="P92" s="13">
        <f t="shared" si="21"/>
        <v>0</v>
      </c>
      <c r="Q92" s="13">
        <f t="shared" si="22"/>
        <v>0</v>
      </c>
      <c r="R92" s="13" t="s">
        <v>239</v>
      </c>
      <c r="T92" s="13">
        <v>1.30264322E-2</v>
      </c>
      <c r="U92" s="13">
        <v>1.85343395E-2</v>
      </c>
      <c r="V92" s="13">
        <v>1.8878089300000001E-2</v>
      </c>
      <c r="W92" s="13">
        <v>1.9834603900000001E-2</v>
      </c>
      <c r="X92" s="13">
        <v>2.1462143999999999E-2</v>
      </c>
      <c r="Y92" s="13">
        <v>2.2918356299999901E-2</v>
      </c>
      <c r="Z92" s="13">
        <v>2.38976274E-2</v>
      </c>
      <c r="AA92" s="13">
        <v>2.4658427899999901E-2</v>
      </c>
      <c r="AB92" s="13">
        <v>2.5218871499999899E-2</v>
      </c>
      <c r="AC92" s="13">
        <v>2.5735153899999998E-2</v>
      </c>
      <c r="AD92" s="13">
        <v>2.54831038E-2</v>
      </c>
      <c r="AE92" s="13" t="s">
        <v>93</v>
      </c>
    </row>
    <row r="93" spans="1:31">
      <c r="A93" s="13" t="s">
        <v>260</v>
      </c>
      <c r="B93" s="13" t="s">
        <v>1</v>
      </c>
      <c r="C93" s="13" t="s">
        <v>220</v>
      </c>
      <c r="D93" s="13" t="str">
        <f>IFERROR(VLOOKUP(C93,ghg_sort!$A$86:$B$512,2,0),0)</f>
        <v>Agriculture</v>
      </c>
      <c r="E93" s="33" t="s">
        <v>203</v>
      </c>
      <c r="F93" s="13">
        <f>IFERROR(VLOOKUP($E93,ghg_sort!$A$3:$B$21,2,0),0)</f>
        <v>0</v>
      </c>
      <c r="G93" s="13">
        <f t="shared" si="12"/>
        <v>0</v>
      </c>
      <c r="H93" s="13">
        <f t="shared" si="13"/>
        <v>0</v>
      </c>
      <c r="I93" s="13">
        <f t="shared" si="14"/>
        <v>0</v>
      </c>
      <c r="J93" s="13">
        <f t="shared" si="15"/>
        <v>0</v>
      </c>
      <c r="K93" s="13">
        <f t="shared" si="16"/>
        <v>0</v>
      </c>
      <c r="L93" s="13">
        <f t="shared" si="17"/>
        <v>0</v>
      </c>
      <c r="M93" s="13">
        <f t="shared" si="18"/>
        <v>0</v>
      </c>
      <c r="N93" s="13">
        <f t="shared" si="19"/>
        <v>0</v>
      </c>
      <c r="O93" s="13">
        <f t="shared" si="20"/>
        <v>0</v>
      </c>
      <c r="P93" s="13">
        <f t="shared" si="21"/>
        <v>0</v>
      </c>
      <c r="Q93" s="13">
        <f t="shared" si="22"/>
        <v>0</v>
      </c>
      <c r="R93" s="13" t="s">
        <v>239</v>
      </c>
      <c r="T93" s="13">
        <v>5.0825574999999899E-3</v>
      </c>
      <c r="U93" s="13">
        <v>1.06111743E-2</v>
      </c>
      <c r="V93" s="13">
        <v>1.35981927999999E-2</v>
      </c>
      <c r="W93" s="13">
        <v>1.40513705E-2</v>
      </c>
      <c r="X93" s="13">
        <v>1.52043438999999E-2</v>
      </c>
      <c r="Y93" s="13">
        <v>1.62359875E-2</v>
      </c>
      <c r="Z93" s="13">
        <v>1.6929803300000001E-2</v>
      </c>
      <c r="AA93" s="13">
        <v>1.7468712399999999E-2</v>
      </c>
      <c r="AB93" s="13">
        <v>1.7865736100000001E-2</v>
      </c>
      <c r="AC93" s="13">
        <v>1.82314674E-2</v>
      </c>
      <c r="AD93" s="13">
        <v>1.8052921600000001E-2</v>
      </c>
      <c r="AE93" s="13" t="s">
        <v>93</v>
      </c>
    </row>
    <row r="94" spans="1:31">
      <c r="A94" s="13" t="s">
        <v>260</v>
      </c>
      <c r="B94" s="13" t="s">
        <v>1</v>
      </c>
      <c r="C94" s="13" t="s">
        <v>220</v>
      </c>
      <c r="D94" s="13" t="str">
        <f>IFERROR(VLOOKUP(C94,ghg_sort!$A$86:$B$512,2,0),0)</f>
        <v>Agriculture</v>
      </c>
      <c r="E94" s="33" t="s">
        <v>204</v>
      </c>
      <c r="F94" s="13">
        <f>IFERROR(VLOOKUP($E94,ghg_sort!$A$3:$B$21,2,0),0)</f>
        <v>0</v>
      </c>
      <c r="G94" s="13">
        <f t="shared" si="12"/>
        <v>0</v>
      </c>
      <c r="H94" s="13">
        <f t="shared" si="13"/>
        <v>0</v>
      </c>
      <c r="I94" s="13">
        <f t="shared" si="14"/>
        <v>0</v>
      </c>
      <c r="J94" s="13">
        <f t="shared" si="15"/>
        <v>0</v>
      </c>
      <c r="K94" s="13">
        <f t="shared" si="16"/>
        <v>0</v>
      </c>
      <c r="L94" s="13">
        <f t="shared" si="17"/>
        <v>0</v>
      </c>
      <c r="M94" s="13">
        <f t="shared" si="18"/>
        <v>0</v>
      </c>
      <c r="N94" s="13">
        <f t="shared" si="19"/>
        <v>0</v>
      </c>
      <c r="O94" s="13">
        <f t="shared" si="20"/>
        <v>0</v>
      </c>
      <c r="P94" s="13">
        <f t="shared" si="21"/>
        <v>0</v>
      </c>
      <c r="Q94" s="13">
        <f t="shared" si="22"/>
        <v>0</v>
      </c>
      <c r="R94" s="13" t="s">
        <v>239</v>
      </c>
      <c r="T94" s="14">
        <v>6.0514949999999998E-4</v>
      </c>
      <c r="U94" s="13">
        <v>1.0794641999999899E-3</v>
      </c>
      <c r="V94" s="13">
        <v>1.3692972000000001E-3</v>
      </c>
      <c r="W94" s="13">
        <v>1.3476688999999899E-3</v>
      </c>
      <c r="X94" s="13">
        <v>1.45825406E-3</v>
      </c>
      <c r="Y94" s="13">
        <v>1.5571990699999999E-3</v>
      </c>
      <c r="Z94" s="13">
        <v>1.6237315800000001E-3</v>
      </c>
      <c r="AA94" s="13">
        <v>1.67542155E-3</v>
      </c>
      <c r="AB94" s="13">
        <v>1.7135054899999999E-3</v>
      </c>
      <c r="AC94" s="13">
        <v>1.748589E-3</v>
      </c>
      <c r="AD94" s="13">
        <v>1.73145561E-3</v>
      </c>
      <c r="AE94" s="13" t="s">
        <v>93</v>
      </c>
    </row>
    <row r="95" spans="1:31">
      <c r="A95" s="13" t="s">
        <v>260</v>
      </c>
      <c r="B95" s="13" t="s">
        <v>1</v>
      </c>
      <c r="C95" s="13" t="s">
        <v>221</v>
      </c>
      <c r="D95" s="13" t="str">
        <f>IFERROR(VLOOKUP(C95,ghg_sort!$A$86:$B$512,2,0),0)</f>
        <v>Agriculture</v>
      </c>
      <c r="E95" s="33" t="s">
        <v>104</v>
      </c>
      <c r="F95" s="13">
        <f>IFERROR(VLOOKUP($E95,ghg_sort!$A$3:$B$21,2,0),0)</f>
        <v>25</v>
      </c>
      <c r="G95" s="13">
        <f t="shared" si="12"/>
        <v>7.3674574999999992E-2</v>
      </c>
      <c r="H95" s="13">
        <f t="shared" si="13"/>
        <v>8.7879899999999997E-2</v>
      </c>
      <c r="I95" s="13">
        <f t="shared" si="14"/>
        <v>0.12721226999999999</v>
      </c>
      <c r="J95" s="13">
        <f t="shared" si="15"/>
        <v>0.11396817000000001</v>
      </c>
      <c r="K95" s="13">
        <f t="shared" si="16"/>
        <v>0.11992925</v>
      </c>
      <c r="L95" s="13">
        <f t="shared" si="17"/>
        <v>0.11687681250000001</v>
      </c>
      <c r="M95" s="13">
        <f t="shared" si="18"/>
        <v>0.11440648</v>
      </c>
      <c r="N95" s="13">
        <f t="shared" si="19"/>
        <v>0.11271212999999999</v>
      </c>
      <c r="O95" s="13">
        <f t="shared" si="20"/>
        <v>0.1134105725</v>
      </c>
      <c r="P95" s="13">
        <f t="shared" si="21"/>
        <v>0.11363255749999999</v>
      </c>
      <c r="Q95" s="13">
        <f t="shared" si="22"/>
        <v>0.1120692925</v>
      </c>
      <c r="R95" s="13" t="s">
        <v>239</v>
      </c>
      <c r="T95" s="13">
        <v>2.9469829999999998E-3</v>
      </c>
      <c r="U95" s="13">
        <v>3.5151959999999999E-3</v>
      </c>
      <c r="V95" s="13">
        <v>5.0884907999999996E-3</v>
      </c>
      <c r="W95" s="13">
        <v>4.5587268000000002E-3</v>
      </c>
      <c r="X95" s="13">
        <v>4.7971699999999999E-3</v>
      </c>
      <c r="Y95" s="13">
        <v>4.6750725000000003E-3</v>
      </c>
      <c r="Z95" s="13">
        <v>4.5762592000000001E-3</v>
      </c>
      <c r="AA95" s="13">
        <v>4.5084851999999996E-3</v>
      </c>
      <c r="AB95" s="13">
        <v>4.5364228999999999E-3</v>
      </c>
      <c r="AC95" s="13">
        <v>4.5453022999999999E-3</v>
      </c>
      <c r="AD95" s="13">
        <v>4.4827716999999998E-3</v>
      </c>
      <c r="AE95" s="13" t="s">
        <v>93</v>
      </c>
    </row>
    <row r="96" spans="1:31">
      <c r="A96" s="13" t="s">
        <v>260</v>
      </c>
      <c r="B96" s="13" t="s">
        <v>1</v>
      </c>
      <c r="C96" s="13" t="s">
        <v>221</v>
      </c>
      <c r="D96" s="13" t="str">
        <f>IFERROR(VLOOKUP(C96,ghg_sort!$A$86:$B$512,2,0),0)</f>
        <v>Agriculture</v>
      </c>
      <c r="E96" s="33" t="s">
        <v>101</v>
      </c>
      <c r="F96" s="13">
        <f>IFERROR(VLOOKUP($E96,ghg_sort!$A$3:$B$21,2,0),0)</f>
        <v>298</v>
      </c>
      <c r="G96" s="13">
        <f t="shared" si="12"/>
        <v>2.87148032E-2</v>
      </c>
      <c r="H96" s="13">
        <f t="shared" si="13"/>
        <v>3.8085502600000001E-2</v>
      </c>
      <c r="I96" s="13">
        <f t="shared" si="14"/>
        <v>5.5695872199999996E-2</v>
      </c>
      <c r="J96" s="13">
        <f t="shared" si="15"/>
        <v>5.0014770400000005E-2</v>
      </c>
      <c r="K96" s="13">
        <f t="shared" si="16"/>
        <v>5.2630805715999998E-2</v>
      </c>
      <c r="L96" s="13">
        <f t="shared" si="17"/>
        <v>5.1291218831999996E-2</v>
      </c>
      <c r="M96" s="13">
        <f t="shared" si="18"/>
        <v>5.0207308200000002E-2</v>
      </c>
      <c r="N96" s="13">
        <f t="shared" si="19"/>
        <v>4.9463635491999704E-2</v>
      </c>
      <c r="O96" s="13">
        <f t="shared" si="20"/>
        <v>4.9770157993999996E-2</v>
      </c>
      <c r="P96" s="13">
        <f t="shared" si="21"/>
        <v>4.9867485091999994E-2</v>
      </c>
      <c r="Q96" s="13">
        <f t="shared" si="22"/>
        <v>4.9181599053999998E-2</v>
      </c>
      <c r="R96" s="13" t="s">
        <v>239</v>
      </c>
      <c r="T96" s="14">
        <v>9.6358400000000002E-5</v>
      </c>
      <c r="U96" s="14">
        <v>1.278037E-4</v>
      </c>
      <c r="V96" s="14">
        <v>1.8689889999999999E-4</v>
      </c>
      <c r="W96" s="14">
        <v>1.6783480000000001E-4</v>
      </c>
      <c r="X96" s="14">
        <v>1.7661344199999999E-4</v>
      </c>
      <c r="Y96" s="14">
        <v>1.7211818399999999E-4</v>
      </c>
      <c r="Z96" s="14">
        <v>1.6848089999999999E-4</v>
      </c>
      <c r="AA96" s="14">
        <v>1.65985353999999E-4</v>
      </c>
      <c r="AB96" s="14">
        <v>1.67013953E-4</v>
      </c>
      <c r="AC96" s="14">
        <v>1.6734055399999999E-4</v>
      </c>
      <c r="AD96" s="14">
        <v>1.65038923E-4</v>
      </c>
      <c r="AE96" s="13" t="s">
        <v>93</v>
      </c>
    </row>
    <row r="97" spans="1:31">
      <c r="A97" s="13" t="s">
        <v>260</v>
      </c>
      <c r="B97" s="13" t="s">
        <v>1</v>
      </c>
      <c r="C97" s="13" t="s">
        <v>221</v>
      </c>
      <c r="D97" s="13" t="str">
        <f>IFERROR(VLOOKUP(C97,ghg_sort!$A$86:$B$512,2,0),0)</f>
        <v>Agriculture</v>
      </c>
      <c r="E97" s="33" t="s">
        <v>202</v>
      </c>
      <c r="F97" s="13">
        <f>IFERROR(VLOOKUP($E97,ghg_sort!$A$3:$B$21,2,0),0)</f>
        <v>0</v>
      </c>
      <c r="G97" s="13">
        <f t="shared" si="12"/>
        <v>0</v>
      </c>
      <c r="H97" s="13">
        <f t="shared" si="13"/>
        <v>0</v>
      </c>
      <c r="I97" s="13">
        <f t="shared" si="14"/>
        <v>0</v>
      </c>
      <c r="J97" s="13">
        <f t="shared" si="15"/>
        <v>0</v>
      </c>
      <c r="K97" s="13">
        <f t="shared" si="16"/>
        <v>0</v>
      </c>
      <c r="L97" s="13">
        <f t="shared" si="17"/>
        <v>0</v>
      </c>
      <c r="M97" s="13">
        <f t="shared" si="18"/>
        <v>0</v>
      </c>
      <c r="N97" s="13">
        <f t="shared" si="19"/>
        <v>0</v>
      </c>
      <c r="O97" s="13">
        <f t="shared" si="20"/>
        <v>0</v>
      </c>
      <c r="P97" s="13">
        <f t="shared" si="21"/>
        <v>0</v>
      </c>
      <c r="Q97" s="13">
        <f t="shared" si="22"/>
        <v>0</v>
      </c>
      <c r="R97" s="13" t="s">
        <v>239</v>
      </c>
      <c r="T97" s="14">
        <v>8.6885949999999999E-4</v>
      </c>
      <c r="U97" s="13">
        <v>1.0300178999999999E-3</v>
      </c>
      <c r="V97" s="13">
        <v>1.2164958999999901E-3</v>
      </c>
      <c r="W97" s="13">
        <v>1.1585339999999999E-3</v>
      </c>
      <c r="X97" s="13">
        <v>1.2324413199999999E-3</v>
      </c>
      <c r="Y97" s="13">
        <v>1.27840984E-3</v>
      </c>
      <c r="Z97" s="13">
        <v>1.3124608599999999E-3</v>
      </c>
      <c r="AA97" s="13">
        <v>1.33242195E-3</v>
      </c>
      <c r="AB97" s="13">
        <v>1.34133644E-3</v>
      </c>
      <c r="AC97" s="13">
        <v>1.3447323299999999E-3</v>
      </c>
      <c r="AD97" s="13">
        <v>1.3262314599999899E-3</v>
      </c>
      <c r="AE97" s="13" t="s">
        <v>93</v>
      </c>
    </row>
    <row r="98" spans="1:31">
      <c r="A98" s="13" t="s">
        <v>260</v>
      </c>
      <c r="B98" s="13" t="s">
        <v>1</v>
      </c>
      <c r="C98" s="13" t="s">
        <v>221</v>
      </c>
      <c r="D98" s="13" t="str">
        <f>IFERROR(VLOOKUP(C98,ghg_sort!$A$86:$B$512,2,0),0)</f>
        <v>Agriculture</v>
      </c>
      <c r="E98" s="33" t="s">
        <v>203</v>
      </c>
      <c r="F98" s="13">
        <f>IFERROR(VLOOKUP($E98,ghg_sort!$A$3:$B$21,2,0),0)</f>
        <v>0</v>
      </c>
      <c r="G98" s="13">
        <f t="shared" si="12"/>
        <v>0</v>
      </c>
      <c r="H98" s="13">
        <f t="shared" si="13"/>
        <v>0</v>
      </c>
      <c r="I98" s="13">
        <f t="shared" si="14"/>
        <v>0</v>
      </c>
      <c r="J98" s="13">
        <f t="shared" si="15"/>
        <v>0</v>
      </c>
      <c r="K98" s="13">
        <f t="shared" si="16"/>
        <v>0</v>
      </c>
      <c r="L98" s="13">
        <f t="shared" si="17"/>
        <v>0</v>
      </c>
      <c r="M98" s="13">
        <f t="shared" si="18"/>
        <v>0</v>
      </c>
      <c r="N98" s="13">
        <f t="shared" si="19"/>
        <v>0</v>
      </c>
      <c r="O98" s="13">
        <f t="shared" si="20"/>
        <v>0</v>
      </c>
      <c r="P98" s="13">
        <f t="shared" si="21"/>
        <v>0</v>
      </c>
      <c r="Q98" s="13">
        <f t="shared" si="22"/>
        <v>0</v>
      </c>
      <c r="R98" s="13" t="s">
        <v>239</v>
      </c>
      <c r="T98" s="14">
        <v>3.3900379999999999E-4</v>
      </c>
      <c r="U98" s="14">
        <v>5.8969890000000003E-4</v>
      </c>
      <c r="V98" s="14">
        <v>8.7626519999999995E-4</v>
      </c>
      <c r="W98" s="14">
        <v>8.2073669999999999E-4</v>
      </c>
      <c r="X98" s="14">
        <v>8.7309406000000002E-4</v>
      </c>
      <c r="Y98" s="14">
        <v>9.0565912000000002E-4</v>
      </c>
      <c r="Z98" s="14">
        <v>9.2978551999999904E-4</v>
      </c>
      <c r="AA98" s="14">
        <v>9.4392157999999998E-4</v>
      </c>
      <c r="AB98" s="14">
        <v>9.5023511000000001E-4</v>
      </c>
      <c r="AC98" s="14">
        <v>9.5264161999999996E-4</v>
      </c>
      <c r="AD98" s="14">
        <v>9.3953665999999903E-4</v>
      </c>
      <c r="AE98" s="13" t="s">
        <v>93</v>
      </c>
    </row>
    <row r="99" spans="1:31">
      <c r="A99" s="13" t="s">
        <v>260</v>
      </c>
      <c r="B99" s="13" t="s">
        <v>1</v>
      </c>
      <c r="C99" s="13" t="s">
        <v>221</v>
      </c>
      <c r="D99" s="13" t="str">
        <f>IFERROR(VLOOKUP(C99,ghg_sort!$A$86:$B$512,2,0),0)</f>
        <v>Agriculture</v>
      </c>
      <c r="E99" s="33" t="s">
        <v>204</v>
      </c>
      <c r="F99" s="13">
        <f>IFERROR(VLOOKUP($E99,ghg_sort!$A$3:$B$21,2,0),0)</f>
        <v>0</v>
      </c>
      <c r="G99" s="13">
        <f t="shared" si="12"/>
        <v>0</v>
      </c>
      <c r="H99" s="13">
        <f t="shared" si="13"/>
        <v>0</v>
      </c>
      <c r="I99" s="13">
        <f t="shared" si="14"/>
        <v>0</v>
      </c>
      <c r="J99" s="13">
        <f t="shared" si="15"/>
        <v>0</v>
      </c>
      <c r="K99" s="13">
        <f t="shared" si="16"/>
        <v>0</v>
      </c>
      <c r="L99" s="13">
        <f t="shared" si="17"/>
        <v>0</v>
      </c>
      <c r="M99" s="13">
        <f t="shared" si="18"/>
        <v>0</v>
      </c>
      <c r="N99" s="13">
        <f t="shared" si="19"/>
        <v>0</v>
      </c>
      <c r="O99" s="13">
        <f t="shared" si="20"/>
        <v>0</v>
      </c>
      <c r="P99" s="13">
        <f t="shared" si="21"/>
        <v>0</v>
      </c>
      <c r="Q99" s="13">
        <f t="shared" si="22"/>
        <v>0</v>
      </c>
      <c r="R99" s="13" t="s">
        <v>239</v>
      </c>
      <c r="T99" s="14">
        <v>4.03631E-5</v>
      </c>
      <c r="U99" s="14">
        <v>5.9989499999999999E-5</v>
      </c>
      <c r="V99" s="14">
        <v>8.8236699999999995E-5</v>
      </c>
      <c r="W99" s="14">
        <v>7.8716999999999999E-5</v>
      </c>
      <c r="X99" s="14">
        <v>8.3738577999999998E-5</v>
      </c>
      <c r="Y99" s="14">
        <v>8.6861966999999898E-5</v>
      </c>
      <c r="Z99" s="14">
        <v>8.9175882999999995E-5</v>
      </c>
      <c r="AA99" s="14">
        <v>9.0531757000000002E-5</v>
      </c>
      <c r="AB99" s="14">
        <v>9.1137201000000002E-5</v>
      </c>
      <c r="AC99" s="14">
        <v>9.1367989999999996E-5</v>
      </c>
      <c r="AD99" s="14">
        <v>9.0111031999999999E-5</v>
      </c>
      <c r="AE99" s="13" t="s">
        <v>93</v>
      </c>
    </row>
    <row r="100" spans="1:31">
      <c r="A100" s="13" t="s">
        <v>260</v>
      </c>
      <c r="B100" s="13" t="s">
        <v>1</v>
      </c>
      <c r="C100" s="13" t="s">
        <v>222</v>
      </c>
      <c r="D100" s="13" t="str">
        <f>IFERROR(VLOOKUP(C100,ghg_sort!$A$86:$B$512,2,0),0)</f>
        <v>Agriculture</v>
      </c>
      <c r="E100" s="33" t="s">
        <v>206</v>
      </c>
      <c r="F100" s="13">
        <f>IFERROR(VLOOKUP($E100,ghg_sort!$A$3:$B$21,2,0),0)</f>
        <v>0</v>
      </c>
      <c r="G100" s="13">
        <f t="shared" si="12"/>
        <v>0</v>
      </c>
      <c r="H100" s="13">
        <f t="shared" si="13"/>
        <v>0</v>
      </c>
      <c r="I100" s="13">
        <f t="shared" si="14"/>
        <v>0</v>
      </c>
      <c r="J100" s="13">
        <f t="shared" si="15"/>
        <v>0</v>
      </c>
      <c r="K100" s="13">
        <f t="shared" si="16"/>
        <v>0</v>
      </c>
      <c r="L100" s="13">
        <f t="shared" si="17"/>
        <v>0</v>
      </c>
      <c r="M100" s="13">
        <f t="shared" si="18"/>
        <v>0</v>
      </c>
      <c r="N100" s="13">
        <f t="shared" si="19"/>
        <v>0</v>
      </c>
      <c r="O100" s="13">
        <f t="shared" si="20"/>
        <v>0</v>
      </c>
      <c r="P100" s="13">
        <f t="shared" si="21"/>
        <v>0</v>
      </c>
      <c r="Q100" s="13">
        <f t="shared" si="22"/>
        <v>0</v>
      </c>
      <c r="R100" s="13" t="s">
        <v>239</v>
      </c>
      <c r="T100" s="14">
        <v>1.3966909999999999E-4</v>
      </c>
      <c r="U100" s="14">
        <v>1.345966E-4</v>
      </c>
      <c r="V100" s="13">
        <v>2.2459899999999998E-3</v>
      </c>
      <c r="W100" s="13">
        <v>2.1643859999999999E-3</v>
      </c>
      <c r="X100" s="13">
        <v>1.38931899999999E-3</v>
      </c>
      <c r="Y100" s="14">
        <v>9.7089599999999898E-4</v>
      </c>
      <c r="Z100" s="14">
        <v>9.0321840000000004E-4</v>
      </c>
      <c r="AA100" s="14">
        <v>8.9948820000000001E-4</v>
      </c>
      <c r="AB100" s="14">
        <v>8.8820450000000003E-4</v>
      </c>
      <c r="AC100" s="14">
        <v>8.6864249999999896E-4</v>
      </c>
      <c r="AD100" s="14">
        <v>8.3819220000000004E-4</v>
      </c>
      <c r="AE100" s="13" t="s">
        <v>93</v>
      </c>
    </row>
    <row r="101" spans="1:31">
      <c r="A101" s="13" t="s">
        <v>260</v>
      </c>
      <c r="B101" s="13" t="s">
        <v>1</v>
      </c>
      <c r="C101" s="13" t="s">
        <v>222</v>
      </c>
      <c r="D101" s="13" t="str">
        <f>IFERROR(VLOOKUP(C101,ghg_sort!$A$86:$B$512,2,0),0)</f>
        <v>Agriculture</v>
      </c>
      <c r="E101" s="33" t="s">
        <v>104</v>
      </c>
      <c r="F101" s="13">
        <f>IFERROR(VLOOKUP($E101,ghg_sort!$A$3:$B$21,2,0),0)</f>
        <v>25</v>
      </c>
      <c r="G101" s="13">
        <f t="shared" si="12"/>
        <v>6.5327525</v>
      </c>
      <c r="H101" s="13">
        <f t="shared" si="13"/>
        <v>5.1434999999999755</v>
      </c>
      <c r="I101" s="13">
        <f t="shared" si="14"/>
        <v>4.6835000000000004</v>
      </c>
      <c r="J101" s="13">
        <f t="shared" si="15"/>
        <v>4.2815000000000003</v>
      </c>
      <c r="K101" s="13">
        <f t="shared" si="16"/>
        <v>4.3791099999999998</v>
      </c>
      <c r="L101" s="13">
        <f t="shared" si="17"/>
        <v>4.2835625000000004</v>
      </c>
      <c r="M101" s="13">
        <f t="shared" si="18"/>
        <v>4.235857499999975</v>
      </c>
      <c r="N101" s="13">
        <f t="shared" si="19"/>
        <v>4.1129175</v>
      </c>
      <c r="O101" s="13">
        <f t="shared" si="20"/>
        <v>3.8602850000000002</v>
      </c>
      <c r="P101" s="13">
        <f t="shared" si="21"/>
        <v>3.5392874999999999</v>
      </c>
      <c r="Q101" s="13">
        <f t="shared" si="22"/>
        <v>3.3718875000000001</v>
      </c>
      <c r="R101" s="13" t="s">
        <v>239</v>
      </c>
      <c r="T101" s="13">
        <v>0.26131009999999999</v>
      </c>
      <c r="U101" s="13">
        <v>0.20573999999999901</v>
      </c>
      <c r="V101" s="13">
        <v>0.18734000000000001</v>
      </c>
      <c r="W101" s="13">
        <v>0.17126</v>
      </c>
      <c r="X101" s="13">
        <v>0.1751644</v>
      </c>
      <c r="Y101" s="13">
        <v>0.17134250000000001</v>
      </c>
      <c r="Z101" s="13">
        <v>0.16943429999999901</v>
      </c>
      <c r="AA101" s="13">
        <v>0.16451669999999999</v>
      </c>
      <c r="AB101" s="13">
        <v>0.1544114</v>
      </c>
      <c r="AC101" s="13">
        <v>0.14157149999999999</v>
      </c>
      <c r="AD101" s="13">
        <v>0.13487550000000001</v>
      </c>
      <c r="AE101" s="13" t="s">
        <v>93</v>
      </c>
    </row>
    <row r="102" spans="1:31">
      <c r="A102" s="13" t="s">
        <v>260</v>
      </c>
      <c r="B102" s="13" t="s">
        <v>1</v>
      </c>
      <c r="C102" s="13" t="s">
        <v>222</v>
      </c>
      <c r="D102" s="13" t="str">
        <f>IFERROR(VLOOKUP(C102,ghg_sort!$A$86:$B$512,2,0),0)</f>
        <v>Agriculture</v>
      </c>
      <c r="E102" s="33" t="s">
        <v>105</v>
      </c>
      <c r="F102" s="13">
        <f>IFERROR(VLOOKUP($E102,ghg_sort!$A$3:$B$21,2,0),0)</f>
        <v>25</v>
      </c>
      <c r="G102" s="13">
        <f t="shared" si="12"/>
        <v>2.7095800000000003E-2</v>
      </c>
      <c r="H102" s="13">
        <f t="shared" si="13"/>
        <v>2.611175E-2</v>
      </c>
      <c r="I102" s="13">
        <f t="shared" si="14"/>
        <v>2.69789E-2</v>
      </c>
      <c r="J102" s="13">
        <f t="shared" si="15"/>
        <v>2.59987E-2</v>
      </c>
      <c r="K102" s="13">
        <f t="shared" si="16"/>
        <v>1.6688580000000001E-2</v>
      </c>
      <c r="L102" s="13">
        <f t="shared" si="17"/>
        <v>1.1662447499999999E-2</v>
      </c>
      <c r="M102" s="13">
        <f t="shared" si="18"/>
        <v>1.0849487499999999E-2</v>
      </c>
      <c r="N102" s="13">
        <f t="shared" si="19"/>
        <v>1.0804694999999975E-2</v>
      </c>
      <c r="O102" s="13">
        <f t="shared" si="20"/>
        <v>1.0669142499999999E-2</v>
      </c>
      <c r="P102" s="13">
        <f t="shared" si="21"/>
        <v>1.0434165E-2</v>
      </c>
      <c r="Q102" s="13">
        <f t="shared" si="22"/>
        <v>1.006838E-2</v>
      </c>
      <c r="R102" s="13" t="s">
        <v>239</v>
      </c>
      <c r="T102" s="13">
        <v>1.0838320000000001E-3</v>
      </c>
      <c r="U102" s="13">
        <v>1.04447E-3</v>
      </c>
      <c r="V102" s="13">
        <v>1.079156E-3</v>
      </c>
      <c r="W102" s="13">
        <v>1.039948E-3</v>
      </c>
      <c r="X102" s="14">
        <v>6.675432E-4</v>
      </c>
      <c r="Y102" s="14">
        <v>4.664979E-4</v>
      </c>
      <c r="Z102" s="14">
        <v>4.3397949999999998E-4</v>
      </c>
      <c r="AA102" s="14">
        <v>4.3218779999999903E-4</v>
      </c>
      <c r="AB102" s="14">
        <v>4.2676569999999998E-4</v>
      </c>
      <c r="AC102" s="14">
        <v>4.173666E-4</v>
      </c>
      <c r="AD102" s="14">
        <v>4.027352E-4</v>
      </c>
      <c r="AE102" s="13" t="s">
        <v>93</v>
      </c>
    </row>
    <row r="103" spans="1:31">
      <c r="A103" s="13" t="s">
        <v>260</v>
      </c>
      <c r="B103" s="13" t="s">
        <v>1</v>
      </c>
      <c r="C103" s="13" t="s">
        <v>222</v>
      </c>
      <c r="D103" s="13" t="str">
        <f>IFERROR(VLOOKUP(C103,ghg_sort!$A$86:$B$512,2,0),0)</f>
        <v>Agriculture</v>
      </c>
      <c r="E103" s="33" t="s">
        <v>207</v>
      </c>
      <c r="F103" s="13">
        <f>IFERROR(VLOOKUP($E103,ghg_sort!$A$3:$B$21,2,0),0)</f>
        <v>0</v>
      </c>
      <c r="G103" s="13">
        <f t="shared" si="12"/>
        <v>0</v>
      </c>
      <c r="H103" s="13">
        <f t="shared" si="13"/>
        <v>0</v>
      </c>
      <c r="I103" s="13">
        <f t="shared" si="14"/>
        <v>0</v>
      </c>
      <c r="J103" s="13">
        <f t="shared" si="15"/>
        <v>0</v>
      </c>
      <c r="K103" s="13">
        <f t="shared" si="16"/>
        <v>0</v>
      </c>
      <c r="L103" s="13">
        <f t="shared" si="17"/>
        <v>0</v>
      </c>
      <c r="M103" s="13">
        <f t="shared" si="18"/>
        <v>0</v>
      </c>
      <c r="N103" s="13">
        <f t="shared" si="19"/>
        <v>0</v>
      </c>
      <c r="O103" s="13">
        <f t="shared" si="20"/>
        <v>0</v>
      </c>
      <c r="P103" s="13">
        <f t="shared" si="21"/>
        <v>0</v>
      </c>
      <c r="Q103" s="13">
        <f t="shared" si="22"/>
        <v>0</v>
      </c>
      <c r="R103" s="13" t="s">
        <v>239</v>
      </c>
      <c r="T103" s="13">
        <v>1.8995000000000001E-2</v>
      </c>
      <c r="U103" s="13">
        <v>1.8305140000000001E-2</v>
      </c>
      <c r="V103" s="13">
        <v>1.8913050000000001E-2</v>
      </c>
      <c r="W103" s="13">
        <v>1.822588E-2</v>
      </c>
      <c r="X103" s="13">
        <v>1.169918E-2</v>
      </c>
      <c r="Y103" s="13">
        <v>8.1757380000000001E-3</v>
      </c>
      <c r="Z103" s="13">
        <v>7.6058289999999997E-3</v>
      </c>
      <c r="AA103" s="13">
        <v>7.57443099999999E-3</v>
      </c>
      <c r="AB103" s="13">
        <v>7.4793990000000003E-3</v>
      </c>
      <c r="AC103" s="13">
        <v>7.31467199999999E-3</v>
      </c>
      <c r="AD103" s="13">
        <v>7.0582559999999997E-3</v>
      </c>
      <c r="AE103" s="13" t="s">
        <v>93</v>
      </c>
    </row>
    <row r="104" spans="1:31">
      <c r="A104" s="13" t="s">
        <v>260</v>
      </c>
      <c r="B104" s="13" t="s">
        <v>1</v>
      </c>
      <c r="C104" s="13" t="s">
        <v>222</v>
      </c>
      <c r="D104" s="13" t="str">
        <f>IFERROR(VLOOKUP(C104,ghg_sort!$A$86:$B$512,2,0),0)</f>
        <v>Agriculture</v>
      </c>
      <c r="E104" s="33" t="s">
        <v>208</v>
      </c>
      <c r="F104" s="13">
        <f>IFERROR(VLOOKUP($E104,ghg_sort!$A$3:$B$21,2,0),0)</f>
        <v>0</v>
      </c>
      <c r="G104" s="13">
        <f t="shared" si="12"/>
        <v>0</v>
      </c>
      <c r="H104" s="13">
        <f t="shared" si="13"/>
        <v>0</v>
      </c>
      <c r="I104" s="13">
        <f t="shared" si="14"/>
        <v>0</v>
      </c>
      <c r="J104" s="13">
        <f t="shared" si="15"/>
        <v>0</v>
      </c>
      <c r="K104" s="13">
        <f t="shared" si="16"/>
        <v>0</v>
      </c>
      <c r="L104" s="13">
        <f t="shared" si="17"/>
        <v>0</v>
      </c>
      <c r="M104" s="13">
        <f t="shared" si="18"/>
        <v>0</v>
      </c>
      <c r="N104" s="13">
        <f t="shared" si="19"/>
        <v>0</v>
      </c>
      <c r="O104" s="13">
        <f t="shared" si="20"/>
        <v>0</v>
      </c>
      <c r="P104" s="13">
        <f t="shared" si="21"/>
        <v>0</v>
      </c>
      <c r="Q104" s="13">
        <f t="shared" si="22"/>
        <v>0</v>
      </c>
      <c r="R104" s="13" t="s">
        <v>239</v>
      </c>
      <c r="T104" s="14">
        <v>4.3973349999999999E-4</v>
      </c>
      <c r="U104" s="14">
        <v>4.2443949999999901E-4</v>
      </c>
      <c r="V104" s="14">
        <v>4.3853529999999998E-4</v>
      </c>
      <c r="W104" s="14">
        <v>4.2260249999999898E-4</v>
      </c>
      <c r="X104" s="14">
        <v>2.7126799999999899E-4</v>
      </c>
      <c r="Y104" s="14">
        <v>1.8956989999999901E-4</v>
      </c>
      <c r="Z104" s="14">
        <v>1.763557E-4</v>
      </c>
      <c r="AA104" s="14">
        <v>1.7562719999999999E-4</v>
      </c>
      <c r="AB104" s="14">
        <v>1.7342409999999999E-4</v>
      </c>
      <c r="AC104" s="14">
        <v>1.696046E-4</v>
      </c>
      <c r="AD104" s="14">
        <v>1.63659099999999E-4</v>
      </c>
      <c r="AE104" s="13" t="s">
        <v>93</v>
      </c>
    </row>
    <row r="105" spans="1:31">
      <c r="A105" s="13" t="s">
        <v>260</v>
      </c>
      <c r="B105" s="13" t="s">
        <v>1</v>
      </c>
      <c r="C105" s="13" t="s">
        <v>222</v>
      </c>
      <c r="D105" s="13" t="str">
        <f>IFERROR(VLOOKUP(C105,ghg_sort!$A$86:$B$512,2,0),0)</f>
        <v>Agriculture</v>
      </c>
      <c r="E105" s="33" t="s">
        <v>101</v>
      </c>
      <c r="F105" s="13">
        <f>IFERROR(VLOOKUP($E105,ghg_sort!$A$3:$B$21,2,0),0)</f>
        <v>298</v>
      </c>
      <c r="G105" s="13">
        <f t="shared" si="12"/>
        <v>2.4388841500000003</v>
      </c>
      <c r="H105" s="13">
        <f t="shared" si="13"/>
        <v>2.8359408400000001</v>
      </c>
      <c r="I105" s="13">
        <f t="shared" si="14"/>
        <v>2.2496738179999998</v>
      </c>
      <c r="J105" s="13">
        <f t="shared" si="15"/>
        <v>2.3810334099999997</v>
      </c>
      <c r="K105" s="13">
        <f t="shared" si="16"/>
        <v>2.435314408</v>
      </c>
      <c r="L105" s="13">
        <f t="shared" si="17"/>
        <v>2.3821813060000001</v>
      </c>
      <c r="M105" s="13">
        <f t="shared" si="18"/>
        <v>2.3556524519999997</v>
      </c>
      <c r="N105" s="13">
        <f t="shared" si="19"/>
        <v>2.2872846959999968</v>
      </c>
      <c r="O105" s="13">
        <f t="shared" si="20"/>
        <v>2.146789616</v>
      </c>
      <c r="P105" s="13">
        <f t="shared" si="21"/>
        <v>1.9682745039999969</v>
      </c>
      <c r="Q105" s="13">
        <f t="shared" si="22"/>
        <v>1.875181687999997</v>
      </c>
      <c r="R105" s="13" t="s">
        <v>239</v>
      </c>
      <c r="T105" s="13">
        <v>8.1841750000000001E-3</v>
      </c>
      <c r="U105" s="13">
        <v>9.5165800000000002E-3</v>
      </c>
      <c r="V105" s="13">
        <v>7.5492409999999999E-3</v>
      </c>
      <c r="W105" s="13">
        <v>7.9900449999999994E-3</v>
      </c>
      <c r="X105" s="13">
        <v>8.1721959999999996E-3</v>
      </c>
      <c r="Y105" s="13">
        <v>7.9938969999999998E-3</v>
      </c>
      <c r="Z105" s="13">
        <v>7.9048739999999992E-3</v>
      </c>
      <c r="AA105" s="13">
        <v>7.6754519999999897E-3</v>
      </c>
      <c r="AB105" s="13">
        <v>7.2039920000000002E-3</v>
      </c>
      <c r="AC105" s="13">
        <v>6.6049479999999898E-3</v>
      </c>
      <c r="AD105" s="13">
        <v>6.29255599999999E-3</v>
      </c>
      <c r="AE105" s="13" t="s">
        <v>93</v>
      </c>
    </row>
    <row r="106" spans="1:31">
      <c r="A106" s="13" t="s">
        <v>260</v>
      </c>
      <c r="B106" s="13" t="s">
        <v>1</v>
      </c>
      <c r="C106" s="13" t="s">
        <v>222</v>
      </c>
      <c r="D106" s="13" t="str">
        <f>IFERROR(VLOOKUP(C106,ghg_sort!$A$86:$B$512,2,0),0)</f>
        <v>Agriculture</v>
      </c>
      <c r="E106" s="33" t="s">
        <v>102</v>
      </c>
      <c r="F106" s="13">
        <f>IFERROR(VLOOKUP($E106,ghg_sort!$A$3:$B$21,2,0),0)</f>
        <v>298</v>
      </c>
      <c r="G106" s="13">
        <f t="shared" si="12"/>
        <v>5.5495049999999997E-3</v>
      </c>
      <c r="H106" s="13">
        <f t="shared" si="13"/>
        <v>5.3479676000000006E-3</v>
      </c>
      <c r="I106" s="13">
        <f t="shared" si="14"/>
        <v>5.5255755999999998E-3</v>
      </c>
      <c r="J106" s="13">
        <f t="shared" si="15"/>
        <v>5.3248130000000003E-3</v>
      </c>
      <c r="K106" s="13">
        <f t="shared" si="16"/>
        <v>3.4179974199999999E-3</v>
      </c>
      <c r="L106" s="13">
        <f t="shared" si="17"/>
        <v>2.3885918820000002E-3</v>
      </c>
      <c r="M106" s="13">
        <f t="shared" si="18"/>
        <v>2.222095407999997E-3</v>
      </c>
      <c r="N106" s="13">
        <f t="shared" si="19"/>
        <v>2.212914921999997E-3</v>
      </c>
      <c r="O106" s="13">
        <f t="shared" si="20"/>
        <v>2.1851577119999998E-3</v>
      </c>
      <c r="P106" s="13">
        <f t="shared" si="21"/>
        <v>2.1370301159999998E-3</v>
      </c>
      <c r="Q106" s="13">
        <f t="shared" si="22"/>
        <v>2.062113214E-3</v>
      </c>
      <c r="R106" s="13" t="s">
        <v>239</v>
      </c>
      <c r="T106" s="14">
        <v>1.86225E-5</v>
      </c>
      <c r="U106" s="14">
        <v>1.7946200000000001E-5</v>
      </c>
      <c r="V106" s="14">
        <v>1.85422E-5</v>
      </c>
      <c r="W106" s="14">
        <v>1.78685E-5</v>
      </c>
      <c r="X106" s="14">
        <v>1.1469789999999999E-5</v>
      </c>
      <c r="Y106" s="14">
        <v>8.0154090000000008E-6</v>
      </c>
      <c r="Z106" s="14">
        <v>7.4566959999999898E-6</v>
      </c>
      <c r="AA106" s="14">
        <v>7.4258889999999901E-6</v>
      </c>
      <c r="AB106" s="14">
        <v>7.3327439999999996E-6</v>
      </c>
      <c r="AC106" s="14">
        <v>7.1712419999999999E-6</v>
      </c>
      <c r="AD106" s="14">
        <v>6.9198430000000004E-6</v>
      </c>
      <c r="AE106" s="13" t="s">
        <v>93</v>
      </c>
    </row>
    <row r="107" spans="1:31">
      <c r="A107" s="13" t="s">
        <v>260</v>
      </c>
      <c r="B107" s="13" t="s">
        <v>1</v>
      </c>
      <c r="C107" s="13" t="s">
        <v>222</v>
      </c>
      <c r="D107" s="13" t="str">
        <f>IFERROR(VLOOKUP(C107,ghg_sort!$A$86:$B$512,2,0),0)</f>
        <v>Agriculture</v>
      </c>
      <c r="E107" s="33" t="s">
        <v>202</v>
      </c>
      <c r="F107" s="13">
        <f>IFERROR(VLOOKUP($E107,ghg_sort!$A$3:$B$21,2,0),0)</f>
        <v>0</v>
      </c>
      <c r="G107" s="13">
        <f t="shared" si="12"/>
        <v>0</v>
      </c>
      <c r="H107" s="13">
        <f t="shared" si="13"/>
        <v>0</v>
      </c>
      <c r="I107" s="13">
        <f t="shared" si="14"/>
        <v>0</v>
      </c>
      <c r="J107" s="13">
        <f t="shared" si="15"/>
        <v>0</v>
      </c>
      <c r="K107" s="13">
        <f t="shared" si="16"/>
        <v>0</v>
      </c>
      <c r="L107" s="13">
        <f t="shared" si="17"/>
        <v>0</v>
      </c>
      <c r="M107" s="13">
        <f t="shared" si="18"/>
        <v>0</v>
      </c>
      <c r="N107" s="13">
        <f t="shared" si="19"/>
        <v>0</v>
      </c>
      <c r="O107" s="13">
        <f t="shared" si="20"/>
        <v>0</v>
      </c>
      <c r="P107" s="13">
        <f t="shared" si="21"/>
        <v>0</v>
      </c>
      <c r="Q107" s="13">
        <f t="shared" si="22"/>
        <v>0</v>
      </c>
      <c r="R107" s="13" t="s">
        <v>239</v>
      </c>
      <c r="T107" s="13">
        <v>4.7147380000000003E-2</v>
      </c>
      <c r="U107" s="13">
        <v>5.7618330000000002E-2</v>
      </c>
      <c r="V107" s="13">
        <v>5.0001799999999999E-2</v>
      </c>
      <c r="W107" s="13">
        <v>5.0234979999999999E-2</v>
      </c>
      <c r="X107" s="13">
        <v>5.143172E-2</v>
      </c>
      <c r="Y107" s="13">
        <v>5.2258689999999997E-2</v>
      </c>
      <c r="Z107" s="13">
        <v>5.2408879999999998E-2</v>
      </c>
      <c r="AA107" s="13">
        <v>5.2192459999999899E-2</v>
      </c>
      <c r="AB107" s="13">
        <v>5.153758E-2</v>
      </c>
      <c r="AC107" s="13">
        <v>5.0402629999999997E-2</v>
      </c>
      <c r="AD107" s="13">
        <v>4.8635649999999898E-2</v>
      </c>
      <c r="AE107" s="13" t="s">
        <v>93</v>
      </c>
    </row>
    <row r="108" spans="1:31">
      <c r="A108" s="13" t="s">
        <v>260</v>
      </c>
      <c r="B108" s="13" t="s">
        <v>1</v>
      </c>
      <c r="C108" s="13" t="s">
        <v>222</v>
      </c>
      <c r="D108" s="13" t="str">
        <f>IFERROR(VLOOKUP(C108,ghg_sort!$A$86:$B$512,2,0),0)</f>
        <v>Agriculture</v>
      </c>
      <c r="E108" s="33" t="s">
        <v>209</v>
      </c>
      <c r="F108" s="13">
        <f>IFERROR(VLOOKUP($E108,ghg_sort!$A$3:$B$21,2,0),0)</f>
        <v>0</v>
      </c>
      <c r="G108" s="13">
        <f t="shared" si="12"/>
        <v>0</v>
      </c>
      <c r="H108" s="13">
        <f t="shared" si="13"/>
        <v>0</v>
      </c>
      <c r="I108" s="13">
        <f t="shared" si="14"/>
        <v>0</v>
      </c>
      <c r="J108" s="13">
        <f t="shared" si="15"/>
        <v>0</v>
      </c>
      <c r="K108" s="13">
        <f t="shared" si="16"/>
        <v>0</v>
      </c>
      <c r="L108" s="13">
        <f t="shared" si="17"/>
        <v>0</v>
      </c>
      <c r="M108" s="13">
        <f t="shared" si="18"/>
        <v>0</v>
      </c>
      <c r="N108" s="13">
        <f t="shared" si="19"/>
        <v>0</v>
      </c>
      <c r="O108" s="13">
        <f t="shared" si="20"/>
        <v>0</v>
      </c>
      <c r="P108" s="13">
        <f t="shared" si="21"/>
        <v>0</v>
      </c>
      <c r="Q108" s="13">
        <f t="shared" si="22"/>
        <v>0</v>
      </c>
      <c r="R108" s="13" t="s">
        <v>239</v>
      </c>
      <c r="T108" s="14">
        <v>4.0410929999999998E-4</v>
      </c>
      <c r="U108" s="14">
        <v>3.8943220000000001E-4</v>
      </c>
      <c r="V108" s="14">
        <v>4.0236610000000001E-4</v>
      </c>
      <c r="W108" s="14">
        <v>3.8774729999999899E-4</v>
      </c>
      <c r="X108" s="14">
        <v>2.4889489999999997E-4</v>
      </c>
      <c r="Y108" s="14">
        <v>1.7393469999999999E-4</v>
      </c>
      <c r="Z108" s="14">
        <v>1.618104E-4</v>
      </c>
      <c r="AA108" s="14">
        <v>1.6114219999999901E-4</v>
      </c>
      <c r="AB108" s="14">
        <v>1.5912049999999999E-4</v>
      </c>
      <c r="AC108" s="14">
        <v>1.556161E-4</v>
      </c>
      <c r="AD108" s="14">
        <v>1.5016089999999999E-4</v>
      </c>
      <c r="AE108" s="13" t="s">
        <v>93</v>
      </c>
    </row>
    <row r="109" spans="1:31">
      <c r="A109" s="13" t="s">
        <v>260</v>
      </c>
      <c r="B109" s="13" t="s">
        <v>1</v>
      </c>
      <c r="C109" s="13" t="s">
        <v>222</v>
      </c>
      <c r="D109" s="13" t="str">
        <f>IFERROR(VLOOKUP(C109,ghg_sort!$A$86:$B$512,2,0),0)</f>
        <v>Agriculture</v>
      </c>
      <c r="E109" s="33" t="s">
        <v>210</v>
      </c>
      <c r="F109" s="13">
        <f>IFERROR(VLOOKUP($E109,ghg_sort!$A$3:$B$21,2,0),0)</f>
        <v>0</v>
      </c>
      <c r="G109" s="13">
        <f t="shared" si="12"/>
        <v>0</v>
      </c>
      <c r="H109" s="13">
        <f t="shared" si="13"/>
        <v>0</v>
      </c>
      <c r="I109" s="13">
        <f t="shared" si="14"/>
        <v>0</v>
      </c>
      <c r="J109" s="13">
        <f t="shared" si="15"/>
        <v>0</v>
      </c>
      <c r="K109" s="13">
        <f t="shared" si="16"/>
        <v>0</v>
      </c>
      <c r="L109" s="13">
        <f t="shared" si="17"/>
        <v>0</v>
      </c>
      <c r="M109" s="13">
        <f t="shared" si="18"/>
        <v>0</v>
      </c>
      <c r="N109" s="13">
        <f t="shared" si="19"/>
        <v>0</v>
      </c>
      <c r="O109" s="13">
        <f t="shared" si="20"/>
        <v>0</v>
      </c>
      <c r="P109" s="13">
        <f t="shared" si="21"/>
        <v>0</v>
      </c>
      <c r="Q109" s="13">
        <f t="shared" si="22"/>
        <v>0</v>
      </c>
      <c r="R109" s="13" t="s">
        <v>239</v>
      </c>
      <c r="T109" s="13">
        <v>4.5533589999999999E-3</v>
      </c>
      <c r="U109" s="13">
        <v>4.3803469999999997E-3</v>
      </c>
      <c r="V109" s="13">
        <v>4.5258199999999998E-3</v>
      </c>
      <c r="W109" s="13">
        <v>4.3613799999999998E-3</v>
      </c>
      <c r="X109" s="13">
        <v>2.7995720000000002E-3</v>
      </c>
      <c r="Y109" s="13">
        <v>1.956419E-3</v>
      </c>
      <c r="Z109" s="13">
        <v>1.8200429999999999E-3</v>
      </c>
      <c r="AA109" s="13">
        <v>1.8125279999999899E-3</v>
      </c>
      <c r="AB109" s="13">
        <v>1.7897880000000001E-3</v>
      </c>
      <c r="AC109" s="13">
        <v>1.7503709999999999E-3</v>
      </c>
      <c r="AD109" s="13">
        <v>1.6890099999999999E-3</v>
      </c>
      <c r="AE109" s="13" t="s">
        <v>93</v>
      </c>
    </row>
    <row r="110" spans="1:31">
      <c r="A110" s="13" t="s">
        <v>260</v>
      </c>
      <c r="B110" s="13" t="s">
        <v>1</v>
      </c>
      <c r="C110" s="13" t="s">
        <v>222</v>
      </c>
      <c r="D110" s="13" t="str">
        <f>IFERROR(VLOOKUP(C110,ghg_sort!$A$86:$B$512,2,0),0)</f>
        <v>Agriculture</v>
      </c>
      <c r="E110" s="33" t="s">
        <v>204</v>
      </c>
      <c r="F110" s="13">
        <f>IFERROR(VLOOKUP($E110,ghg_sort!$A$3:$B$21,2,0),0)</f>
        <v>0</v>
      </c>
      <c r="G110" s="13">
        <f t="shared" si="12"/>
        <v>0</v>
      </c>
      <c r="H110" s="13">
        <f t="shared" si="13"/>
        <v>0</v>
      </c>
      <c r="I110" s="13">
        <f t="shared" si="14"/>
        <v>0</v>
      </c>
      <c r="J110" s="13">
        <f t="shared" si="15"/>
        <v>0</v>
      </c>
      <c r="K110" s="13">
        <f t="shared" si="16"/>
        <v>0</v>
      </c>
      <c r="L110" s="13">
        <f t="shared" si="17"/>
        <v>0</v>
      </c>
      <c r="M110" s="13">
        <f t="shared" si="18"/>
        <v>0</v>
      </c>
      <c r="N110" s="13">
        <f t="shared" si="19"/>
        <v>0</v>
      </c>
      <c r="O110" s="13">
        <f t="shared" si="20"/>
        <v>0</v>
      </c>
      <c r="P110" s="13">
        <f t="shared" si="21"/>
        <v>0</v>
      </c>
      <c r="Q110" s="13">
        <f t="shared" si="22"/>
        <v>0</v>
      </c>
      <c r="R110" s="13" t="s">
        <v>239</v>
      </c>
      <c r="T110" s="13">
        <v>3.9547050000000002E-3</v>
      </c>
      <c r="U110" s="13">
        <v>3.7050099999999999E-3</v>
      </c>
      <c r="V110" s="13">
        <v>3.4040439999999902E-3</v>
      </c>
      <c r="W110" s="13">
        <v>2.9073549999999999E-3</v>
      </c>
      <c r="X110" s="13">
        <v>2.976621E-3</v>
      </c>
      <c r="Y110" s="13">
        <v>3.0244820000000002E-3</v>
      </c>
      <c r="Z110" s="13">
        <v>3.0331709999999999E-3</v>
      </c>
      <c r="AA110" s="13">
        <v>3.0206429999999999E-3</v>
      </c>
      <c r="AB110" s="13">
        <v>2.9827539999999998E-3</v>
      </c>
      <c r="AC110" s="13">
        <v>2.9170559999999999E-3</v>
      </c>
      <c r="AD110" s="13">
        <v>2.8147959999999901E-3</v>
      </c>
      <c r="AE110" s="13" t="s">
        <v>93</v>
      </c>
    </row>
    <row r="111" spans="1:31">
      <c r="A111" s="13" t="s">
        <v>260</v>
      </c>
      <c r="B111" s="13" t="s">
        <v>1</v>
      </c>
      <c r="C111" s="13" t="s">
        <v>222</v>
      </c>
      <c r="D111" s="13" t="str">
        <f>IFERROR(VLOOKUP(C111,ghg_sort!$A$86:$B$512,2,0),0)</f>
        <v>Agriculture</v>
      </c>
      <c r="E111" s="33" t="s">
        <v>211</v>
      </c>
      <c r="F111" s="13">
        <f>IFERROR(VLOOKUP($E111,ghg_sort!$A$3:$B$21,2,0),0)</f>
        <v>0</v>
      </c>
      <c r="G111" s="13">
        <f t="shared" si="12"/>
        <v>0</v>
      </c>
      <c r="H111" s="13">
        <f t="shared" si="13"/>
        <v>0</v>
      </c>
      <c r="I111" s="13">
        <f t="shared" si="14"/>
        <v>0</v>
      </c>
      <c r="J111" s="13">
        <f t="shared" si="15"/>
        <v>0</v>
      </c>
      <c r="K111" s="13">
        <f t="shared" si="16"/>
        <v>0</v>
      </c>
      <c r="L111" s="13">
        <f t="shared" si="17"/>
        <v>0</v>
      </c>
      <c r="M111" s="13">
        <f t="shared" si="18"/>
        <v>0</v>
      </c>
      <c r="N111" s="13">
        <f t="shared" si="19"/>
        <v>0</v>
      </c>
      <c r="O111" s="13">
        <f t="shared" si="20"/>
        <v>0</v>
      </c>
      <c r="P111" s="13">
        <f t="shared" si="21"/>
        <v>0</v>
      </c>
      <c r="Q111" s="13">
        <f t="shared" si="22"/>
        <v>0</v>
      </c>
      <c r="R111" s="13" t="s">
        <v>239</v>
      </c>
      <c r="T111" s="14">
        <v>5.7916109999999995E-4</v>
      </c>
      <c r="U111" s="14">
        <v>5.5812759999999896E-4</v>
      </c>
      <c r="V111" s="14">
        <v>5.7666299999999896E-4</v>
      </c>
      <c r="W111" s="14">
        <v>5.5571079999999903E-4</v>
      </c>
      <c r="X111" s="14">
        <v>3.5671089999999997E-4</v>
      </c>
      <c r="Y111" s="14">
        <v>2.492797E-4</v>
      </c>
      <c r="Z111" s="14">
        <v>2.3190330000000001E-4</v>
      </c>
      <c r="AA111" s="14">
        <v>2.30945299999999E-4</v>
      </c>
      <c r="AB111" s="14">
        <v>2.2804800000000001E-4</v>
      </c>
      <c r="AC111" s="14">
        <v>2.2302549999999999E-4</v>
      </c>
      <c r="AD111" s="14">
        <v>2.1520759999999999E-4</v>
      </c>
      <c r="AE111" s="13" t="s">
        <v>93</v>
      </c>
    </row>
    <row r="112" spans="1:31">
      <c r="A112" s="13" t="s">
        <v>260</v>
      </c>
      <c r="B112" s="13" t="s">
        <v>1</v>
      </c>
      <c r="C112" s="13" t="s">
        <v>222</v>
      </c>
      <c r="D112" s="13" t="str">
        <f>IFERROR(VLOOKUP(C112,ghg_sort!$A$86:$B$512,2,0),0)</f>
        <v>Agriculture</v>
      </c>
      <c r="E112" s="33" t="s">
        <v>212</v>
      </c>
      <c r="F112" s="13">
        <f>IFERROR(VLOOKUP($E112,ghg_sort!$A$3:$B$21,2,0),0)</f>
        <v>0</v>
      </c>
      <c r="G112" s="13">
        <f t="shared" si="12"/>
        <v>0</v>
      </c>
      <c r="H112" s="13">
        <f t="shared" si="13"/>
        <v>0</v>
      </c>
      <c r="I112" s="13">
        <f t="shared" si="14"/>
        <v>0</v>
      </c>
      <c r="J112" s="13">
        <f t="shared" si="15"/>
        <v>0</v>
      </c>
      <c r="K112" s="13">
        <f t="shared" si="16"/>
        <v>0</v>
      </c>
      <c r="L112" s="13">
        <f t="shared" si="17"/>
        <v>0</v>
      </c>
      <c r="M112" s="13">
        <f t="shared" si="18"/>
        <v>0</v>
      </c>
      <c r="N112" s="13">
        <f t="shared" si="19"/>
        <v>0</v>
      </c>
      <c r="O112" s="13">
        <f t="shared" si="20"/>
        <v>0</v>
      </c>
      <c r="P112" s="13">
        <f t="shared" si="21"/>
        <v>0</v>
      </c>
      <c r="Q112" s="13">
        <f t="shared" si="22"/>
        <v>0</v>
      </c>
      <c r="R112" s="13" t="s">
        <v>239</v>
      </c>
      <c r="T112" s="14">
        <v>4.2831849999999899E-4</v>
      </c>
      <c r="U112" s="14">
        <v>4.1276219999999899E-4</v>
      </c>
      <c r="V112" s="13">
        <v>1.0754959999999999E-2</v>
      </c>
      <c r="W112" s="13">
        <v>1.03641999999999E-2</v>
      </c>
      <c r="X112" s="13">
        <v>6.6527819999999899E-3</v>
      </c>
      <c r="Y112" s="13">
        <v>4.6491529999999996E-3</v>
      </c>
      <c r="Z112" s="13">
        <v>4.3250809999999997E-3</v>
      </c>
      <c r="AA112" s="13">
        <v>4.3072190000000002E-3</v>
      </c>
      <c r="AB112" s="13">
        <v>4.253176E-3</v>
      </c>
      <c r="AC112" s="13">
        <v>4.1595160000000003E-3</v>
      </c>
      <c r="AD112" s="13">
        <v>4.0136950000000003E-3</v>
      </c>
      <c r="AE112" s="13" t="s">
        <v>93</v>
      </c>
    </row>
    <row r="113" spans="1:31">
      <c r="A113" s="13" t="s">
        <v>260</v>
      </c>
      <c r="B113" s="13" t="s">
        <v>1</v>
      </c>
      <c r="C113" s="13" t="s">
        <v>222</v>
      </c>
      <c r="D113" s="13" t="str">
        <f>IFERROR(VLOOKUP(C113,ghg_sort!$A$86:$B$512,2,0),0)</f>
        <v>Agriculture</v>
      </c>
      <c r="E113" s="33" t="s">
        <v>213</v>
      </c>
      <c r="F113" s="13">
        <f>IFERROR(VLOOKUP($E113,ghg_sort!$A$3:$B$21,2,0),0)</f>
        <v>0</v>
      </c>
      <c r="G113" s="13">
        <f t="shared" si="12"/>
        <v>0</v>
      </c>
      <c r="H113" s="13">
        <f t="shared" si="13"/>
        <v>0</v>
      </c>
      <c r="I113" s="13">
        <f t="shared" si="14"/>
        <v>0</v>
      </c>
      <c r="J113" s="13">
        <f t="shared" si="15"/>
        <v>0</v>
      </c>
      <c r="K113" s="13">
        <f t="shared" si="16"/>
        <v>0</v>
      </c>
      <c r="L113" s="13">
        <f t="shared" si="17"/>
        <v>0</v>
      </c>
      <c r="M113" s="13">
        <f t="shared" si="18"/>
        <v>0</v>
      </c>
      <c r="N113" s="13">
        <f t="shared" si="19"/>
        <v>0</v>
      </c>
      <c r="O113" s="13">
        <f t="shared" si="20"/>
        <v>0</v>
      </c>
      <c r="P113" s="13">
        <f t="shared" si="21"/>
        <v>0</v>
      </c>
      <c r="Q113" s="13">
        <f t="shared" si="22"/>
        <v>0</v>
      </c>
      <c r="R113" s="13" t="s">
        <v>239</v>
      </c>
      <c r="T113" s="14">
        <v>7.4490219999999893E-5</v>
      </c>
      <c r="U113" s="14">
        <v>7.1784820000000006E-5</v>
      </c>
      <c r="V113" s="14">
        <v>7.4168820000000002E-5</v>
      </c>
      <c r="W113" s="14">
        <v>7.1474040000000003E-5</v>
      </c>
      <c r="X113" s="14">
        <v>4.5879150000000003E-5</v>
      </c>
      <c r="Y113" s="14">
        <v>3.2061719999999898E-5</v>
      </c>
      <c r="Z113" s="14">
        <v>2.9826760000000001E-5</v>
      </c>
      <c r="AA113" s="14">
        <v>2.9703569999999999E-5</v>
      </c>
      <c r="AB113" s="14">
        <v>2.933094E-5</v>
      </c>
      <c r="AC113" s="14">
        <v>2.8685019999999999E-5</v>
      </c>
      <c r="AD113" s="14">
        <v>2.7679350000000001E-5</v>
      </c>
      <c r="AE113" s="13" t="s">
        <v>93</v>
      </c>
    </row>
    <row r="114" spans="1:31">
      <c r="A114" s="13" t="s">
        <v>260</v>
      </c>
      <c r="B114" s="13" t="s">
        <v>1</v>
      </c>
      <c r="C114" s="13" t="s">
        <v>223</v>
      </c>
      <c r="D114" s="13" t="str">
        <f>IFERROR(VLOOKUP(C114,ghg_sort!$A$86:$B$512,2,0),0)</f>
        <v>Agriculture</v>
      </c>
      <c r="E114" s="33" t="s">
        <v>206</v>
      </c>
      <c r="F114" s="13">
        <f>IFERROR(VLOOKUP($E114,ghg_sort!$A$3:$B$21,2,0),0)</f>
        <v>0</v>
      </c>
      <c r="G114" s="13">
        <f t="shared" si="12"/>
        <v>0</v>
      </c>
      <c r="H114" s="13">
        <f t="shared" si="13"/>
        <v>0</v>
      </c>
      <c r="I114" s="13">
        <f t="shared" si="14"/>
        <v>0</v>
      </c>
      <c r="J114" s="13">
        <f t="shared" si="15"/>
        <v>0</v>
      </c>
      <c r="K114" s="13">
        <f t="shared" si="16"/>
        <v>0</v>
      </c>
      <c r="L114" s="13">
        <f t="shared" si="17"/>
        <v>0</v>
      </c>
      <c r="M114" s="13">
        <f t="shared" si="18"/>
        <v>0</v>
      </c>
      <c r="N114" s="13">
        <f t="shared" si="19"/>
        <v>0</v>
      </c>
      <c r="O114" s="13">
        <f t="shared" si="20"/>
        <v>0</v>
      </c>
      <c r="P114" s="13">
        <f t="shared" si="21"/>
        <v>0</v>
      </c>
      <c r="Q114" s="13">
        <f t="shared" si="22"/>
        <v>0</v>
      </c>
      <c r="R114" s="13" t="s">
        <v>239</v>
      </c>
      <c r="T114" s="14">
        <v>2.6869999999999999E-6</v>
      </c>
      <c r="U114" s="14">
        <v>3.12249999999999E-6</v>
      </c>
      <c r="V114" s="14">
        <v>4.8011669999999998E-5</v>
      </c>
      <c r="W114" s="14">
        <v>4.6304109999999997E-5</v>
      </c>
      <c r="X114" s="14">
        <v>3.04654499999999E-5</v>
      </c>
      <c r="Y114" s="14">
        <v>2.2460389999999999E-5</v>
      </c>
      <c r="Z114" s="14">
        <v>2.146056E-5</v>
      </c>
      <c r="AA114" s="14">
        <v>2.2186509999999999E-5</v>
      </c>
      <c r="AB114" s="14">
        <v>2.2819260000000001E-5</v>
      </c>
      <c r="AC114" s="14">
        <v>2.3382329999999898E-5</v>
      </c>
      <c r="AD114" s="14">
        <v>2.3006229999999999E-5</v>
      </c>
      <c r="AE114" s="13" t="s">
        <v>93</v>
      </c>
    </row>
    <row r="115" spans="1:31">
      <c r="A115" s="13" t="s">
        <v>260</v>
      </c>
      <c r="B115" s="13" t="s">
        <v>1</v>
      </c>
      <c r="C115" s="13" t="s">
        <v>223</v>
      </c>
      <c r="D115" s="13" t="str">
        <f>IFERROR(VLOOKUP(C115,ghg_sort!$A$86:$B$512,2,0),0)</f>
        <v>Agriculture</v>
      </c>
      <c r="E115" s="33" t="s">
        <v>105</v>
      </c>
      <c r="F115" s="13">
        <f>IFERROR(VLOOKUP($E115,ghg_sort!$A$3:$B$21,2,0),0)</f>
        <v>25</v>
      </c>
      <c r="G115" s="13">
        <f t="shared" si="12"/>
        <v>5.2127750000000007E-4</v>
      </c>
      <c r="H115" s="13">
        <f t="shared" si="13"/>
        <v>6.0576499999999748E-4</v>
      </c>
      <c r="I115" s="13">
        <f t="shared" si="14"/>
        <v>5.7671774999999996E-4</v>
      </c>
      <c r="J115" s="13">
        <f t="shared" si="15"/>
        <v>5.5620725000000005E-4</v>
      </c>
      <c r="K115" s="13">
        <f t="shared" si="16"/>
        <v>3.6595224999999749E-4</v>
      </c>
      <c r="L115" s="13">
        <f t="shared" si="17"/>
        <v>2.6979525000000001E-4</v>
      </c>
      <c r="M115" s="13">
        <f t="shared" si="18"/>
        <v>2.5778524999999999E-4</v>
      </c>
      <c r="N115" s="13">
        <f t="shared" si="19"/>
        <v>2.665055E-4</v>
      </c>
      <c r="O115" s="13">
        <f t="shared" si="20"/>
        <v>2.7410599999999998E-4</v>
      </c>
      <c r="P115" s="13">
        <f t="shared" si="21"/>
        <v>2.8086950000000001E-4</v>
      </c>
      <c r="Q115" s="13">
        <f t="shared" si="22"/>
        <v>2.76352E-4</v>
      </c>
      <c r="R115" s="13" t="s">
        <v>239</v>
      </c>
      <c r="T115" s="14">
        <v>2.0851100000000001E-5</v>
      </c>
      <c r="U115" s="14">
        <v>2.42305999999999E-5</v>
      </c>
      <c r="V115" s="14">
        <v>2.3068709999999999E-5</v>
      </c>
      <c r="W115" s="14">
        <v>2.2248290000000001E-5</v>
      </c>
      <c r="X115" s="14">
        <v>1.4638089999999901E-5</v>
      </c>
      <c r="Y115" s="14">
        <v>1.079181E-5</v>
      </c>
      <c r="Z115" s="14">
        <v>1.031141E-5</v>
      </c>
      <c r="AA115" s="14">
        <v>1.066022E-5</v>
      </c>
      <c r="AB115" s="14">
        <v>1.096424E-5</v>
      </c>
      <c r="AC115" s="14">
        <v>1.123478E-5</v>
      </c>
      <c r="AD115" s="14">
        <v>1.105408E-5</v>
      </c>
      <c r="AE115" s="13" t="s">
        <v>93</v>
      </c>
    </row>
    <row r="116" spans="1:31">
      <c r="A116" s="13" t="s">
        <v>260</v>
      </c>
      <c r="B116" s="13" t="s">
        <v>1</v>
      </c>
      <c r="C116" s="13" t="s">
        <v>223</v>
      </c>
      <c r="D116" s="13" t="str">
        <f>IFERROR(VLOOKUP(C116,ghg_sort!$A$86:$B$512,2,0),0)</f>
        <v>Agriculture</v>
      </c>
      <c r="E116" s="33" t="s">
        <v>207</v>
      </c>
      <c r="F116" s="13">
        <f>IFERROR(VLOOKUP($E116,ghg_sort!$A$3:$B$21,2,0),0)</f>
        <v>0</v>
      </c>
      <c r="G116" s="13">
        <f t="shared" si="12"/>
        <v>0</v>
      </c>
      <c r="H116" s="13">
        <f t="shared" si="13"/>
        <v>0</v>
      </c>
      <c r="I116" s="13">
        <f t="shared" si="14"/>
        <v>0</v>
      </c>
      <c r="J116" s="13">
        <f t="shared" si="15"/>
        <v>0</v>
      </c>
      <c r="K116" s="13">
        <f t="shared" si="16"/>
        <v>0</v>
      </c>
      <c r="L116" s="13">
        <f t="shared" si="17"/>
        <v>0</v>
      </c>
      <c r="M116" s="13">
        <f t="shared" si="18"/>
        <v>0</v>
      </c>
      <c r="N116" s="13">
        <f t="shared" si="19"/>
        <v>0</v>
      </c>
      <c r="O116" s="13">
        <f t="shared" si="20"/>
        <v>0</v>
      </c>
      <c r="P116" s="13">
        <f t="shared" si="21"/>
        <v>0</v>
      </c>
      <c r="Q116" s="13">
        <f t="shared" si="22"/>
        <v>0</v>
      </c>
      <c r="R116" s="13" t="s">
        <v>239</v>
      </c>
      <c r="T116" s="14">
        <v>3.6543220000000002E-4</v>
      </c>
      <c r="U116" s="14">
        <v>4.2465990000000001E-4</v>
      </c>
      <c r="V116" s="14">
        <v>4.0429669999999997E-4</v>
      </c>
      <c r="W116" s="14">
        <v>3.899183E-4</v>
      </c>
      <c r="X116" s="14">
        <v>2.5654379999999997E-4</v>
      </c>
      <c r="Y116" s="14">
        <v>1.8913479999999901E-4</v>
      </c>
      <c r="Z116" s="14">
        <v>1.8071539999999999E-4</v>
      </c>
      <c r="AA116" s="14">
        <v>1.8682829999999999E-4</v>
      </c>
      <c r="AB116" s="14">
        <v>1.9215669999999999E-4</v>
      </c>
      <c r="AC116" s="14">
        <v>1.9689809999999999E-4</v>
      </c>
      <c r="AD116" s="14">
        <v>1.9373120000000001E-4</v>
      </c>
      <c r="AE116" s="13" t="s">
        <v>93</v>
      </c>
    </row>
    <row r="117" spans="1:31">
      <c r="A117" s="13" t="s">
        <v>260</v>
      </c>
      <c r="B117" s="13" t="s">
        <v>1</v>
      </c>
      <c r="C117" s="13" t="s">
        <v>223</v>
      </c>
      <c r="D117" s="13" t="str">
        <f>IFERROR(VLOOKUP(C117,ghg_sort!$A$86:$B$512,2,0),0)</f>
        <v>Agriculture</v>
      </c>
      <c r="E117" s="33" t="s">
        <v>208</v>
      </c>
      <c r="F117" s="13">
        <f>IFERROR(VLOOKUP($E117,ghg_sort!$A$3:$B$21,2,0),0)</f>
        <v>0</v>
      </c>
      <c r="G117" s="13">
        <f t="shared" si="12"/>
        <v>0</v>
      </c>
      <c r="H117" s="13">
        <f t="shared" si="13"/>
        <v>0</v>
      </c>
      <c r="I117" s="13">
        <f t="shared" si="14"/>
        <v>0</v>
      </c>
      <c r="J117" s="13">
        <f t="shared" si="15"/>
        <v>0</v>
      </c>
      <c r="K117" s="13">
        <f t="shared" si="16"/>
        <v>0</v>
      </c>
      <c r="L117" s="13">
        <f t="shared" si="17"/>
        <v>0</v>
      </c>
      <c r="M117" s="13">
        <f t="shared" si="18"/>
        <v>0</v>
      </c>
      <c r="N117" s="13">
        <f t="shared" si="19"/>
        <v>0</v>
      </c>
      <c r="O117" s="13">
        <f t="shared" si="20"/>
        <v>0</v>
      </c>
      <c r="P117" s="13">
        <f t="shared" si="21"/>
        <v>0</v>
      </c>
      <c r="Q117" s="13">
        <f t="shared" si="22"/>
        <v>0</v>
      </c>
      <c r="R117" s="13" t="s">
        <v>239</v>
      </c>
      <c r="T117" s="14">
        <v>8.4596999999999997E-6</v>
      </c>
      <c r="U117" s="14">
        <v>9.8464999999999997E-6</v>
      </c>
      <c r="V117" s="14">
        <v>9.3743499999999994E-6</v>
      </c>
      <c r="W117" s="14">
        <v>9.0409599999999992E-6</v>
      </c>
      <c r="X117" s="14">
        <v>5.9484300000000001E-6</v>
      </c>
      <c r="Y117" s="14">
        <v>4.3854350000000003E-6</v>
      </c>
      <c r="Z117" s="14">
        <v>4.1902150000000003E-6</v>
      </c>
      <c r="AA117" s="14">
        <v>4.3319470000000002E-6</v>
      </c>
      <c r="AB117" s="14">
        <v>4.4554929999999898E-6</v>
      </c>
      <c r="AC117" s="14">
        <v>4.5654329999999998E-6</v>
      </c>
      <c r="AD117" s="14">
        <v>4.4919939999999998E-6</v>
      </c>
      <c r="AE117" s="13" t="s">
        <v>93</v>
      </c>
    </row>
    <row r="118" spans="1:31">
      <c r="A118" s="13" t="s">
        <v>260</v>
      </c>
      <c r="B118" s="13" t="s">
        <v>1</v>
      </c>
      <c r="C118" s="13" t="s">
        <v>223</v>
      </c>
      <c r="D118" s="13" t="str">
        <f>IFERROR(VLOOKUP(C118,ghg_sort!$A$86:$B$512,2,0),0)</f>
        <v>Agriculture</v>
      </c>
      <c r="E118" s="33" t="s">
        <v>101</v>
      </c>
      <c r="F118" s="13">
        <f>IFERROR(VLOOKUP($E118,ghg_sort!$A$3:$B$21,2,0),0)</f>
        <v>298</v>
      </c>
      <c r="G118" s="13">
        <f t="shared" si="12"/>
        <v>9.0999068000000002E-2</v>
      </c>
      <c r="H118" s="13">
        <f t="shared" si="13"/>
        <v>0.1204032644</v>
      </c>
      <c r="I118" s="13">
        <f t="shared" si="14"/>
        <v>0.1089986852</v>
      </c>
      <c r="J118" s="13">
        <f t="shared" si="15"/>
        <v>0.12502938659999971</v>
      </c>
      <c r="K118" s="13">
        <f t="shared" si="16"/>
        <v>0.12858279819999999</v>
      </c>
      <c r="L118" s="13">
        <f t="shared" si="17"/>
        <v>0.134827418</v>
      </c>
      <c r="M118" s="13">
        <f t="shared" si="18"/>
        <v>0.13300803859999999</v>
      </c>
      <c r="N118" s="13">
        <f t="shared" si="19"/>
        <v>0.1341669009999997</v>
      </c>
      <c r="O118" s="13">
        <f t="shared" si="20"/>
        <v>0.13786412740000001</v>
      </c>
      <c r="P118" s="13">
        <f t="shared" si="21"/>
        <v>0.1410089511999997</v>
      </c>
      <c r="Q118" s="13">
        <f t="shared" si="22"/>
        <v>0.1377981204</v>
      </c>
      <c r="R118" s="13" t="s">
        <v>239</v>
      </c>
      <c r="T118" s="14">
        <v>3.05366E-4</v>
      </c>
      <c r="U118" s="14">
        <v>4.040378E-4</v>
      </c>
      <c r="V118" s="14">
        <v>3.657674E-4</v>
      </c>
      <c r="W118" s="14">
        <v>4.1956169999999898E-4</v>
      </c>
      <c r="X118" s="14">
        <v>4.3148589999999999E-4</v>
      </c>
      <c r="Y118" s="14">
        <v>4.5244099999999999E-4</v>
      </c>
      <c r="Z118" s="14">
        <v>4.4633569999999998E-4</v>
      </c>
      <c r="AA118" s="14">
        <v>4.5022449999999902E-4</v>
      </c>
      <c r="AB118" s="14">
        <v>4.6263130000000002E-4</v>
      </c>
      <c r="AC118" s="14">
        <v>4.7318439999999903E-4</v>
      </c>
      <c r="AD118" s="14">
        <v>4.624098E-4</v>
      </c>
      <c r="AE118" s="13" t="s">
        <v>93</v>
      </c>
    </row>
    <row r="119" spans="1:31">
      <c r="A119" s="13" t="s">
        <v>260</v>
      </c>
      <c r="B119" s="13" t="s">
        <v>1</v>
      </c>
      <c r="C119" s="13" t="s">
        <v>223</v>
      </c>
      <c r="D119" s="13" t="str">
        <f>IFERROR(VLOOKUP(C119,ghg_sort!$A$86:$B$512,2,0),0)</f>
        <v>Agriculture</v>
      </c>
      <c r="E119" s="33" t="s">
        <v>102</v>
      </c>
      <c r="F119" s="13">
        <f>IFERROR(VLOOKUP($E119,ghg_sort!$A$3:$B$21,2,0),0)</f>
        <v>298</v>
      </c>
      <c r="G119" s="13">
        <f t="shared" si="12"/>
        <v>1.0677339999999971E-4</v>
      </c>
      <c r="H119" s="13">
        <f t="shared" si="13"/>
        <v>1.2405740000000001E-4</v>
      </c>
      <c r="I119" s="13">
        <f t="shared" si="14"/>
        <v>1.181084558E-4</v>
      </c>
      <c r="J119" s="13">
        <f t="shared" si="15"/>
        <v>1.139080861999997E-4</v>
      </c>
      <c r="K119" s="13">
        <f t="shared" si="16"/>
        <v>7.4944854399999988E-5</v>
      </c>
      <c r="L119" s="13">
        <f t="shared" si="17"/>
        <v>5.5252358799999998E-5</v>
      </c>
      <c r="M119" s="13">
        <f t="shared" si="18"/>
        <v>5.2792636999999994E-5</v>
      </c>
      <c r="N119" s="13">
        <f t="shared" si="19"/>
        <v>5.4578580799999699E-5</v>
      </c>
      <c r="O119" s="13">
        <f t="shared" si="20"/>
        <v>5.6135302999999999E-5</v>
      </c>
      <c r="P119" s="13">
        <f t="shared" si="21"/>
        <v>5.7520585800000005E-5</v>
      </c>
      <c r="Q119" s="13">
        <f t="shared" si="22"/>
        <v>5.6595563999999999E-5</v>
      </c>
      <c r="R119" s="13" t="s">
        <v>239</v>
      </c>
      <c r="T119" s="14">
        <v>3.5829999999999902E-7</v>
      </c>
      <c r="U119" s="14">
        <v>4.1629999999999999E-7</v>
      </c>
      <c r="V119" s="14">
        <v>3.9633709999999998E-7</v>
      </c>
      <c r="W119" s="14">
        <v>3.8224189999999902E-7</v>
      </c>
      <c r="X119" s="14">
        <v>2.5149279999999998E-7</v>
      </c>
      <c r="Y119" s="14">
        <v>1.854106E-7</v>
      </c>
      <c r="Z119" s="14">
        <v>1.7715649999999999E-7</v>
      </c>
      <c r="AA119" s="14">
        <v>1.8314959999999899E-7</v>
      </c>
      <c r="AB119" s="14">
        <v>1.883735E-7</v>
      </c>
      <c r="AC119" s="14">
        <v>1.9302210000000001E-7</v>
      </c>
      <c r="AD119" s="14">
        <v>1.8991799999999999E-7</v>
      </c>
      <c r="AE119" s="13" t="s">
        <v>93</v>
      </c>
    </row>
    <row r="120" spans="1:31">
      <c r="A120" s="13" t="s">
        <v>260</v>
      </c>
      <c r="B120" s="13" t="s">
        <v>1</v>
      </c>
      <c r="C120" s="13" t="s">
        <v>223</v>
      </c>
      <c r="D120" s="13" t="str">
        <f>IFERROR(VLOOKUP(C120,ghg_sort!$A$86:$B$512,2,0),0)</f>
        <v>Agriculture</v>
      </c>
      <c r="E120" s="33" t="s">
        <v>202</v>
      </c>
      <c r="F120" s="13">
        <f>IFERROR(VLOOKUP($E120,ghg_sort!$A$3:$B$21,2,0),0)</f>
        <v>0</v>
      </c>
      <c r="G120" s="13">
        <f t="shared" si="12"/>
        <v>0</v>
      </c>
      <c r="H120" s="13">
        <f t="shared" si="13"/>
        <v>0</v>
      </c>
      <c r="I120" s="13">
        <f t="shared" si="14"/>
        <v>0</v>
      </c>
      <c r="J120" s="13">
        <f t="shared" si="15"/>
        <v>0</v>
      </c>
      <c r="K120" s="13">
        <f t="shared" si="16"/>
        <v>0</v>
      </c>
      <c r="L120" s="13">
        <f t="shared" si="17"/>
        <v>0</v>
      </c>
      <c r="M120" s="13">
        <f t="shared" si="18"/>
        <v>0</v>
      </c>
      <c r="N120" s="13">
        <f t="shared" si="19"/>
        <v>0</v>
      </c>
      <c r="O120" s="13">
        <f t="shared" si="20"/>
        <v>0</v>
      </c>
      <c r="P120" s="13">
        <f t="shared" si="21"/>
        <v>0</v>
      </c>
      <c r="Q120" s="13">
        <f t="shared" si="22"/>
        <v>0</v>
      </c>
      <c r="R120" s="13" t="s">
        <v>239</v>
      </c>
      <c r="T120" s="13">
        <v>1.7591499999999999E-3</v>
      </c>
      <c r="U120" s="13">
        <v>2.4462440000000002E-3</v>
      </c>
      <c r="V120" s="13">
        <v>2.4226309999999902E-3</v>
      </c>
      <c r="W120" s="13">
        <v>2.6378669999999999E-3</v>
      </c>
      <c r="X120" s="13">
        <v>2.7682039999999998E-3</v>
      </c>
      <c r="Y120" s="13">
        <v>2.9673179999999901E-3</v>
      </c>
      <c r="Z120" s="13">
        <v>3.0564329999999999E-3</v>
      </c>
      <c r="AA120" s="13">
        <v>3.1598199999999998E-3</v>
      </c>
      <c r="AB120" s="13">
        <v>3.249938E-3</v>
      </c>
      <c r="AC120" s="13">
        <v>3.3301239999999998E-3</v>
      </c>
      <c r="AD120" s="13">
        <v>3.2765609999999999E-3</v>
      </c>
      <c r="AE120" s="13" t="s">
        <v>93</v>
      </c>
    </row>
    <row r="121" spans="1:31">
      <c r="A121" s="13" t="s">
        <v>260</v>
      </c>
      <c r="B121" s="13" t="s">
        <v>1</v>
      </c>
      <c r="C121" s="13" t="s">
        <v>223</v>
      </c>
      <c r="D121" s="13" t="str">
        <f>IFERROR(VLOOKUP(C121,ghg_sort!$A$86:$B$512,2,0),0)</f>
        <v>Agriculture</v>
      </c>
      <c r="E121" s="33" t="s">
        <v>209</v>
      </c>
      <c r="F121" s="13">
        <f>IFERROR(VLOOKUP($E121,ghg_sort!$A$3:$B$21,2,0),0)</f>
        <v>0</v>
      </c>
      <c r="G121" s="13">
        <f t="shared" si="12"/>
        <v>0</v>
      </c>
      <c r="H121" s="13">
        <f t="shared" si="13"/>
        <v>0</v>
      </c>
      <c r="I121" s="13">
        <f t="shared" si="14"/>
        <v>0</v>
      </c>
      <c r="J121" s="13">
        <f t="shared" si="15"/>
        <v>0</v>
      </c>
      <c r="K121" s="13">
        <f t="shared" si="16"/>
        <v>0</v>
      </c>
      <c r="L121" s="13">
        <f t="shared" si="17"/>
        <v>0</v>
      </c>
      <c r="M121" s="13">
        <f t="shared" si="18"/>
        <v>0</v>
      </c>
      <c r="N121" s="13">
        <f t="shared" si="19"/>
        <v>0</v>
      </c>
      <c r="O121" s="13">
        <f t="shared" si="20"/>
        <v>0</v>
      </c>
      <c r="P121" s="13">
        <f t="shared" si="21"/>
        <v>0</v>
      </c>
      <c r="Q121" s="13">
        <f t="shared" si="22"/>
        <v>0</v>
      </c>
      <c r="R121" s="13" t="s">
        <v>239</v>
      </c>
      <c r="T121" s="14">
        <v>7.7743999999999996E-6</v>
      </c>
      <c r="U121" s="14">
        <v>9.0344999999999996E-6</v>
      </c>
      <c r="V121" s="14">
        <v>8.6012899999999994E-6</v>
      </c>
      <c r="W121" s="14">
        <v>8.2953899999999995E-6</v>
      </c>
      <c r="X121" s="14">
        <v>5.4578889999999998E-6</v>
      </c>
      <c r="Y121" s="14">
        <v>4.023774E-6</v>
      </c>
      <c r="Z121" s="14">
        <v>3.8446609999999998E-6</v>
      </c>
      <c r="AA121" s="14">
        <v>3.9747109999999902E-6</v>
      </c>
      <c r="AB121" s="14">
        <v>4.0880770000000003E-6</v>
      </c>
      <c r="AC121" s="14">
        <v>4.1889449999999996E-6</v>
      </c>
      <c r="AD121" s="14">
        <v>4.1215719999999997E-6</v>
      </c>
      <c r="AE121" s="13" t="s">
        <v>93</v>
      </c>
    </row>
    <row r="122" spans="1:31">
      <c r="A122" s="13" t="s">
        <v>260</v>
      </c>
      <c r="B122" s="13" t="s">
        <v>1</v>
      </c>
      <c r="C122" s="13" t="s">
        <v>223</v>
      </c>
      <c r="D122" s="13" t="str">
        <f>IFERROR(VLOOKUP(C122,ghg_sort!$A$86:$B$512,2,0),0)</f>
        <v>Agriculture</v>
      </c>
      <c r="E122" s="33" t="s">
        <v>210</v>
      </c>
      <c r="F122" s="13">
        <f>IFERROR(VLOOKUP($E122,ghg_sort!$A$3:$B$21,2,0),0)</f>
        <v>0</v>
      </c>
      <c r="G122" s="13">
        <f t="shared" si="12"/>
        <v>0</v>
      </c>
      <c r="H122" s="13">
        <f t="shared" si="13"/>
        <v>0</v>
      </c>
      <c r="I122" s="13">
        <f t="shared" si="14"/>
        <v>0</v>
      </c>
      <c r="J122" s="13">
        <f t="shared" si="15"/>
        <v>0</v>
      </c>
      <c r="K122" s="13">
        <f t="shared" si="16"/>
        <v>0</v>
      </c>
      <c r="L122" s="13">
        <f t="shared" si="17"/>
        <v>0</v>
      </c>
      <c r="M122" s="13">
        <f t="shared" si="18"/>
        <v>0</v>
      </c>
      <c r="N122" s="13">
        <f t="shared" si="19"/>
        <v>0</v>
      </c>
      <c r="O122" s="13">
        <f t="shared" si="20"/>
        <v>0</v>
      </c>
      <c r="P122" s="13">
        <f t="shared" si="21"/>
        <v>0</v>
      </c>
      <c r="Q122" s="13">
        <f t="shared" si="22"/>
        <v>0</v>
      </c>
      <c r="R122" s="13" t="s">
        <v>239</v>
      </c>
      <c r="T122" s="14">
        <v>8.7598999999999999E-5</v>
      </c>
      <c r="U122" s="14">
        <v>1.016193E-4</v>
      </c>
      <c r="V122" s="14">
        <v>9.6746499999999898E-5</v>
      </c>
      <c r="W122" s="14">
        <v>9.3305800000000004E-5</v>
      </c>
      <c r="X122" s="14">
        <v>6.1389799999999898E-5</v>
      </c>
      <c r="Y122" s="14">
        <v>4.5259229999999997E-5</v>
      </c>
      <c r="Z122" s="14">
        <v>4.324447E-5</v>
      </c>
      <c r="AA122" s="14">
        <v>4.4707219999999999E-5</v>
      </c>
      <c r="AB122" s="14">
        <v>4.5982229999999997E-5</v>
      </c>
      <c r="AC122" s="14">
        <v>4.7116970000000001E-5</v>
      </c>
      <c r="AD122" s="14">
        <v>4.6359059999999999E-5</v>
      </c>
      <c r="AE122" s="13" t="s">
        <v>93</v>
      </c>
    </row>
    <row r="123" spans="1:31">
      <c r="A123" s="13" t="s">
        <v>260</v>
      </c>
      <c r="B123" s="13" t="s">
        <v>1</v>
      </c>
      <c r="C123" s="13" t="s">
        <v>223</v>
      </c>
      <c r="D123" s="13" t="str">
        <f>IFERROR(VLOOKUP(C123,ghg_sort!$A$86:$B$512,2,0),0)</f>
        <v>Agriculture</v>
      </c>
      <c r="E123" s="33" t="s">
        <v>204</v>
      </c>
      <c r="F123" s="13">
        <f>IFERROR(VLOOKUP($E123,ghg_sort!$A$3:$B$21,2,0),0)</f>
        <v>0</v>
      </c>
      <c r="G123" s="13">
        <f t="shared" si="12"/>
        <v>0</v>
      </c>
      <c r="H123" s="13">
        <f t="shared" si="13"/>
        <v>0</v>
      </c>
      <c r="I123" s="13">
        <f t="shared" si="14"/>
        <v>0</v>
      </c>
      <c r="J123" s="13">
        <f t="shared" si="15"/>
        <v>0</v>
      </c>
      <c r="K123" s="13">
        <f t="shared" si="16"/>
        <v>0</v>
      </c>
      <c r="L123" s="13">
        <f t="shared" si="17"/>
        <v>0</v>
      </c>
      <c r="M123" s="13">
        <f t="shared" si="18"/>
        <v>0</v>
      </c>
      <c r="N123" s="13">
        <f t="shared" si="19"/>
        <v>0</v>
      </c>
      <c r="O123" s="13">
        <f t="shared" si="20"/>
        <v>0</v>
      </c>
      <c r="P123" s="13">
        <f t="shared" si="21"/>
        <v>0</v>
      </c>
      <c r="Q123" s="13">
        <f t="shared" si="22"/>
        <v>0</v>
      </c>
      <c r="R123" s="13" t="s">
        <v>239</v>
      </c>
      <c r="T123" s="14">
        <v>1.4755700000000001E-4</v>
      </c>
      <c r="U123" s="14">
        <v>1.573003E-4</v>
      </c>
      <c r="V123" s="14">
        <v>1.64928799999999E-4</v>
      </c>
      <c r="W123" s="14">
        <v>1.5266699999999999E-4</v>
      </c>
      <c r="X123" s="14">
        <v>1.602102E-4</v>
      </c>
      <c r="Y123" s="14">
        <v>1.7173420000000001E-4</v>
      </c>
      <c r="Z123" s="14">
        <v>1.76891299999999E-4</v>
      </c>
      <c r="AA123" s="14">
        <v>1.8287509999999899E-4</v>
      </c>
      <c r="AB123" s="14">
        <v>1.8809069999999999E-4</v>
      </c>
      <c r="AC123" s="14">
        <v>1.9273169999999999E-4</v>
      </c>
      <c r="AD123" s="14">
        <v>1.896318E-4</v>
      </c>
      <c r="AE123" s="13" t="s">
        <v>93</v>
      </c>
    </row>
    <row r="124" spans="1:31">
      <c r="A124" s="13" t="s">
        <v>260</v>
      </c>
      <c r="B124" s="13" t="s">
        <v>1</v>
      </c>
      <c r="C124" s="13" t="s">
        <v>223</v>
      </c>
      <c r="D124" s="13" t="str">
        <f>IFERROR(VLOOKUP(C124,ghg_sort!$A$86:$B$512,2,0),0)</f>
        <v>Agriculture</v>
      </c>
      <c r="E124" s="33" t="s">
        <v>211</v>
      </c>
      <c r="F124" s="13">
        <f>IFERROR(VLOOKUP($E124,ghg_sort!$A$3:$B$21,2,0),0)</f>
        <v>0</v>
      </c>
      <c r="G124" s="13">
        <f t="shared" si="12"/>
        <v>0</v>
      </c>
      <c r="H124" s="13">
        <f t="shared" si="13"/>
        <v>0</v>
      </c>
      <c r="I124" s="13">
        <f t="shared" si="14"/>
        <v>0</v>
      </c>
      <c r="J124" s="13">
        <f t="shared" si="15"/>
        <v>0</v>
      </c>
      <c r="K124" s="13">
        <f t="shared" si="16"/>
        <v>0</v>
      </c>
      <c r="L124" s="13">
        <f t="shared" si="17"/>
        <v>0</v>
      </c>
      <c r="M124" s="13">
        <f t="shared" si="18"/>
        <v>0</v>
      </c>
      <c r="N124" s="13">
        <f t="shared" si="19"/>
        <v>0</v>
      </c>
      <c r="O124" s="13">
        <f t="shared" si="20"/>
        <v>0</v>
      </c>
      <c r="P124" s="13">
        <f t="shared" si="21"/>
        <v>0</v>
      </c>
      <c r="Q124" s="13">
        <f t="shared" si="22"/>
        <v>0</v>
      </c>
      <c r="R124" s="13" t="s">
        <v>239</v>
      </c>
      <c r="T124" s="14">
        <v>1.11421E-5</v>
      </c>
      <c r="U124" s="14">
        <v>1.29479E-5</v>
      </c>
      <c r="V124" s="14">
        <v>1.232702E-5</v>
      </c>
      <c r="W124" s="14">
        <v>1.188863E-5</v>
      </c>
      <c r="X124" s="14">
        <v>7.8220400000000001E-6</v>
      </c>
      <c r="Y124" s="14">
        <v>5.7667329999999996E-6</v>
      </c>
      <c r="Z124" s="14">
        <v>5.5100179999999998E-6</v>
      </c>
      <c r="AA124" s="14">
        <v>5.6964079999999996E-6</v>
      </c>
      <c r="AB124" s="14">
        <v>5.8588690000000001E-6</v>
      </c>
      <c r="AC124" s="14">
        <v>6.003446E-6</v>
      </c>
      <c r="AD124" s="14">
        <v>5.9068720000000002E-6</v>
      </c>
      <c r="AE124" s="13" t="s">
        <v>93</v>
      </c>
    </row>
    <row r="125" spans="1:31">
      <c r="A125" s="13" t="s">
        <v>260</v>
      </c>
      <c r="B125" s="13" t="s">
        <v>1</v>
      </c>
      <c r="C125" s="13" t="s">
        <v>223</v>
      </c>
      <c r="D125" s="13" t="str">
        <f>IFERROR(VLOOKUP(C125,ghg_sort!$A$86:$B$512,2,0),0)</f>
        <v>Agriculture</v>
      </c>
      <c r="E125" s="33" t="s">
        <v>212</v>
      </c>
      <c r="F125" s="13">
        <f>IFERROR(VLOOKUP($E125,ghg_sort!$A$3:$B$21,2,0),0)</f>
        <v>0</v>
      </c>
      <c r="G125" s="13">
        <f t="shared" si="12"/>
        <v>0</v>
      </c>
      <c r="H125" s="13">
        <f t="shared" si="13"/>
        <v>0</v>
      </c>
      <c r="I125" s="13">
        <f t="shared" si="14"/>
        <v>0</v>
      </c>
      <c r="J125" s="13">
        <f t="shared" si="15"/>
        <v>0</v>
      </c>
      <c r="K125" s="13">
        <f t="shared" si="16"/>
        <v>0</v>
      </c>
      <c r="L125" s="13">
        <f t="shared" si="17"/>
        <v>0</v>
      </c>
      <c r="M125" s="13">
        <f t="shared" si="18"/>
        <v>0</v>
      </c>
      <c r="N125" s="13">
        <f t="shared" si="19"/>
        <v>0</v>
      </c>
      <c r="O125" s="13">
        <f t="shared" si="20"/>
        <v>0</v>
      </c>
      <c r="P125" s="13">
        <f t="shared" si="21"/>
        <v>0</v>
      </c>
      <c r="Q125" s="13">
        <f t="shared" si="22"/>
        <v>0</v>
      </c>
      <c r="R125" s="13" t="s">
        <v>239</v>
      </c>
      <c r="T125" s="14">
        <v>8.2400999999999993E-6</v>
      </c>
      <c r="U125" s="14">
        <v>9.5757000000000005E-6</v>
      </c>
      <c r="V125" s="14">
        <v>2.299046E-4</v>
      </c>
      <c r="W125" s="14">
        <v>2.2172819999999999E-4</v>
      </c>
      <c r="X125" s="14">
        <v>1.4588429999999901E-4</v>
      </c>
      <c r="Y125" s="14">
        <v>1.07551999999999E-4</v>
      </c>
      <c r="Z125" s="14">
        <v>1.0276419999999999E-4</v>
      </c>
      <c r="AA125" s="14">
        <v>1.062406E-4</v>
      </c>
      <c r="AB125" s="14">
        <v>1.092705E-4</v>
      </c>
      <c r="AC125" s="14">
        <v>1.119667E-4</v>
      </c>
      <c r="AD125" s="14">
        <v>1.1016589999999999E-4</v>
      </c>
      <c r="AE125" s="13" t="s">
        <v>93</v>
      </c>
    </row>
    <row r="126" spans="1:31">
      <c r="A126" s="13" t="s">
        <v>260</v>
      </c>
      <c r="B126" s="13" t="s">
        <v>1</v>
      </c>
      <c r="C126" s="13" t="s">
        <v>223</v>
      </c>
      <c r="D126" s="13" t="str">
        <f>IFERROR(VLOOKUP(C126,ghg_sort!$A$86:$B$512,2,0),0)</f>
        <v>Agriculture</v>
      </c>
      <c r="E126" s="33" t="s">
        <v>213</v>
      </c>
      <c r="F126" s="13">
        <f>IFERROR(VLOOKUP($E126,ghg_sort!$A$3:$B$21,2,0),0)</f>
        <v>0</v>
      </c>
      <c r="G126" s="13">
        <f t="shared" si="12"/>
        <v>0</v>
      </c>
      <c r="H126" s="13">
        <f t="shared" si="13"/>
        <v>0</v>
      </c>
      <c r="I126" s="13">
        <f t="shared" si="14"/>
        <v>0</v>
      </c>
      <c r="J126" s="13">
        <f t="shared" si="15"/>
        <v>0</v>
      </c>
      <c r="K126" s="13">
        <f t="shared" si="16"/>
        <v>0</v>
      </c>
      <c r="L126" s="13">
        <f t="shared" si="17"/>
        <v>0</v>
      </c>
      <c r="M126" s="13">
        <f t="shared" si="18"/>
        <v>0</v>
      </c>
      <c r="N126" s="13">
        <f t="shared" si="19"/>
        <v>0</v>
      </c>
      <c r="O126" s="13">
        <f t="shared" si="20"/>
        <v>0</v>
      </c>
      <c r="P126" s="13">
        <f t="shared" si="21"/>
        <v>0</v>
      </c>
      <c r="Q126" s="13">
        <f t="shared" si="22"/>
        <v>0</v>
      </c>
      <c r="R126" s="13" t="s">
        <v>239</v>
      </c>
      <c r="T126" s="14">
        <v>1.4330999999999899E-6</v>
      </c>
      <c r="U126" s="14">
        <v>1.6654E-6</v>
      </c>
      <c r="V126" s="14">
        <v>1.585541E-6</v>
      </c>
      <c r="W126" s="14">
        <v>1.5291520000000001E-6</v>
      </c>
      <c r="X126" s="14">
        <v>1.0060950000000001E-6</v>
      </c>
      <c r="Y126" s="14">
        <v>7.4173499999999899E-7</v>
      </c>
      <c r="Z126" s="14">
        <v>7.0871499999999998E-7</v>
      </c>
      <c r="AA126" s="14">
        <v>7.32689E-7</v>
      </c>
      <c r="AB126" s="14">
        <v>7.5358599999999895E-7</v>
      </c>
      <c r="AC126" s="14">
        <v>7.7218199999999897E-7</v>
      </c>
      <c r="AD126" s="14">
        <v>7.5976099999999904E-7</v>
      </c>
      <c r="AE126" s="13" t="s">
        <v>93</v>
      </c>
    </row>
    <row r="127" spans="1:31">
      <c r="A127" s="13" t="s">
        <v>260</v>
      </c>
      <c r="B127" s="13" t="s">
        <v>1</v>
      </c>
      <c r="C127" s="13" t="s">
        <v>224</v>
      </c>
      <c r="D127" s="13" t="str">
        <f>IFERROR(VLOOKUP(C127,ghg_sort!$A$86:$B$512,2,0),0)</f>
        <v>Agriculture</v>
      </c>
      <c r="E127" s="33" t="s">
        <v>104</v>
      </c>
      <c r="F127" s="13">
        <f>IFERROR(VLOOKUP($E127,ghg_sort!$A$3:$B$21,2,0),0)</f>
        <v>25</v>
      </c>
      <c r="G127" s="13">
        <f t="shared" si="12"/>
        <v>1.9216240000000002E-2</v>
      </c>
      <c r="H127" s="13">
        <f t="shared" si="13"/>
        <v>3.3804214999999999E-2</v>
      </c>
      <c r="I127" s="13">
        <f t="shared" si="14"/>
        <v>2.1192517500000001E-2</v>
      </c>
      <c r="J127" s="13">
        <f t="shared" si="15"/>
        <v>1.2404274999999999E-2</v>
      </c>
      <c r="K127" s="13">
        <f t="shared" si="16"/>
        <v>1.3756962500000001E-2</v>
      </c>
      <c r="L127" s="13">
        <f t="shared" si="17"/>
        <v>1.6441082749999975E-2</v>
      </c>
      <c r="M127" s="13">
        <f t="shared" si="18"/>
        <v>1.8637111499999973E-2</v>
      </c>
      <c r="N127" s="13">
        <f t="shared" si="19"/>
        <v>2.1002204999999999E-2</v>
      </c>
      <c r="O127" s="13">
        <f t="shared" si="20"/>
        <v>2.4013824999999999E-2</v>
      </c>
      <c r="P127" s="13">
        <f t="shared" si="21"/>
        <v>2.6902166499999998E-2</v>
      </c>
      <c r="Q127" s="13">
        <f t="shared" si="22"/>
        <v>2.9073537E-2</v>
      </c>
      <c r="R127" s="13" t="s">
        <v>239</v>
      </c>
      <c r="T127" s="14">
        <v>7.6864960000000003E-4</v>
      </c>
      <c r="U127" s="13">
        <v>1.3521685999999999E-3</v>
      </c>
      <c r="V127" s="14">
        <v>8.4770069999999997E-4</v>
      </c>
      <c r="W127" s="14">
        <v>4.96171E-4</v>
      </c>
      <c r="X127" s="14">
        <v>5.5027850000000003E-4</v>
      </c>
      <c r="Y127" s="14">
        <v>6.5764330999999905E-4</v>
      </c>
      <c r="Z127" s="14">
        <v>7.4548445999999895E-4</v>
      </c>
      <c r="AA127" s="14">
        <v>8.4008819999999997E-4</v>
      </c>
      <c r="AB127" s="14">
        <v>9.6055299999999995E-4</v>
      </c>
      <c r="AC127" s="14">
        <v>1.0760866599999999E-3</v>
      </c>
      <c r="AD127" s="14">
        <v>1.1629414800000001E-3</v>
      </c>
      <c r="AE127" s="13" t="s">
        <v>93</v>
      </c>
    </row>
    <row r="128" spans="1:31">
      <c r="A128" s="13" t="s">
        <v>260</v>
      </c>
      <c r="B128" s="13" t="s">
        <v>1</v>
      </c>
      <c r="C128" s="13" t="s">
        <v>224</v>
      </c>
      <c r="D128" s="13" t="str">
        <f>IFERROR(VLOOKUP(C128,ghg_sort!$A$86:$B$512,2,0),0)</f>
        <v>Agriculture</v>
      </c>
      <c r="E128" s="33" t="s">
        <v>101</v>
      </c>
      <c r="F128" s="13">
        <f>IFERROR(VLOOKUP($E128,ghg_sort!$A$3:$B$21,2,0),0)</f>
        <v>298</v>
      </c>
      <c r="G128" s="13">
        <f t="shared" si="12"/>
        <v>7.4895743999999704E-3</v>
      </c>
      <c r="H128" s="13">
        <f t="shared" si="13"/>
        <v>1.46500972E-2</v>
      </c>
      <c r="I128" s="13">
        <f t="shared" si="14"/>
        <v>9.2784683999999999E-3</v>
      </c>
      <c r="J128" s="13">
        <f t="shared" si="15"/>
        <v>5.4435659999999995E-3</v>
      </c>
      <c r="K128" s="13">
        <f t="shared" si="16"/>
        <v>6.0371689476000001E-3</v>
      </c>
      <c r="L128" s="13">
        <f t="shared" si="17"/>
        <v>7.21509452679997E-3</v>
      </c>
      <c r="M128" s="13">
        <f t="shared" si="18"/>
        <v>8.1788157093999701E-3</v>
      </c>
      <c r="N128" s="13">
        <f t="shared" si="19"/>
        <v>9.216726376E-3</v>
      </c>
      <c r="O128" s="13">
        <f t="shared" si="20"/>
        <v>1.0538341476E-2</v>
      </c>
      <c r="P128" s="13">
        <f t="shared" si="21"/>
        <v>1.180588984E-2</v>
      </c>
      <c r="Q128" s="13">
        <f t="shared" si="22"/>
        <v>1.2758763614E-2</v>
      </c>
      <c r="R128" s="13" t="s">
        <v>239</v>
      </c>
      <c r="T128" s="14">
        <v>2.5132799999999899E-5</v>
      </c>
      <c r="U128" s="14">
        <v>4.91614E-5</v>
      </c>
      <c r="V128" s="14">
        <v>3.1135800000000001E-5</v>
      </c>
      <c r="W128" s="14">
        <v>1.8267E-5</v>
      </c>
      <c r="X128" s="14">
        <v>2.02589562E-5</v>
      </c>
      <c r="Y128" s="14">
        <v>2.42117265999999E-5</v>
      </c>
      <c r="Z128" s="14">
        <v>2.74456902999999E-5</v>
      </c>
      <c r="AA128" s="14">
        <v>3.0928612E-5</v>
      </c>
      <c r="AB128" s="14">
        <v>3.5363561999999997E-5</v>
      </c>
      <c r="AC128" s="14">
        <v>3.9617080000000003E-5</v>
      </c>
      <c r="AD128" s="14">
        <v>4.2814642999999999E-5</v>
      </c>
      <c r="AE128" s="13" t="s">
        <v>93</v>
      </c>
    </row>
    <row r="129" spans="1:31">
      <c r="A129" s="13" t="s">
        <v>260</v>
      </c>
      <c r="B129" s="13" t="s">
        <v>1</v>
      </c>
      <c r="C129" s="13" t="s">
        <v>224</v>
      </c>
      <c r="D129" s="13" t="str">
        <f>IFERROR(VLOOKUP(C129,ghg_sort!$A$86:$B$512,2,0),0)</f>
        <v>Agriculture</v>
      </c>
      <c r="E129" s="33" t="s">
        <v>202</v>
      </c>
      <c r="F129" s="13">
        <f>IFERROR(VLOOKUP($E129,ghg_sort!$A$3:$B$21,2,0),0)</f>
        <v>0</v>
      </c>
      <c r="G129" s="13">
        <f t="shared" si="12"/>
        <v>0</v>
      </c>
      <c r="H129" s="13">
        <f t="shared" si="13"/>
        <v>0</v>
      </c>
      <c r="I129" s="13">
        <f t="shared" si="14"/>
        <v>0</v>
      </c>
      <c r="J129" s="13">
        <f t="shared" si="15"/>
        <v>0</v>
      </c>
      <c r="K129" s="13">
        <f t="shared" si="16"/>
        <v>0</v>
      </c>
      <c r="L129" s="13">
        <f t="shared" si="17"/>
        <v>0</v>
      </c>
      <c r="M129" s="13">
        <f t="shared" si="18"/>
        <v>0</v>
      </c>
      <c r="N129" s="13">
        <f t="shared" si="19"/>
        <v>0</v>
      </c>
      <c r="O129" s="13">
        <f t="shared" si="20"/>
        <v>0</v>
      </c>
      <c r="P129" s="13">
        <f t="shared" si="21"/>
        <v>0</v>
      </c>
      <c r="Q129" s="13">
        <f t="shared" si="22"/>
        <v>0</v>
      </c>
      <c r="R129" s="13" t="s">
        <v>239</v>
      </c>
      <c r="T129" s="14">
        <v>2.2662060000000001E-4</v>
      </c>
      <c r="U129" s="14">
        <v>3.9621049999999998E-4</v>
      </c>
      <c r="V129" s="14">
        <v>2.026586E-4</v>
      </c>
      <c r="W129" s="14">
        <v>1.2609449999999899E-4</v>
      </c>
      <c r="X129" s="14">
        <v>1.41371799E-4</v>
      </c>
      <c r="Y129" s="14">
        <v>1.79833587E-4</v>
      </c>
      <c r="Z129" s="14">
        <v>2.13803445E-4</v>
      </c>
      <c r="AA129" s="14">
        <v>2.4827556299999998E-4</v>
      </c>
      <c r="AB129" s="14">
        <v>2.8401663899999999E-4</v>
      </c>
      <c r="AC129" s="14">
        <v>3.1836003900000001E-4</v>
      </c>
      <c r="AD129" s="14">
        <v>3.4405591000000001E-4</v>
      </c>
      <c r="AE129" s="13" t="s">
        <v>93</v>
      </c>
    </row>
    <row r="130" spans="1:31">
      <c r="A130" s="13" t="s">
        <v>260</v>
      </c>
      <c r="B130" s="13" t="s">
        <v>1</v>
      </c>
      <c r="C130" s="13" t="s">
        <v>224</v>
      </c>
      <c r="D130" s="13" t="str">
        <f>IFERROR(VLOOKUP(C130,ghg_sort!$A$86:$B$512,2,0),0)</f>
        <v>Agriculture</v>
      </c>
      <c r="E130" s="33" t="s">
        <v>203</v>
      </c>
      <c r="F130" s="13">
        <f>IFERROR(VLOOKUP($E130,ghg_sort!$A$3:$B$21,2,0),0)</f>
        <v>0</v>
      </c>
      <c r="G130" s="13">
        <f t="shared" si="12"/>
        <v>0</v>
      </c>
      <c r="H130" s="13">
        <f t="shared" si="13"/>
        <v>0</v>
      </c>
      <c r="I130" s="13">
        <f t="shared" si="14"/>
        <v>0</v>
      </c>
      <c r="J130" s="13">
        <f t="shared" si="15"/>
        <v>0</v>
      </c>
      <c r="K130" s="13">
        <f t="shared" si="16"/>
        <v>0</v>
      </c>
      <c r="L130" s="13">
        <f t="shared" si="17"/>
        <v>0</v>
      </c>
      <c r="M130" s="13">
        <f t="shared" si="18"/>
        <v>0</v>
      </c>
      <c r="N130" s="13">
        <f t="shared" si="19"/>
        <v>0</v>
      </c>
      <c r="O130" s="13">
        <f t="shared" si="20"/>
        <v>0</v>
      </c>
      <c r="P130" s="13">
        <f t="shared" si="21"/>
        <v>0</v>
      </c>
      <c r="Q130" s="13">
        <f t="shared" si="22"/>
        <v>0</v>
      </c>
      <c r="R130" s="13" t="s">
        <v>239</v>
      </c>
      <c r="T130" s="14">
        <v>8.84212E-5</v>
      </c>
      <c r="U130" s="14">
        <v>2.2683619999999999E-4</v>
      </c>
      <c r="V130" s="14">
        <v>1.459787E-4</v>
      </c>
      <c r="W130" s="14">
        <v>8.9328899999999896E-5</v>
      </c>
      <c r="X130" s="14">
        <v>1.00151804E-4</v>
      </c>
      <c r="Y130" s="14">
        <v>1.2739935E-4</v>
      </c>
      <c r="Z130" s="14">
        <v>1.51464523E-4</v>
      </c>
      <c r="AA130" s="14">
        <v>1.75885706E-4</v>
      </c>
      <c r="AB130" s="14">
        <v>2.0120560099999999E-4</v>
      </c>
      <c r="AC130" s="14">
        <v>2.2553539999999999E-4</v>
      </c>
      <c r="AD130" s="14">
        <v>2.43738947E-4</v>
      </c>
      <c r="AE130" s="13" t="s">
        <v>93</v>
      </c>
    </row>
    <row r="131" spans="1:31">
      <c r="A131" s="13" t="s">
        <v>260</v>
      </c>
      <c r="B131" s="13" t="s">
        <v>1</v>
      </c>
      <c r="C131" s="13" t="s">
        <v>224</v>
      </c>
      <c r="D131" s="13" t="str">
        <f>IFERROR(VLOOKUP(C131,ghg_sort!$A$86:$B$512,2,0),0)</f>
        <v>Agriculture</v>
      </c>
      <c r="E131" s="33" t="s">
        <v>204</v>
      </c>
      <c r="F131" s="13">
        <f>IFERROR(VLOOKUP($E131,ghg_sort!$A$3:$B$21,2,0),0)</f>
        <v>0</v>
      </c>
      <c r="G131" s="13">
        <f t="shared" si="12"/>
        <v>0</v>
      </c>
      <c r="H131" s="13">
        <f t="shared" si="13"/>
        <v>0</v>
      </c>
      <c r="I131" s="13">
        <f t="shared" si="14"/>
        <v>0</v>
      </c>
      <c r="J131" s="13">
        <f t="shared" si="15"/>
        <v>0</v>
      </c>
      <c r="K131" s="13">
        <f t="shared" si="16"/>
        <v>0</v>
      </c>
      <c r="L131" s="13">
        <f t="shared" si="17"/>
        <v>0</v>
      </c>
      <c r="M131" s="13">
        <f t="shared" si="18"/>
        <v>0</v>
      </c>
      <c r="N131" s="13">
        <f t="shared" si="19"/>
        <v>0</v>
      </c>
      <c r="O131" s="13">
        <f t="shared" si="20"/>
        <v>0</v>
      </c>
      <c r="P131" s="13">
        <f t="shared" si="21"/>
        <v>0</v>
      </c>
      <c r="Q131" s="13">
        <f t="shared" si="22"/>
        <v>0</v>
      </c>
      <c r="R131" s="13" t="s">
        <v>239</v>
      </c>
      <c r="T131" s="14">
        <v>1.0527699999999999E-5</v>
      </c>
      <c r="U131" s="14">
        <v>2.30758E-5</v>
      </c>
      <c r="V131" s="14">
        <v>1.46995E-5</v>
      </c>
      <c r="W131" s="14">
        <v>8.5674999999999904E-6</v>
      </c>
      <c r="X131" s="14">
        <v>9.6055247999999999E-6</v>
      </c>
      <c r="Y131" s="14">
        <v>1.2218827499999999E-5</v>
      </c>
      <c r="Z131" s="14">
        <v>1.45269115E-5</v>
      </c>
      <c r="AA131" s="14">
        <v>1.6869134699999998E-5</v>
      </c>
      <c r="AB131" s="14">
        <v>1.9297514499999999E-5</v>
      </c>
      <c r="AC131" s="14">
        <v>2.16310384E-5</v>
      </c>
      <c r="AD131" s="14">
        <v>2.3376959200000001E-5</v>
      </c>
      <c r="AE131" s="13" t="s">
        <v>93</v>
      </c>
    </row>
    <row r="132" spans="1:31">
      <c r="A132" s="13" t="s">
        <v>260</v>
      </c>
      <c r="B132" s="13" t="s">
        <v>1</v>
      </c>
      <c r="C132" s="13" t="s">
        <v>225</v>
      </c>
      <c r="D132" s="13" t="str">
        <f>IFERROR(VLOOKUP(C132,ghg_sort!$A$86:$B$512,2,0),0)</f>
        <v>Agriculture</v>
      </c>
      <c r="E132" s="33" t="s">
        <v>83</v>
      </c>
      <c r="F132" s="13">
        <f>IFERROR(VLOOKUP($E132,ghg_sort!$A$3:$B$21,2,0),0)</f>
        <v>0</v>
      </c>
      <c r="G132" s="13">
        <f t="shared" ref="G132:G195" si="23">T132*$F132</f>
        <v>0</v>
      </c>
      <c r="H132" s="13">
        <f t="shared" ref="H132:H195" si="24">U132*$F132</f>
        <v>0</v>
      </c>
      <c r="I132" s="13">
        <f t="shared" ref="I132:I195" si="25">V132*$F132</f>
        <v>0</v>
      </c>
      <c r="J132" s="13">
        <f t="shared" ref="J132:J195" si="26">W132*$F132</f>
        <v>0</v>
      </c>
      <c r="K132" s="13">
        <f t="shared" ref="K132:K195" si="27">X132*$F132</f>
        <v>0</v>
      </c>
      <c r="L132" s="13">
        <f t="shared" ref="L132:L195" si="28">Y132*$F132</f>
        <v>0</v>
      </c>
      <c r="M132" s="13">
        <f t="shared" ref="M132:M195" si="29">Z132*$F132</f>
        <v>0</v>
      </c>
      <c r="N132" s="13">
        <f t="shared" ref="N132:N195" si="30">AA132*$F132</f>
        <v>0</v>
      </c>
      <c r="O132" s="13">
        <f t="shared" ref="O132:O195" si="31">AB132*$F132</f>
        <v>0</v>
      </c>
      <c r="P132" s="13">
        <f t="shared" ref="P132:P195" si="32">AC132*$F132</f>
        <v>0</v>
      </c>
      <c r="Q132" s="13">
        <f t="shared" ref="Q132:Q195" si="33">AD132*$F132</f>
        <v>0</v>
      </c>
      <c r="R132" s="13" t="s">
        <v>239</v>
      </c>
      <c r="T132" s="14">
        <v>2.0811009999999999E-4</v>
      </c>
      <c r="U132" s="14">
        <v>2.6835162000000002E-4</v>
      </c>
      <c r="V132" s="14">
        <v>2.7506043487000002E-4</v>
      </c>
      <c r="W132" s="14">
        <v>3.8987529999999899E-4</v>
      </c>
      <c r="X132" s="14">
        <v>4.2154669999999999E-4</v>
      </c>
      <c r="Y132" s="14">
        <v>4.4581797999999998E-4</v>
      </c>
      <c r="Z132" s="14">
        <v>4.3080392000000001E-4</v>
      </c>
      <c r="AA132" s="14">
        <v>4.5244856999999999E-4</v>
      </c>
      <c r="AB132" s="14">
        <v>4.1328574000000002E-4</v>
      </c>
      <c r="AC132" s="14">
        <v>4.0345149999999902E-4</v>
      </c>
      <c r="AD132" s="14">
        <v>2.8098037E-4</v>
      </c>
      <c r="AE132" s="13" t="s">
        <v>93</v>
      </c>
    </row>
    <row r="133" spans="1:31">
      <c r="A133" s="13" t="s">
        <v>260</v>
      </c>
      <c r="B133" s="13" t="s">
        <v>1</v>
      </c>
      <c r="C133" s="13" t="s">
        <v>225</v>
      </c>
      <c r="D133" s="13" t="str">
        <f>IFERROR(VLOOKUP(C133,ghg_sort!$A$86:$B$512,2,0),0)</f>
        <v>Agriculture</v>
      </c>
      <c r="E133" s="33" t="s">
        <v>84</v>
      </c>
      <c r="F133" s="13">
        <f>IFERROR(VLOOKUP($E133,ghg_sort!$A$3:$B$21,2,0),0)</f>
        <v>25</v>
      </c>
      <c r="G133" s="13">
        <f t="shared" si="23"/>
        <v>3.4054540000000001E-2</v>
      </c>
      <c r="H133" s="13">
        <f t="shared" si="24"/>
        <v>4.4202959999999999E-2</v>
      </c>
      <c r="I133" s="13">
        <f t="shared" si="25"/>
        <v>4.5376724374999997E-2</v>
      </c>
      <c r="J133" s="13">
        <f t="shared" si="26"/>
        <v>7.3254970000000003E-2</v>
      </c>
      <c r="K133" s="13">
        <f t="shared" si="27"/>
        <v>8.1143985000000002E-2</v>
      </c>
      <c r="L133" s="13">
        <f t="shared" si="28"/>
        <v>8.7260597500000009E-2</v>
      </c>
      <c r="M133" s="13">
        <f t="shared" si="29"/>
        <v>8.3784762499999998E-2</v>
      </c>
      <c r="N133" s="13">
        <f t="shared" si="30"/>
        <v>8.9272747499999999E-2</v>
      </c>
      <c r="O133" s="13">
        <f t="shared" si="31"/>
        <v>7.9897512999999754E-2</v>
      </c>
      <c r="P133" s="13">
        <f t="shared" si="32"/>
        <v>7.7662986500000003E-2</v>
      </c>
      <c r="Q133" s="13">
        <f t="shared" si="33"/>
        <v>4.7833015999999999E-2</v>
      </c>
      <c r="R133" s="13" t="s">
        <v>239</v>
      </c>
      <c r="T133" s="13">
        <v>1.3621816000000001E-3</v>
      </c>
      <c r="U133" s="13">
        <v>1.7681184000000001E-3</v>
      </c>
      <c r="V133" s="13">
        <v>1.815068975E-3</v>
      </c>
      <c r="W133" s="13">
        <v>2.9301988E-3</v>
      </c>
      <c r="X133" s="13">
        <v>3.2457594000000001E-3</v>
      </c>
      <c r="Y133" s="13">
        <v>3.4904239000000002E-3</v>
      </c>
      <c r="Z133" s="13">
        <v>3.3513904999999998E-3</v>
      </c>
      <c r="AA133" s="13">
        <v>3.5709099E-3</v>
      </c>
      <c r="AB133" s="13">
        <v>3.1959005199999899E-3</v>
      </c>
      <c r="AC133" s="13">
        <v>3.1065194600000002E-3</v>
      </c>
      <c r="AD133" s="13">
        <v>1.9133206400000001E-3</v>
      </c>
      <c r="AE133" s="13" t="s">
        <v>93</v>
      </c>
    </row>
    <row r="134" spans="1:31">
      <c r="A134" s="13" t="s">
        <v>260</v>
      </c>
      <c r="B134" s="13" t="s">
        <v>1</v>
      </c>
      <c r="C134" s="13" t="s">
        <v>225</v>
      </c>
      <c r="D134" s="13" t="str">
        <f>IFERROR(VLOOKUP(C134,ghg_sort!$A$86:$B$512,2,0),0)</f>
        <v>Agriculture</v>
      </c>
      <c r="E134" s="33" t="s">
        <v>85</v>
      </c>
      <c r="F134" s="13">
        <f>IFERROR(VLOOKUP($E134,ghg_sort!$A$3:$B$21,2,0),0)</f>
        <v>0</v>
      </c>
      <c r="G134" s="13">
        <f t="shared" si="23"/>
        <v>0</v>
      </c>
      <c r="H134" s="13">
        <f t="shared" si="24"/>
        <v>0</v>
      </c>
      <c r="I134" s="13">
        <f t="shared" si="25"/>
        <v>0</v>
      </c>
      <c r="J134" s="13">
        <f t="shared" si="26"/>
        <v>0</v>
      </c>
      <c r="K134" s="13">
        <f t="shared" si="27"/>
        <v>0</v>
      </c>
      <c r="L134" s="13">
        <f t="shared" si="28"/>
        <v>0</v>
      </c>
      <c r="M134" s="13">
        <f t="shared" si="29"/>
        <v>0</v>
      </c>
      <c r="N134" s="13">
        <f t="shared" si="30"/>
        <v>0</v>
      </c>
      <c r="O134" s="13">
        <f t="shared" si="31"/>
        <v>0</v>
      </c>
      <c r="P134" s="13">
        <f t="shared" si="32"/>
        <v>0</v>
      </c>
      <c r="Q134" s="13">
        <f t="shared" si="33"/>
        <v>0</v>
      </c>
      <c r="R134" s="13" t="s">
        <v>239</v>
      </c>
      <c r="T134" s="13">
        <v>3.6486437999999899E-2</v>
      </c>
      <c r="U134" s="13">
        <v>4.7093305999999897E-2</v>
      </c>
      <c r="V134" s="13">
        <v>4.828124927E-2</v>
      </c>
      <c r="W134" s="13">
        <v>6.8802675999999993E-2</v>
      </c>
      <c r="X134" s="13">
        <v>7.4473866E-2</v>
      </c>
      <c r="Y134" s="13">
        <v>7.8823028000000003E-2</v>
      </c>
      <c r="Z134" s="13">
        <v>7.6145234000000006E-2</v>
      </c>
      <c r="AA134" s="13">
        <v>8.0024819999999997E-2</v>
      </c>
      <c r="AB134" s="13">
        <v>7.3027712999999994E-2</v>
      </c>
      <c r="AC134" s="13">
        <v>7.1275517999999996E-2</v>
      </c>
      <c r="AD134" s="13">
        <v>4.9372946000000001E-2</v>
      </c>
      <c r="AE134" s="13" t="s">
        <v>93</v>
      </c>
    </row>
    <row r="135" spans="1:31">
      <c r="A135" s="13" t="s">
        <v>260</v>
      </c>
      <c r="B135" s="13" t="s">
        <v>1</v>
      </c>
      <c r="C135" s="13" t="s">
        <v>225</v>
      </c>
      <c r="D135" s="13" t="str">
        <f>IFERROR(VLOOKUP(C135,ghg_sort!$A$86:$B$512,2,0),0)</f>
        <v>Agriculture</v>
      </c>
      <c r="E135" s="33" t="s">
        <v>226</v>
      </c>
      <c r="F135" s="13">
        <f>IFERROR(VLOOKUP($E135,ghg_sort!$A$3:$B$21,2,0),0)</f>
        <v>0</v>
      </c>
      <c r="G135" s="13">
        <f t="shared" si="23"/>
        <v>0</v>
      </c>
      <c r="H135" s="13">
        <f t="shared" si="24"/>
        <v>0</v>
      </c>
      <c r="I135" s="13">
        <f t="shared" si="25"/>
        <v>0</v>
      </c>
      <c r="J135" s="13">
        <f t="shared" si="26"/>
        <v>0</v>
      </c>
      <c r="K135" s="13">
        <f t="shared" si="27"/>
        <v>0</v>
      </c>
      <c r="L135" s="13">
        <f t="shared" si="28"/>
        <v>0</v>
      </c>
      <c r="M135" s="13">
        <f t="shared" si="29"/>
        <v>0</v>
      </c>
      <c r="N135" s="13">
        <f t="shared" si="30"/>
        <v>0</v>
      </c>
      <c r="O135" s="13">
        <f t="shared" si="31"/>
        <v>0</v>
      </c>
      <c r="P135" s="13">
        <f t="shared" si="32"/>
        <v>0</v>
      </c>
      <c r="Q135" s="13">
        <f t="shared" si="33"/>
        <v>0</v>
      </c>
      <c r="R135" s="13" t="s">
        <v>239</v>
      </c>
      <c r="T135" s="14">
        <v>9.0532109999999998E-4</v>
      </c>
      <c r="U135" s="13">
        <v>1.1471362000000001E-3</v>
      </c>
      <c r="V135" s="13">
        <v>1.1737729363999899E-3</v>
      </c>
      <c r="W135" s="13">
        <v>1.9741635999999999E-3</v>
      </c>
      <c r="X135" s="13">
        <v>2.2011201E-3</v>
      </c>
      <c r="Y135" s="13">
        <v>2.3775407999999999E-3</v>
      </c>
      <c r="Z135" s="13">
        <v>2.2792575E-3</v>
      </c>
      <c r="AA135" s="13">
        <v>2.4377829300000001E-3</v>
      </c>
      <c r="AB135" s="13">
        <v>2.17050338999999E-3</v>
      </c>
      <c r="AC135" s="13">
        <v>2.10758119E-3</v>
      </c>
      <c r="AD135" s="13">
        <v>1.25372946E-3</v>
      </c>
      <c r="AE135" s="13" t="s">
        <v>93</v>
      </c>
    </row>
    <row r="136" spans="1:31">
      <c r="A136" s="13" t="s">
        <v>260</v>
      </c>
      <c r="B136" s="13" t="s">
        <v>1</v>
      </c>
      <c r="C136" s="13" t="s">
        <v>225</v>
      </c>
      <c r="D136" s="13" t="str">
        <f>IFERROR(VLOOKUP(C136,ghg_sort!$A$86:$B$512,2,0),0)</f>
        <v>Agriculture</v>
      </c>
      <c r="E136" s="33" t="s">
        <v>87</v>
      </c>
      <c r="F136" s="13">
        <f>IFERROR(VLOOKUP($E136,ghg_sort!$A$3:$B$21,2,0),0)</f>
        <v>298</v>
      </c>
      <c r="G136" s="13">
        <f t="shared" si="23"/>
        <v>2.1461364E-2</v>
      </c>
      <c r="H136" s="13">
        <f t="shared" si="24"/>
        <v>2.7156576100000003E-2</v>
      </c>
      <c r="I136" s="13">
        <f t="shared" si="25"/>
        <v>2.7714133283480002E-2</v>
      </c>
      <c r="J136" s="13">
        <f t="shared" si="26"/>
        <v>4.0995809340000001E-2</v>
      </c>
      <c r="K136" s="13">
        <f t="shared" si="27"/>
        <v>4.4659585240000001E-2</v>
      </c>
      <c r="L136" s="13">
        <f t="shared" si="28"/>
        <v>4.7480888319999998E-2</v>
      </c>
      <c r="M136" s="13">
        <f t="shared" si="29"/>
        <v>4.5797536980000005E-2</v>
      </c>
      <c r="N136" s="13">
        <f t="shared" si="30"/>
        <v>4.8320997999999997E-2</v>
      </c>
      <c r="O136" s="13">
        <f t="shared" si="31"/>
        <v>4.3866414434000002E-2</v>
      </c>
      <c r="P136" s="13">
        <f t="shared" si="32"/>
        <v>4.2771336549999699E-2</v>
      </c>
      <c r="Q136" s="13">
        <f t="shared" si="33"/>
        <v>2.8738984111999998E-2</v>
      </c>
      <c r="R136" s="13" t="s">
        <v>239</v>
      </c>
      <c r="T136" s="14">
        <v>7.2018000000000001E-5</v>
      </c>
      <c r="U136" s="14">
        <v>9.1129450000000006E-5</v>
      </c>
      <c r="V136" s="14">
        <v>9.3000447260000002E-5</v>
      </c>
      <c r="W136" s="14">
        <v>1.3756983E-4</v>
      </c>
      <c r="X136" s="14">
        <v>1.4986438000000001E-4</v>
      </c>
      <c r="Y136" s="14">
        <v>1.5933184E-4</v>
      </c>
      <c r="Z136" s="14">
        <v>1.5368301000000001E-4</v>
      </c>
      <c r="AA136" s="14">
        <v>1.62151E-4</v>
      </c>
      <c r="AB136" s="14">
        <v>1.47202733E-4</v>
      </c>
      <c r="AC136" s="14">
        <v>1.4352797499999899E-4</v>
      </c>
      <c r="AD136" s="14">
        <v>9.6439543999999997E-5</v>
      </c>
      <c r="AE136" s="13" t="s">
        <v>93</v>
      </c>
    </row>
    <row r="137" spans="1:31">
      <c r="A137" s="13" t="s">
        <v>260</v>
      </c>
      <c r="B137" s="13" t="s">
        <v>1</v>
      </c>
      <c r="C137" s="13" t="s">
        <v>225</v>
      </c>
      <c r="D137" s="13" t="str">
        <f>IFERROR(VLOOKUP(C137,ghg_sort!$A$86:$B$512,2,0),0)</f>
        <v>Agriculture</v>
      </c>
      <c r="E137" s="33" t="s">
        <v>88</v>
      </c>
      <c r="F137" s="13">
        <f>IFERROR(VLOOKUP($E137,ghg_sort!$A$3:$B$21,2,0),0)</f>
        <v>0</v>
      </c>
      <c r="G137" s="13">
        <f t="shared" si="23"/>
        <v>0</v>
      </c>
      <c r="H137" s="13">
        <f t="shared" si="24"/>
        <v>0</v>
      </c>
      <c r="I137" s="13">
        <f t="shared" si="25"/>
        <v>0</v>
      </c>
      <c r="J137" s="13">
        <f t="shared" si="26"/>
        <v>0</v>
      </c>
      <c r="K137" s="13">
        <f t="shared" si="27"/>
        <v>0</v>
      </c>
      <c r="L137" s="13">
        <f t="shared" si="28"/>
        <v>0</v>
      </c>
      <c r="M137" s="13">
        <f t="shared" si="29"/>
        <v>0</v>
      </c>
      <c r="N137" s="13">
        <f t="shared" si="30"/>
        <v>0</v>
      </c>
      <c r="O137" s="13">
        <f t="shared" si="31"/>
        <v>0</v>
      </c>
      <c r="P137" s="13">
        <f t="shared" si="32"/>
        <v>0</v>
      </c>
      <c r="Q137" s="13">
        <f t="shared" si="33"/>
        <v>0</v>
      </c>
      <c r="R137" s="13" t="s">
        <v>239</v>
      </c>
      <c r="T137" s="14">
        <v>3.4287195000000002E-4</v>
      </c>
      <c r="U137" s="14">
        <v>4.4428529000000003E-4</v>
      </c>
      <c r="V137" s="14">
        <v>4.5590529729999999E-4</v>
      </c>
      <c r="W137" s="14">
        <v>7.4862112000000005E-4</v>
      </c>
      <c r="X137" s="14">
        <v>8.3156652000000004E-4</v>
      </c>
      <c r="Y137" s="14">
        <v>8.9594521000000002E-4</v>
      </c>
      <c r="Z137" s="14">
        <v>8.5965542999999998E-4</v>
      </c>
      <c r="AA137" s="14">
        <v>9.1745016999999996E-4</v>
      </c>
      <c r="AB137" s="14">
        <v>8.1924369000000005E-4</v>
      </c>
      <c r="AC137" s="14">
        <v>7.9595526000000004E-4</v>
      </c>
      <c r="AD137" s="14">
        <v>4.8296818E-4</v>
      </c>
      <c r="AE137" s="13" t="s">
        <v>93</v>
      </c>
    </row>
    <row r="138" spans="1:31">
      <c r="A138" s="13" t="s">
        <v>260</v>
      </c>
      <c r="B138" s="13" t="s">
        <v>1</v>
      </c>
      <c r="C138" s="13" t="s">
        <v>225</v>
      </c>
      <c r="D138" s="13" t="str">
        <f>IFERROR(VLOOKUP(C138,ghg_sort!$A$86:$B$512,2,0),0)</f>
        <v>Agriculture</v>
      </c>
      <c r="E138" s="33" t="s">
        <v>89</v>
      </c>
      <c r="F138" s="13">
        <f>IFERROR(VLOOKUP($E138,ghg_sort!$A$3:$B$21,2,0),0)</f>
        <v>0</v>
      </c>
      <c r="G138" s="13">
        <f t="shared" si="23"/>
        <v>0</v>
      </c>
      <c r="H138" s="13">
        <f t="shared" si="24"/>
        <v>0</v>
      </c>
      <c r="I138" s="13">
        <f t="shared" si="25"/>
        <v>0</v>
      </c>
      <c r="J138" s="13">
        <f t="shared" si="26"/>
        <v>0</v>
      </c>
      <c r="K138" s="13">
        <f t="shared" si="27"/>
        <v>0</v>
      </c>
      <c r="L138" s="13">
        <f t="shared" si="28"/>
        <v>0</v>
      </c>
      <c r="M138" s="13">
        <f t="shared" si="29"/>
        <v>0</v>
      </c>
      <c r="N138" s="13">
        <f t="shared" si="30"/>
        <v>0</v>
      </c>
      <c r="O138" s="13">
        <f t="shared" si="31"/>
        <v>0</v>
      </c>
      <c r="P138" s="13">
        <f t="shared" si="32"/>
        <v>0</v>
      </c>
      <c r="Q138" s="13">
        <f t="shared" si="33"/>
        <v>0</v>
      </c>
      <c r="R138" s="13" t="s">
        <v>239</v>
      </c>
      <c r="T138" s="13">
        <v>6.4266441999999901E-3</v>
      </c>
      <c r="U138" s="13">
        <v>8.42423629999999E-3</v>
      </c>
      <c r="V138" s="13">
        <v>8.6509853889999901E-3</v>
      </c>
      <c r="W138" s="13">
        <v>1.2907079599999999E-2</v>
      </c>
      <c r="X138" s="13">
        <v>1.4093838799999999E-2</v>
      </c>
      <c r="Y138" s="13">
        <v>1.50082902999999E-2</v>
      </c>
      <c r="Z138" s="13">
        <v>1.44641003999999E-2</v>
      </c>
      <c r="AA138" s="13">
        <v>1.52818539E-2</v>
      </c>
      <c r="AB138" s="13">
        <v>1.38409083E-2</v>
      </c>
      <c r="AC138" s="13">
        <v>1.3487433199999999E-2</v>
      </c>
      <c r="AD138" s="13">
        <v>8.9455365000000002E-3</v>
      </c>
      <c r="AE138" s="13" t="s">
        <v>93</v>
      </c>
    </row>
    <row r="139" spans="1:31">
      <c r="A139" s="13" t="s">
        <v>260</v>
      </c>
      <c r="B139" s="13" t="s">
        <v>1</v>
      </c>
      <c r="C139" s="13" t="s">
        <v>225</v>
      </c>
      <c r="D139" s="13" t="str">
        <f>IFERROR(VLOOKUP(C139,ghg_sort!$A$86:$B$512,2,0),0)</f>
        <v>Agriculture</v>
      </c>
      <c r="E139" s="33" t="s">
        <v>90</v>
      </c>
      <c r="F139" s="13">
        <f>IFERROR(VLOOKUP($E139,ghg_sort!$A$3:$B$21,2,0),0)</f>
        <v>0</v>
      </c>
      <c r="G139" s="13">
        <f t="shared" si="23"/>
        <v>0</v>
      </c>
      <c r="H139" s="13">
        <f t="shared" si="24"/>
        <v>0</v>
      </c>
      <c r="I139" s="13">
        <f t="shared" si="25"/>
        <v>0</v>
      </c>
      <c r="J139" s="13">
        <f t="shared" si="26"/>
        <v>0</v>
      </c>
      <c r="K139" s="13">
        <f t="shared" si="27"/>
        <v>0</v>
      </c>
      <c r="L139" s="13">
        <f t="shared" si="28"/>
        <v>0</v>
      </c>
      <c r="M139" s="13">
        <f t="shared" si="29"/>
        <v>0</v>
      </c>
      <c r="N139" s="13">
        <f t="shared" si="30"/>
        <v>0</v>
      </c>
      <c r="O139" s="13">
        <f t="shared" si="31"/>
        <v>0</v>
      </c>
      <c r="P139" s="13">
        <f t="shared" si="32"/>
        <v>0</v>
      </c>
      <c r="Q139" s="13">
        <f t="shared" si="33"/>
        <v>0</v>
      </c>
      <c r="R139" s="13" t="s">
        <v>239</v>
      </c>
      <c r="T139" s="14">
        <v>9.6389999999999996E-4</v>
      </c>
      <c r="U139" s="13">
        <v>1.1901911E-3</v>
      </c>
      <c r="V139" s="13">
        <v>1.2075641075E-3</v>
      </c>
      <c r="W139" s="13">
        <v>1.7834616999999899E-3</v>
      </c>
      <c r="X139" s="13">
        <v>1.9402588999999999E-3</v>
      </c>
      <c r="Y139" s="13">
        <v>2.0609895999999998E-3</v>
      </c>
      <c r="Z139" s="13">
        <v>1.9890537E-3</v>
      </c>
      <c r="AA139" s="13">
        <v>2.0970949000000002E-3</v>
      </c>
      <c r="AB139" s="13">
        <v>1.9065478E-3</v>
      </c>
      <c r="AC139" s="13">
        <v>1.8597175000000001E-3</v>
      </c>
      <c r="AD139" s="13">
        <v>1.25935829999999E-3</v>
      </c>
      <c r="AE139" s="13" t="s">
        <v>93</v>
      </c>
    </row>
    <row r="140" spans="1:31">
      <c r="A140" s="13" t="s">
        <v>260</v>
      </c>
      <c r="B140" s="13" t="s">
        <v>1</v>
      </c>
      <c r="C140" s="13" t="s">
        <v>225</v>
      </c>
      <c r="D140" s="13" t="str">
        <f>IFERROR(VLOOKUP(C140,ghg_sort!$A$86:$B$512,2,0),0)</f>
        <v>Agriculture</v>
      </c>
      <c r="E140" s="33" t="s">
        <v>91</v>
      </c>
      <c r="F140" s="13">
        <f>IFERROR(VLOOKUP($E140,ghg_sort!$A$3:$B$21,2,0),0)</f>
        <v>0</v>
      </c>
      <c r="G140" s="13">
        <f t="shared" si="23"/>
        <v>0</v>
      </c>
      <c r="H140" s="13">
        <f t="shared" si="24"/>
        <v>0</v>
      </c>
      <c r="I140" s="13">
        <f t="shared" si="25"/>
        <v>0</v>
      </c>
      <c r="J140" s="13">
        <f t="shared" si="26"/>
        <v>0</v>
      </c>
      <c r="K140" s="13">
        <f t="shared" si="27"/>
        <v>0</v>
      </c>
      <c r="L140" s="13">
        <f t="shared" si="28"/>
        <v>0</v>
      </c>
      <c r="M140" s="13">
        <f t="shared" si="29"/>
        <v>0</v>
      </c>
      <c r="N140" s="13">
        <f t="shared" si="30"/>
        <v>0</v>
      </c>
      <c r="O140" s="13">
        <f t="shared" si="31"/>
        <v>0</v>
      </c>
      <c r="P140" s="13">
        <f t="shared" si="32"/>
        <v>0</v>
      </c>
      <c r="Q140" s="13">
        <f t="shared" si="33"/>
        <v>0</v>
      </c>
      <c r="R140" s="13" t="s">
        <v>239</v>
      </c>
      <c r="T140" s="13">
        <v>3.6977167E-3</v>
      </c>
      <c r="U140" s="13">
        <v>4.8634713E-3</v>
      </c>
      <c r="V140" s="13">
        <v>5.0074025938999997E-3</v>
      </c>
      <c r="W140" s="13">
        <v>6.0277934999999998E-3</v>
      </c>
      <c r="X140" s="13">
        <v>6.2941458000000004E-3</v>
      </c>
      <c r="Y140" s="13">
        <v>6.4897699999999997E-3</v>
      </c>
      <c r="Z140" s="13">
        <v>6.3312714000000004E-3</v>
      </c>
      <c r="AA140" s="13">
        <v>6.5014364999999999E-3</v>
      </c>
      <c r="AB140" s="13">
        <v>6.1259734E-3</v>
      </c>
      <c r="AC140" s="13">
        <v>6.0172356000000003E-3</v>
      </c>
      <c r="AD140" s="13">
        <v>4.9051729999999997E-3</v>
      </c>
      <c r="AE140" s="13" t="s">
        <v>93</v>
      </c>
    </row>
    <row r="141" spans="1:31">
      <c r="A141" s="13" t="s">
        <v>260</v>
      </c>
      <c r="B141" s="13" t="s">
        <v>1</v>
      </c>
      <c r="C141" s="13" t="s">
        <v>225</v>
      </c>
      <c r="D141" s="13" t="str">
        <f>IFERROR(VLOOKUP(C141,ghg_sort!$A$86:$B$512,2,0),0)</f>
        <v>Agriculture</v>
      </c>
      <c r="E141" s="33" t="s">
        <v>92</v>
      </c>
      <c r="F141" s="13">
        <f>IFERROR(VLOOKUP($E141,ghg_sort!$A$3:$B$21,2,0),0)</f>
        <v>0</v>
      </c>
      <c r="G141" s="13">
        <f t="shared" si="23"/>
        <v>0</v>
      </c>
      <c r="H141" s="13">
        <f t="shared" si="24"/>
        <v>0</v>
      </c>
      <c r="I141" s="13">
        <f t="shared" si="25"/>
        <v>0</v>
      </c>
      <c r="J141" s="13">
        <f t="shared" si="26"/>
        <v>0</v>
      </c>
      <c r="K141" s="13">
        <f t="shared" si="27"/>
        <v>0</v>
      </c>
      <c r="L141" s="13">
        <f t="shared" si="28"/>
        <v>0</v>
      </c>
      <c r="M141" s="13">
        <f t="shared" si="29"/>
        <v>0</v>
      </c>
      <c r="N141" s="13">
        <f t="shared" si="30"/>
        <v>0</v>
      </c>
      <c r="O141" s="13">
        <f t="shared" si="31"/>
        <v>0</v>
      </c>
      <c r="P141" s="13">
        <f t="shared" si="32"/>
        <v>0</v>
      </c>
      <c r="Q141" s="13">
        <f t="shared" si="33"/>
        <v>0</v>
      </c>
      <c r="R141" s="13" t="s">
        <v>239</v>
      </c>
      <c r="T141" s="14">
        <v>4.3564472E-4</v>
      </c>
      <c r="U141" s="14">
        <v>5.6885509000000002E-4</v>
      </c>
      <c r="V141" s="14">
        <v>5.8473679450999998E-4</v>
      </c>
      <c r="W141" s="14">
        <v>6.7190353999999996E-4</v>
      </c>
      <c r="X141" s="14">
        <v>6.9327173999999896E-4</v>
      </c>
      <c r="Y141" s="14">
        <v>7.0840164999999903E-4</v>
      </c>
      <c r="Z141" s="14">
        <v>6.9357772999999905E-4</v>
      </c>
      <c r="AA141" s="14">
        <v>7.0645589999999904E-4</v>
      </c>
      <c r="AB141" s="14">
        <v>6.7330477999999895E-4</v>
      </c>
      <c r="AC141" s="14">
        <v>6.6286712999999995E-4</v>
      </c>
      <c r="AD141" s="14">
        <v>5.6825915000000005E-4</v>
      </c>
      <c r="AE141" s="13" t="s">
        <v>93</v>
      </c>
    </row>
    <row r="142" spans="1:31">
      <c r="A142" s="13" t="s">
        <v>260</v>
      </c>
      <c r="B142" s="13" t="s">
        <v>1</v>
      </c>
      <c r="C142" s="13" t="s">
        <v>227</v>
      </c>
      <c r="D142" s="13" t="str">
        <f>IFERROR(VLOOKUP(C142,ghg_sort!$A$86:$B$512,2,0),0)</f>
        <v>Agriculture</v>
      </c>
      <c r="E142" s="33" t="s">
        <v>206</v>
      </c>
      <c r="F142" s="13">
        <f>IFERROR(VLOOKUP($E142,ghg_sort!$A$3:$B$21,2,0),0)</f>
        <v>0</v>
      </c>
      <c r="G142" s="13">
        <f t="shared" si="23"/>
        <v>0</v>
      </c>
      <c r="H142" s="13">
        <f t="shared" si="24"/>
        <v>0</v>
      </c>
      <c r="I142" s="13">
        <f t="shared" si="25"/>
        <v>0</v>
      </c>
      <c r="J142" s="13">
        <f t="shared" si="26"/>
        <v>0</v>
      </c>
      <c r="K142" s="13">
        <f t="shared" si="27"/>
        <v>0</v>
      </c>
      <c r="L142" s="13">
        <f t="shared" si="28"/>
        <v>0</v>
      </c>
      <c r="M142" s="13">
        <f t="shared" si="29"/>
        <v>0</v>
      </c>
      <c r="N142" s="13">
        <f t="shared" si="30"/>
        <v>0</v>
      </c>
      <c r="O142" s="13">
        <f t="shared" si="31"/>
        <v>0</v>
      </c>
      <c r="P142" s="13">
        <f t="shared" si="32"/>
        <v>0</v>
      </c>
      <c r="Q142" s="13">
        <f t="shared" si="33"/>
        <v>0</v>
      </c>
      <c r="R142" s="13" t="s">
        <v>239</v>
      </c>
      <c r="T142" s="14">
        <v>2.18E-8</v>
      </c>
      <c r="U142" s="14">
        <v>2.0029999999999999E-7</v>
      </c>
      <c r="V142" s="14">
        <v>1.1578279999999999E-5</v>
      </c>
      <c r="W142" s="14">
        <v>1.6238120000000001E-5</v>
      </c>
      <c r="X142" s="14">
        <v>1.015478E-5</v>
      </c>
      <c r="Y142" s="14">
        <v>8.0882899999999994E-6</v>
      </c>
      <c r="Z142" s="14">
        <v>7.9871399999999996E-6</v>
      </c>
      <c r="AA142" s="14">
        <v>8.9271699999999994E-6</v>
      </c>
      <c r="AB142" s="14">
        <v>9.9821299999999992E-6</v>
      </c>
      <c r="AC142" s="14">
        <v>1.116911E-5</v>
      </c>
      <c r="AD142" s="14">
        <v>1.202571E-5</v>
      </c>
      <c r="AE142" s="13" t="s">
        <v>93</v>
      </c>
    </row>
    <row r="143" spans="1:31">
      <c r="A143" s="13" t="s">
        <v>260</v>
      </c>
      <c r="B143" s="13" t="s">
        <v>1</v>
      </c>
      <c r="C143" s="13" t="s">
        <v>227</v>
      </c>
      <c r="D143" s="13" t="str">
        <f>IFERROR(VLOOKUP(C143,ghg_sort!$A$86:$B$512,2,0),0)</f>
        <v>Agriculture</v>
      </c>
      <c r="E143" s="33" t="s">
        <v>105</v>
      </c>
      <c r="F143" s="13">
        <f>IFERROR(VLOOKUP($E143,ghg_sort!$A$3:$B$21,2,0),0)</f>
        <v>25</v>
      </c>
      <c r="G143" s="13">
        <f t="shared" si="23"/>
        <v>4.2374999999999997E-6</v>
      </c>
      <c r="H143" s="13">
        <f t="shared" si="24"/>
        <v>3.8854999999999749E-5</v>
      </c>
      <c r="I143" s="13">
        <f t="shared" si="25"/>
        <v>1.3908074999999999E-4</v>
      </c>
      <c r="J143" s="13">
        <f t="shared" si="26"/>
        <v>1.9505600000000001E-4</v>
      </c>
      <c r="K143" s="13">
        <f t="shared" si="27"/>
        <v>1.2198149999999999E-4</v>
      </c>
      <c r="L143" s="13">
        <f t="shared" si="28"/>
        <v>9.7158500000000002E-5</v>
      </c>
      <c r="M143" s="13">
        <f t="shared" si="29"/>
        <v>9.5943250000000003E-5</v>
      </c>
      <c r="N143" s="13">
        <f t="shared" si="30"/>
        <v>1.07235E-4</v>
      </c>
      <c r="O143" s="13">
        <f t="shared" si="31"/>
        <v>1.1990725000000001E-4</v>
      </c>
      <c r="P143" s="13">
        <f t="shared" si="32"/>
        <v>1.3416550000000001E-4</v>
      </c>
      <c r="Q143" s="13">
        <f t="shared" si="33"/>
        <v>1.4445500000000001E-4</v>
      </c>
      <c r="R143" s="13" t="s">
        <v>239</v>
      </c>
      <c r="T143" s="14">
        <v>1.695E-7</v>
      </c>
      <c r="U143" s="14">
        <v>1.5541999999999899E-6</v>
      </c>
      <c r="V143" s="14">
        <v>5.5632299999999999E-6</v>
      </c>
      <c r="W143" s="14">
        <v>7.8022400000000007E-6</v>
      </c>
      <c r="X143" s="14">
        <v>4.8792599999999998E-6</v>
      </c>
      <c r="Y143" s="14">
        <v>3.8863399999999998E-6</v>
      </c>
      <c r="Z143" s="14">
        <v>3.8377300000000001E-6</v>
      </c>
      <c r="AA143" s="14">
        <v>4.2894E-6</v>
      </c>
      <c r="AB143" s="14">
        <v>4.7962900000000003E-6</v>
      </c>
      <c r="AC143" s="14">
        <v>5.3666200000000001E-6</v>
      </c>
      <c r="AD143" s="14">
        <v>5.7782E-6</v>
      </c>
      <c r="AE143" s="13" t="s">
        <v>93</v>
      </c>
    </row>
    <row r="144" spans="1:31">
      <c r="A144" s="13" t="s">
        <v>260</v>
      </c>
      <c r="B144" s="13" t="s">
        <v>1</v>
      </c>
      <c r="C144" s="13" t="s">
        <v>227</v>
      </c>
      <c r="D144" s="13" t="str">
        <f>IFERROR(VLOOKUP(C144,ghg_sort!$A$86:$B$512,2,0),0)</f>
        <v>Agriculture</v>
      </c>
      <c r="E144" s="33" t="s">
        <v>207</v>
      </c>
      <c r="F144" s="13">
        <f>IFERROR(VLOOKUP($E144,ghg_sort!$A$3:$B$21,2,0),0)</f>
        <v>0</v>
      </c>
      <c r="G144" s="13">
        <f t="shared" si="23"/>
        <v>0</v>
      </c>
      <c r="H144" s="13">
        <f t="shared" si="24"/>
        <v>0</v>
      </c>
      <c r="I144" s="13">
        <f t="shared" si="25"/>
        <v>0</v>
      </c>
      <c r="J144" s="13">
        <f t="shared" si="26"/>
        <v>0</v>
      </c>
      <c r="K144" s="13">
        <f t="shared" si="27"/>
        <v>0</v>
      </c>
      <c r="L144" s="13">
        <f t="shared" si="28"/>
        <v>0</v>
      </c>
      <c r="M144" s="13">
        <f t="shared" si="29"/>
        <v>0</v>
      </c>
      <c r="N144" s="13">
        <f t="shared" si="30"/>
        <v>0</v>
      </c>
      <c r="O144" s="13">
        <f t="shared" si="31"/>
        <v>0</v>
      </c>
      <c r="P144" s="13">
        <f t="shared" si="32"/>
        <v>0</v>
      </c>
      <c r="Q144" s="13">
        <f t="shared" si="33"/>
        <v>0</v>
      </c>
      <c r="R144" s="13" t="s">
        <v>239</v>
      </c>
      <c r="T144" s="14">
        <v>2.9706E-6</v>
      </c>
      <c r="U144" s="14">
        <v>2.7238099999999999E-5</v>
      </c>
      <c r="V144" s="14">
        <v>9.7498399999999995E-5</v>
      </c>
      <c r="W144" s="14">
        <v>1.3673799999999999E-4</v>
      </c>
      <c r="X144" s="14">
        <v>8.5511400000000003E-5</v>
      </c>
      <c r="Y144" s="14">
        <v>6.8109900000000003E-5</v>
      </c>
      <c r="Z144" s="14">
        <v>6.7258100000000006E-5</v>
      </c>
      <c r="AA144" s="14">
        <v>7.5173900000000002E-5</v>
      </c>
      <c r="AB144" s="14">
        <v>8.4057399999999999E-5</v>
      </c>
      <c r="AC144" s="14">
        <v>9.4052600000000001E-5</v>
      </c>
      <c r="AD144" s="14">
        <v>1.01265799999999E-4</v>
      </c>
      <c r="AE144" s="13" t="s">
        <v>93</v>
      </c>
    </row>
    <row r="145" spans="1:31">
      <c r="A145" s="13" t="s">
        <v>260</v>
      </c>
      <c r="B145" s="13" t="s">
        <v>1</v>
      </c>
      <c r="C145" s="13" t="s">
        <v>227</v>
      </c>
      <c r="D145" s="13" t="str">
        <f>IFERROR(VLOOKUP(C145,ghg_sort!$A$86:$B$512,2,0),0)</f>
        <v>Agriculture</v>
      </c>
      <c r="E145" s="33" t="s">
        <v>208</v>
      </c>
      <c r="F145" s="13">
        <f>IFERROR(VLOOKUP($E145,ghg_sort!$A$3:$B$21,2,0),0)</f>
        <v>0</v>
      </c>
      <c r="G145" s="13">
        <f t="shared" si="23"/>
        <v>0</v>
      </c>
      <c r="H145" s="13">
        <f t="shared" si="24"/>
        <v>0</v>
      </c>
      <c r="I145" s="13">
        <f t="shared" si="25"/>
        <v>0</v>
      </c>
      <c r="J145" s="13">
        <f t="shared" si="26"/>
        <v>0</v>
      </c>
      <c r="K145" s="13">
        <f t="shared" si="27"/>
        <v>0</v>
      </c>
      <c r="L145" s="13">
        <f t="shared" si="28"/>
        <v>0</v>
      </c>
      <c r="M145" s="13">
        <f t="shared" si="29"/>
        <v>0</v>
      </c>
      <c r="N145" s="13">
        <f t="shared" si="30"/>
        <v>0</v>
      </c>
      <c r="O145" s="13">
        <f t="shared" si="31"/>
        <v>0</v>
      </c>
      <c r="P145" s="13">
        <f t="shared" si="32"/>
        <v>0</v>
      </c>
      <c r="Q145" s="13">
        <f t="shared" si="33"/>
        <v>0</v>
      </c>
      <c r="R145" s="13" t="s">
        <v>239</v>
      </c>
      <c r="T145" s="14">
        <v>6.8799999999999994E-8</v>
      </c>
      <c r="U145" s="14">
        <v>6.3160000000000002E-7</v>
      </c>
      <c r="V145" s="14">
        <v>2.2608029999999999E-6</v>
      </c>
      <c r="W145" s="14">
        <v>3.1706900000000001E-6</v>
      </c>
      <c r="X145" s="14">
        <v>1.9828449999999899E-6</v>
      </c>
      <c r="Y145" s="14">
        <v>1.579336E-6</v>
      </c>
      <c r="Z145" s="14">
        <v>1.5595869999999999E-6</v>
      </c>
      <c r="AA145" s="14">
        <v>1.743141E-6</v>
      </c>
      <c r="AB145" s="14">
        <v>1.949133E-6</v>
      </c>
      <c r="AC145" s="14">
        <v>2.1808989999999999E-6</v>
      </c>
      <c r="AD145" s="14">
        <v>2.34816E-6</v>
      </c>
      <c r="AE145" s="13" t="s">
        <v>93</v>
      </c>
    </row>
    <row r="146" spans="1:31">
      <c r="A146" s="13" t="s">
        <v>260</v>
      </c>
      <c r="B146" s="13" t="s">
        <v>1</v>
      </c>
      <c r="C146" s="13" t="s">
        <v>227</v>
      </c>
      <c r="D146" s="13" t="str">
        <f>IFERROR(VLOOKUP(C146,ghg_sort!$A$86:$B$512,2,0),0)</f>
        <v>Agriculture</v>
      </c>
      <c r="E146" s="33" t="s">
        <v>101</v>
      </c>
      <c r="F146" s="13">
        <f>IFERROR(VLOOKUP($E146,ghg_sort!$A$3:$B$21,2,0),0)</f>
        <v>298</v>
      </c>
      <c r="G146" s="13">
        <f t="shared" si="23"/>
        <v>6.9782660000000001E-4</v>
      </c>
      <c r="H146" s="13">
        <f t="shared" si="24"/>
        <v>7.5977782000000004E-3</v>
      </c>
      <c r="I146" s="13">
        <f t="shared" si="25"/>
        <v>2.33283936E-2</v>
      </c>
      <c r="J146" s="13">
        <f t="shared" si="26"/>
        <v>3.6367919999999998E-2</v>
      </c>
      <c r="K146" s="13">
        <f t="shared" si="27"/>
        <v>3.5549760999999999E-2</v>
      </c>
      <c r="L146" s="13">
        <f t="shared" si="28"/>
        <v>4.02723756E-2</v>
      </c>
      <c r="M146" s="13">
        <f t="shared" si="29"/>
        <v>4.1060049199999997E-2</v>
      </c>
      <c r="N146" s="13">
        <f t="shared" si="30"/>
        <v>4.4777718399999999E-2</v>
      </c>
      <c r="O146" s="13">
        <f t="shared" si="31"/>
        <v>5.0022190599999995E-2</v>
      </c>
      <c r="P146" s="13">
        <f t="shared" si="32"/>
        <v>5.5868771800000001E-2</v>
      </c>
      <c r="Q146" s="13">
        <f t="shared" si="33"/>
        <v>5.9744828E-2</v>
      </c>
      <c r="R146" s="13" t="s">
        <v>239</v>
      </c>
      <c r="T146" s="14">
        <v>2.3417E-6</v>
      </c>
      <c r="U146" s="14">
        <v>2.5495900000000001E-5</v>
      </c>
      <c r="V146" s="14">
        <v>7.8283199999999996E-5</v>
      </c>
      <c r="W146" s="14">
        <v>1.2204E-4</v>
      </c>
      <c r="X146" s="14">
        <v>1.1929449999999999E-4</v>
      </c>
      <c r="Y146" s="14">
        <v>1.351422E-4</v>
      </c>
      <c r="Z146" s="14">
        <v>1.377854E-4</v>
      </c>
      <c r="AA146" s="14">
        <v>1.5026079999999999E-4</v>
      </c>
      <c r="AB146" s="14">
        <v>1.6785969999999999E-4</v>
      </c>
      <c r="AC146" s="14">
        <v>1.8747910000000001E-4</v>
      </c>
      <c r="AD146" s="14">
        <v>2.0048599999999999E-4</v>
      </c>
      <c r="AE146" s="13" t="s">
        <v>93</v>
      </c>
    </row>
    <row r="147" spans="1:31">
      <c r="A147" s="13" t="s">
        <v>260</v>
      </c>
      <c r="B147" s="13" t="s">
        <v>1</v>
      </c>
      <c r="C147" s="13" t="s">
        <v>227</v>
      </c>
      <c r="D147" s="13" t="str">
        <f>IFERROR(VLOOKUP(C147,ghg_sort!$A$86:$B$512,2,0),0)</f>
        <v>Agriculture</v>
      </c>
      <c r="E147" s="33" t="s">
        <v>102</v>
      </c>
      <c r="F147" s="13">
        <f>IFERROR(VLOOKUP($E147,ghg_sort!$A$3:$B$21,2,0),0)</f>
        <v>298</v>
      </c>
      <c r="G147" s="13">
        <f t="shared" si="23"/>
        <v>8.6420000000000002E-7</v>
      </c>
      <c r="H147" s="13">
        <f t="shared" si="24"/>
        <v>7.956600000000001E-6</v>
      </c>
      <c r="I147" s="13">
        <f t="shared" si="25"/>
        <v>2.84805156E-5</v>
      </c>
      <c r="J147" s="13">
        <f t="shared" si="26"/>
        <v>3.9942936600000002E-5</v>
      </c>
      <c r="K147" s="13">
        <f t="shared" si="27"/>
        <v>2.4978985800000001E-5</v>
      </c>
      <c r="L147" s="13">
        <f t="shared" si="28"/>
        <v>1.98957614E-5</v>
      </c>
      <c r="M147" s="13">
        <f t="shared" si="29"/>
        <v>1.96469612E-5</v>
      </c>
      <c r="N147" s="13">
        <f t="shared" si="30"/>
        <v>2.1959262399999997E-5</v>
      </c>
      <c r="O147" s="13">
        <f t="shared" si="31"/>
        <v>2.4554246399999998E-5</v>
      </c>
      <c r="P147" s="13">
        <f t="shared" si="32"/>
        <v>2.747399079999997E-5</v>
      </c>
      <c r="Q147" s="13">
        <f t="shared" si="33"/>
        <v>2.9581029599999999E-5</v>
      </c>
      <c r="R147" s="13" t="s">
        <v>239</v>
      </c>
      <c r="T147" s="14">
        <v>2.8999999999999999E-9</v>
      </c>
      <c r="U147" s="14">
        <v>2.6700000000000001E-8</v>
      </c>
      <c r="V147" s="14">
        <v>9.5572200000000001E-8</v>
      </c>
      <c r="W147" s="14">
        <v>1.3403669999999999E-7</v>
      </c>
      <c r="X147" s="14">
        <v>8.38221E-8</v>
      </c>
      <c r="Y147" s="14">
        <v>6.6764300000000004E-8</v>
      </c>
      <c r="Z147" s="14">
        <v>6.5929400000000003E-8</v>
      </c>
      <c r="AA147" s="14">
        <v>7.3688799999999995E-8</v>
      </c>
      <c r="AB147" s="14">
        <v>8.2396799999999996E-8</v>
      </c>
      <c r="AC147" s="14">
        <v>9.2194599999999898E-8</v>
      </c>
      <c r="AD147" s="14">
        <v>9.9265199999999993E-8</v>
      </c>
      <c r="AE147" s="13" t="s">
        <v>93</v>
      </c>
    </row>
    <row r="148" spans="1:31">
      <c r="A148" s="13" t="s">
        <v>260</v>
      </c>
      <c r="B148" s="13" t="s">
        <v>1</v>
      </c>
      <c r="C148" s="13" t="s">
        <v>227</v>
      </c>
      <c r="D148" s="13" t="str">
        <f>IFERROR(VLOOKUP(C148,ghg_sort!$A$86:$B$512,2,0),0)</f>
        <v>Agriculture</v>
      </c>
      <c r="E148" s="33" t="s">
        <v>202</v>
      </c>
      <c r="F148" s="13">
        <f>IFERROR(VLOOKUP($E148,ghg_sort!$A$3:$B$21,2,0),0)</f>
        <v>0</v>
      </c>
      <c r="G148" s="13">
        <f t="shared" si="23"/>
        <v>0</v>
      </c>
      <c r="H148" s="13">
        <f t="shared" si="24"/>
        <v>0</v>
      </c>
      <c r="I148" s="13">
        <f t="shared" si="25"/>
        <v>0</v>
      </c>
      <c r="J148" s="13">
        <f t="shared" si="26"/>
        <v>0</v>
      </c>
      <c r="K148" s="13">
        <f t="shared" si="27"/>
        <v>0</v>
      </c>
      <c r="L148" s="13">
        <f t="shared" si="28"/>
        <v>0</v>
      </c>
      <c r="M148" s="13">
        <f t="shared" si="29"/>
        <v>0</v>
      </c>
      <c r="N148" s="13">
        <f t="shared" si="30"/>
        <v>0</v>
      </c>
      <c r="O148" s="13">
        <f t="shared" si="31"/>
        <v>0</v>
      </c>
      <c r="P148" s="13">
        <f t="shared" si="32"/>
        <v>0</v>
      </c>
      <c r="Q148" s="13">
        <f t="shared" si="33"/>
        <v>0</v>
      </c>
      <c r="R148" s="13" t="s">
        <v>239</v>
      </c>
      <c r="T148" s="14">
        <v>1.34902999999999E-5</v>
      </c>
      <c r="U148" s="14">
        <v>1.543653E-4</v>
      </c>
      <c r="V148" s="14">
        <v>5.1850300000000002E-4</v>
      </c>
      <c r="W148" s="14">
        <v>7.6729000000000001E-4</v>
      </c>
      <c r="X148" s="14">
        <v>7.65334E-4</v>
      </c>
      <c r="Y148" s="14">
        <v>8.8632800000000003E-4</v>
      </c>
      <c r="Z148" s="14">
        <v>9.4352900000000003E-4</v>
      </c>
      <c r="AA148" s="14">
        <v>1.054576E-3</v>
      </c>
      <c r="AB148" s="14">
        <v>1.1791989999999999E-3</v>
      </c>
      <c r="AC148" s="14">
        <v>1.3194179999999999E-3</v>
      </c>
      <c r="AD148" s="14">
        <v>1.420606E-3</v>
      </c>
      <c r="AE148" s="13" t="s">
        <v>93</v>
      </c>
    </row>
    <row r="149" spans="1:31">
      <c r="A149" s="13" t="s">
        <v>260</v>
      </c>
      <c r="B149" s="13" t="s">
        <v>1</v>
      </c>
      <c r="C149" s="13" t="s">
        <v>227</v>
      </c>
      <c r="D149" s="13" t="str">
        <f>IFERROR(VLOOKUP(C149,ghg_sort!$A$86:$B$512,2,0),0)</f>
        <v>Agriculture</v>
      </c>
      <c r="E149" s="33" t="s">
        <v>209</v>
      </c>
      <c r="F149" s="13">
        <f>IFERROR(VLOOKUP($E149,ghg_sort!$A$3:$B$21,2,0),0)</f>
        <v>0</v>
      </c>
      <c r="G149" s="13">
        <f t="shared" si="23"/>
        <v>0</v>
      </c>
      <c r="H149" s="13">
        <f t="shared" si="24"/>
        <v>0</v>
      </c>
      <c r="I149" s="13">
        <f t="shared" si="25"/>
        <v>0</v>
      </c>
      <c r="J149" s="13">
        <f t="shared" si="26"/>
        <v>0</v>
      </c>
      <c r="K149" s="13">
        <f t="shared" si="27"/>
        <v>0</v>
      </c>
      <c r="L149" s="13">
        <f t="shared" si="28"/>
        <v>0</v>
      </c>
      <c r="M149" s="13">
        <f t="shared" si="29"/>
        <v>0</v>
      </c>
      <c r="N149" s="13">
        <f t="shared" si="30"/>
        <v>0</v>
      </c>
      <c r="O149" s="13">
        <f t="shared" si="31"/>
        <v>0</v>
      </c>
      <c r="P149" s="13">
        <f t="shared" si="32"/>
        <v>0</v>
      </c>
      <c r="Q149" s="13">
        <f t="shared" si="33"/>
        <v>0</v>
      </c>
      <c r="R149" s="13" t="s">
        <v>239</v>
      </c>
      <c r="T149" s="14">
        <v>6.3199999999999997E-8</v>
      </c>
      <c r="U149" s="14">
        <v>5.7950000000000002E-7</v>
      </c>
      <c r="V149" s="14">
        <v>2.0743159999999998E-6</v>
      </c>
      <c r="W149" s="14">
        <v>2.9091499999999999E-6</v>
      </c>
      <c r="X149" s="14">
        <v>1.8192859999999999E-6</v>
      </c>
      <c r="Y149" s="14">
        <v>1.449061E-6</v>
      </c>
      <c r="Z149" s="14">
        <v>1.4309389999999999E-6</v>
      </c>
      <c r="AA149" s="14">
        <v>1.59934999999999E-6</v>
      </c>
      <c r="AB149" s="14">
        <v>1.7883469999999999E-6</v>
      </c>
      <c r="AC149" s="14">
        <v>2.0009979999999999E-6</v>
      </c>
      <c r="AD149" s="14">
        <v>2.1544629999999999E-6</v>
      </c>
      <c r="AE149" s="13" t="s">
        <v>93</v>
      </c>
    </row>
    <row r="150" spans="1:31">
      <c r="A150" s="13" t="s">
        <v>260</v>
      </c>
      <c r="B150" s="13" t="s">
        <v>1</v>
      </c>
      <c r="C150" s="13" t="s">
        <v>227</v>
      </c>
      <c r="D150" s="13" t="str">
        <f>IFERROR(VLOOKUP(C150,ghg_sort!$A$86:$B$512,2,0),0)</f>
        <v>Agriculture</v>
      </c>
      <c r="E150" s="33" t="s">
        <v>210</v>
      </c>
      <c r="F150" s="13">
        <f>IFERROR(VLOOKUP($E150,ghg_sort!$A$3:$B$21,2,0),0)</f>
        <v>0</v>
      </c>
      <c r="G150" s="13">
        <f t="shared" si="23"/>
        <v>0</v>
      </c>
      <c r="H150" s="13">
        <f t="shared" si="24"/>
        <v>0</v>
      </c>
      <c r="I150" s="13">
        <f t="shared" si="25"/>
        <v>0</v>
      </c>
      <c r="J150" s="13">
        <f t="shared" si="26"/>
        <v>0</v>
      </c>
      <c r="K150" s="13">
        <f t="shared" si="27"/>
        <v>0</v>
      </c>
      <c r="L150" s="13">
        <f t="shared" si="28"/>
        <v>0</v>
      </c>
      <c r="M150" s="13">
        <f t="shared" si="29"/>
        <v>0</v>
      </c>
      <c r="N150" s="13">
        <f t="shared" si="30"/>
        <v>0</v>
      </c>
      <c r="O150" s="13">
        <f t="shared" si="31"/>
        <v>0</v>
      </c>
      <c r="P150" s="13">
        <f t="shared" si="32"/>
        <v>0</v>
      </c>
      <c r="Q150" s="13">
        <f t="shared" si="33"/>
        <v>0</v>
      </c>
      <c r="R150" s="13" t="s">
        <v>239</v>
      </c>
      <c r="T150" s="14">
        <v>7.1209999999999897E-7</v>
      </c>
      <c r="U150" s="14">
        <v>6.5180000000000001E-6</v>
      </c>
      <c r="V150" s="14">
        <v>2.3331060000000002E-5</v>
      </c>
      <c r="W150" s="14">
        <v>3.2721100000000001E-5</v>
      </c>
      <c r="X150" s="14">
        <v>2.0462619999999899E-5</v>
      </c>
      <c r="Y150" s="14">
        <v>1.629845E-5</v>
      </c>
      <c r="Z150" s="14">
        <v>1.6094710000000001E-5</v>
      </c>
      <c r="AA150" s="14">
        <v>1.7988910000000001E-5</v>
      </c>
      <c r="AB150" s="14">
        <v>2.0114679999999899E-5</v>
      </c>
      <c r="AC150" s="14">
        <v>2.250652E-5</v>
      </c>
      <c r="AD150" s="14">
        <v>2.4232649999999999E-5</v>
      </c>
      <c r="AE150" s="13" t="s">
        <v>93</v>
      </c>
    </row>
    <row r="151" spans="1:31">
      <c r="A151" s="13" t="s">
        <v>260</v>
      </c>
      <c r="B151" s="13" t="s">
        <v>1</v>
      </c>
      <c r="C151" s="13" t="s">
        <v>227</v>
      </c>
      <c r="D151" s="13" t="str">
        <f>IFERROR(VLOOKUP(C151,ghg_sort!$A$86:$B$512,2,0),0)</f>
        <v>Agriculture</v>
      </c>
      <c r="E151" s="33" t="s">
        <v>204</v>
      </c>
      <c r="F151" s="13">
        <f>IFERROR(VLOOKUP($E151,ghg_sort!$A$3:$B$21,2,0),0)</f>
        <v>0</v>
      </c>
      <c r="G151" s="13">
        <f t="shared" si="23"/>
        <v>0</v>
      </c>
      <c r="H151" s="13">
        <f t="shared" si="24"/>
        <v>0</v>
      </c>
      <c r="I151" s="13">
        <f t="shared" si="25"/>
        <v>0</v>
      </c>
      <c r="J151" s="13">
        <f t="shared" si="26"/>
        <v>0</v>
      </c>
      <c r="K151" s="13">
        <f t="shared" si="27"/>
        <v>0</v>
      </c>
      <c r="L151" s="13">
        <f t="shared" si="28"/>
        <v>0</v>
      </c>
      <c r="M151" s="13">
        <f t="shared" si="29"/>
        <v>0</v>
      </c>
      <c r="N151" s="13">
        <f t="shared" si="30"/>
        <v>0</v>
      </c>
      <c r="O151" s="13">
        <f t="shared" si="31"/>
        <v>0</v>
      </c>
      <c r="P151" s="13">
        <f t="shared" si="32"/>
        <v>0</v>
      </c>
      <c r="Q151" s="13">
        <f t="shared" si="33"/>
        <v>0</v>
      </c>
      <c r="R151" s="13" t="s">
        <v>239</v>
      </c>
      <c r="T151" s="14">
        <v>1.1316000000000001E-6</v>
      </c>
      <c r="U151" s="14">
        <v>9.9260999999999997E-6</v>
      </c>
      <c r="V151" s="14">
        <v>3.5298800000000002E-5</v>
      </c>
      <c r="W151" s="14">
        <v>4.4406999999999997E-5</v>
      </c>
      <c r="X151" s="14">
        <v>4.42939E-5</v>
      </c>
      <c r="Y151" s="14">
        <v>5.1296399999999999E-5</v>
      </c>
      <c r="Z151" s="14">
        <v>5.4606900000000001E-5</v>
      </c>
      <c r="AA151" s="14">
        <v>6.1033699999999998E-5</v>
      </c>
      <c r="AB151" s="14">
        <v>6.8246300000000004E-5</v>
      </c>
      <c r="AC151" s="14">
        <v>7.6361399999999997E-5</v>
      </c>
      <c r="AD151" s="14">
        <v>8.2217899999999998E-5</v>
      </c>
      <c r="AE151" s="13" t="s">
        <v>93</v>
      </c>
    </row>
    <row r="152" spans="1:31">
      <c r="A152" s="13" t="s">
        <v>260</v>
      </c>
      <c r="B152" s="13" t="s">
        <v>1</v>
      </c>
      <c r="C152" s="13" t="s">
        <v>227</v>
      </c>
      <c r="D152" s="13" t="str">
        <f>IFERROR(VLOOKUP(C152,ghg_sort!$A$86:$B$512,2,0),0)</f>
        <v>Agriculture</v>
      </c>
      <c r="E152" s="33" t="s">
        <v>211</v>
      </c>
      <c r="F152" s="13">
        <f>IFERROR(VLOOKUP($E152,ghg_sort!$A$3:$B$21,2,0),0)</f>
        <v>0</v>
      </c>
      <c r="G152" s="13">
        <f t="shared" si="23"/>
        <v>0</v>
      </c>
      <c r="H152" s="13">
        <f t="shared" si="24"/>
        <v>0</v>
      </c>
      <c r="I152" s="13">
        <f t="shared" si="25"/>
        <v>0</v>
      </c>
      <c r="J152" s="13">
        <f t="shared" si="26"/>
        <v>0</v>
      </c>
      <c r="K152" s="13">
        <f t="shared" si="27"/>
        <v>0</v>
      </c>
      <c r="L152" s="13">
        <f t="shared" si="28"/>
        <v>0</v>
      </c>
      <c r="M152" s="13">
        <f t="shared" si="29"/>
        <v>0</v>
      </c>
      <c r="N152" s="13">
        <f t="shared" si="30"/>
        <v>0</v>
      </c>
      <c r="O152" s="13">
        <f t="shared" si="31"/>
        <v>0</v>
      </c>
      <c r="P152" s="13">
        <f t="shared" si="32"/>
        <v>0</v>
      </c>
      <c r="Q152" s="13">
        <f t="shared" si="33"/>
        <v>0</v>
      </c>
      <c r="R152" s="13" t="s">
        <v>239</v>
      </c>
      <c r="T152" s="14">
        <v>9.0600000000000004E-8</v>
      </c>
      <c r="U152" s="14">
        <v>8.3049999999999897E-7</v>
      </c>
      <c r="V152" s="14">
        <v>2.9727599999999999E-6</v>
      </c>
      <c r="W152" s="14">
        <v>4.1691999999999998E-6</v>
      </c>
      <c r="X152" s="14">
        <v>2.6072799999999999E-6</v>
      </c>
      <c r="Y152" s="14">
        <v>2.0766959999999998E-6</v>
      </c>
      <c r="Z152" s="14">
        <v>2.0507210000000001E-6</v>
      </c>
      <c r="AA152" s="14">
        <v>2.2920799999999999E-6</v>
      </c>
      <c r="AB152" s="14">
        <v>2.5629430000000002E-6</v>
      </c>
      <c r="AC152" s="14">
        <v>2.8676989999999998E-6</v>
      </c>
      <c r="AD152" s="14">
        <v>3.0876319999999999E-6</v>
      </c>
      <c r="AE152" s="13" t="s">
        <v>93</v>
      </c>
    </row>
    <row r="153" spans="1:31">
      <c r="A153" s="13" t="s">
        <v>260</v>
      </c>
      <c r="B153" s="13" t="s">
        <v>1</v>
      </c>
      <c r="C153" s="13" t="s">
        <v>227</v>
      </c>
      <c r="D153" s="13" t="str">
        <f>IFERROR(VLOOKUP(C153,ghg_sort!$A$86:$B$512,2,0),0)</f>
        <v>Agriculture</v>
      </c>
      <c r="E153" s="33" t="s">
        <v>212</v>
      </c>
      <c r="F153" s="13">
        <f>IFERROR(VLOOKUP($E153,ghg_sort!$A$3:$B$21,2,0),0)</f>
        <v>0</v>
      </c>
      <c r="G153" s="13">
        <f t="shared" si="23"/>
        <v>0</v>
      </c>
      <c r="H153" s="13">
        <f t="shared" si="24"/>
        <v>0</v>
      </c>
      <c r="I153" s="13">
        <f t="shared" si="25"/>
        <v>0</v>
      </c>
      <c r="J153" s="13">
        <f t="shared" si="26"/>
        <v>0</v>
      </c>
      <c r="K153" s="13">
        <f t="shared" si="27"/>
        <v>0</v>
      </c>
      <c r="L153" s="13">
        <f t="shared" si="28"/>
        <v>0</v>
      </c>
      <c r="M153" s="13">
        <f t="shared" si="29"/>
        <v>0</v>
      </c>
      <c r="N153" s="13">
        <f t="shared" si="30"/>
        <v>0</v>
      </c>
      <c r="O153" s="13">
        <f t="shared" si="31"/>
        <v>0</v>
      </c>
      <c r="P153" s="13">
        <f t="shared" si="32"/>
        <v>0</v>
      </c>
      <c r="Q153" s="13">
        <f t="shared" si="33"/>
        <v>0</v>
      </c>
      <c r="R153" s="13" t="s">
        <v>239</v>
      </c>
      <c r="T153" s="14">
        <v>6.7000000000000004E-8</v>
      </c>
      <c r="U153" s="14">
        <v>6.1419999999999998E-7</v>
      </c>
      <c r="V153" s="14">
        <v>5.5442699999999997E-5</v>
      </c>
      <c r="W153" s="14">
        <v>7.77565E-5</v>
      </c>
      <c r="X153" s="14">
        <v>4.8626299999999999E-5</v>
      </c>
      <c r="Y153" s="14">
        <v>3.8730899999999999E-5</v>
      </c>
      <c r="Z153" s="14">
        <v>3.8246600000000001E-5</v>
      </c>
      <c r="AA153" s="14">
        <v>4.2747899999999998E-5</v>
      </c>
      <c r="AB153" s="14">
        <v>4.7799599999999901E-5</v>
      </c>
      <c r="AC153" s="14">
        <v>5.3483499999999997E-5</v>
      </c>
      <c r="AD153" s="14">
        <v>5.7585299999999999E-5</v>
      </c>
      <c r="AE153" s="13" t="s">
        <v>93</v>
      </c>
    </row>
    <row r="154" spans="1:31">
      <c r="A154" s="13" t="s">
        <v>260</v>
      </c>
      <c r="B154" s="13" t="s">
        <v>1</v>
      </c>
      <c r="C154" s="13" t="s">
        <v>227</v>
      </c>
      <c r="D154" s="13" t="str">
        <f>IFERROR(VLOOKUP(C154,ghg_sort!$A$86:$B$512,2,0),0)</f>
        <v>Agriculture</v>
      </c>
      <c r="E154" s="33" t="s">
        <v>213</v>
      </c>
      <c r="F154" s="13">
        <f>IFERROR(VLOOKUP($E154,ghg_sort!$A$3:$B$21,2,0),0)</f>
        <v>0</v>
      </c>
      <c r="G154" s="13">
        <f t="shared" si="23"/>
        <v>0</v>
      </c>
      <c r="H154" s="13">
        <f t="shared" si="24"/>
        <v>0</v>
      </c>
      <c r="I154" s="13">
        <f t="shared" si="25"/>
        <v>0</v>
      </c>
      <c r="J154" s="13">
        <f t="shared" si="26"/>
        <v>0</v>
      </c>
      <c r="K154" s="13">
        <f t="shared" si="27"/>
        <v>0</v>
      </c>
      <c r="L154" s="13">
        <f t="shared" si="28"/>
        <v>0</v>
      </c>
      <c r="M154" s="13">
        <f t="shared" si="29"/>
        <v>0</v>
      </c>
      <c r="N154" s="13">
        <f t="shared" si="30"/>
        <v>0</v>
      </c>
      <c r="O154" s="13">
        <f t="shared" si="31"/>
        <v>0</v>
      </c>
      <c r="P154" s="13">
        <f t="shared" si="32"/>
        <v>0</v>
      </c>
      <c r="Q154" s="13">
        <f t="shared" si="33"/>
        <v>0</v>
      </c>
      <c r="R154" s="13" t="s">
        <v>239</v>
      </c>
      <c r="T154" s="14">
        <v>1.16E-8</v>
      </c>
      <c r="U154" s="14">
        <v>1.068E-7</v>
      </c>
      <c r="V154" s="14">
        <v>3.8228899999999999E-7</v>
      </c>
      <c r="W154" s="14">
        <v>5.3614699999999996E-7</v>
      </c>
      <c r="X154" s="14">
        <v>3.3528799999999998E-7</v>
      </c>
      <c r="Y154" s="14">
        <v>2.6705699999999998E-7</v>
      </c>
      <c r="Z154" s="14">
        <v>2.6371760000000001E-7</v>
      </c>
      <c r="AA154" s="14">
        <v>2.9475459999999902E-7</v>
      </c>
      <c r="AB154" s="14">
        <v>3.2958690000000001E-7</v>
      </c>
      <c r="AC154" s="14">
        <v>3.6877850000000001E-7</v>
      </c>
      <c r="AD154" s="14">
        <v>3.9706100000000001E-7</v>
      </c>
      <c r="AE154" s="13" t="s">
        <v>93</v>
      </c>
    </row>
    <row r="155" spans="1:31">
      <c r="A155" s="13" t="s">
        <v>260</v>
      </c>
      <c r="B155" s="13" t="s">
        <v>1</v>
      </c>
      <c r="C155" s="13" t="s">
        <v>64</v>
      </c>
      <c r="D155" s="13" t="str">
        <f>IFERROR(VLOOKUP(C155,ghg_sort!$A$86:$B$512,2,0),0)</f>
        <v>Industry</v>
      </c>
      <c r="E155" s="33" t="s">
        <v>83</v>
      </c>
      <c r="F155" s="13">
        <f>IFERROR(VLOOKUP($E155,ghg_sort!$A$3:$B$21,2,0),0)</f>
        <v>0</v>
      </c>
      <c r="G155" s="13">
        <f t="shared" si="23"/>
        <v>0</v>
      </c>
      <c r="H155" s="13">
        <f t="shared" si="24"/>
        <v>0</v>
      </c>
      <c r="I155" s="13">
        <f t="shared" si="25"/>
        <v>0</v>
      </c>
      <c r="J155" s="13">
        <f t="shared" si="26"/>
        <v>0</v>
      </c>
      <c r="K155" s="13">
        <f t="shared" si="27"/>
        <v>0</v>
      </c>
      <c r="L155" s="13">
        <f t="shared" si="28"/>
        <v>0</v>
      </c>
      <c r="M155" s="13">
        <f t="shared" si="29"/>
        <v>0</v>
      </c>
      <c r="N155" s="13">
        <f t="shared" si="30"/>
        <v>0</v>
      </c>
      <c r="O155" s="13">
        <f t="shared" si="31"/>
        <v>0</v>
      </c>
      <c r="P155" s="13">
        <f t="shared" si="32"/>
        <v>0</v>
      </c>
      <c r="Q155" s="13">
        <f t="shared" si="33"/>
        <v>0</v>
      </c>
      <c r="R155" s="13" t="s">
        <v>239</v>
      </c>
      <c r="T155" s="13">
        <v>3.60925E-3</v>
      </c>
      <c r="U155" s="13">
        <v>5.0382600000000001E-3</v>
      </c>
      <c r="V155" s="13">
        <v>4.7232400000000001E-3</v>
      </c>
      <c r="W155" s="13">
        <v>2.5491899999999998E-3</v>
      </c>
      <c r="X155" s="13">
        <v>1.6438042000000001E-3</v>
      </c>
      <c r="Y155" s="13">
        <v>1.1637142E-3</v>
      </c>
      <c r="Z155" s="14">
        <v>9.7434766000000005E-4</v>
      </c>
      <c r="AA155" s="14">
        <v>8.2758994000000003E-4</v>
      </c>
      <c r="AB155" s="14">
        <v>6.1517232000000001E-4</v>
      </c>
      <c r="AC155" s="14">
        <v>3.9783571000000001E-4</v>
      </c>
      <c r="AD155" s="14">
        <v>2.2961486999999999E-4</v>
      </c>
      <c r="AE155" s="13" t="s">
        <v>93</v>
      </c>
    </row>
    <row r="156" spans="1:31">
      <c r="A156" s="13" t="s">
        <v>260</v>
      </c>
      <c r="B156" s="13" t="s">
        <v>1</v>
      </c>
      <c r="C156" s="13" t="s">
        <v>64</v>
      </c>
      <c r="D156" s="13" t="str">
        <f>IFERROR(VLOOKUP(C156,ghg_sort!$A$86:$B$512,2,0),0)</f>
        <v>Industry</v>
      </c>
      <c r="E156" s="33" t="s">
        <v>84</v>
      </c>
      <c r="F156" s="13">
        <f>IFERROR(VLOOKUP($E156,ghg_sort!$A$3:$B$21,2,0),0)</f>
        <v>25</v>
      </c>
      <c r="G156" s="13">
        <f t="shared" si="23"/>
        <v>2.2499999999999999E-2</v>
      </c>
      <c r="H156" s="13">
        <f t="shared" si="24"/>
        <v>5.2500000000000003E-3</v>
      </c>
      <c r="I156" s="13">
        <f t="shared" si="25"/>
        <v>4.2500000000000003E-3</v>
      </c>
      <c r="J156" s="13">
        <f t="shared" si="26"/>
        <v>7.4999999999999997E-3</v>
      </c>
      <c r="K156" s="13">
        <f t="shared" si="27"/>
        <v>7.9280150000000001E-3</v>
      </c>
      <c r="L156" s="13">
        <f t="shared" si="28"/>
        <v>9.6520775E-3</v>
      </c>
      <c r="M156" s="13">
        <f t="shared" si="29"/>
        <v>1.3072215E-2</v>
      </c>
      <c r="N156" s="13">
        <f t="shared" si="30"/>
        <v>1.5811587000000002E-2</v>
      </c>
      <c r="O156" s="13">
        <f t="shared" si="31"/>
        <v>1.3880271749999999E-2</v>
      </c>
      <c r="P156" s="13">
        <f t="shared" si="32"/>
        <v>9.8933800000000002E-3</v>
      </c>
      <c r="Q156" s="13">
        <f t="shared" si="33"/>
        <v>5.8551862499999999E-3</v>
      </c>
      <c r="R156" s="13" t="s">
        <v>239</v>
      </c>
      <c r="T156" s="14">
        <v>8.9999999999999998E-4</v>
      </c>
      <c r="U156" s="14">
        <v>2.1000000000000001E-4</v>
      </c>
      <c r="V156" s="14">
        <v>1.7000000000000001E-4</v>
      </c>
      <c r="W156" s="14">
        <v>2.9999999999999997E-4</v>
      </c>
      <c r="X156" s="14">
        <v>3.1712059999999999E-4</v>
      </c>
      <c r="Y156" s="14">
        <v>3.8608309999999999E-4</v>
      </c>
      <c r="Z156" s="14">
        <v>5.2288859999999999E-4</v>
      </c>
      <c r="AA156" s="14">
        <v>6.3246348000000003E-4</v>
      </c>
      <c r="AB156" s="14">
        <v>5.5521086999999998E-4</v>
      </c>
      <c r="AC156" s="14">
        <v>3.9573519999999999E-4</v>
      </c>
      <c r="AD156" s="14">
        <v>2.3420744999999999E-4</v>
      </c>
      <c r="AE156" s="13" t="s">
        <v>93</v>
      </c>
    </row>
    <row r="157" spans="1:31">
      <c r="A157" s="13" t="s">
        <v>260</v>
      </c>
      <c r="B157" s="13" t="s">
        <v>1</v>
      </c>
      <c r="C157" s="13" t="s">
        <v>64</v>
      </c>
      <c r="D157" s="13" t="str">
        <f>IFERROR(VLOOKUP(C157,ghg_sort!$A$86:$B$512,2,0),0)</f>
        <v>Industry</v>
      </c>
      <c r="E157" s="33" t="s">
        <v>85</v>
      </c>
      <c r="F157" s="13">
        <f>IFERROR(VLOOKUP($E157,ghg_sort!$A$3:$B$21,2,0),0)</f>
        <v>0</v>
      </c>
      <c r="G157" s="13">
        <f t="shared" si="23"/>
        <v>0</v>
      </c>
      <c r="H157" s="13">
        <f t="shared" si="24"/>
        <v>0</v>
      </c>
      <c r="I157" s="13">
        <f t="shared" si="25"/>
        <v>0</v>
      </c>
      <c r="J157" s="13">
        <f t="shared" si="26"/>
        <v>0</v>
      </c>
      <c r="K157" s="13">
        <f t="shared" si="27"/>
        <v>0</v>
      </c>
      <c r="L157" s="13">
        <f t="shared" si="28"/>
        <v>0</v>
      </c>
      <c r="M157" s="13">
        <f t="shared" si="29"/>
        <v>0</v>
      </c>
      <c r="N157" s="13">
        <f t="shared" si="30"/>
        <v>0</v>
      </c>
      <c r="O157" s="13">
        <f t="shared" si="31"/>
        <v>0</v>
      </c>
      <c r="P157" s="13">
        <f t="shared" si="32"/>
        <v>0</v>
      </c>
      <c r="Q157" s="13">
        <f t="shared" si="33"/>
        <v>0</v>
      </c>
      <c r="R157" s="13" t="s">
        <v>239</v>
      </c>
      <c r="T157" s="13">
        <v>2.8559999999999999E-2</v>
      </c>
      <c r="U157" s="13">
        <v>2.8709999999999999E-2</v>
      </c>
      <c r="V157" s="13">
        <v>3.2719999999999999E-2</v>
      </c>
      <c r="W157" s="13">
        <v>3.5869999999999999E-2</v>
      </c>
      <c r="X157" s="13">
        <v>2.3317927009999899E-2</v>
      </c>
      <c r="Y157" s="13">
        <v>1.7406597154999998E-2</v>
      </c>
      <c r="Z157" s="13">
        <v>1.5869661294000002E-2</v>
      </c>
      <c r="AA157" s="13">
        <v>1.4504575571099999E-2</v>
      </c>
      <c r="AB157" s="13">
        <v>1.0834888999E-2</v>
      </c>
      <c r="AC157" s="13">
        <v>6.8245182870000001E-3</v>
      </c>
      <c r="AD157" s="13">
        <v>3.749373066E-3</v>
      </c>
      <c r="AE157" s="13" t="s">
        <v>93</v>
      </c>
    </row>
    <row r="158" spans="1:31">
      <c r="A158" s="13" t="s">
        <v>260</v>
      </c>
      <c r="B158" s="13" t="s">
        <v>1</v>
      </c>
      <c r="C158" s="13" t="s">
        <v>64</v>
      </c>
      <c r="D158" s="13" t="str">
        <f>IFERROR(VLOOKUP(C158,ghg_sort!$A$86:$B$512,2,0),0)</f>
        <v>Industry</v>
      </c>
      <c r="E158" s="12" t="s">
        <v>86</v>
      </c>
      <c r="F158" s="13">
        <f>IFERROR(VLOOKUP($E158,ghg_sort!$A$3:$B$21,2,0),0)</f>
        <v>3.6666666666666701</v>
      </c>
      <c r="G158" s="13">
        <f t="shared" si="23"/>
        <v>4.605773333333337</v>
      </c>
      <c r="H158" s="13">
        <f t="shared" si="24"/>
        <v>4.3082611000000046</v>
      </c>
      <c r="I158" s="13">
        <f t="shared" si="25"/>
        <v>3.7811659600000036</v>
      </c>
      <c r="J158" s="13">
        <f t="shared" si="26"/>
        <v>1.6353986733333312</v>
      </c>
      <c r="K158" s="13">
        <f t="shared" si="27"/>
        <v>1.6882048040000015</v>
      </c>
      <c r="L158" s="13">
        <f t="shared" si="28"/>
        <v>1.7812566603333349</v>
      </c>
      <c r="M158" s="13">
        <f t="shared" si="29"/>
        <v>1.9858031746666684</v>
      </c>
      <c r="N158" s="13">
        <f t="shared" si="30"/>
        <v>2.084267141000002</v>
      </c>
      <c r="O158" s="13">
        <f t="shared" si="31"/>
        <v>1.8133064579666682</v>
      </c>
      <c r="P158" s="13">
        <f t="shared" si="32"/>
        <v>1.356105765666668</v>
      </c>
      <c r="Q158" s="13">
        <f t="shared" si="33"/>
        <v>0.88413799980000085</v>
      </c>
      <c r="R158" s="13" t="s">
        <v>239</v>
      </c>
      <c r="T158" s="13">
        <v>1.2561199999999999</v>
      </c>
      <c r="U158" s="13">
        <v>1.1749803000000001</v>
      </c>
      <c r="V158" s="13">
        <v>1.0312270800000001</v>
      </c>
      <c r="W158" s="13">
        <v>0.44601781999999901</v>
      </c>
      <c r="X158" s="13">
        <v>0.46041949199999999</v>
      </c>
      <c r="Y158" s="13">
        <v>0.48579727099999997</v>
      </c>
      <c r="Z158" s="13">
        <v>0.54158268399999998</v>
      </c>
      <c r="AA158" s="13">
        <v>0.56843649299999999</v>
      </c>
      <c r="AB158" s="13">
        <v>0.49453812489999999</v>
      </c>
      <c r="AC158" s="13">
        <v>0.36984702699999999</v>
      </c>
      <c r="AD158" s="13">
        <v>0.24112854540000001</v>
      </c>
      <c r="AE158" s="13" t="s">
        <v>94</v>
      </c>
    </row>
    <row r="159" spans="1:31">
      <c r="A159" s="13" t="s">
        <v>260</v>
      </c>
      <c r="B159" s="13" t="s">
        <v>1</v>
      </c>
      <c r="C159" s="13" t="s">
        <v>64</v>
      </c>
      <c r="D159" s="13" t="str">
        <f>IFERROR(VLOOKUP(C159,ghg_sort!$A$86:$B$512,2,0),0)</f>
        <v>Industry</v>
      </c>
      <c r="E159" s="33" t="s">
        <v>87</v>
      </c>
      <c r="F159" s="13">
        <f>IFERROR(VLOOKUP($E159,ghg_sort!$A$3:$B$21,2,0),0)</f>
        <v>298</v>
      </c>
      <c r="G159" s="13">
        <f t="shared" si="23"/>
        <v>3.576E-2</v>
      </c>
      <c r="H159" s="13">
        <f t="shared" si="24"/>
        <v>5.0660000000000004E-2</v>
      </c>
      <c r="I159" s="13">
        <f t="shared" si="25"/>
        <v>4.7680000000000007E-2</v>
      </c>
      <c r="J159" s="13">
        <f t="shared" si="26"/>
        <v>2.6819999999999969E-2</v>
      </c>
      <c r="K159" s="13">
        <f t="shared" si="27"/>
        <v>2.7812378740000001E-2</v>
      </c>
      <c r="L159" s="13">
        <f t="shared" si="28"/>
        <v>3.021470574E-2</v>
      </c>
      <c r="M159" s="13">
        <f t="shared" si="29"/>
        <v>3.5245151359999699E-2</v>
      </c>
      <c r="N159" s="13">
        <f t="shared" si="30"/>
        <v>3.8405542084000002E-2</v>
      </c>
      <c r="O159" s="13">
        <f t="shared" si="31"/>
        <v>3.3499911380000004E-2</v>
      </c>
      <c r="P159" s="13">
        <f t="shared" si="32"/>
        <v>2.47289191E-2</v>
      </c>
      <c r="Q159" s="13">
        <f t="shared" si="33"/>
        <v>1.5724342499999999E-2</v>
      </c>
      <c r="R159" s="13" t="s">
        <v>239</v>
      </c>
      <c r="T159" s="14">
        <v>1.2E-4</v>
      </c>
      <c r="U159" s="14">
        <v>1.7000000000000001E-4</v>
      </c>
      <c r="V159" s="14">
        <v>1.6000000000000001E-4</v>
      </c>
      <c r="W159" s="14">
        <v>8.9999999999999897E-5</v>
      </c>
      <c r="X159" s="14">
        <v>9.3330129999999998E-5</v>
      </c>
      <c r="Y159" s="14">
        <v>1.0139163E-4</v>
      </c>
      <c r="Z159" s="14">
        <v>1.18272319999999E-4</v>
      </c>
      <c r="AA159" s="14">
        <v>1.2887765800000001E-4</v>
      </c>
      <c r="AB159" s="14">
        <v>1.1241581E-4</v>
      </c>
      <c r="AC159" s="14">
        <v>8.2982949999999998E-5</v>
      </c>
      <c r="AD159" s="14">
        <v>5.276625E-5</v>
      </c>
      <c r="AE159" s="13" t="s">
        <v>93</v>
      </c>
    </row>
    <row r="160" spans="1:31">
      <c r="A160" s="13" t="s">
        <v>260</v>
      </c>
      <c r="B160" s="13" t="s">
        <v>1</v>
      </c>
      <c r="C160" s="13" t="s">
        <v>64</v>
      </c>
      <c r="D160" s="13" t="str">
        <f>IFERROR(VLOOKUP(C160,ghg_sort!$A$86:$B$512,2,0),0)</f>
        <v>Industry</v>
      </c>
      <c r="E160" s="33" t="s">
        <v>88</v>
      </c>
      <c r="F160" s="13">
        <f>IFERROR(VLOOKUP($E160,ghg_sort!$A$3:$B$21,2,0),0)</f>
        <v>0</v>
      </c>
      <c r="G160" s="13">
        <f t="shared" si="23"/>
        <v>0</v>
      </c>
      <c r="H160" s="13">
        <f t="shared" si="24"/>
        <v>0</v>
      </c>
      <c r="I160" s="13">
        <f t="shared" si="25"/>
        <v>0</v>
      </c>
      <c r="J160" s="13">
        <f t="shared" si="26"/>
        <v>0</v>
      </c>
      <c r="K160" s="13">
        <f t="shared" si="27"/>
        <v>0</v>
      </c>
      <c r="L160" s="13">
        <f t="shared" si="28"/>
        <v>0</v>
      </c>
      <c r="M160" s="13">
        <f t="shared" si="29"/>
        <v>0</v>
      </c>
      <c r="N160" s="13">
        <f t="shared" si="30"/>
        <v>0</v>
      </c>
      <c r="O160" s="13">
        <f t="shared" si="31"/>
        <v>0</v>
      </c>
      <c r="P160" s="13">
        <f t="shared" si="32"/>
        <v>0</v>
      </c>
      <c r="Q160" s="13">
        <f t="shared" si="33"/>
        <v>0</v>
      </c>
      <c r="R160" s="13" t="s">
        <v>239</v>
      </c>
      <c r="T160" s="14">
        <v>3.0000000000000001E-5</v>
      </c>
      <c r="U160" s="14">
        <v>3.0000000000000001E-5</v>
      </c>
      <c r="V160" s="14">
        <v>2.0000000000000002E-5</v>
      </c>
      <c r="W160" s="14">
        <v>5.0000000000000002E-5</v>
      </c>
      <c r="X160" s="14">
        <v>5.1202799999999997E-5</v>
      </c>
      <c r="Y160" s="14">
        <v>5.1155369999999999E-5</v>
      </c>
      <c r="Z160" s="14">
        <v>5.1873689999999997E-5</v>
      </c>
      <c r="AA160" s="14">
        <v>4.9784650000000001E-5</v>
      </c>
      <c r="AB160" s="14">
        <v>4.3045569999999998E-5</v>
      </c>
      <c r="AC160" s="14">
        <v>3.32924E-5</v>
      </c>
      <c r="AD160" s="14">
        <v>2.3043569999999999E-5</v>
      </c>
      <c r="AE160" s="13" t="s">
        <v>93</v>
      </c>
    </row>
    <row r="161" spans="1:31">
      <c r="A161" s="13" t="s">
        <v>260</v>
      </c>
      <c r="B161" s="13" t="s">
        <v>1</v>
      </c>
      <c r="C161" s="13" t="s">
        <v>64</v>
      </c>
      <c r="D161" s="13" t="str">
        <f>IFERROR(VLOOKUP(C161,ghg_sort!$A$86:$B$512,2,0),0)</f>
        <v>Industry</v>
      </c>
      <c r="E161" s="33" t="s">
        <v>89</v>
      </c>
      <c r="F161" s="13">
        <f>IFERROR(VLOOKUP($E161,ghg_sort!$A$3:$B$21,2,0),0)</f>
        <v>0</v>
      </c>
      <c r="G161" s="13">
        <f t="shared" si="23"/>
        <v>0</v>
      </c>
      <c r="H161" s="13">
        <f t="shared" si="24"/>
        <v>0</v>
      </c>
      <c r="I161" s="13">
        <f t="shared" si="25"/>
        <v>0</v>
      </c>
      <c r="J161" s="13">
        <f t="shared" si="26"/>
        <v>0</v>
      </c>
      <c r="K161" s="13">
        <f t="shared" si="27"/>
        <v>0</v>
      </c>
      <c r="L161" s="13">
        <f t="shared" si="28"/>
        <v>0</v>
      </c>
      <c r="M161" s="13">
        <f t="shared" si="29"/>
        <v>0</v>
      </c>
      <c r="N161" s="13">
        <f t="shared" si="30"/>
        <v>0</v>
      </c>
      <c r="O161" s="13">
        <f t="shared" si="31"/>
        <v>0</v>
      </c>
      <c r="P161" s="13">
        <f t="shared" si="32"/>
        <v>0</v>
      </c>
      <c r="Q161" s="13">
        <f t="shared" si="33"/>
        <v>0</v>
      </c>
      <c r="R161" s="13" t="s">
        <v>239</v>
      </c>
      <c r="T161" s="13">
        <v>1.6E-2</v>
      </c>
      <c r="U161" s="13">
        <v>1.1769999999999999E-2</v>
      </c>
      <c r="V161" s="13">
        <v>9.1400000000000006E-3</v>
      </c>
      <c r="W161" s="13">
        <v>1.095E-2</v>
      </c>
      <c r="X161" s="13">
        <v>7.0764280000000001E-3</v>
      </c>
      <c r="Y161" s="13">
        <v>5.0837920000000002E-3</v>
      </c>
      <c r="Z161" s="13">
        <v>4.3633583E-3</v>
      </c>
      <c r="AA161" s="13">
        <v>3.7906833000000001E-3</v>
      </c>
      <c r="AB161" s="13">
        <v>2.8221208999999999E-3</v>
      </c>
      <c r="AC161" s="13">
        <v>1.8100371000000001E-3</v>
      </c>
      <c r="AD161" s="13">
        <v>1.0290564999999999E-3</v>
      </c>
      <c r="AE161" s="13" t="s">
        <v>93</v>
      </c>
    </row>
    <row r="162" spans="1:31">
      <c r="A162" s="13" t="s">
        <v>260</v>
      </c>
      <c r="B162" s="13" t="s">
        <v>1</v>
      </c>
      <c r="C162" s="13" t="s">
        <v>64</v>
      </c>
      <c r="D162" s="13" t="str">
        <f>IFERROR(VLOOKUP(C162,ghg_sort!$A$86:$B$512,2,0),0)</f>
        <v>Industry</v>
      </c>
      <c r="E162" s="33" t="s">
        <v>90</v>
      </c>
      <c r="F162" s="13">
        <f>IFERROR(VLOOKUP($E162,ghg_sort!$A$3:$B$21,2,0),0)</f>
        <v>0</v>
      </c>
      <c r="G162" s="13">
        <f t="shared" si="23"/>
        <v>0</v>
      </c>
      <c r="H162" s="13">
        <f t="shared" si="24"/>
        <v>0</v>
      </c>
      <c r="I162" s="13">
        <f t="shared" si="25"/>
        <v>0</v>
      </c>
      <c r="J162" s="13">
        <f t="shared" si="26"/>
        <v>0</v>
      </c>
      <c r="K162" s="13">
        <f t="shared" si="27"/>
        <v>0</v>
      </c>
      <c r="L162" s="13">
        <f t="shared" si="28"/>
        <v>0</v>
      </c>
      <c r="M162" s="13">
        <f t="shared" si="29"/>
        <v>0</v>
      </c>
      <c r="N162" s="13">
        <f t="shared" si="30"/>
        <v>0</v>
      </c>
      <c r="O162" s="13">
        <f t="shared" si="31"/>
        <v>0</v>
      </c>
      <c r="P162" s="13">
        <f t="shared" si="32"/>
        <v>0</v>
      </c>
      <c r="Q162" s="13">
        <f t="shared" si="33"/>
        <v>0</v>
      </c>
      <c r="R162" s="13" t="s">
        <v>239</v>
      </c>
      <c r="T162" s="13">
        <v>5.2499999999999998E-2</v>
      </c>
      <c r="U162" s="13">
        <v>0.10158</v>
      </c>
      <c r="V162" s="13">
        <v>7.9339999999999994E-2</v>
      </c>
      <c r="W162" s="13">
        <v>5.2389999999999999E-2</v>
      </c>
      <c r="X162" s="13">
        <v>3.3817956449999999E-2</v>
      </c>
      <c r="Y162" s="13">
        <v>2.354475109E-2</v>
      </c>
      <c r="Z162" s="13">
        <v>1.91384479159999E-2</v>
      </c>
      <c r="AA162" s="13">
        <v>1.5882470741999999E-2</v>
      </c>
      <c r="AB162" s="13">
        <v>1.1932420135E-2</v>
      </c>
      <c r="AC162" s="13">
        <v>7.9122806669999993E-3</v>
      </c>
      <c r="AD162" s="13">
        <v>4.7032270589999897E-3</v>
      </c>
      <c r="AE162" s="13" t="s">
        <v>93</v>
      </c>
    </row>
    <row r="163" spans="1:31">
      <c r="A163" s="13" t="s">
        <v>260</v>
      </c>
      <c r="B163" s="13" t="s">
        <v>1</v>
      </c>
      <c r="C163" s="13" t="s">
        <v>64</v>
      </c>
      <c r="D163" s="13" t="str">
        <f>IFERROR(VLOOKUP(C163,ghg_sort!$A$86:$B$512,2,0),0)</f>
        <v>Industry</v>
      </c>
      <c r="E163" s="33" t="s">
        <v>91</v>
      </c>
      <c r="F163" s="13">
        <f>IFERROR(VLOOKUP($E163,ghg_sort!$A$3:$B$21,2,0),0)</f>
        <v>0</v>
      </c>
      <c r="G163" s="13">
        <f t="shared" si="23"/>
        <v>0</v>
      </c>
      <c r="H163" s="13">
        <f t="shared" si="24"/>
        <v>0</v>
      </c>
      <c r="I163" s="13">
        <f t="shared" si="25"/>
        <v>0</v>
      </c>
      <c r="J163" s="13">
        <f t="shared" si="26"/>
        <v>0</v>
      </c>
      <c r="K163" s="13">
        <f t="shared" si="27"/>
        <v>0</v>
      </c>
      <c r="L163" s="13">
        <f t="shared" si="28"/>
        <v>0</v>
      </c>
      <c r="M163" s="13">
        <f t="shared" si="29"/>
        <v>0</v>
      </c>
      <c r="N163" s="13">
        <f t="shared" si="30"/>
        <v>0</v>
      </c>
      <c r="O163" s="13">
        <f t="shared" si="31"/>
        <v>0</v>
      </c>
      <c r="P163" s="13">
        <f t="shared" si="32"/>
        <v>0</v>
      </c>
      <c r="Q163" s="13">
        <f t="shared" si="33"/>
        <v>0</v>
      </c>
      <c r="R163" s="13" t="s">
        <v>239</v>
      </c>
      <c r="T163" s="13">
        <v>1.32E-3</v>
      </c>
      <c r="U163" s="13">
        <v>1.8600000000000001E-3</v>
      </c>
      <c r="V163" s="13">
        <v>1.74E-3</v>
      </c>
      <c r="W163" s="13">
        <v>1.3799999999999999E-3</v>
      </c>
      <c r="X163" s="14">
        <v>9.0465059999999999E-4</v>
      </c>
      <c r="Y163" s="14">
        <v>7.112078E-4</v>
      </c>
      <c r="Z163" s="14">
        <v>6.9746619999999995E-4</v>
      </c>
      <c r="AA163" s="14">
        <v>6.7312541999999995E-4</v>
      </c>
      <c r="AB163" s="14">
        <v>5.0455050000000005E-4</v>
      </c>
      <c r="AC163" s="14">
        <v>3.1192950000000002E-4</v>
      </c>
      <c r="AD163" s="14">
        <v>1.6511609999999999E-4</v>
      </c>
      <c r="AE163" s="13" t="s">
        <v>93</v>
      </c>
    </row>
    <row r="164" spans="1:31">
      <c r="A164" s="13" t="s">
        <v>260</v>
      </c>
      <c r="B164" s="13" t="s">
        <v>1</v>
      </c>
      <c r="C164" s="13" t="s">
        <v>64</v>
      </c>
      <c r="D164" s="13" t="str">
        <f>IFERROR(VLOOKUP(C164,ghg_sort!$A$86:$B$512,2,0),0)</f>
        <v>Industry</v>
      </c>
      <c r="E164" s="33" t="s">
        <v>92</v>
      </c>
      <c r="F164" s="13">
        <f>IFERROR(VLOOKUP($E164,ghg_sort!$A$3:$B$21,2,0),0)</f>
        <v>0</v>
      </c>
      <c r="G164" s="13">
        <f t="shared" si="23"/>
        <v>0</v>
      </c>
      <c r="H164" s="13">
        <f t="shared" si="24"/>
        <v>0</v>
      </c>
      <c r="I164" s="13">
        <f t="shared" si="25"/>
        <v>0</v>
      </c>
      <c r="J164" s="13">
        <f t="shared" si="26"/>
        <v>0</v>
      </c>
      <c r="K164" s="13">
        <f t="shared" si="27"/>
        <v>0</v>
      </c>
      <c r="L164" s="13">
        <f t="shared" si="28"/>
        <v>0</v>
      </c>
      <c r="M164" s="13">
        <f t="shared" si="29"/>
        <v>0</v>
      </c>
      <c r="N164" s="13">
        <f t="shared" si="30"/>
        <v>0</v>
      </c>
      <c r="O164" s="13">
        <f t="shared" si="31"/>
        <v>0</v>
      </c>
      <c r="P164" s="13">
        <f t="shared" si="32"/>
        <v>0</v>
      </c>
      <c r="Q164" s="13">
        <f t="shared" si="33"/>
        <v>0</v>
      </c>
      <c r="R164" s="13" t="s">
        <v>239</v>
      </c>
      <c r="T164" s="13">
        <v>1.18239E-2</v>
      </c>
      <c r="U164" s="13">
        <v>8.7990911769999999E-3</v>
      </c>
      <c r="V164" s="13">
        <v>4.4193080999999999E-3</v>
      </c>
      <c r="W164" s="14">
        <v>4.6679817E-5</v>
      </c>
      <c r="X164" s="14">
        <v>3.0601257305E-5</v>
      </c>
      <c r="Y164" s="14">
        <v>2.2094100773999899E-5</v>
      </c>
      <c r="Z164" s="14">
        <v>1.91111635439999E-5</v>
      </c>
      <c r="AA164" s="14">
        <v>1.7004197193999999E-5</v>
      </c>
      <c r="AB164" s="14">
        <v>1.31882210189999E-5</v>
      </c>
      <c r="AC164" s="14">
        <v>8.8410566180000008E-6</v>
      </c>
      <c r="AD164" s="14">
        <v>5.19493599999999E-6</v>
      </c>
      <c r="AE164" s="13" t="s">
        <v>93</v>
      </c>
    </row>
    <row r="165" spans="1:31">
      <c r="A165" s="13" t="s">
        <v>260</v>
      </c>
      <c r="B165" s="13" t="s">
        <v>1</v>
      </c>
      <c r="C165" s="13" t="s">
        <v>189</v>
      </c>
      <c r="D165" s="13" t="str">
        <f>IFERROR(VLOOKUP(C165,ghg_sort!$A$86:$B$512,2,0),0)</f>
        <v>DAC</v>
      </c>
      <c r="E165" s="12" t="s">
        <v>86</v>
      </c>
      <c r="F165" s="13">
        <f>IFERROR(VLOOKUP($E165,ghg_sort!$A$3:$B$21,2,0),0)</f>
        <v>3.6666666666666701</v>
      </c>
      <c r="G165" s="13">
        <f t="shared" si="23"/>
        <v>0</v>
      </c>
      <c r="H165" s="13">
        <f t="shared" si="24"/>
        <v>0</v>
      </c>
      <c r="I165" s="13">
        <f t="shared" si="25"/>
        <v>0</v>
      </c>
      <c r="J165" s="13">
        <f t="shared" si="26"/>
        <v>0</v>
      </c>
      <c r="K165" s="13">
        <f t="shared" si="27"/>
        <v>0</v>
      </c>
      <c r="L165" s="13">
        <f t="shared" si="28"/>
        <v>0</v>
      </c>
      <c r="M165" s="13">
        <f t="shared" si="29"/>
        <v>0</v>
      </c>
      <c r="N165" s="13">
        <f t="shared" si="30"/>
        <v>0</v>
      </c>
      <c r="O165" s="13">
        <f t="shared" si="31"/>
        <v>-4.0376966666666702E-4</v>
      </c>
      <c r="P165" s="13">
        <f t="shared" si="32"/>
        <v>-0.17651993333333349</v>
      </c>
      <c r="Q165" s="13">
        <f t="shared" si="33"/>
        <v>-51.098666666666716</v>
      </c>
      <c r="R165" s="13" t="s">
        <v>239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4">
        <v>0</v>
      </c>
      <c r="Z165" s="14">
        <v>0</v>
      </c>
      <c r="AA165" s="14">
        <v>0</v>
      </c>
      <c r="AB165" s="14">
        <v>-1.1011899999999999E-4</v>
      </c>
      <c r="AC165" s="13">
        <v>-4.8141799999999998E-2</v>
      </c>
      <c r="AD165" s="13">
        <v>-13.936</v>
      </c>
      <c r="AE165" s="13" t="s">
        <v>94</v>
      </c>
    </row>
    <row r="166" spans="1:31">
      <c r="A166" s="13" t="s">
        <v>260</v>
      </c>
      <c r="B166" s="13" t="s">
        <v>1</v>
      </c>
      <c r="C166" s="13" t="s">
        <v>142</v>
      </c>
      <c r="D166" s="13" t="str">
        <f>IFERROR(VLOOKUP(C166,ghg_sort!$A$86:$B$512,2,0),0)</f>
        <v>Electricity</v>
      </c>
      <c r="E166" s="12" t="s">
        <v>86</v>
      </c>
      <c r="F166" s="13">
        <f>IFERROR(VLOOKUP($E166,ghg_sort!$A$3:$B$21,2,0),0)</f>
        <v>3.6666666666666701</v>
      </c>
      <c r="G166" s="13">
        <f t="shared" si="23"/>
        <v>0</v>
      </c>
      <c r="H166" s="13">
        <f t="shared" si="24"/>
        <v>0</v>
      </c>
      <c r="I166" s="13">
        <f t="shared" si="25"/>
        <v>0</v>
      </c>
      <c r="J166" s="13">
        <f t="shared" si="26"/>
        <v>0</v>
      </c>
      <c r="K166" s="13">
        <f t="shared" si="27"/>
        <v>0.10388656666666676</v>
      </c>
      <c r="L166" s="13">
        <f t="shared" si="28"/>
        <v>0.32802843333333359</v>
      </c>
      <c r="M166" s="13">
        <f t="shared" si="29"/>
        <v>1.539079666666668</v>
      </c>
      <c r="N166" s="13">
        <f t="shared" si="30"/>
        <v>3.4668663333333365</v>
      </c>
      <c r="O166" s="13">
        <f t="shared" si="31"/>
        <v>5.7729833333333387</v>
      </c>
      <c r="P166" s="13">
        <f t="shared" si="32"/>
        <v>7.9027300000000071</v>
      </c>
      <c r="Q166" s="13">
        <f t="shared" si="33"/>
        <v>8.7674766666666741</v>
      </c>
      <c r="R166" s="13" t="s">
        <v>239</v>
      </c>
      <c r="T166" s="13">
        <v>0</v>
      </c>
      <c r="U166" s="13">
        <v>0</v>
      </c>
      <c r="V166" s="13">
        <v>0</v>
      </c>
      <c r="W166" s="13">
        <v>0</v>
      </c>
      <c r="X166" s="14">
        <v>2.8332699999999999E-2</v>
      </c>
      <c r="Y166" s="14">
        <v>8.9462299999999995E-2</v>
      </c>
      <c r="Z166" s="14">
        <v>0.41974899999999998</v>
      </c>
      <c r="AA166" s="14">
        <v>0.94550900000000004</v>
      </c>
      <c r="AB166" s="14">
        <v>1.5744499999999999</v>
      </c>
      <c r="AC166" s="14">
        <v>2.1552899999999999</v>
      </c>
      <c r="AD166" s="14">
        <v>2.39113</v>
      </c>
      <c r="AE166" s="13" t="s">
        <v>94</v>
      </c>
    </row>
    <row r="167" spans="1:31">
      <c r="A167" s="13" t="s">
        <v>260</v>
      </c>
      <c r="B167" s="13" t="s">
        <v>1</v>
      </c>
      <c r="C167" s="13" t="s">
        <v>57</v>
      </c>
      <c r="D167" s="13" t="str">
        <f>IFERROR(VLOOKUP(C167,ghg_sort!$A$86:$B$512,2,0),0)</f>
        <v>Agriculture</v>
      </c>
      <c r="E167" s="33" t="s">
        <v>101</v>
      </c>
      <c r="F167" s="13">
        <f>IFERROR(VLOOKUP($E167,ghg_sort!$A$3:$B$21,2,0),0)</f>
        <v>298</v>
      </c>
      <c r="G167" s="13">
        <f t="shared" si="23"/>
        <v>0</v>
      </c>
      <c r="H167" s="13">
        <f t="shared" si="24"/>
        <v>0</v>
      </c>
      <c r="I167" s="13">
        <f t="shared" si="25"/>
        <v>0</v>
      </c>
      <c r="J167" s="13">
        <f t="shared" si="26"/>
        <v>0</v>
      </c>
      <c r="K167" s="13">
        <f t="shared" si="27"/>
        <v>7.0176991479999702E-4</v>
      </c>
      <c r="L167" s="13">
        <f t="shared" si="28"/>
        <v>2.6760543039999998E-3</v>
      </c>
      <c r="M167" s="13">
        <f t="shared" si="29"/>
        <v>1.1541679762E-2</v>
      </c>
      <c r="N167" s="13">
        <f t="shared" si="30"/>
        <v>2.9260490668000003E-2</v>
      </c>
      <c r="O167" s="13">
        <f t="shared" si="31"/>
        <v>5.0417168143999699E-2</v>
      </c>
      <c r="P167" s="13">
        <f t="shared" si="32"/>
        <v>7.6024507446399991E-2</v>
      </c>
      <c r="Q167" s="13">
        <f t="shared" si="33"/>
        <v>9.3269916982800002E-2</v>
      </c>
      <c r="R167" s="13" t="s">
        <v>239</v>
      </c>
      <c r="T167" s="13">
        <v>0</v>
      </c>
      <c r="U167" s="13">
        <v>0</v>
      </c>
      <c r="V167" s="13">
        <v>0</v>
      </c>
      <c r="W167" s="13">
        <v>0</v>
      </c>
      <c r="X167" s="14">
        <v>2.35493259999999E-6</v>
      </c>
      <c r="Y167" s="14">
        <v>8.9800480000000001E-6</v>
      </c>
      <c r="Z167" s="14">
        <v>3.8730469E-5</v>
      </c>
      <c r="AA167" s="14">
        <v>9.8189566000000006E-5</v>
      </c>
      <c r="AB167" s="14">
        <v>1.69185127999999E-4</v>
      </c>
      <c r="AC167" s="14">
        <v>2.5511579679999999E-4</v>
      </c>
      <c r="AD167" s="14">
        <v>3.1298629859999999E-4</v>
      </c>
      <c r="AE167" s="13" t="s">
        <v>93</v>
      </c>
    </row>
    <row r="168" spans="1:31">
      <c r="A168" s="13" t="s">
        <v>260</v>
      </c>
      <c r="B168" s="13" t="s">
        <v>1</v>
      </c>
      <c r="C168" s="13" t="s">
        <v>61</v>
      </c>
      <c r="D168" s="13" t="str">
        <f>IFERROR(VLOOKUP(C168,ghg_sort!$A$86:$B$512,2,0),0)</f>
        <v>Industry</v>
      </c>
      <c r="E168" s="12" t="s">
        <v>86</v>
      </c>
      <c r="F168" s="13">
        <f>IFERROR(VLOOKUP($E168,ghg_sort!$A$3:$B$21,2,0),0)</f>
        <v>3.6666666666666701</v>
      </c>
      <c r="G168" s="13">
        <f t="shared" si="23"/>
        <v>16.756666666666682</v>
      </c>
      <c r="H168" s="13">
        <f t="shared" si="24"/>
        <v>25.626333333333356</v>
      </c>
      <c r="I168" s="13">
        <f t="shared" si="25"/>
        <v>24.99566666666669</v>
      </c>
      <c r="J168" s="13">
        <f t="shared" si="26"/>
        <v>24.99566666666669</v>
      </c>
      <c r="K168" s="13">
        <f t="shared" si="27"/>
        <v>23.17139000000002</v>
      </c>
      <c r="L168" s="13">
        <f t="shared" si="28"/>
        <v>17.772113333333351</v>
      </c>
      <c r="M168" s="13">
        <f t="shared" si="29"/>
        <v>15.37363666666668</v>
      </c>
      <c r="N168" s="13">
        <f t="shared" si="30"/>
        <v>13.171325566666679</v>
      </c>
      <c r="O168" s="13">
        <f t="shared" si="31"/>
        <v>6.9115944333333399</v>
      </c>
      <c r="P168" s="13">
        <f t="shared" si="32"/>
        <v>3.7359266266666697</v>
      </c>
      <c r="Q168" s="13">
        <f t="shared" si="33"/>
        <v>2.6451797899999989</v>
      </c>
      <c r="R168" s="13" t="s">
        <v>239</v>
      </c>
      <c r="T168" s="14">
        <v>4.57</v>
      </c>
      <c r="U168" s="14">
        <v>6.9889999999999999</v>
      </c>
      <c r="V168" s="14">
        <v>6.8170000000000002</v>
      </c>
      <c r="W168" s="14">
        <v>6.8170000000000002</v>
      </c>
      <c r="X168" s="14">
        <v>6.3194699999999999</v>
      </c>
      <c r="Y168" s="14">
        <v>4.84694</v>
      </c>
      <c r="Z168" s="14">
        <v>4.1928099999999997</v>
      </c>
      <c r="AA168" s="14">
        <v>3.5921797</v>
      </c>
      <c r="AB168" s="14">
        <v>1.8849803000000001</v>
      </c>
      <c r="AC168" s="14">
        <v>1.0188890799999999</v>
      </c>
      <c r="AD168" s="14">
        <v>0.72141266999999898</v>
      </c>
      <c r="AE168" s="13" t="s">
        <v>94</v>
      </c>
    </row>
    <row r="169" spans="1:31">
      <c r="A169" s="13" t="s">
        <v>260</v>
      </c>
      <c r="B169" s="13" t="s">
        <v>1</v>
      </c>
      <c r="C169" s="13" t="s">
        <v>56</v>
      </c>
      <c r="D169" s="13" t="str">
        <f>IFERROR(VLOOKUP(C169,ghg_sort!$A$86:$B$512,2,0),0)</f>
        <v>Industry</v>
      </c>
      <c r="E169" s="33" t="s">
        <v>83</v>
      </c>
      <c r="F169" s="13">
        <f>IFERROR(VLOOKUP($E169,ghg_sort!$A$3:$B$21,2,0),0)</f>
        <v>0</v>
      </c>
      <c r="G169" s="13">
        <f t="shared" si="23"/>
        <v>0</v>
      </c>
      <c r="H169" s="13">
        <f t="shared" si="24"/>
        <v>0</v>
      </c>
      <c r="I169" s="13">
        <f t="shared" si="25"/>
        <v>0</v>
      </c>
      <c r="J169" s="13">
        <f t="shared" si="26"/>
        <v>0</v>
      </c>
      <c r="K169" s="13">
        <f t="shared" si="27"/>
        <v>0</v>
      </c>
      <c r="L169" s="13">
        <f t="shared" si="28"/>
        <v>0</v>
      </c>
      <c r="M169" s="13">
        <f t="shared" si="29"/>
        <v>0</v>
      </c>
      <c r="N169" s="13">
        <f t="shared" si="30"/>
        <v>0</v>
      </c>
      <c r="O169" s="13">
        <f t="shared" si="31"/>
        <v>0</v>
      </c>
      <c r="P169" s="13">
        <f t="shared" si="32"/>
        <v>0</v>
      </c>
      <c r="Q169" s="13">
        <f t="shared" si="33"/>
        <v>0</v>
      </c>
      <c r="R169" s="13" t="s">
        <v>239</v>
      </c>
      <c r="T169" s="14">
        <v>6.7783260000000005E-4</v>
      </c>
      <c r="U169" s="14">
        <v>6.6252019999999995E-4</v>
      </c>
      <c r="V169" s="14">
        <v>4.147396E-4</v>
      </c>
      <c r="W169" s="14">
        <v>4.3127870000000002E-4</v>
      </c>
      <c r="X169" s="14">
        <v>2.9387949499999898E-4</v>
      </c>
      <c r="Y169" s="14">
        <v>2.2269882699999999E-4</v>
      </c>
      <c r="Z169" s="14">
        <v>2.14102394999999E-4</v>
      </c>
      <c r="AA169" s="14">
        <v>2.2060398E-4</v>
      </c>
      <c r="AB169" s="14">
        <v>1.7087720700000001E-4</v>
      </c>
      <c r="AC169" s="14">
        <v>1.263742515E-4</v>
      </c>
      <c r="AD169" s="14">
        <v>8.6294968609999998E-5</v>
      </c>
      <c r="AE169" s="13" t="s">
        <v>93</v>
      </c>
    </row>
    <row r="170" spans="1:31">
      <c r="A170" s="13" t="s">
        <v>260</v>
      </c>
      <c r="B170" s="13" t="s">
        <v>1</v>
      </c>
      <c r="C170" s="13" t="s">
        <v>56</v>
      </c>
      <c r="D170" s="13" t="str">
        <f>IFERROR(VLOOKUP(C170,ghg_sort!$A$86:$B$512,2,0),0)</f>
        <v>Industry</v>
      </c>
      <c r="E170" s="33" t="s">
        <v>84</v>
      </c>
      <c r="F170" s="13">
        <f>IFERROR(VLOOKUP($E170,ghg_sort!$A$3:$B$21,2,0),0)</f>
        <v>25</v>
      </c>
      <c r="G170" s="13">
        <f t="shared" si="23"/>
        <v>1.0500000000000001E-2</v>
      </c>
      <c r="H170" s="13">
        <f t="shared" si="24"/>
        <v>0.01</v>
      </c>
      <c r="I170" s="13">
        <f t="shared" si="25"/>
        <v>2.5250000000000002E-2</v>
      </c>
      <c r="J170" s="13">
        <f t="shared" si="26"/>
        <v>2.2249999999999999E-2</v>
      </c>
      <c r="K170" s="13">
        <f t="shared" si="27"/>
        <v>2.2785537450000001E-2</v>
      </c>
      <c r="L170" s="13">
        <f t="shared" si="28"/>
        <v>2.3102421099999975E-2</v>
      </c>
      <c r="M170" s="13">
        <f t="shared" si="29"/>
        <v>2.4609857024999977E-2</v>
      </c>
      <c r="N170" s="13">
        <f t="shared" si="30"/>
        <v>2.517640845E-2</v>
      </c>
      <c r="O170" s="13">
        <f t="shared" si="31"/>
        <v>2.0844606049999975E-2</v>
      </c>
      <c r="P170" s="13">
        <f t="shared" si="32"/>
        <v>1.68820646875E-2</v>
      </c>
      <c r="Q170" s="13">
        <f t="shared" si="33"/>
        <v>1.299646881775E-2</v>
      </c>
      <c r="R170" s="13" t="s">
        <v>239</v>
      </c>
      <c r="T170" s="14">
        <v>4.2000000000000002E-4</v>
      </c>
      <c r="U170" s="14">
        <v>4.0000000000000002E-4</v>
      </c>
      <c r="V170" s="13">
        <v>1.01E-3</v>
      </c>
      <c r="W170" s="14">
        <v>8.8999999999999995E-4</v>
      </c>
      <c r="X170" s="14">
        <v>9.11421498E-4</v>
      </c>
      <c r="Y170" s="14">
        <v>9.2409684399999902E-4</v>
      </c>
      <c r="Z170" s="14">
        <v>9.8439428099999907E-4</v>
      </c>
      <c r="AA170" s="14">
        <v>1.007056338E-3</v>
      </c>
      <c r="AB170" s="14">
        <v>8.3378424199999899E-4</v>
      </c>
      <c r="AC170" s="14">
        <v>6.7528258749999996E-4</v>
      </c>
      <c r="AD170" s="14">
        <v>5.1985875271000001E-4</v>
      </c>
      <c r="AE170" s="13" t="s">
        <v>93</v>
      </c>
    </row>
    <row r="171" spans="1:31">
      <c r="A171" s="13" t="s">
        <v>260</v>
      </c>
      <c r="B171" s="13" t="s">
        <v>1</v>
      </c>
      <c r="C171" s="13" t="s">
        <v>56</v>
      </c>
      <c r="D171" s="13" t="str">
        <f>IFERROR(VLOOKUP(C171,ghg_sort!$A$86:$B$512,2,0),0)</f>
        <v>Industry</v>
      </c>
      <c r="E171" s="33" t="s">
        <v>85</v>
      </c>
      <c r="F171" s="13">
        <f>IFERROR(VLOOKUP($E171,ghg_sort!$A$3:$B$21,2,0),0)</f>
        <v>0</v>
      </c>
      <c r="G171" s="13">
        <f t="shared" si="23"/>
        <v>0</v>
      </c>
      <c r="H171" s="13">
        <f t="shared" si="24"/>
        <v>0</v>
      </c>
      <c r="I171" s="13">
        <f t="shared" si="25"/>
        <v>0</v>
      </c>
      <c r="J171" s="13">
        <f t="shared" si="26"/>
        <v>0</v>
      </c>
      <c r="K171" s="13">
        <f t="shared" si="27"/>
        <v>0</v>
      </c>
      <c r="L171" s="13">
        <f t="shared" si="28"/>
        <v>0</v>
      </c>
      <c r="M171" s="13">
        <f t="shared" si="29"/>
        <v>0</v>
      </c>
      <c r="N171" s="13">
        <f t="shared" si="30"/>
        <v>0</v>
      </c>
      <c r="O171" s="13">
        <f t="shared" si="31"/>
        <v>0</v>
      </c>
      <c r="P171" s="13">
        <f t="shared" si="32"/>
        <v>0</v>
      </c>
      <c r="Q171" s="13">
        <f t="shared" si="33"/>
        <v>0</v>
      </c>
      <c r="R171" s="13" t="s">
        <v>239</v>
      </c>
      <c r="T171" s="13">
        <v>1.25E-3</v>
      </c>
      <c r="U171" s="14">
        <v>8.5999999999999998E-4</v>
      </c>
      <c r="V171" s="13">
        <v>1.2199999999999999E-3</v>
      </c>
      <c r="W171" s="13">
        <v>1.2700000000000001E-3</v>
      </c>
      <c r="X171" s="14">
        <v>8.6521582999999995E-4</v>
      </c>
      <c r="Y171" s="14">
        <v>6.6458556999999998E-4</v>
      </c>
      <c r="Z171" s="14">
        <v>6.3407467799999999E-4</v>
      </c>
      <c r="AA171" s="14">
        <v>6.3621310699999898E-4</v>
      </c>
      <c r="AB171" s="14">
        <v>5.2102305300000002E-4</v>
      </c>
      <c r="AC171" s="14">
        <v>4.1177065879999898E-4</v>
      </c>
      <c r="AD171" s="14">
        <v>3.0450357429999999E-4</v>
      </c>
      <c r="AE171" s="13" t="s">
        <v>93</v>
      </c>
    </row>
    <row r="172" spans="1:31">
      <c r="A172" s="13" t="s">
        <v>260</v>
      </c>
      <c r="B172" s="13" t="s">
        <v>1</v>
      </c>
      <c r="C172" s="13" t="s">
        <v>56</v>
      </c>
      <c r="D172" s="13" t="str">
        <f>IFERROR(VLOOKUP(C172,ghg_sort!$A$86:$B$512,2,0),0)</f>
        <v>Industry</v>
      </c>
      <c r="E172" s="12" t="s">
        <v>86</v>
      </c>
      <c r="F172" s="13">
        <f>IFERROR(VLOOKUP($E172,ghg_sort!$A$3:$B$21,2,0),0)</f>
        <v>3.6666666666666701</v>
      </c>
      <c r="G172" s="13">
        <f t="shared" si="23"/>
        <v>7.3113223333333401</v>
      </c>
      <c r="H172" s="13">
        <f t="shared" si="24"/>
        <v>6.0646820666666716</v>
      </c>
      <c r="I172" s="13">
        <f t="shared" si="25"/>
        <v>7.2354003333333399</v>
      </c>
      <c r="J172" s="13">
        <f t="shared" si="26"/>
        <v>5.8556776666666721</v>
      </c>
      <c r="K172" s="13">
        <f t="shared" si="27"/>
        <v>5.9996176166666357</v>
      </c>
      <c r="L172" s="13">
        <f t="shared" si="28"/>
        <v>6.0813564711899684</v>
      </c>
      <c r="M172" s="13">
        <f t="shared" si="29"/>
        <v>6.4914817172699699</v>
      </c>
      <c r="N172" s="13">
        <f t="shared" si="30"/>
        <v>6.8511937920433397</v>
      </c>
      <c r="O172" s="13">
        <f t="shared" si="31"/>
        <v>6.0808215759133395</v>
      </c>
      <c r="P172" s="13">
        <f t="shared" si="32"/>
        <v>5.1992354761966348</v>
      </c>
      <c r="Q172" s="13">
        <f t="shared" si="33"/>
        <v>4.2149392207523366</v>
      </c>
      <c r="R172" s="13" t="s">
        <v>239</v>
      </c>
      <c r="T172" s="14">
        <v>1.993997</v>
      </c>
      <c r="U172" s="14">
        <v>1.6540041999999999</v>
      </c>
      <c r="V172" s="14">
        <v>1.9732909999999999</v>
      </c>
      <c r="W172" s="14">
        <v>1.597003</v>
      </c>
      <c r="X172" s="14">
        <v>1.63625934999999</v>
      </c>
      <c r="Y172" s="14">
        <v>1.6585517648699899</v>
      </c>
      <c r="Z172" s="14">
        <v>1.7704041047099901</v>
      </c>
      <c r="AA172" s="14">
        <v>1.86850739783</v>
      </c>
      <c r="AB172" s="14">
        <v>1.65840588434</v>
      </c>
      <c r="AC172" s="14">
        <v>1.41797331168999</v>
      </c>
      <c r="AD172" s="14">
        <v>1.1495288783869999</v>
      </c>
      <c r="AE172" s="13" t="s">
        <v>94</v>
      </c>
    </row>
    <row r="173" spans="1:31">
      <c r="A173" s="13" t="s">
        <v>260</v>
      </c>
      <c r="B173" s="13" t="s">
        <v>1</v>
      </c>
      <c r="C173" s="13" t="s">
        <v>56</v>
      </c>
      <c r="D173" s="13" t="str">
        <f>IFERROR(VLOOKUP(C173,ghg_sort!$A$86:$B$512,2,0),0)</f>
        <v>Industry</v>
      </c>
      <c r="E173" s="33" t="s">
        <v>87</v>
      </c>
      <c r="F173" s="13">
        <f>IFERROR(VLOOKUP($E173,ghg_sort!$A$3:$B$21,2,0),0)</f>
        <v>298</v>
      </c>
      <c r="G173" s="13">
        <f t="shared" si="23"/>
        <v>2.0859999999999997E-2</v>
      </c>
      <c r="H173" s="13">
        <f t="shared" si="24"/>
        <v>1.788E-2</v>
      </c>
      <c r="I173" s="13">
        <f t="shared" si="25"/>
        <v>2.0859999999999997E-2</v>
      </c>
      <c r="J173" s="13">
        <f t="shared" si="26"/>
        <v>2.3840000000000004E-2</v>
      </c>
      <c r="K173" s="13">
        <f t="shared" si="27"/>
        <v>2.4475359244000003E-2</v>
      </c>
      <c r="L173" s="13">
        <f t="shared" si="28"/>
        <v>2.5141461657999971E-2</v>
      </c>
      <c r="M173" s="13">
        <f t="shared" si="29"/>
        <v>2.861660355799997E-2</v>
      </c>
      <c r="N173" s="13">
        <f t="shared" si="30"/>
        <v>3.2549686527999999E-2</v>
      </c>
      <c r="O173" s="13">
        <f t="shared" si="31"/>
        <v>2.7552374633999968E-2</v>
      </c>
      <c r="P173" s="13">
        <f t="shared" si="32"/>
        <v>2.2478279046799998E-2</v>
      </c>
      <c r="Q173" s="13">
        <f t="shared" si="33"/>
        <v>1.6786759110179999E-2</v>
      </c>
      <c r="R173" s="13" t="s">
        <v>239</v>
      </c>
      <c r="T173" s="14">
        <v>6.9999999999999994E-5</v>
      </c>
      <c r="U173" s="14">
        <v>6.0000000000000002E-5</v>
      </c>
      <c r="V173" s="14">
        <v>6.9999999999999994E-5</v>
      </c>
      <c r="W173" s="14">
        <v>8.0000000000000007E-5</v>
      </c>
      <c r="X173" s="14">
        <v>8.2132078000000006E-5</v>
      </c>
      <c r="Y173" s="14">
        <v>8.4367320999999897E-5</v>
      </c>
      <c r="Z173" s="14">
        <v>9.6028870999999904E-5</v>
      </c>
      <c r="AA173" s="14">
        <v>1.09227136E-4</v>
      </c>
      <c r="AB173" s="14">
        <v>9.2457632999999896E-5</v>
      </c>
      <c r="AC173" s="14">
        <v>7.5430466599999999E-5</v>
      </c>
      <c r="AD173" s="14">
        <v>5.633140641E-5</v>
      </c>
      <c r="AE173" s="13" t="s">
        <v>93</v>
      </c>
    </row>
    <row r="174" spans="1:31">
      <c r="A174" s="13" t="s">
        <v>260</v>
      </c>
      <c r="B174" s="13" t="s">
        <v>1</v>
      </c>
      <c r="C174" s="13" t="s">
        <v>56</v>
      </c>
      <c r="D174" s="13" t="str">
        <f>IFERROR(VLOOKUP(C174,ghg_sort!$A$86:$B$512,2,0),0)</f>
        <v>Industry</v>
      </c>
      <c r="E174" s="33" t="s">
        <v>88</v>
      </c>
      <c r="F174" s="13">
        <f>IFERROR(VLOOKUP($E174,ghg_sort!$A$3:$B$21,2,0),0)</f>
        <v>0</v>
      </c>
      <c r="G174" s="13">
        <f t="shared" si="23"/>
        <v>0</v>
      </c>
      <c r="H174" s="13">
        <f t="shared" si="24"/>
        <v>0</v>
      </c>
      <c r="I174" s="13">
        <f t="shared" si="25"/>
        <v>0</v>
      </c>
      <c r="J174" s="13">
        <f t="shared" si="26"/>
        <v>0</v>
      </c>
      <c r="K174" s="13">
        <f t="shared" si="27"/>
        <v>0</v>
      </c>
      <c r="L174" s="13">
        <f t="shared" si="28"/>
        <v>0</v>
      </c>
      <c r="M174" s="13">
        <f t="shared" si="29"/>
        <v>0</v>
      </c>
      <c r="N174" s="13">
        <f t="shared" si="30"/>
        <v>0</v>
      </c>
      <c r="O174" s="13">
        <f t="shared" si="31"/>
        <v>0</v>
      </c>
      <c r="P174" s="13">
        <f t="shared" si="32"/>
        <v>0</v>
      </c>
      <c r="Q174" s="13">
        <f t="shared" si="33"/>
        <v>0</v>
      </c>
      <c r="R174" s="13" t="s">
        <v>239</v>
      </c>
      <c r="T174" s="14">
        <v>1.2E-4</v>
      </c>
      <c r="U174" s="14">
        <v>1.7999999999999901E-4</v>
      </c>
      <c r="V174" s="14">
        <v>1.4999999999999999E-4</v>
      </c>
      <c r="W174" s="14">
        <v>1.7999999999999901E-4</v>
      </c>
      <c r="X174" s="14">
        <v>1.8468809800000001E-4</v>
      </c>
      <c r="Y174" s="14">
        <v>1.8964933E-4</v>
      </c>
      <c r="Z174" s="14">
        <v>2.1590992399999999E-4</v>
      </c>
      <c r="AA174" s="14">
        <v>2.4888926599999999E-4</v>
      </c>
      <c r="AB174" s="14">
        <v>2.1823243799999999E-4</v>
      </c>
      <c r="AC174" s="14">
        <v>1.81260674E-4</v>
      </c>
      <c r="AD174" s="14">
        <v>1.37494612899999E-4</v>
      </c>
      <c r="AE174" s="13" t="s">
        <v>93</v>
      </c>
    </row>
    <row r="175" spans="1:31">
      <c r="A175" s="13" t="s">
        <v>260</v>
      </c>
      <c r="B175" s="13" t="s">
        <v>1</v>
      </c>
      <c r="C175" s="13" t="s">
        <v>56</v>
      </c>
      <c r="D175" s="13" t="str">
        <f>IFERROR(VLOOKUP(C175,ghg_sort!$A$86:$B$512,2,0),0)</f>
        <v>Industry</v>
      </c>
      <c r="E175" s="33" t="s">
        <v>89</v>
      </c>
      <c r="F175" s="13">
        <f>IFERROR(VLOOKUP($E175,ghg_sort!$A$3:$B$21,2,0),0)</f>
        <v>0</v>
      </c>
      <c r="G175" s="13">
        <f t="shared" si="23"/>
        <v>0</v>
      </c>
      <c r="H175" s="13">
        <f t="shared" si="24"/>
        <v>0</v>
      </c>
      <c r="I175" s="13">
        <f t="shared" si="25"/>
        <v>0</v>
      </c>
      <c r="J175" s="13">
        <f t="shared" si="26"/>
        <v>0</v>
      </c>
      <c r="K175" s="13">
        <f t="shared" si="27"/>
        <v>0</v>
      </c>
      <c r="L175" s="13">
        <f t="shared" si="28"/>
        <v>0</v>
      </c>
      <c r="M175" s="13">
        <f t="shared" si="29"/>
        <v>0</v>
      </c>
      <c r="N175" s="13">
        <f t="shared" si="30"/>
        <v>0</v>
      </c>
      <c r="O175" s="13">
        <f t="shared" si="31"/>
        <v>0</v>
      </c>
      <c r="P175" s="13">
        <f t="shared" si="32"/>
        <v>0</v>
      </c>
      <c r="Q175" s="13">
        <f t="shared" si="33"/>
        <v>0</v>
      </c>
      <c r="R175" s="13" t="s">
        <v>239</v>
      </c>
      <c r="T175" s="14">
        <v>2.5999999999999998E-4</v>
      </c>
      <c r="U175" s="14">
        <v>1.4999999999999999E-4</v>
      </c>
      <c r="V175" s="14">
        <v>1.7000000000000001E-4</v>
      </c>
      <c r="W175" s="14">
        <v>1.7000000000000001E-4</v>
      </c>
      <c r="X175" s="14">
        <v>1.3348263800000001E-4</v>
      </c>
      <c r="Y175" s="14">
        <v>1.26248074E-4</v>
      </c>
      <c r="Z175" s="14">
        <v>1.39435400999999E-4</v>
      </c>
      <c r="AA175" s="14">
        <v>1.52541789999999E-4</v>
      </c>
      <c r="AB175" s="14">
        <v>1.2965168800000001E-4</v>
      </c>
      <c r="AC175" s="14">
        <v>1.060152945E-4</v>
      </c>
      <c r="AD175" s="14">
        <v>8.02619305099999E-5</v>
      </c>
      <c r="AE175" s="13" t="s">
        <v>93</v>
      </c>
    </row>
    <row r="176" spans="1:31">
      <c r="A176" s="13" t="s">
        <v>260</v>
      </c>
      <c r="B176" s="13" t="s">
        <v>1</v>
      </c>
      <c r="C176" s="13" t="s">
        <v>56</v>
      </c>
      <c r="D176" s="13" t="str">
        <f>IFERROR(VLOOKUP(C176,ghg_sort!$A$86:$B$512,2,0),0)</f>
        <v>Industry</v>
      </c>
      <c r="E176" s="33" t="s">
        <v>90</v>
      </c>
      <c r="F176" s="13">
        <f>IFERROR(VLOOKUP($E176,ghg_sort!$A$3:$B$21,2,0),0)</f>
        <v>0</v>
      </c>
      <c r="G176" s="13">
        <f t="shared" si="23"/>
        <v>0</v>
      </c>
      <c r="H176" s="13">
        <f t="shared" si="24"/>
        <v>0</v>
      </c>
      <c r="I176" s="13">
        <f t="shared" si="25"/>
        <v>0</v>
      </c>
      <c r="J176" s="13">
        <f t="shared" si="26"/>
        <v>0</v>
      </c>
      <c r="K176" s="13">
        <f t="shared" si="27"/>
        <v>0</v>
      </c>
      <c r="L176" s="13">
        <f t="shared" si="28"/>
        <v>0</v>
      </c>
      <c r="M176" s="13">
        <f t="shared" si="29"/>
        <v>0</v>
      </c>
      <c r="N176" s="13">
        <f t="shared" si="30"/>
        <v>0</v>
      </c>
      <c r="O176" s="13">
        <f t="shared" si="31"/>
        <v>0</v>
      </c>
      <c r="P176" s="13">
        <f t="shared" si="32"/>
        <v>0</v>
      </c>
      <c r="Q176" s="13">
        <f t="shared" si="33"/>
        <v>0</v>
      </c>
      <c r="R176" s="13" t="s">
        <v>239</v>
      </c>
      <c r="T176" s="14">
        <v>1.8959999999999901E-2</v>
      </c>
      <c r="U176" s="13">
        <v>9.1599999999999997E-3</v>
      </c>
      <c r="V176" s="14">
        <v>1.264E-2</v>
      </c>
      <c r="W176" s="13">
        <v>1.0789999999999999E-2</v>
      </c>
      <c r="X176" s="13">
        <v>6.9312897999999996E-3</v>
      </c>
      <c r="Y176" s="13">
        <v>4.8329068399999998E-3</v>
      </c>
      <c r="Z176" s="14">
        <v>4.0768910399999903E-3</v>
      </c>
      <c r="AA176" s="14">
        <v>3.7181491299999999E-3</v>
      </c>
      <c r="AB176" s="14">
        <v>2.8182131299999999E-3</v>
      </c>
      <c r="AC176" s="14">
        <v>2.0675376609999999E-3</v>
      </c>
      <c r="AD176" s="14">
        <v>1.4356672451999999E-3</v>
      </c>
      <c r="AE176" s="13" t="s">
        <v>93</v>
      </c>
    </row>
    <row r="177" spans="1:31">
      <c r="A177" s="13" t="s">
        <v>260</v>
      </c>
      <c r="B177" s="13" t="s">
        <v>1</v>
      </c>
      <c r="C177" s="13" t="s">
        <v>56</v>
      </c>
      <c r="D177" s="13" t="str">
        <f>IFERROR(VLOOKUP(C177,ghg_sort!$A$86:$B$512,2,0),0)</f>
        <v>Industry</v>
      </c>
      <c r="E177" s="33" t="s">
        <v>91</v>
      </c>
      <c r="F177" s="13">
        <f>IFERROR(VLOOKUP($E177,ghg_sort!$A$3:$B$21,2,0),0)</f>
        <v>0</v>
      </c>
      <c r="G177" s="13">
        <f t="shared" si="23"/>
        <v>0</v>
      </c>
      <c r="H177" s="13">
        <f t="shared" si="24"/>
        <v>0</v>
      </c>
      <c r="I177" s="13">
        <f t="shared" si="25"/>
        <v>0</v>
      </c>
      <c r="J177" s="13">
        <f t="shared" si="26"/>
        <v>0</v>
      </c>
      <c r="K177" s="13">
        <f t="shared" si="27"/>
        <v>0</v>
      </c>
      <c r="L177" s="13">
        <f t="shared" si="28"/>
        <v>0</v>
      </c>
      <c r="M177" s="13">
        <f t="shared" si="29"/>
        <v>0</v>
      </c>
      <c r="N177" s="13">
        <f t="shared" si="30"/>
        <v>0</v>
      </c>
      <c r="O177" s="13">
        <f t="shared" si="31"/>
        <v>0</v>
      </c>
      <c r="P177" s="13">
        <f t="shared" si="32"/>
        <v>0</v>
      </c>
      <c r="Q177" s="13">
        <f t="shared" si="33"/>
        <v>0</v>
      </c>
      <c r="R177" s="13" t="s">
        <v>239</v>
      </c>
      <c r="T177" s="14">
        <v>7.2000000000000005E-4</v>
      </c>
      <c r="U177" s="13">
        <v>1.2600000000000001E-3</v>
      </c>
      <c r="V177" s="14">
        <v>8.4000000000000003E-4</v>
      </c>
      <c r="W177" s="13">
        <v>2.2799999999999999E-3</v>
      </c>
      <c r="X177" s="13">
        <v>1.4691169839999899E-3</v>
      </c>
      <c r="Y177" s="13">
        <v>1.052889817E-3</v>
      </c>
      <c r="Z177" s="14">
        <v>9.9914533899999897E-4</v>
      </c>
      <c r="AA177" s="14">
        <v>1.0348188050000001E-3</v>
      </c>
      <c r="AB177" s="14">
        <v>7.7103391499999999E-4</v>
      </c>
      <c r="AC177" s="14">
        <v>5.4615370729999902E-4</v>
      </c>
      <c r="AD177" s="14">
        <v>3.5268721172999998E-4</v>
      </c>
      <c r="AE177" s="13" t="s">
        <v>93</v>
      </c>
    </row>
    <row r="178" spans="1:31">
      <c r="A178" s="13" t="s">
        <v>260</v>
      </c>
      <c r="B178" s="13" t="s">
        <v>1</v>
      </c>
      <c r="C178" s="13" t="s">
        <v>56</v>
      </c>
      <c r="D178" s="13" t="str">
        <f>IFERROR(VLOOKUP(C178,ghg_sort!$A$86:$B$512,2,0),0)</f>
        <v>Industry</v>
      </c>
      <c r="E178" s="33" t="s">
        <v>92</v>
      </c>
      <c r="F178" s="13">
        <f>IFERROR(VLOOKUP($E178,ghg_sort!$A$3:$B$21,2,0),0)</f>
        <v>0</v>
      </c>
      <c r="G178" s="13">
        <f t="shared" si="23"/>
        <v>0</v>
      </c>
      <c r="H178" s="13">
        <f t="shared" si="24"/>
        <v>0</v>
      </c>
      <c r="I178" s="13">
        <f t="shared" si="25"/>
        <v>0</v>
      </c>
      <c r="J178" s="13">
        <f t="shared" si="26"/>
        <v>0</v>
      </c>
      <c r="K178" s="13">
        <f t="shared" si="27"/>
        <v>0</v>
      </c>
      <c r="L178" s="13">
        <f t="shared" si="28"/>
        <v>0</v>
      </c>
      <c r="M178" s="13">
        <f t="shared" si="29"/>
        <v>0</v>
      </c>
      <c r="N178" s="13">
        <f t="shared" si="30"/>
        <v>0</v>
      </c>
      <c r="O178" s="13">
        <f t="shared" si="31"/>
        <v>0</v>
      </c>
      <c r="P178" s="13">
        <f t="shared" si="32"/>
        <v>0</v>
      </c>
      <c r="Q178" s="13">
        <f t="shared" si="33"/>
        <v>0</v>
      </c>
      <c r="R178" s="13" t="s">
        <v>239</v>
      </c>
      <c r="T178" s="13">
        <v>5.4744053799999998E-2</v>
      </c>
      <c r="U178" s="13">
        <v>7.1907422699999998E-3</v>
      </c>
      <c r="V178" s="13">
        <v>6.1273737999999996E-3</v>
      </c>
      <c r="W178" s="13">
        <v>2.3294593500000002E-3</v>
      </c>
      <c r="X178" s="13">
        <v>1.5254946269999999E-3</v>
      </c>
      <c r="Y178" s="13">
        <v>1.07840184E-3</v>
      </c>
      <c r="Z178" s="14">
        <v>8.8247963499999999E-4</v>
      </c>
      <c r="AA178" s="14">
        <v>7.3642823900000004E-4</v>
      </c>
      <c r="AB178" s="14">
        <v>5.7906669499999998E-4</v>
      </c>
      <c r="AC178" s="14">
        <v>4.5306779189999998E-4</v>
      </c>
      <c r="AD178" s="14">
        <v>3.3797547643999999E-4</v>
      </c>
      <c r="AE178" s="13" t="s">
        <v>93</v>
      </c>
    </row>
    <row r="179" spans="1:31">
      <c r="A179" s="13" t="s">
        <v>260</v>
      </c>
      <c r="B179" s="13" t="s">
        <v>1</v>
      </c>
      <c r="C179" s="13" t="s">
        <v>20</v>
      </c>
      <c r="D179" s="13" t="str">
        <f>IFERROR(VLOOKUP(C179,ghg_sort!$A$86:$B$512,2,0),0)</f>
        <v>Industry</v>
      </c>
      <c r="E179" s="12" t="s">
        <v>86</v>
      </c>
      <c r="F179" s="13">
        <f>IFERROR(VLOOKUP($E179,ghg_sort!$A$3:$B$21,2,0),0)</f>
        <v>3.6666666666666701</v>
      </c>
      <c r="G179" s="13">
        <f t="shared" si="23"/>
        <v>0</v>
      </c>
      <c r="H179" s="13">
        <f t="shared" si="24"/>
        <v>0</v>
      </c>
      <c r="I179" s="13">
        <f t="shared" si="25"/>
        <v>1.6970250000000016</v>
      </c>
      <c r="J179" s="13">
        <f t="shared" si="26"/>
        <v>2.312981000000002</v>
      </c>
      <c r="K179" s="13">
        <f t="shared" si="27"/>
        <v>2.2221576666666687</v>
      </c>
      <c r="L179" s="13">
        <f t="shared" si="28"/>
        <v>7.8712333333333412E-2</v>
      </c>
      <c r="M179" s="13">
        <f t="shared" si="29"/>
        <v>1.4831446666666682E-2</v>
      </c>
      <c r="N179" s="13">
        <f t="shared" si="30"/>
        <v>3.7674266666666706E-3</v>
      </c>
      <c r="O179" s="13">
        <f t="shared" si="31"/>
        <v>1.3688730000000011E-3</v>
      </c>
      <c r="P179" s="13">
        <f t="shared" si="32"/>
        <v>5.1677633333333385E-4</v>
      </c>
      <c r="Q179" s="13">
        <f t="shared" si="33"/>
        <v>2.4910673333333359E-4</v>
      </c>
      <c r="R179" s="13" t="s">
        <v>239</v>
      </c>
      <c r="T179" s="14">
        <v>0</v>
      </c>
      <c r="U179" s="14">
        <v>0</v>
      </c>
      <c r="V179" s="14">
        <v>0.46282499999999999</v>
      </c>
      <c r="W179" s="14">
        <v>0.63081299999999996</v>
      </c>
      <c r="X179" s="14">
        <v>0.606043</v>
      </c>
      <c r="Y179" s="14">
        <v>2.1467E-2</v>
      </c>
      <c r="Z179" s="14">
        <v>4.0449400000000003E-3</v>
      </c>
      <c r="AA179" s="14">
        <v>1.0274800000000001E-3</v>
      </c>
      <c r="AB179" s="14">
        <v>3.7332899999999999E-4</v>
      </c>
      <c r="AC179" s="14">
        <v>1.40939E-4</v>
      </c>
      <c r="AD179" s="14">
        <v>6.7938199999999999E-5</v>
      </c>
      <c r="AE179" s="13" t="s">
        <v>94</v>
      </c>
    </row>
    <row r="180" spans="1:31">
      <c r="A180" s="13" t="s">
        <v>260</v>
      </c>
      <c r="B180" s="13" t="s">
        <v>1</v>
      </c>
      <c r="C180" s="13" t="s">
        <v>143</v>
      </c>
      <c r="D180" s="13" t="str">
        <f>IFERROR(VLOOKUP(C180,ghg_sort!$A$86:$B$512,2,0),0)</f>
        <v>Building</v>
      </c>
      <c r="E180" s="33" t="s">
        <v>84</v>
      </c>
      <c r="F180" s="13">
        <f>IFERROR(VLOOKUP($E180,ghg_sort!$A$3:$B$21,2,0),0)</f>
        <v>25</v>
      </c>
      <c r="G180" s="13">
        <f t="shared" si="23"/>
        <v>2.2799224999999999E-3</v>
      </c>
      <c r="H180" s="13">
        <f t="shared" si="24"/>
        <v>5.9421500000000002E-3</v>
      </c>
      <c r="I180" s="13">
        <f t="shared" si="25"/>
        <v>6.1396249999999992E-3</v>
      </c>
      <c r="J180" s="13">
        <f t="shared" si="26"/>
        <v>8.0964249999999991E-3</v>
      </c>
      <c r="K180" s="13">
        <f t="shared" si="27"/>
        <v>8.3643999999999993E-3</v>
      </c>
      <c r="L180" s="13">
        <f t="shared" si="28"/>
        <v>7.0130999999999995E-3</v>
      </c>
      <c r="M180" s="13">
        <f t="shared" si="29"/>
        <v>5.8285500000000001E-3</v>
      </c>
      <c r="N180" s="13">
        <f t="shared" si="30"/>
        <v>4.3076749999999995E-3</v>
      </c>
      <c r="O180" s="13">
        <f t="shared" si="31"/>
        <v>2.619325E-3</v>
      </c>
      <c r="P180" s="13">
        <f t="shared" si="32"/>
        <v>1.4283675E-3</v>
      </c>
      <c r="Q180" s="13">
        <f t="shared" si="33"/>
        <v>7.6488249999999999E-4</v>
      </c>
      <c r="R180" s="13" t="s">
        <v>239</v>
      </c>
      <c r="T180" s="14">
        <v>9.1196899999999994E-5</v>
      </c>
      <c r="U180" s="14">
        <v>2.37686E-4</v>
      </c>
      <c r="V180" s="14">
        <v>2.4558499999999999E-4</v>
      </c>
      <c r="W180" s="14">
        <v>3.2385699999999999E-4</v>
      </c>
      <c r="X180" s="14">
        <v>3.34576E-4</v>
      </c>
      <c r="Y180" s="14">
        <v>2.8052399999999999E-4</v>
      </c>
      <c r="Z180" s="14">
        <v>2.3314200000000001E-4</v>
      </c>
      <c r="AA180" s="14">
        <v>1.7230699999999999E-4</v>
      </c>
      <c r="AB180" s="14">
        <v>1.0477299999999999E-4</v>
      </c>
      <c r="AC180" s="14">
        <v>5.71347E-5</v>
      </c>
      <c r="AD180" s="14">
        <v>3.0595300000000002E-5</v>
      </c>
      <c r="AE180" s="13" t="s">
        <v>93</v>
      </c>
    </row>
    <row r="181" spans="1:31">
      <c r="A181" s="13" t="s">
        <v>260</v>
      </c>
      <c r="B181" s="13" t="s">
        <v>1</v>
      </c>
      <c r="C181" s="13" t="s">
        <v>143</v>
      </c>
      <c r="D181" s="13" t="str">
        <f>IFERROR(VLOOKUP(C181,ghg_sort!$A$86:$B$512,2,0),0)</f>
        <v>Building</v>
      </c>
      <c r="E181" s="33" t="s">
        <v>85</v>
      </c>
      <c r="F181" s="13">
        <f>IFERROR(VLOOKUP($E181,ghg_sort!$A$3:$B$21,2,0),0)</f>
        <v>0</v>
      </c>
      <c r="G181" s="13">
        <f t="shared" si="23"/>
        <v>0</v>
      </c>
      <c r="H181" s="13">
        <f t="shared" si="24"/>
        <v>0</v>
      </c>
      <c r="I181" s="13">
        <f t="shared" si="25"/>
        <v>0</v>
      </c>
      <c r="J181" s="13">
        <f t="shared" si="26"/>
        <v>0</v>
      </c>
      <c r="K181" s="13">
        <f t="shared" si="27"/>
        <v>0</v>
      </c>
      <c r="L181" s="13">
        <f t="shared" si="28"/>
        <v>0</v>
      </c>
      <c r="M181" s="13">
        <f t="shared" si="29"/>
        <v>0</v>
      </c>
      <c r="N181" s="13">
        <f t="shared" si="30"/>
        <v>0</v>
      </c>
      <c r="O181" s="13">
        <f t="shared" si="31"/>
        <v>0</v>
      </c>
      <c r="P181" s="13">
        <f t="shared" si="32"/>
        <v>0</v>
      </c>
      <c r="Q181" s="13">
        <f t="shared" si="33"/>
        <v>0</v>
      </c>
      <c r="R181" s="13" t="s">
        <v>239</v>
      </c>
      <c r="T181" s="14">
        <v>3.5904299999999999E-6</v>
      </c>
      <c r="U181" s="14">
        <v>4.73937E-5</v>
      </c>
      <c r="V181" s="14">
        <v>5.2420299999999997E-5</v>
      </c>
      <c r="W181" s="14">
        <v>6.8936299999999999E-5</v>
      </c>
      <c r="X181" s="14">
        <v>7.1217999999999995E-5</v>
      </c>
      <c r="Y181" s="14">
        <v>5.9712500000000001E-5</v>
      </c>
      <c r="Z181" s="14">
        <v>4.9626599999999997E-5</v>
      </c>
      <c r="AA181" s="14">
        <v>3.6677300000000002E-5</v>
      </c>
      <c r="AB181" s="14">
        <v>2.2301900000000001E-5</v>
      </c>
      <c r="AC181" s="14">
        <v>1.2161700000000001E-5</v>
      </c>
      <c r="AD181" s="14">
        <v>6.5125199999999996E-6</v>
      </c>
      <c r="AE181" s="13" t="s">
        <v>93</v>
      </c>
    </row>
    <row r="182" spans="1:31">
      <c r="A182" s="13" t="s">
        <v>260</v>
      </c>
      <c r="B182" s="13" t="s">
        <v>1</v>
      </c>
      <c r="C182" s="13" t="s">
        <v>143</v>
      </c>
      <c r="D182" s="13" t="str">
        <f>IFERROR(VLOOKUP(C182,ghg_sort!$A$86:$B$512,2,0),0)</f>
        <v>Building</v>
      </c>
      <c r="E182" s="12" t="s">
        <v>86</v>
      </c>
      <c r="F182" s="13">
        <f>IFERROR(VLOOKUP($E182,ghg_sort!$A$3:$B$21,2,0),0)</f>
        <v>3.6666666666666701</v>
      </c>
      <c r="G182" s="13">
        <f t="shared" si="23"/>
        <v>2.2222236666666687E-2</v>
      </c>
      <c r="H182" s="13">
        <f t="shared" si="24"/>
        <v>0.4887116666666671</v>
      </c>
      <c r="I182" s="13">
        <f t="shared" si="25"/>
        <v>0.56483166666666718</v>
      </c>
      <c r="J182" s="13">
        <f t="shared" si="26"/>
        <v>0.58806733333333383</v>
      </c>
      <c r="K182" s="13">
        <f t="shared" si="27"/>
        <v>0.60753000000000057</v>
      </c>
      <c r="L182" s="13">
        <f t="shared" si="28"/>
        <v>0.50938433333333377</v>
      </c>
      <c r="M182" s="13">
        <f t="shared" si="29"/>
        <v>0.42334600000000039</v>
      </c>
      <c r="N182" s="13">
        <f t="shared" si="30"/>
        <v>0.31287923333333362</v>
      </c>
      <c r="O182" s="13">
        <f t="shared" si="31"/>
        <v>0.19024866666666684</v>
      </c>
      <c r="P182" s="13">
        <f t="shared" si="32"/>
        <v>0.1037465000000001</v>
      </c>
      <c r="Q182" s="13">
        <f t="shared" si="33"/>
        <v>5.5555500000000049E-2</v>
      </c>
      <c r="R182" s="13" t="s">
        <v>239</v>
      </c>
      <c r="T182" s="13">
        <v>6.0606100000000001E-3</v>
      </c>
      <c r="U182" s="13">
        <v>0.13328499999999999</v>
      </c>
      <c r="V182" s="13">
        <v>0.15404499999999999</v>
      </c>
      <c r="W182" s="13">
        <v>0.160382</v>
      </c>
      <c r="X182" s="13">
        <v>0.16569</v>
      </c>
      <c r="Y182" s="13">
        <v>0.13892299999999999</v>
      </c>
      <c r="Z182" s="13">
        <v>0.11545800000000001</v>
      </c>
      <c r="AA182" s="13">
        <v>8.5330699999999995E-2</v>
      </c>
      <c r="AB182" s="13">
        <v>5.1886000000000002E-2</v>
      </c>
      <c r="AC182" s="13">
        <v>2.82945E-2</v>
      </c>
      <c r="AD182" s="13">
        <v>1.51515E-2</v>
      </c>
      <c r="AE182" s="13" t="s">
        <v>94</v>
      </c>
    </row>
    <row r="183" spans="1:31">
      <c r="A183" s="13" t="s">
        <v>260</v>
      </c>
      <c r="B183" s="13" t="s">
        <v>1</v>
      </c>
      <c r="C183" s="13" t="s">
        <v>143</v>
      </c>
      <c r="D183" s="13" t="str">
        <f>IFERROR(VLOOKUP(C183,ghg_sort!$A$86:$B$512,2,0),0)</f>
        <v>Building</v>
      </c>
      <c r="E183" s="33" t="s">
        <v>228</v>
      </c>
      <c r="F183" s="13">
        <f>IFERROR(VLOOKUP($E183,ghg_sort!$A$3:$B$21,2,0),0)</f>
        <v>3.5</v>
      </c>
      <c r="G183" s="13">
        <f t="shared" si="23"/>
        <v>0</v>
      </c>
      <c r="H183" s="13">
        <f t="shared" si="24"/>
        <v>0.8851675</v>
      </c>
      <c r="I183" s="13">
        <f t="shared" si="25"/>
        <v>2.2011395</v>
      </c>
      <c r="J183" s="13">
        <f t="shared" si="26"/>
        <v>2.5098254999999998</v>
      </c>
      <c r="K183" s="13">
        <f t="shared" si="27"/>
        <v>2.5828915000000001</v>
      </c>
      <c r="L183" s="13">
        <f t="shared" si="28"/>
        <v>2.1035735</v>
      </c>
      <c r="M183" s="13">
        <f t="shared" si="29"/>
        <v>1.6925405</v>
      </c>
      <c r="N183" s="13">
        <f t="shared" si="30"/>
        <v>1.223705</v>
      </c>
      <c r="O183" s="13">
        <f t="shared" si="31"/>
        <v>1.1831610000000001</v>
      </c>
      <c r="P183" s="13">
        <f t="shared" si="32"/>
        <v>0.75419750000000008</v>
      </c>
      <c r="Q183" s="13">
        <f t="shared" si="33"/>
        <v>0.69199900000000003</v>
      </c>
      <c r="R183" s="13" t="s">
        <v>239</v>
      </c>
      <c r="T183" s="13">
        <v>0</v>
      </c>
      <c r="U183" s="13">
        <v>0.25290499999999999</v>
      </c>
      <c r="V183" s="13">
        <v>0.62889700000000004</v>
      </c>
      <c r="W183" s="13">
        <v>0.71709299999999998</v>
      </c>
      <c r="X183" s="13">
        <v>0.73796899999999999</v>
      </c>
      <c r="Y183" s="13">
        <v>0.60102100000000003</v>
      </c>
      <c r="Z183" s="13">
        <v>0.48358299999999999</v>
      </c>
      <c r="AA183" s="13">
        <v>0.34963</v>
      </c>
      <c r="AB183" s="13">
        <v>0.33804600000000001</v>
      </c>
      <c r="AC183" s="13">
        <v>0.21548500000000001</v>
      </c>
      <c r="AD183" s="13">
        <v>0.197714</v>
      </c>
      <c r="AE183" s="13" t="s">
        <v>131</v>
      </c>
    </row>
    <row r="184" spans="1:31">
      <c r="A184" s="13" t="s">
        <v>260</v>
      </c>
      <c r="B184" s="13" t="s">
        <v>1</v>
      </c>
      <c r="C184" s="13" t="s">
        <v>143</v>
      </c>
      <c r="D184" s="13" t="str">
        <f>IFERROR(VLOOKUP(C184,ghg_sort!$A$86:$B$512,2,0),0)</f>
        <v>Building</v>
      </c>
      <c r="E184" s="33" t="s">
        <v>97</v>
      </c>
      <c r="F184" s="13">
        <f>IFERROR(VLOOKUP($E184,ghg_sort!$A$3:$B$21,2,0),0)</f>
        <v>1.4300000000000002</v>
      </c>
      <c r="G184" s="13">
        <f t="shared" si="23"/>
        <v>0</v>
      </c>
      <c r="H184" s="13">
        <f t="shared" si="24"/>
        <v>2.1349757000000005</v>
      </c>
      <c r="I184" s="13">
        <f t="shared" si="25"/>
        <v>4.1020551000000003</v>
      </c>
      <c r="J184" s="13">
        <f t="shared" si="26"/>
        <v>4.6773298000000008</v>
      </c>
      <c r="K184" s="13">
        <f t="shared" si="27"/>
        <v>4.8134944000000006</v>
      </c>
      <c r="L184" s="13">
        <f t="shared" si="28"/>
        <v>3.9202306000000009</v>
      </c>
      <c r="M184" s="13">
        <f t="shared" si="29"/>
        <v>3.1542225000000004</v>
      </c>
      <c r="N184" s="13">
        <f t="shared" si="30"/>
        <v>2.2805068000000004</v>
      </c>
      <c r="O184" s="13">
        <f t="shared" si="31"/>
        <v>2.2049456000000003</v>
      </c>
      <c r="P184" s="13">
        <f t="shared" si="32"/>
        <v>1.4055284100000001</v>
      </c>
      <c r="Q184" s="13">
        <f t="shared" si="33"/>
        <v>1.28961404</v>
      </c>
      <c r="R184" s="13" t="s">
        <v>239</v>
      </c>
      <c r="T184" s="13">
        <v>0</v>
      </c>
      <c r="U184" s="13">
        <v>1.49299</v>
      </c>
      <c r="V184" s="13">
        <v>2.8685700000000001</v>
      </c>
      <c r="W184" s="13">
        <v>3.2708599999999999</v>
      </c>
      <c r="X184" s="13">
        <v>3.3660800000000002</v>
      </c>
      <c r="Y184" s="13">
        <v>2.7414200000000002</v>
      </c>
      <c r="Z184" s="13">
        <v>2.2057500000000001</v>
      </c>
      <c r="AA184" s="13">
        <v>1.59476</v>
      </c>
      <c r="AB184" s="13">
        <v>1.54192</v>
      </c>
      <c r="AC184" s="13">
        <v>0.98288699999999996</v>
      </c>
      <c r="AD184" s="13">
        <v>0.90182799999999996</v>
      </c>
      <c r="AE184" s="13" t="s">
        <v>131</v>
      </c>
    </row>
    <row r="185" spans="1:31">
      <c r="A185" s="13" t="s">
        <v>260</v>
      </c>
      <c r="B185" s="13" t="s">
        <v>1</v>
      </c>
      <c r="C185" s="13" t="s">
        <v>143</v>
      </c>
      <c r="D185" s="13" t="str">
        <f>IFERROR(VLOOKUP(C185,ghg_sort!$A$86:$B$512,2,0),0)</f>
        <v>Building</v>
      </c>
      <c r="E185" s="33" t="s">
        <v>98</v>
      </c>
      <c r="F185" s="13">
        <f>IFERROR(VLOOKUP($E185,ghg_sort!$A$3:$B$21,2,0),0)</f>
        <v>4.47</v>
      </c>
      <c r="G185" s="13">
        <f t="shared" si="23"/>
        <v>0</v>
      </c>
      <c r="H185" s="13">
        <f t="shared" si="24"/>
        <v>1.3904963099999998</v>
      </c>
      <c r="I185" s="13">
        <f t="shared" si="25"/>
        <v>3.0452634899999995</v>
      </c>
      <c r="J185" s="13">
        <f t="shared" si="26"/>
        <v>3.47232729</v>
      </c>
      <c r="K185" s="13">
        <f t="shared" si="27"/>
        <v>3.5734118700000002</v>
      </c>
      <c r="L185" s="13">
        <f t="shared" si="28"/>
        <v>2.9102828999999999</v>
      </c>
      <c r="M185" s="13">
        <f t="shared" si="29"/>
        <v>2.34161844</v>
      </c>
      <c r="N185" s="13">
        <f t="shared" si="30"/>
        <v>1.69299015</v>
      </c>
      <c r="O185" s="13">
        <f t="shared" si="31"/>
        <v>1.6368961200000001</v>
      </c>
      <c r="P185" s="13">
        <f t="shared" si="32"/>
        <v>1.0434276299999998</v>
      </c>
      <c r="Q185" s="13">
        <f t="shared" si="33"/>
        <v>0.95737565999999996</v>
      </c>
      <c r="R185" s="13" t="s">
        <v>239</v>
      </c>
      <c r="T185" s="13">
        <v>0</v>
      </c>
      <c r="U185" s="13">
        <v>0.31107299999999999</v>
      </c>
      <c r="V185" s="14">
        <v>0.68126699999999996</v>
      </c>
      <c r="W185" s="13">
        <v>0.77680700000000003</v>
      </c>
      <c r="X185" s="13">
        <v>0.79942100000000005</v>
      </c>
      <c r="Y185" s="13">
        <v>0.65107000000000004</v>
      </c>
      <c r="Z185" s="13">
        <v>0.52385199999999998</v>
      </c>
      <c r="AA185" s="14">
        <v>0.378745</v>
      </c>
      <c r="AB185" s="14">
        <v>0.36619600000000002</v>
      </c>
      <c r="AC185" s="14">
        <v>0.233429</v>
      </c>
      <c r="AD185" s="14">
        <v>0.21417800000000001</v>
      </c>
      <c r="AE185" s="13" t="s">
        <v>131</v>
      </c>
    </row>
    <row r="186" spans="1:31">
      <c r="A186" s="13" t="s">
        <v>260</v>
      </c>
      <c r="B186" s="13" t="s">
        <v>1</v>
      </c>
      <c r="C186" s="13" t="s">
        <v>143</v>
      </c>
      <c r="D186" s="13" t="str">
        <f>IFERROR(VLOOKUP(C186,ghg_sort!$A$86:$B$512,2,0),0)</f>
        <v>Building</v>
      </c>
      <c r="E186" s="33" t="s">
        <v>99</v>
      </c>
      <c r="F186" s="13">
        <f>IFERROR(VLOOKUP($E186,ghg_sort!$A$3:$B$21,2,0),0)</f>
        <v>14.8</v>
      </c>
      <c r="G186" s="13">
        <f t="shared" si="23"/>
        <v>0</v>
      </c>
      <c r="H186" s="13">
        <f t="shared" si="24"/>
        <v>3.4354056000000001E-2</v>
      </c>
      <c r="I186" s="13">
        <f t="shared" si="25"/>
        <v>1.3831266E-2</v>
      </c>
      <c r="J186" s="13">
        <f t="shared" si="26"/>
        <v>1.5771028000000003E-2</v>
      </c>
      <c r="K186" s="13">
        <f t="shared" si="27"/>
        <v>1.6230123999999999E-2</v>
      </c>
      <c r="L186" s="13">
        <f t="shared" si="28"/>
        <v>1.32181908E-2</v>
      </c>
      <c r="M186" s="13">
        <f t="shared" si="29"/>
        <v>1.0635398400000001E-2</v>
      </c>
      <c r="N186" s="13">
        <f t="shared" si="30"/>
        <v>7.6893843999999998E-3</v>
      </c>
      <c r="O186" s="13">
        <f t="shared" si="31"/>
        <v>7.4346172000000002E-3</v>
      </c>
      <c r="P186" s="13">
        <f t="shared" si="32"/>
        <v>4.7391524000000001E-3</v>
      </c>
      <c r="Q186" s="13">
        <f t="shared" si="33"/>
        <v>4.3482992E-3</v>
      </c>
      <c r="R186" s="13" t="s">
        <v>239</v>
      </c>
      <c r="T186" s="13">
        <v>0</v>
      </c>
      <c r="U186" s="13">
        <v>2.3212200000000001E-3</v>
      </c>
      <c r="V186" s="14">
        <v>9.3454499999999995E-4</v>
      </c>
      <c r="W186" s="13">
        <v>1.06561E-3</v>
      </c>
      <c r="X186" s="13">
        <v>1.0966299999999999E-3</v>
      </c>
      <c r="Y186" s="14">
        <v>8.9312099999999998E-4</v>
      </c>
      <c r="Z186" s="14">
        <v>7.1860800000000003E-4</v>
      </c>
      <c r="AA186" s="14">
        <v>5.1955299999999996E-4</v>
      </c>
      <c r="AB186" s="14">
        <v>5.0233899999999998E-4</v>
      </c>
      <c r="AC186" s="14">
        <v>3.2021300000000002E-4</v>
      </c>
      <c r="AD186" s="14">
        <v>2.9380399999999999E-4</v>
      </c>
      <c r="AE186" s="13" t="s">
        <v>131</v>
      </c>
    </row>
    <row r="187" spans="1:31">
      <c r="A187" s="13" t="s">
        <v>260</v>
      </c>
      <c r="B187" s="13" t="s">
        <v>1</v>
      </c>
      <c r="C187" s="13" t="s">
        <v>143</v>
      </c>
      <c r="D187" s="13" t="str">
        <f>IFERROR(VLOOKUP(C187,ghg_sort!$A$86:$B$512,2,0),0)</f>
        <v>Building</v>
      </c>
      <c r="E187" s="33" t="s">
        <v>100</v>
      </c>
      <c r="F187" s="13">
        <f>IFERROR(VLOOKUP($E187,ghg_sort!$A$3:$B$21,2,0),0)</f>
        <v>0.67500000000000004</v>
      </c>
      <c r="G187" s="13">
        <f t="shared" si="23"/>
        <v>0</v>
      </c>
      <c r="H187" s="13">
        <f t="shared" si="24"/>
        <v>1.5278895000000001E-2</v>
      </c>
      <c r="I187" s="13">
        <f t="shared" si="25"/>
        <v>3.3444427500000005E-2</v>
      </c>
      <c r="J187" s="13">
        <f t="shared" si="26"/>
        <v>3.8134665000000005E-2</v>
      </c>
      <c r="K187" s="13">
        <f t="shared" si="27"/>
        <v>3.9244837500000004E-2</v>
      </c>
      <c r="L187" s="13">
        <f t="shared" si="28"/>
        <v>3.1961992500000001E-2</v>
      </c>
      <c r="M187" s="13">
        <f t="shared" si="29"/>
        <v>2.57167575E-2</v>
      </c>
      <c r="N187" s="13">
        <f t="shared" si="30"/>
        <v>1.8593145000000002E-2</v>
      </c>
      <c r="O187" s="13">
        <f t="shared" si="31"/>
        <v>1.7977140000000003E-2</v>
      </c>
      <c r="P187" s="13">
        <f t="shared" si="32"/>
        <v>1.1459407500000001E-2</v>
      </c>
      <c r="Q187" s="13">
        <f t="shared" si="33"/>
        <v>1.051434E-2</v>
      </c>
      <c r="R187" s="13" t="s">
        <v>239</v>
      </c>
      <c r="T187" s="13">
        <v>0</v>
      </c>
      <c r="U187" s="14">
        <v>2.26354E-2</v>
      </c>
      <c r="V187" s="14">
        <v>4.9547300000000002E-2</v>
      </c>
      <c r="W187" s="14">
        <v>5.6495799999999999E-2</v>
      </c>
      <c r="X187" s="14">
        <v>5.8140499999999998E-2</v>
      </c>
      <c r="Y187" s="14">
        <v>4.73511E-2</v>
      </c>
      <c r="Z187" s="14">
        <v>3.8098899999999998E-2</v>
      </c>
      <c r="AA187" s="14">
        <v>2.7545400000000001E-2</v>
      </c>
      <c r="AB187" s="14">
        <v>2.6632800000000002E-2</v>
      </c>
      <c r="AC187" s="14">
        <v>1.69769E-2</v>
      </c>
      <c r="AD187" s="14">
        <v>1.55768E-2</v>
      </c>
      <c r="AE187" s="13" t="s">
        <v>131</v>
      </c>
    </row>
    <row r="188" spans="1:31">
      <c r="A188" s="13" t="s">
        <v>260</v>
      </c>
      <c r="B188" s="13" t="s">
        <v>1</v>
      </c>
      <c r="C188" s="13" t="s">
        <v>143</v>
      </c>
      <c r="D188" s="13" t="str">
        <f>IFERROR(VLOOKUP(C188,ghg_sort!$A$86:$B$512,2,0),0)</f>
        <v>Building</v>
      </c>
      <c r="E188" s="33" t="s">
        <v>87</v>
      </c>
      <c r="F188" s="13">
        <f>IFERROR(VLOOKUP($E188,ghg_sort!$A$3:$B$21,2,0),0)</f>
        <v>298</v>
      </c>
      <c r="G188" s="13">
        <f t="shared" si="23"/>
        <v>0</v>
      </c>
      <c r="H188" s="13">
        <f t="shared" si="24"/>
        <v>8.5595731999999999E-4</v>
      </c>
      <c r="I188" s="13">
        <f t="shared" si="25"/>
        <v>8.5595731999999999E-4</v>
      </c>
      <c r="J188" s="13">
        <f t="shared" si="26"/>
        <v>8.5595731999999999E-4</v>
      </c>
      <c r="K188" s="13">
        <f t="shared" si="27"/>
        <v>8.8429115999999995E-4</v>
      </c>
      <c r="L188" s="13">
        <f t="shared" si="28"/>
        <v>7.4142996000000001E-4</v>
      </c>
      <c r="M188" s="13">
        <f t="shared" si="29"/>
        <v>6.1619545999999994E-4</v>
      </c>
      <c r="N188" s="13">
        <f t="shared" si="30"/>
        <v>4.5540955999999997E-4</v>
      </c>
      <c r="O188" s="13">
        <f t="shared" si="31"/>
        <v>2.7691590399999999E-4</v>
      </c>
      <c r="P188" s="13">
        <f t="shared" si="32"/>
        <v>1.5100792400000001E-4</v>
      </c>
      <c r="Q188" s="13">
        <f t="shared" si="33"/>
        <v>8.0863789999999989E-5</v>
      </c>
      <c r="R188" s="13" t="s">
        <v>239</v>
      </c>
      <c r="T188" s="13">
        <v>0</v>
      </c>
      <c r="U188" s="14">
        <v>2.8723399999999998E-6</v>
      </c>
      <c r="V188" s="14">
        <v>2.8723399999999998E-6</v>
      </c>
      <c r="W188" s="14">
        <v>2.8723399999999998E-6</v>
      </c>
      <c r="X188" s="14">
        <v>2.9674199999999999E-6</v>
      </c>
      <c r="Y188" s="14">
        <v>2.4880199999999999E-6</v>
      </c>
      <c r="Z188" s="14">
        <v>2.0677699999999999E-6</v>
      </c>
      <c r="AA188" s="14">
        <v>1.52822E-6</v>
      </c>
      <c r="AB188" s="14">
        <v>9.2924799999999998E-7</v>
      </c>
      <c r="AC188" s="14">
        <v>5.0673800000000005E-7</v>
      </c>
      <c r="AD188" s="14">
        <v>2.7135499999999998E-7</v>
      </c>
      <c r="AE188" s="13" t="s">
        <v>93</v>
      </c>
    </row>
    <row r="189" spans="1:31">
      <c r="A189" s="13" t="s">
        <v>260</v>
      </c>
      <c r="B189" s="13" t="s">
        <v>1</v>
      </c>
      <c r="C189" s="13" t="s">
        <v>143</v>
      </c>
      <c r="D189" s="13" t="str">
        <f>IFERROR(VLOOKUP(C189,ghg_sort!$A$86:$B$512,2,0),0)</f>
        <v>Building</v>
      </c>
      <c r="E189" s="33" t="s">
        <v>88</v>
      </c>
      <c r="F189" s="13">
        <f>IFERROR(VLOOKUP($E189,ghg_sort!$A$3:$B$21,2,0),0)</f>
        <v>0</v>
      </c>
      <c r="G189" s="13">
        <f t="shared" si="23"/>
        <v>0</v>
      </c>
      <c r="H189" s="13">
        <f t="shared" si="24"/>
        <v>0</v>
      </c>
      <c r="I189" s="13">
        <f t="shared" si="25"/>
        <v>0</v>
      </c>
      <c r="J189" s="13">
        <f t="shared" si="26"/>
        <v>0</v>
      </c>
      <c r="K189" s="13">
        <f t="shared" si="27"/>
        <v>0</v>
      </c>
      <c r="L189" s="13">
        <f t="shared" si="28"/>
        <v>0</v>
      </c>
      <c r="M189" s="13">
        <f t="shared" si="29"/>
        <v>0</v>
      </c>
      <c r="N189" s="13">
        <f t="shared" si="30"/>
        <v>0</v>
      </c>
      <c r="O189" s="13">
        <f t="shared" si="31"/>
        <v>0</v>
      </c>
      <c r="P189" s="13">
        <f t="shared" si="32"/>
        <v>0</v>
      </c>
      <c r="Q189" s="13">
        <f t="shared" si="33"/>
        <v>0</v>
      </c>
      <c r="R189" s="13" t="s">
        <v>239</v>
      </c>
      <c r="T189" s="13">
        <v>0</v>
      </c>
      <c r="U189" s="14">
        <v>7.1808599999999999E-7</v>
      </c>
      <c r="V189" s="14">
        <v>7.1808599999999999E-7</v>
      </c>
      <c r="W189" s="14">
        <v>2.15426E-6</v>
      </c>
      <c r="X189" s="14">
        <v>2.2255600000000001E-6</v>
      </c>
      <c r="Y189" s="14">
        <v>1.8660100000000001E-6</v>
      </c>
      <c r="Z189" s="14">
        <v>1.55083E-6</v>
      </c>
      <c r="AA189" s="14">
        <v>1.1461699999999999E-6</v>
      </c>
      <c r="AB189" s="14">
        <v>6.9693599999999999E-7</v>
      </c>
      <c r="AC189" s="14">
        <v>3.80053E-7</v>
      </c>
      <c r="AD189" s="14">
        <v>2.0351600000000001E-7</v>
      </c>
      <c r="AE189" s="13" t="s">
        <v>93</v>
      </c>
    </row>
    <row r="190" spans="1:31">
      <c r="A190" s="13" t="s">
        <v>260</v>
      </c>
      <c r="B190" s="13" t="s">
        <v>1</v>
      </c>
      <c r="C190" s="13" t="s">
        <v>143</v>
      </c>
      <c r="D190" s="13" t="str">
        <f>IFERROR(VLOOKUP(C190,ghg_sort!$A$86:$B$512,2,0),0)</f>
        <v>Building</v>
      </c>
      <c r="E190" s="33" t="s">
        <v>89</v>
      </c>
      <c r="F190" s="13">
        <f>IFERROR(VLOOKUP($E190,ghg_sort!$A$3:$B$21,2,0),0)</f>
        <v>0</v>
      </c>
      <c r="G190" s="13">
        <f t="shared" si="23"/>
        <v>0</v>
      </c>
      <c r="H190" s="13">
        <f t="shared" si="24"/>
        <v>0</v>
      </c>
      <c r="I190" s="13">
        <f t="shared" si="25"/>
        <v>0</v>
      </c>
      <c r="J190" s="13">
        <f t="shared" si="26"/>
        <v>0</v>
      </c>
      <c r="K190" s="13">
        <f t="shared" si="27"/>
        <v>0</v>
      </c>
      <c r="L190" s="13">
        <f t="shared" si="28"/>
        <v>0</v>
      </c>
      <c r="M190" s="13">
        <f t="shared" si="29"/>
        <v>0</v>
      </c>
      <c r="N190" s="13">
        <f t="shared" si="30"/>
        <v>0</v>
      </c>
      <c r="O190" s="13">
        <f t="shared" si="31"/>
        <v>0</v>
      </c>
      <c r="P190" s="13">
        <f t="shared" si="32"/>
        <v>0</v>
      </c>
      <c r="Q190" s="13">
        <f t="shared" si="33"/>
        <v>0</v>
      </c>
      <c r="R190" s="13" t="s">
        <v>239</v>
      </c>
      <c r="T190" s="14">
        <v>0</v>
      </c>
      <c r="U190" s="14">
        <v>2.15426E-6</v>
      </c>
      <c r="V190" s="14">
        <v>2.8723399999999998E-6</v>
      </c>
      <c r="W190" s="14">
        <v>4.30852E-6</v>
      </c>
      <c r="X190" s="14">
        <v>4.4511200000000002E-6</v>
      </c>
      <c r="Y190" s="14">
        <v>3.73203E-6</v>
      </c>
      <c r="Z190" s="14">
        <v>3.10166E-6</v>
      </c>
      <c r="AA190" s="14">
        <v>2.29233E-6</v>
      </c>
      <c r="AB190" s="14">
        <v>1.3938699999999999E-6</v>
      </c>
      <c r="AC190" s="14">
        <v>7.6010700000000002E-7</v>
      </c>
      <c r="AD190" s="14">
        <v>4.0703200000000001E-7</v>
      </c>
      <c r="AE190" s="13" t="s">
        <v>93</v>
      </c>
    </row>
    <row r="191" spans="1:31">
      <c r="A191" s="13" t="s">
        <v>260</v>
      </c>
      <c r="B191" s="13" t="s">
        <v>1</v>
      </c>
      <c r="C191" s="13" t="s">
        <v>143</v>
      </c>
      <c r="D191" s="13" t="str">
        <f>IFERROR(VLOOKUP(C191,ghg_sort!$A$86:$B$512,2,0),0)</f>
        <v>Building</v>
      </c>
      <c r="E191" s="33" t="s">
        <v>90</v>
      </c>
      <c r="F191" s="13">
        <f>IFERROR(VLOOKUP($E191,ghg_sort!$A$3:$B$21,2,0),0)</f>
        <v>0</v>
      </c>
      <c r="G191" s="13">
        <f t="shared" si="23"/>
        <v>0</v>
      </c>
      <c r="H191" s="13">
        <f t="shared" si="24"/>
        <v>0</v>
      </c>
      <c r="I191" s="13">
        <f t="shared" si="25"/>
        <v>0</v>
      </c>
      <c r="J191" s="13">
        <f t="shared" si="26"/>
        <v>0</v>
      </c>
      <c r="K191" s="13">
        <f t="shared" si="27"/>
        <v>0</v>
      </c>
      <c r="L191" s="13">
        <f t="shared" si="28"/>
        <v>0</v>
      </c>
      <c r="M191" s="13">
        <f t="shared" si="29"/>
        <v>0</v>
      </c>
      <c r="N191" s="13">
        <f t="shared" si="30"/>
        <v>0</v>
      </c>
      <c r="O191" s="13">
        <f t="shared" si="31"/>
        <v>0</v>
      </c>
      <c r="P191" s="13">
        <f t="shared" si="32"/>
        <v>0</v>
      </c>
      <c r="Q191" s="13">
        <f t="shared" si="33"/>
        <v>0</v>
      </c>
      <c r="R191" s="13" t="s">
        <v>239</v>
      </c>
      <c r="T191" s="14">
        <v>1.43617E-5</v>
      </c>
      <c r="U191" s="14">
        <v>2.8292600000000002E-4</v>
      </c>
      <c r="V191" s="14">
        <v>3.9422900000000001E-4</v>
      </c>
      <c r="W191" s="14">
        <v>3.76277E-4</v>
      </c>
      <c r="X191" s="14">
        <v>3.8873100000000002E-4</v>
      </c>
      <c r="Y191" s="14">
        <v>3.2593100000000001E-4</v>
      </c>
      <c r="Z191" s="14">
        <v>2.7087900000000002E-4</v>
      </c>
      <c r="AA191" s="14">
        <v>2.0019699999999999E-4</v>
      </c>
      <c r="AB191" s="14">
        <v>1.21731E-4</v>
      </c>
      <c r="AC191" s="14">
        <v>6.6382600000000004E-5</v>
      </c>
      <c r="AD191" s="14">
        <v>3.5547499999999998E-5</v>
      </c>
      <c r="AE191" s="13" t="s">
        <v>93</v>
      </c>
    </row>
    <row r="192" spans="1:31">
      <c r="A192" s="13" t="s">
        <v>260</v>
      </c>
      <c r="B192" s="13" t="s">
        <v>1</v>
      </c>
      <c r="C192" s="13" t="s">
        <v>143</v>
      </c>
      <c r="D192" s="13" t="str">
        <f>IFERROR(VLOOKUP(C192,ghg_sort!$A$86:$B$512,2,0),0)</f>
        <v>Building</v>
      </c>
      <c r="E192" s="33" t="s">
        <v>92</v>
      </c>
      <c r="F192" s="13">
        <f>IFERROR(VLOOKUP($E192,ghg_sort!$A$3:$B$21,2,0),0)</f>
        <v>0</v>
      </c>
      <c r="G192" s="13">
        <f t="shared" si="23"/>
        <v>0</v>
      </c>
      <c r="H192" s="13">
        <f t="shared" si="24"/>
        <v>0</v>
      </c>
      <c r="I192" s="13">
        <f t="shared" si="25"/>
        <v>0</v>
      </c>
      <c r="J192" s="13">
        <f t="shared" si="26"/>
        <v>0</v>
      </c>
      <c r="K192" s="13">
        <f t="shared" si="27"/>
        <v>0</v>
      </c>
      <c r="L192" s="13">
        <f t="shared" si="28"/>
        <v>0</v>
      </c>
      <c r="M192" s="13">
        <f t="shared" si="29"/>
        <v>0</v>
      </c>
      <c r="N192" s="13">
        <f t="shared" si="30"/>
        <v>0</v>
      </c>
      <c r="O192" s="13">
        <f t="shared" si="31"/>
        <v>0</v>
      </c>
      <c r="P192" s="13">
        <f t="shared" si="32"/>
        <v>0</v>
      </c>
      <c r="Q192" s="13">
        <f t="shared" si="33"/>
        <v>0</v>
      </c>
      <c r="R192" s="13" t="s">
        <v>239</v>
      </c>
      <c r="T192" s="14">
        <v>4.9718600000000002E-8</v>
      </c>
      <c r="U192" s="14">
        <v>7.4903899999999996E-7</v>
      </c>
      <c r="V192" s="14">
        <v>3.1027500000000001E-6</v>
      </c>
      <c r="W192" s="14">
        <v>1.28727E-6</v>
      </c>
      <c r="X192" s="14">
        <v>1.32988E-6</v>
      </c>
      <c r="Y192" s="14">
        <v>1.1150300000000001E-6</v>
      </c>
      <c r="Z192" s="14">
        <v>9.2669500000000003E-7</v>
      </c>
      <c r="AA192" s="14">
        <v>6.8488900000000001E-7</v>
      </c>
      <c r="AB192" s="14">
        <v>4.16452E-7</v>
      </c>
      <c r="AC192" s="14">
        <v>2.2709999999999999E-7</v>
      </c>
      <c r="AD192" s="14">
        <v>1.2161099999999999E-7</v>
      </c>
      <c r="AE192" s="13" t="s">
        <v>93</v>
      </c>
    </row>
    <row r="193" spans="1:31">
      <c r="A193" s="13" t="s">
        <v>260</v>
      </c>
      <c r="B193" s="13" t="s">
        <v>1</v>
      </c>
      <c r="C193" s="13" t="s">
        <v>144</v>
      </c>
      <c r="D193" s="13" t="str">
        <f>IFERROR(VLOOKUP(C193,ghg_sort!$A$86:$B$512,2,0),0)</f>
        <v>Building</v>
      </c>
      <c r="E193" s="33" t="s">
        <v>83</v>
      </c>
      <c r="F193" s="13">
        <f>IFERROR(VLOOKUP($E193,ghg_sort!$A$3:$B$21,2,0),0)</f>
        <v>0</v>
      </c>
      <c r="G193" s="13">
        <f t="shared" si="23"/>
        <v>0</v>
      </c>
      <c r="H193" s="13">
        <f t="shared" si="24"/>
        <v>0</v>
      </c>
      <c r="I193" s="13">
        <f t="shared" si="25"/>
        <v>0</v>
      </c>
      <c r="J193" s="13">
        <f t="shared" si="26"/>
        <v>0</v>
      </c>
      <c r="K193" s="13">
        <f t="shared" si="27"/>
        <v>0</v>
      </c>
      <c r="L193" s="13">
        <f t="shared" si="28"/>
        <v>0</v>
      </c>
      <c r="M193" s="13">
        <f t="shared" si="29"/>
        <v>0</v>
      </c>
      <c r="N193" s="13">
        <f t="shared" si="30"/>
        <v>0</v>
      </c>
      <c r="O193" s="13">
        <f t="shared" si="31"/>
        <v>0</v>
      </c>
      <c r="P193" s="13">
        <f t="shared" si="32"/>
        <v>0</v>
      </c>
      <c r="Q193" s="13">
        <f t="shared" si="33"/>
        <v>0</v>
      </c>
      <c r="R193" s="13" t="s">
        <v>239</v>
      </c>
      <c r="T193" s="13">
        <v>2.847273E-3</v>
      </c>
      <c r="U193" s="13">
        <v>1.7607580000000001E-3</v>
      </c>
      <c r="V193" s="13">
        <v>1.7894499999999999E-3</v>
      </c>
      <c r="W193" s="13">
        <v>4.27977999999999E-3</v>
      </c>
      <c r="X193" s="13">
        <v>3.0023979999999999E-3</v>
      </c>
      <c r="Y193" s="13">
        <v>2.3880589999999901E-3</v>
      </c>
      <c r="Z193" s="13">
        <v>1.775268E-3</v>
      </c>
      <c r="AA193" s="13">
        <v>1.3539719999999999E-3</v>
      </c>
      <c r="AB193" s="14">
        <v>4.9626810000000005E-4</v>
      </c>
      <c r="AC193" s="14">
        <v>1.5739209999999999E-4</v>
      </c>
      <c r="AD193" s="14">
        <v>4.4833000000000003E-5</v>
      </c>
      <c r="AE193" s="13" t="s">
        <v>93</v>
      </c>
    </row>
    <row r="194" spans="1:31">
      <c r="A194" s="13" t="s">
        <v>260</v>
      </c>
      <c r="B194" s="13" t="s">
        <v>1</v>
      </c>
      <c r="C194" s="13" t="s">
        <v>144</v>
      </c>
      <c r="D194" s="13" t="str">
        <f>IFERROR(VLOOKUP(C194,ghg_sort!$A$86:$B$512,2,0),0)</f>
        <v>Building</v>
      </c>
      <c r="E194" s="33" t="s">
        <v>84</v>
      </c>
      <c r="F194" s="13">
        <f>IFERROR(VLOOKUP($E194,ghg_sort!$A$3:$B$21,2,0),0)</f>
        <v>25</v>
      </c>
      <c r="G194" s="13">
        <f t="shared" si="23"/>
        <v>5.7499799999999997E-2</v>
      </c>
      <c r="H194" s="13">
        <f t="shared" si="24"/>
        <v>5.2977025000000004E-2</v>
      </c>
      <c r="I194" s="13">
        <f t="shared" si="25"/>
        <v>5.4438424999999992E-2</v>
      </c>
      <c r="J194" s="13">
        <f t="shared" si="26"/>
        <v>7.6899059999999991E-2</v>
      </c>
      <c r="K194" s="13">
        <f t="shared" si="27"/>
        <v>8.5283342499999748E-2</v>
      </c>
      <c r="L194" s="13">
        <f t="shared" si="28"/>
        <v>8.7684252499999754E-2</v>
      </c>
      <c r="M194" s="13">
        <f t="shared" si="29"/>
        <v>8.9162245000000001E-2</v>
      </c>
      <c r="N194" s="13">
        <f t="shared" si="30"/>
        <v>8.5953925E-2</v>
      </c>
      <c r="O194" s="13">
        <f t="shared" si="31"/>
        <v>7.6523040000000001E-2</v>
      </c>
      <c r="P194" s="13">
        <f t="shared" si="32"/>
        <v>6.2046940000000002E-2</v>
      </c>
      <c r="Q194" s="13">
        <f t="shared" si="33"/>
        <v>4.5311694999999999E-2</v>
      </c>
      <c r="R194" s="13" t="s">
        <v>239</v>
      </c>
      <c r="T194" s="13">
        <v>2.2999919999999998E-3</v>
      </c>
      <c r="U194" s="13">
        <v>2.1190810000000001E-3</v>
      </c>
      <c r="V194" s="13">
        <v>2.1775369999999998E-3</v>
      </c>
      <c r="W194" s="13">
        <v>3.0759623999999999E-3</v>
      </c>
      <c r="X194" s="13">
        <v>3.4113336999999902E-3</v>
      </c>
      <c r="Y194" s="13">
        <v>3.5073700999999902E-3</v>
      </c>
      <c r="Z194" s="13">
        <v>3.5664898000000002E-3</v>
      </c>
      <c r="AA194" s="13">
        <v>3.4381569999999998E-3</v>
      </c>
      <c r="AB194" s="13">
        <v>3.0609216000000001E-3</v>
      </c>
      <c r="AC194" s="13">
        <v>2.4818776000000002E-3</v>
      </c>
      <c r="AD194" s="13">
        <v>1.8124678E-3</v>
      </c>
      <c r="AE194" s="13" t="s">
        <v>93</v>
      </c>
    </row>
    <row r="195" spans="1:31">
      <c r="A195" s="13" t="s">
        <v>260</v>
      </c>
      <c r="B195" s="13" t="s">
        <v>1</v>
      </c>
      <c r="C195" s="13" t="s">
        <v>144</v>
      </c>
      <c r="D195" s="13" t="str">
        <f>IFERROR(VLOOKUP(C195,ghg_sort!$A$86:$B$512,2,0),0)</f>
        <v>Building</v>
      </c>
      <c r="E195" s="33" t="s">
        <v>85</v>
      </c>
      <c r="F195" s="13">
        <f>IFERROR(VLOOKUP($E195,ghg_sort!$A$3:$B$21,2,0),0)</f>
        <v>0</v>
      </c>
      <c r="G195" s="13">
        <f t="shared" si="23"/>
        <v>0</v>
      </c>
      <c r="H195" s="13">
        <f t="shared" si="24"/>
        <v>0</v>
      </c>
      <c r="I195" s="13">
        <f t="shared" si="25"/>
        <v>0</v>
      </c>
      <c r="J195" s="13">
        <f t="shared" si="26"/>
        <v>0</v>
      </c>
      <c r="K195" s="13">
        <f t="shared" si="27"/>
        <v>0</v>
      </c>
      <c r="L195" s="13">
        <f t="shared" si="28"/>
        <v>0</v>
      </c>
      <c r="M195" s="13">
        <f t="shared" si="29"/>
        <v>0</v>
      </c>
      <c r="N195" s="13">
        <f t="shared" si="30"/>
        <v>0</v>
      </c>
      <c r="O195" s="13">
        <f t="shared" si="31"/>
        <v>0</v>
      </c>
      <c r="P195" s="13">
        <f t="shared" si="32"/>
        <v>0</v>
      </c>
      <c r="Q195" s="13">
        <f t="shared" si="33"/>
        <v>0</v>
      </c>
      <c r="R195" s="13" t="s">
        <v>239</v>
      </c>
      <c r="T195" s="13">
        <v>4.0436949000000003E-3</v>
      </c>
      <c r="U195" s="13">
        <v>2.335873E-3</v>
      </c>
      <c r="V195" s="13">
        <v>1.8404440000000001E-3</v>
      </c>
      <c r="W195" s="13">
        <v>3.2230139999999902E-3</v>
      </c>
      <c r="X195" s="13">
        <v>2.4610309999999998E-3</v>
      </c>
      <c r="Y195" s="13">
        <v>2.1447129999999999E-3</v>
      </c>
      <c r="Z195" s="13">
        <v>1.842069E-3</v>
      </c>
      <c r="AA195" s="13">
        <v>1.571937E-3</v>
      </c>
      <c r="AB195" s="13">
        <v>1.0442279999999999E-3</v>
      </c>
      <c r="AC195" s="14">
        <v>6.8112979999999999E-4</v>
      </c>
      <c r="AD195" s="14">
        <v>4.1232689999999897E-4</v>
      </c>
      <c r="AE195" s="13" t="s">
        <v>93</v>
      </c>
    </row>
    <row r="196" spans="1:31">
      <c r="A196" s="13" t="s">
        <v>260</v>
      </c>
      <c r="B196" s="13" t="s">
        <v>1</v>
      </c>
      <c r="C196" s="13" t="s">
        <v>144</v>
      </c>
      <c r="D196" s="13" t="str">
        <f>IFERROR(VLOOKUP(C196,ghg_sort!$A$86:$B$512,2,0),0)</f>
        <v>Building</v>
      </c>
      <c r="E196" s="12" t="s">
        <v>86</v>
      </c>
      <c r="F196" s="13">
        <f>IFERROR(VLOOKUP($E196,ghg_sort!$A$3:$B$21,2,0),0)</f>
        <v>3.6666666666666701</v>
      </c>
      <c r="G196" s="13">
        <f t="shared" ref="G196:G259" si="34">T196*$F196</f>
        <v>11.53162010000001</v>
      </c>
      <c r="H196" s="13">
        <f t="shared" ref="H196:H259" si="35">U196*$F196</f>
        <v>14.592303000000014</v>
      </c>
      <c r="I196" s="13">
        <f t="shared" ref="I196:I259" si="36">V196*$F196</f>
        <v>12.335436666666677</v>
      </c>
      <c r="J196" s="13">
        <f t="shared" ref="J196:J259" si="37">W196*$F196</f>
        <v>14.33890333333331</v>
      </c>
      <c r="K196" s="13">
        <f t="shared" ref="K196:K259" si="38">X196*$F196</f>
        <v>15.617946666666679</v>
      </c>
      <c r="L196" s="13">
        <f t="shared" ref="L196:L259" si="39">Y196*$F196</f>
        <v>16.066526666666682</v>
      </c>
      <c r="M196" s="13">
        <f t="shared" ref="M196:M259" si="40">Z196*$F196</f>
        <v>15.445650000000013</v>
      </c>
      <c r="N196" s="13">
        <f t="shared" ref="N196:N259" si="41">AA196*$F196</f>
        <v>14.10986866666668</v>
      </c>
      <c r="O196" s="13">
        <f t="shared" ref="O196:O259" si="42">AB196*$F196</f>
        <v>9.6403009999999725</v>
      </c>
      <c r="P196" s="13">
        <f t="shared" ref="P196:P259" si="43">AC196*$F196</f>
        <v>6.1041933333333391</v>
      </c>
      <c r="Q196" s="13">
        <f t="shared" ref="Q196:Q259" si="44">AD196*$F196</f>
        <v>3.5505697333333366</v>
      </c>
      <c r="R196" s="13" t="s">
        <v>239</v>
      </c>
      <c r="T196" s="14">
        <v>3.1449872999999999</v>
      </c>
      <c r="U196" s="14">
        <v>3.9797189999999998</v>
      </c>
      <c r="V196" s="14">
        <v>3.3642099999999999</v>
      </c>
      <c r="W196" s="14">
        <v>3.9106099999999899</v>
      </c>
      <c r="X196" s="14">
        <v>4.2594399999999997</v>
      </c>
      <c r="Y196" s="14">
        <v>4.38178</v>
      </c>
      <c r="Z196" s="14">
        <v>4.2124499999999996</v>
      </c>
      <c r="AA196" s="14">
        <v>3.8481459999999998</v>
      </c>
      <c r="AB196" s="14">
        <v>2.62917299999999</v>
      </c>
      <c r="AC196" s="14">
        <v>1.6647799999999999</v>
      </c>
      <c r="AD196" s="14">
        <v>0.96833720000000001</v>
      </c>
      <c r="AE196" s="13" t="s">
        <v>94</v>
      </c>
    </row>
    <row r="197" spans="1:31">
      <c r="A197" s="13" t="s">
        <v>260</v>
      </c>
      <c r="B197" s="13" t="s">
        <v>1</v>
      </c>
      <c r="C197" s="13" t="s">
        <v>144</v>
      </c>
      <c r="D197" s="13" t="str">
        <f>IFERROR(VLOOKUP(C197,ghg_sort!$A$86:$B$512,2,0),0)</f>
        <v>Building</v>
      </c>
      <c r="E197" s="33" t="s">
        <v>87</v>
      </c>
      <c r="F197" s="13">
        <f>IFERROR(VLOOKUP($E197,ghg_sort!$A$3:$B$21,2,0),0)</f>
        <v>298</v>
      </c>
      <c r="G197" s="13">
        <f t="shared" si="34"/>
        <v>8.5924425999999998E-2</v>
      </c>
      <c r="H197" s="13">
        <f t="shared" si="35"/>
        <v>9.3760038000000004E-2</v>
      </c>
      <c r="I197" s="13">
        <f t="shared" si="36"/>
        <v>0.101401354</v>
      </c>
      <c r="J197" s="13">
        <f t="shared" si="37"/>
        <v>0.16415011139999999</v>
      </c>
      <c r="K197" s="13">
        <f t="shared" si="38"/>
        <v>0.18402689019999968</v>
      </c>
      <c r="L197" s="13">
        <f t="shared" si="39"/>
        <v>0.2130713112</v>
      </c>
      <c r="M197" s="13">
        <f t="shared" si="40"/>
        <v>0.2032881499999997</v>
      </c>
      <c r="N197" s="13">
        <f t="shared" si="41"/>
        <v>0.18523820060000001</v>
      </c>
      <c r="O197" s="13">
        <f t="shared" si="42"/>
        <v>8.0710737199999993E-2</v>
      </c>
      <c r="P197" s="13">
        <f t="shared" si="43"/>
        <v>3.2412089200000001E-2</v>
      </c>
      <c r="Q197" s="13">
        <f t="shared" si="44"/>
        <v>1.423233099999997E-2</v>
      </c>
      <c r="R197" s="13" t="s">
        <v>239</v>
      </c>
      <c r="T197" s="14">
        <v>2.88337E-4</v>
      </c>
      <c r="U197" s="14">
        <v>3.14631E-4</v>
      </c>
      <c r="V197" s="14">
        <v>3.4027299999999999E-4</v>
      </c>
      <c r="W197" s="14">
        <v>5.5083930000000001E-4</v>
      </c>
      <c r="X197" s="14">
        <v>6.1753989999999896E-4</v>
      </c>
      <c r="Y197" s="14">
        <v>7.1500440000000001E-4</v>
      </c>
      <c r="Z197" s="14">
        <v>6.8217499999999895E-4</v>
      </c>
      <c r="AA197" s="14">
        <v>6.2160470000000002E-4</v>
      </c>
      <c r="AB197" s="14">
        <v>2.7084139999999999E-4</v>
      </c>
      <c r="AC197" s="14">
        <v>1.0876539999999999E-4</v>
      </c>
      <c r="AD197" s="14">
        <v>4.7759499999999901E-5</v>
      </c>
      <c r="AE197" s="13" t="s">
        <v>93</v>
      </c>
    </row>
    <row r="198" spans="1:31">
      <c r="A198" s="13" t="s">
        <v>260</v>
      </c>
      <c r="B198" s="13" t="s">
        <v>1</v>
      </c>
      <c r="C198" s="13" t="s">
        <v>144</v>
      </c>
      <c r="D198" s="13" t="str">
        <f>IFERROR(VLOOKUP(C198,ghg_sort!$A$86:$B$512,2,0),0)</f>
        <v>Building</v>
      </c>
      <c r="E198" s="33" t="s">
        <v>88</v>
      </c>
      <c r="F198" s="13">
        <f>IFERROR(VLOOKUP($E198,ghg_sort!$A$3:$B$21,2,0),0)</f>
        <v>0</v>
      </c>
      <c r="G198" s="13">
        <f t="shared" si="34"/>
        <v>0</v>
      </c>
      <c r="H198" s="13">
        <f t="shared" si="35"/>
        <v>0</v>
      </c>
      <c r="I198" s="13">
        <f t="shared" si="36"/>
        <v>0</v>
      </c>
      <c r="J198" s="13">
        <f t="shared" si="37"/>
        <v>0</v>
      </c>
      <c r="K198" s="13">
        <f t="shared" si="38"/>
        <v>0</v>
      </c>
      <c r="L198" s="13">
        <f t="shared" si="39"/>
        <v>0</v>
      </c>
      <c r="M198" s="13">
        <f t="shared" si="40"/>
        <v>0</v>
      </c>
      <c r="N198" s="13">
        <f t="shared" si="41"/>
        <v>0</v>
      </c>
      <c r="O198" s="13">
        <f t="shared" si="42"/>
        <v>0</v>
      </c>
      <c r="P198" s="13">
        <f t="shared" si="43"/>
        <v>0</v>
      </c>
      <c r="Q198" s="13">
        <f t="shared" si="44"/>
        <v>0</v>
      </c>
      <c r="R198" s="13" t="s">
        <v>239</v>
      </c>
      <c r="T198" s="14">
        <v>3.2094100000000002E-5</v>
      </c>
      <c r="U198" s="14">
        <v>1.9563589999999999E-5</v>
      </c>
      <c r="V198" s="14">
        <v>1.4808989999999999E-5</v>
      </c>
      <c r="W198" s="14">
        <v>8.9766499999999893E-5</v>
      </c>
      <c r="X198" s="14">
        <v>9.94385E-5</v>
      </c>
      <c r="Y198" s="14">
        <v>1.094931E-4</v>
      </c>
      <c r="Z198" s="14">
        <v>1.050421E-4</v>
      </c>
      <c r="AA198" s="14">
        <v>9.6046799999999997E-5</v>
      </c>
      <c r="AB198" s="14">
        <v>5.2639249999999999E-5</v>
      </c>
      <c r="AC198" s="14">
        <v>2.8362939999999999E-5</v>
      </c>
      <c r="AD198" s="14">
        <v>1.5570629999999998E-5</v>
      </c>
      <c r="AE198" s="13" t="s">
        <v>93</v>
      </c>
    </row>
    <row r="199" spans="1:31">
      <c r="A199" s="13" t="s">
        <v>260</v>
      </c>
      <c r="B199" s="13" t="s">
        <v>1</v>
      </c>
      <c r="C199" s="13" t="s">
        <v>144</v>
      </c>
      <c r="D199" s="13" t="str">
        <f>IFERROR(VLOOKUP(C199,ghg_sort!$A$86:$B$512,2,0),0)</f>
        <v>Building</v>
      </c>
      <c r="E199" s="33" t="s">
        <v>89</v>
      </c>
      <c r="F199" s="13">
        <f>IFERROR(VLOOKUP($E199,ghg_sort!$A$3:$B$21,2,0),0)</f>
        <v>0</v>
      </c>
      <c r="G199" s="13">
        <f t="shared" si="34"/>
        <v>0</v>
      </c>
      <c r="H199" s="13">
        <f t="shared" si="35"/>
        <v>0</v>
      </c>
      <c r="I199" s="13">
        <f t="shared" si="36"/>
        <v>0</v>
      </c>
      <c r="J199" s="13">
        <f t="shared" si="37"/>
        <v>0</v>
      </c>
      <c r="K199" s="13">
        <f t="shared" si="38"/>
        <v>0</v>
      </c>
      <c r="L199" s="13">
        <f t="shared" si="39"/>
        <v>0</v>
      </c>
      <c r="M199" s="13">
        <f t="shared" si="40"/>
        <v>0</v>
      </c>
      <c r="N199" s="13">
        <f t="shared" si="41"/>
        <v>0</v>
      </c>
      <c r="O199" s="13">
        <f t="shared" si="42"/>
        <v>0</v>
      </c>
      <c r="P199" s="13">
        <f t="shared" si="43"/>
        <v>0</v>
      </c>
      <c r="Q199" s="13">
        <f t="shared" si="44"/>
        <v>0</v>
      </c>
      <c r="R199" s="13" t="s">
        <v>239</v>
      </c>
      <c r="T199" s="14">
        <v>8.4786099999999999E-4</v>
      </c>
      <c r="U199" s="14">
        <v>4.2412199999999998E-4</v>
      </c>
      <c r="V199" s="14">
        <v>3.8714000000000001E-4</v>
      </c>
      <c r="W199" s="14">
        <v>8.5775789999999999E-4</v>
      </c>
      <c r="X199" s="14">
        <v>6.0994860000000001E-4</v>
      </c>
      <c r="Y199" s="14">
        <v>5.1513079999999998E-4</v>
      </c>
      <c r="Z199" s="14">
        <v>4.1325949999999998E-4</v>
      </c>
      <c r="AA199" s="14">
        <v>3.3235749999999998E-4</v>
      </c>
      <c r="AB199" s="14">
        <v>1.6733399999999999E-4</v>
      </c>
      <c r="AC199" s="14">
        <v>7.8109500000000002E-5</v>
      </c>
      <c r="AD199" s="14">
        <v>3.2232189999999999E-5</v>
      </c>
      <c r="AE199" s="13" t="s">
        <v>93</v>
      </c>
    </row>
    <row r="200" spans="1:31">
      <c r="A200" s="13" t="s">
        <v>260</v>
      </c>
      <c r="B200" s="13" t="s">
        <v>1</v>
      </c>
      <c r="C200" s="13" t="s">
        <v>144</v>
      </c>
      <c r="D200" s="13" t="str">
        <f>IFERROR(VLOOKUP(C200,ghg_sort!$A$86:$B$512,2,0),0)</f>
        <v>Building</v>
      </c>
      <c r="E200" s="33" t="s">
        <v>90</v>
      </c>
      <c r="F200" s="13">
        <f>IFERROR(VLOOKUP($E200,ghg_sort!$A$3:$B$21,2,0),0)</f>
        <v>0</v>
      </c>
      <c r="G200" s="13">
        <f t="shared" si="34"/>
        <v>0</v>
      </c>
      <c r="H200" s="13">
        <f t="shared" si="35"/>
        <v>0</v>
      </c>
      <c r="I200" s="13">
        <f t="shared" si="36"/>
        <v>0</v>
      </c>
      <c r="J200" s="13">
        <f t="shared" si="37"/>
        <v>0</v>
      </c>
      <c r="K200" s="13">
        <f t="shared" si="38"/>
        <v>0</v>
      </c>
      <c r="L200" s="13">
        <f t="shared" si="39"/>
        <v>0</v>
      </c>
      <c r="M200" s="13">
        <f t="shared" si="40"/>
        <v>0</v>
      </c>
      <c r="N200" s="13">
        <f t="shared" si="41"/>
        <v>0</v>
      </c>
      <c r="O200" s="13">
        <f t="shared" si="42"/>
        <v>0</v>
      </c>
      <c r="P200" s="13">
        <f t="shared" si="43"/>
        <v>0</v>
      </c>
      <c r="Q200" s="13">
        <f t="shared" si="44"/>
        <v>0</v>
      </c>
      <c r="R200" s="13" t="s">
        <v>239</v>
      </c>
      <c r="T200" s="13">
        <v>1.530368E-2</v>
      </c>
      <c r="U200" s="13">
        <v>1.14630599999999E-2</v>
      </c>
      <c r="V200" s="13">
        <v>9.6534599999999905E-3</v>
      </c>
      <c r="W200" s="13">
        <v>1.03311599999999E-2</v>
      </c>
      <c r="X200" s="13">
        <v>9.0695299999999993E-3</v>
      </c>
      <c r="Y200" s="13">
        <v>9.4017500000000004E-3</v>
      </c>
      <c r="Z200" s="13">
        <v>9.0867799999999992E-3</v>
      </c>
      <c r="AA200" s="13">
        <v>8.3485699999999996E-3</v>
      </c>
      <c r="AB200" s="13">
        <v>5.7585400000000004E-3</v>
      </c>
      <c r="AC200" s="13">
        <v>3.73758799999999E-3</v>
      </c>
      <c r="AD200" s="14">
        <v>2.2604729999999998E-3</v>
      </c>
      <c r="AE200" s="13" t="s">
        <v>93</v>
      </c>
    </row>
    <row r="201" spans="1:31">
      <c r="A201" s="13" t="s">
        <v>260</v>
      </c>
      <c r="B201" s="13" t="s">
        <v>1</v>
      </c>
      <c r="C201" s="13" t="s">
        <v>144</v>
      </c>
      <c r="D201" s="13" t="str">
        <f>IFERROR(VLOOKUP(C201,ghg_sort!$A$86:$B$512,2,0),0)</f>
        <v>Building</v>
      </c>
      <c r="E201" s="33" t="s">
        <v>91</v>
      </c>
      <c r="F201" s="13">
        <f>IFERROR(VLOOKUP($E201,ghg_sort!$A$3:$B$21,2,0),0)</f>
        <v>0</v>
      </c>
      <c r="G201" s="13">
        <f t="shared" si="34"/>
        <v>0</v>
      </c>
      <c r="H201" s="13">
        <f t="shared" si="35"/>
        <v>0</v>
      </c>
      <c r="I201" s="13">
        <f t="shared" si="36"/>
        <v>0</v>
      </c>
      <c r="J201" s="13">
        <f t="shared" si="37"/>
        <v>0</v>
      </c>
      <c r="K201" s="13">
        <f t="shared" si="38"/>
        <v>0</v>
      </c>
      <c r="L201" s="13">
        <f t="shared" si="39"/>
        <v>0</v>
      </c>
      <c r="M201" s="13">
        <f t="shared" si="40"/>
        <v>0</v>
      </c>
      <c r="N201" s="13">
        <f t="shared" si="41"/>
        <v>0</v>
      </c>
      <c r="O201" s="13">
        <f t="shared" si="42"/>
        <v>0</v>
      </c>
      <c r="P201" s="13">
        <f t="shared" si="43"/>
        <v>0</v>
      </c>
      <c r="Q201" s="13">
        <f t="shared" si="44"/>
        <v>0</v>
      </c>
      <c r="R201" s="13" t="s">
        <v>239</v>
      </c>
      <c r="T201" s="13">
        <v>1.5663299999999999E-3</v>
      </c>
      <c r="U201" s="13">
        <v>2.3646169999999998E-3</v>
      </c>
      <c r="V201" s="13">
        <v>3.6324309999999898E-3</v>
      </c>
      <c r="W201" s="13">
        <v>1.0054356E-2</v>
      </c>
      <c r="X201" s="13">
        <v>7.1218590000000003E-3</v>
      </c>
      <c r="Y201" s="13">
        <v>5.8168880000000001E-3</v>
      </c>
      <c r="Z201" s="13">
        <v>4.3482466000000003E-3</v>
      </c>
      <c r="AA201" s="14">
        <v>3.3340702999999998E-3</v>
      </c>
      <c r="AB201" s="14">
        <v>1.1399053E-3</v>
      </c>
      <c r="AC201" s="14">
        <v>3.4278100000000001E-4</v>
      </c>
      <c r="AD201" s="14">
        <v>1.1866099999999999E-4</v>
      </c>
      <c r="AE201" s="13" t="s">
        <v>93</v>
      </c>
    </row>
    <row r="202" spans="1:31">
      <c r="A202" s="13" t="s">
        <v>260</v>
      </c>
      <c r="B202" s="13" t="s">
        <v>1</v>
      </c>
      <c r="C202" s="13" t="s">
        <v>144</v>
      </c>
      <c r="D202" s="13" t="str">
        <f>IFERROR(VLOOKUP(C202,ghg_sort!$A$86:$B$512,2,0),0)</f>
        <v>Building</v>
      </c>
      <c r="E202" s="33" t="s">
        <v>92</v>
      </c>
      <c r="F202" s="13">
        <f>IFERROR(VLOOKUP($E202,ghg_sort!$A$3:$B$21,2,0),0)</f>
        <v>0</v>
      </c>
      <c r="G202" s="13">
        <f t="shared" si="34"/>
        <v>0</v>
      </c>
      <c r="H202" s="13">
        <f t="shared" si="35"/>
        <v>0</v>
      </c>
      <c r="I202" s="13">
        <f t="shared" si="36"/>
        <v>0</v>
      </c>
      <c r="J202" s="13">
        <f t="shared" si="37"/>
        <v>0</v>
      </c>
      <c r="K202" s="13">
        <f t="shared" si="38"/>
        <v>0</v>
      </c>
      <c r="L202" s="13">
        <f t="shared" si="39"/>
        <v>0</v>
      </c>
      <c r="M202" s="13">
        <f t="shared" si="40"/>
        <v>0</v>
      </c>
      <c r="N202" s="13">
        <f t="shared" si="41"/>
        <v>0</v>
      </c>
      <c r="O202" s="13">
        <f t="shared" si="42"/>
        <v>0</v>
      </c>
      <c r="P202" s="13">
        <f t="shared" si="43"/>
        <v>0</v>
      </c>
      <c r="Q202" s="13">
        <f t="shared" si="44"/>
        <v>0</v>
      </c>
      <c r="R202" s="13" t="s">
        <v>239</v>
      </c>
      <c r="T202" s="13">
        <v>7.3074880009999996E-3</v>
      </c>
      <c r="U202" s="13">
        <v>2.4704751799999999E-3</v>
      </c>
      <c r="V202" s="14">
        <v>4.7803327999999898E-3</v>
      </c>
      <c r="W202" s="13">
        <v>2.2094174000000001E-3</v>
      </c>
      <c r="X202" s="14">
        <v>1.6108439999999999E-3</v>
      </c>
      <c r="Y202" s="14">
        <v>1.2275083999999999E-3</v>
      </c>
      <c r="Z202" s="14">
        <v>9.8532199999999898E-4</v>
      </c>
      <c r="AA202" s="14">
        <v>7.9222169999999998E-4</v>
      </c>
      <c r="AB202" s="14">
        <v>3.874665E-4</v>
      </c>
      <c r="AC202" s="14">
        <v>1.4337013E-4</v>
      </c>
      <c r="AD202" s="14">
        <v>3.1673240000000003E-5</v>
      </c>
      <c r="AE202" s="13" t="s">
        <v>93</v>
      </c>
    </row>
    <row r="203" spans="1:31">
      <c r="A203" s="13" t="s">
        <v>260</v>
      </c>
      <c r="B203" s="13" t="s">
        <v>1</v>
      </c>
      <c r="C203" s="13" t="s">
        <v>145</v>
      </c>
      <c r="D203" s="13" t="str">
        <f>IFERROR(VLOOKUP(C203,ghg_sort!$A$86:$B$512,2,0),0)</f>
        <v>Building</v>
      </c>
      <c r="E203" s="33" t="s">
        <v>83</v>
      </c>
      <c r="F203" s="13">
        <f>IFERROR(VLOOKUP($E203,ghg_sort!$A$3:$B$21,2,0),0)</f>
        <v>0</v>
      </c>
      <c r="G203" s="13">
        <f t="shared" si="34"/>
        <v>0</v>
      </c>
      <c r="H203" s="13">
        <f t="shared" si="35"/>
        <v>0</v>
      </c>
      <c r="I203" s="13">
        <f t="shared" si="36"/>
        <v>0</v>
      </c>
      <c r="J203" s="13">
        <f t="shared" si="37"/>
        <v>0</v>
      </c>
      <c r="K203" s="13">
        <f t="shared" si="38"/>
        <v>0</v>
      </c>
      <c r="L203" s="13">
        <f t="shared" si="39"/>
        <v>0</v>
      </c>
      <c r="M203" s="13">
        <f t="shared" si="40"/>
        <v>0</v>
      </c>
      <c r="N203" s="13">
        <f t="shared" si="41"/>
        <v>0</v>
      </c>
      <c r="O203" s="13">
        <f t="shared" si="42"/>
        <v>0</v>
      </c>
      <c r="P203" s="13">
        <f t="shared" si="43"/>
        <v>0</v>
      </c>
      <c r="Q203" s="13">
        <f t="shared" si="44"/>
        <v>0</v>
      </c>
      <c r="R203" s="13" t="s">
        <v>239</v>
      </c>
      <c r="T203" s="13">
        <v>3.3025208E-3</v>
      </c>
      <c r="U203" s="13">
        <v>1.3627797E-3</v>
      </c>
      <c r="V203" s="14">
        <v>7.5371800000000001E-4</v>
      </c>
      <c r="W203" s="13">
        <v>1.1180960000000001E-3</v>
      </c>
      <c r="X203" s="14">
        <v>8.1309899999999996E-4</v>
      </c>
      <c r="Y203" s="14">
        <v>5.1585299999999895E-4</v>
      </c>
      <c r="Z203" s="14">
        <v>3.36497E-4</v>
      </c>
      <c r="AA203" s="14">
        <v>2.0794410000000001E-4</v>
      </c>
      <c r="AB203" s="14">
        <v>6.7755799999999898E-5</v>
      </c>
      <c r="AC203" s="14">
        <v>1.7055109999999999E-5</v>
      </c>
      <c r="AD203" s="14">
        <v>2.2629399999999998E-6</v>
      </c>
      <c r="AE203" s="13" t="s">
        <v>93</v>
      </c>
    </row>
    <row r="204" spans="1:31">
      <c r="A204" s="13" t="s">
        <v>260</v>
      </c>
      <c r="B204" s="13" t="s">
        <v>1</v>
      </c>
      <c r="C204" s="13" t="s">
        <v>145</v>
      </c>
      <c r="D204" s="13" t="str">
        <f>IFERROR(VLOOKUP(C204,ghg_sort!$A$86:$B$512,2,0),0)</f>
        <v>Building</v>
      </c>
      <c r="E204" s="33" t="s">
        <v>84</v>
      </c>
      <c r="F204" s="13">
        <f>IFERROR(VLOOKUP($E204,ghg_sort!$A$3:$B$21,2,0),0)</f>
        <v>25</v>
      </c>
      <c r="G204" s="13">
        <f t="shared" si="34"/>
        <v>5.6220299999999744E-2</v>
      </c>
      <c r="H204" s="13">
        <f t="shared" si="35"/>
        <v>3.3330974999999999E-2</v>
      </c>
      <c r="I204" s="13">
        <f t="shared" si="36"/>
        <v>3.2921825000000002E-2</v>
      </c>
      <c r="J204" s="13">
        <f t="shared" si="37"/>
        <v>4.2754449999999999E-2</v>
      </c>
      <c r="K204" s="13">
        <f t="shared" si="38"/>
        <v>5.5164585000000002E-2</v>
      </c>
      <c r="L204" s="13">
        <f t="shared" si="39"/>
        <v>5.4409304999999998E-2</v>
      </c>
      <c r="M204" s="13">
        <f t="shared" si="40"/>
        <v>5.2038840000000003E-2</v>
      </c>
      <c r="N204" s="13">
        <f t="shared" si="41"/>
        <v>4.2872654999999753E-2</v>
      </c>
      <c r="O204" s="13">
        <f t="shared" si="42"/>
        <v>2.8211594999999999E-2</v>
      </c>
      <c r="P204" s="13">
        <f t="shared" si="43"/>
        <v>1.6845667749999998E-2</v>
      </c>
      <c r="Q204" s="13">
        <f t="shared" si="44"/>
        <v>9.8856459999999997E-3</v>
      </c>
      <c r="R204" s="13" t="s">
        <v>239</v>
      </c>
      <c r="T204" s="13">
        <v>2.2488119999999898E-3</v>
      </c>
      <c r="U204" s="13">
        <v>1.333239E-3</v>
      </c>
      <c r="V204" s="13">
        <v>1.3168730000000001E-3</v>
      </c>
      <c r="W204" s="13">
        <v>1.7101779999999999E-3</v>
      </c>
      <c r="X204" s="13">
        <v>2.2065833999999999E-3</v>
      </c>
      <c r="Y204" s="14">
        <v>2.1763721999999998E-3</v>
      </c>
      <c r="Z204" s="14">
        <v>2.0815536000000001E-3</v>
      </c>
      <c r="AA204" s="14">
        <v>1.7149061999999901E-3</v>
      </c>
      <c r="AB204" s="14">
        <v>1.1284638E-3</v>
      </c>
      <c r="AC204" s="14">
        <v>6.7382670999999996E-4</v>
      </c>
      <c r="AD204" s="14">
        <v>3.9542583999999998E-4</v>
      </c>
      <c r="AE204" s="13" t="s">
        <v>93</v>
      </c>
    </row>
    <row r="205" spans="1:31">
      <c r="A205" s="13" t="s">
        <v>260</v>
      </c>
      <c r="B205" s="13" t="s">
        <v>1</v>
      </c>
      <c r="C205" s="13" t="s">
        <v>145</v>
      </c>
      <c r="D205" s="13" t="str">
        <f>IFERROR(VLOOKUP(C205,ghg_sort!$A$86:$B$512,2,0),0)</f>
        <v>Building</v>
      </c>
      <c r="E205" s="33" t="s">
        <v>85</v>
      </c>
      <c r="F205" s="13">
        <f>IFERROR(VLOOKUP($E205,ghg_sort!$A$3:$B$21,2,0),0)</f>
        <v>0</v>
      </c>
      <c r="G205" s="13">
        <f t="shared" si="34"/>
        <v>0</v>
      </c>
      <c r="H205" s="13">
        <f t="shared" si="35"/>
        <v>0</v>
      </c>
      <c r="I205" s="13">
        <f t="shared" si="36"/>
        <v>0</v>
      </c>
      <c r="J205" s="13">
        <f t="shared" si="37"/>
        <v>0</v>
      </c>
      <c r="K205" s="13">
        <f t="shared" si="38"/>
        <v>0</v>
      </c>
      <c r="L205" s="13">
        <f t="shared" si="39"/>
        <v>0</v>
      </c>
      <c r="M205" s="13">
        <f t="shared" si="40"/>
        <v>0</v>
      </c>
      <c r="N205" s="13">
        <f t="shared" si="41"/>
        <v>0</v>
      </c>
      <c r="O205" s="13">
        <f t="shared" si="42"/>
        <v>0</v>
      </c>
      <c r="P205" s="13">
        <f t="shared" si="43"/>
        <v>0</v>
      </c>
      <c r="Q205" s="13">
        <f t="shared" si="44"/>
        <v>0</v>
      </c>
      <c r="R205" s="13" t="s">
        <v>239</v>
      </c>
      <c r="T205" s="13">
        <v>4.7827145999999997E-3</v>
      </c>
      <c r="U205" s="13">
        <v>2.2367329999999999E-3</v>
      </c>
      <c r="V205" s="13">
        <v>1.3871339999999999E-3</v>
      </c>
      <c r="W205" s="13">
        <v>1.4880499999999899E-3</v>
      </c>
      <c r="X205" s="13">
        <v>1.242452E-3</v>
      </c>
      <c r="Y205" s="13">
        <v>1.0176429999999999E-3</v>
      </c>
      <c r="Z205" s="14">
        <v>8.4806240000000004E-4</v>
      </c>
      <c r="AA205" s="14">
        <v>6.2534660000000003E-4</v>
      </c>
      <c r="AB205" s="14">
        <v>3.4348650000000001E-4</v>
      </c>
      <c r="AC205" s="14">
        <v>1.7122154E-4</v>
      </c>
      <c r="AD205" s="14">
        <v>8.5046049999999894E-5</v>
      </c>
      <c r="AE205" s="13" t="s">
        <v>93</v>
      </c>
    </row>
    <row r="206" spans="1:31">
      <c r="A206" s="13" t="s">
        <v>260</v>
      </c>
      <c r="B206" s="13" t="s">
        <v>1</v>
      </c>
      <c r="C206" s="13" t="s">
        <v>145</v>
      </c>
      <c r="D206" s="13" t="str">
        <f>IFERROR(VLOOKUP(C206,ghg_sort!$A$86:$B$512,2,0),0)</f>
        <v>Building</v>
      </c>
      <c r="E206" s="12" t="s">
        <v>86</v>
      </c>
      <c r="F206" s="13">
        <f>IFERROR(VLOOKUP($E206,ghg_sort!$A$3:$B$21,2,0),0)</f>
        <v>3.6666666666666701</v>
      </c>
      <c r="G206" s="13">
        <f t="shared" si="34"/>
        <v>13.468369566666679</v>
      </c>
      <c r="H206" s="13">
        <f t="shared" si="35"/>
        <v>14.051402933333346</v>
      </c>
      <c r="I206" s="13">
        <f t="shared" si="36"/>
        <v>10.20656450000001</v>
      </c>
      <c r="J206" s="13">
        <f t="shared" si="37"/>
        <v>9.372590333333342</v>
      </c>
      <c r="K206" s="13">
        <f t="shared" si="38"/>
        <v>10.833067666666677</v>
      </c>
      <c r="L206" s="13">
        <f t="shared" si="39"/>
        <v>9.3086840000000084</v>
      </c>
      <c r="M206" s="13">
        <f t="shared" si="40"/>
        <v>7.8588436666666732</v>
      </c>
      <c r="N206" s="13">
        <f t="shared" si="41"/>
        <v>5.8194840000000054</v>
      </c>
      <c r="O206" s="13">
        <f t="shared" si="42"/>
        <v>3.1666814666666694</v>
      </c>
      <c r="P206" s="13">
        <f t="shared" si="43"/>
        <v>1.5315739999999978</v>
      </c>
      <c r="Q206" s="13">
        <f t="shared" si="44"/>
        <v>0.73112288333333397</v>
      </c>
      <c r="R206" s="13" t="s">
        <v>239</v>
      </c>
      <c r="T206" s="14">
        <v>3.6731916999999998</v>
      </c>
      <c r="U206" s="14">
        <v>3.8322007999999999</v>
      </c>
      <c r="V206" s="14">
        <v>2.7836085000000002</v>
      </c>
      <c r="W206" s="14">
        <v>2.5561609999999999</v>
      </c>
      <c r="X206" s="14">
        <v>2.9544730000000001</v>
      </c>
      <c r="Y206" s="14">
        <v>2.538732</v>
      </c>
      <c r="Z206" s="14">
        <v>2.1433209999999998</v>
      </c>
      <c r="AA206" s="14">
        <v>1.587132</v>
      </c>
      <c r="AB206" s="14">
        <v>0.86364039999999997</v>
      </c>
      <c r="AC206" s="14">
        <v>0.41770199999999902</v>
      </c>
      <c r="AD206" s="14">
        <v>0.19939715</v>
      </c>
      <c r="AE206" s="13" t="s">
        <v>94</v>
      </c>
    </row>
    <row r="207" spans="1:31">
      <c r="A207" s="13" t="s">
        <v>260</v>
      </c>
      <c r="B207" s="13" t="s">
        <v>1</v>
      </c>
      <c r="C207" s="13" t="s">
        <v>145</v>
      </c>
      <c r="D207" s="13" t="str">
        <f>IFERROR(VLOOKUP(C207,ghg_sort!$A$86:$B$512,2,0),0)</f>
        <v>Building</v>
      </c>
      <c r="E207" s="33" t="s">
        <v>87</v>
      </c>
      <c r="F207" s="13">
        <f>IFERROR(VLOOKUP($E207,ghg_sort!$A$3:$B$21,2,0),0)</f>
        <v>298</v>
      </c>
      <c r="G207" s="13">
        <f t="shared" si="34"/>
        <v>9.2875574000000002E-2</v>
      </c>
      <c r="H207" s="13">
        <f t="shared" si="35"/>
        <v>7.2264016599999994E-2</v>
      </c>
      <c r="I207" s="13">
        <f t="shared" si="36"/>
        <v>4.9722700599999996E-2</v>
      </c>
      <c r="J207" s="13">
        <f t="shared" si="37"/>
        <v>4.0613943200000002E-2</v>
      </c>
      <c r="K207" s="13">
        <f t="shared" si="38"/>
        <v>4.8216876800000003E-2</v>
      </c>
      <c r="L207" s="13">
        <f t="shared" si="39"/>
        <v>4.5951868199999996E-2</v>
      </c>
      <c r="M207" s="13">
        <f t="shared" si="40"/>
        <v>3.9458597200000001E-2</v>
      </c>
      <c r="N207" s="13">
        <f t="shared" si="41"/>
        <v>2.96965046E-2</v>
      </c>
      <c r="O207" s="13">
        <f t="shared" si="42"/>
        <v>1.1660385379999999E-2</v>
      </c>
      <c r="P207" s="13">
        <f t="shared" si="43"/>
        <v>4.1223293600000004E-3</v>
      </c>
      <c r="Q207" s="13">
        <f t="shared" si="44"/>
        <v>1.5216982600000002E-3</v>
      </c>
      <c r="R207" s="13" t="s">
        <v>239</v>
      </c>
      <c r="T207" s="14">
        <v>3.11663E-4</v>
      </c>
      <c r="U207" s="14">
        <v>2.424967E-4</v>
      </c>
      <c r="V207" s="14">
        <v>1.6685469999999999E-4</v>
      </c>
      <c r="W207" s="14">
        <v>1.3628840000000001E-4</v>
      </c>
      <c r="X207" s="14">
        <v>1.6180160000000001E-4</v>
      </c>
      <c r="Y207" s="14">
        <v>1.5420089999999999E-4</v>
      </c>
      <c r="Z207" s="14">
        <v>1.324114E-4</v>
      </c>
      <c r="AA207" s="14">
        <v>9.9652699999999995E-5</v>
      </c>
      <c r="AB207" s="14">
        <v>3.9128809999999998E-5</v>
      </c>
      <c r="AC207" s="14">
        <v>1.383332E-5</v>
      </c>
      <c r="AD207" s="14">
        <v>5.1063700000000004E-6</v>
      </c>
      <c r="AE207" s="13" t="s">
        <v>93</v>
      </c>
    </row>
    <row r="208" spans="1:31">
      <c r="A208" s="13" t="s">
        <v>260</v>
      </c>
      <c r="B208" s="13" t="s">
        <v>1</v>
      </c>
      <c r="C208" s="13" t="s">
        <v>145</v>
      </c>
      <c r="D208" s="13" t="str">
        <f>IFERROR(VLOOKUP(C208,ghg_sort!$A$86:$B$512,2,0),0)</f>
        <v>Building</v>
      </c>
      <c r="E208" s="33" t="s">
        <v>88</v>
      </c>
      <c r="F208" s="13">
        <f>IFERROR(VLOOKUP($E208,ghg_sort!$A$3:$B$21,2,0),0)</f>
        <v>0</v>
      </c>
      <c r="G208" s="13">
        <f t="shared" si="34"/>
        <v>0</v>
      </c>
      <c r="H208" s="13">
        <f t="shared" si="35"/>
        <v>0</v>
      </c>
      <c r="I208" s="13">
        <f t="shared" si="36"/>
        <v>0</v>
      </c>
      <c r="J208" s="13">
        <f t="shared" si="37"/>
        <v>0</v>
      </c>
      <c r="K208" s="13">
        <f t="shared" si="38"/>
        <v>0</v>
      </c>
      <c r="L208" s="13">
        <f t="shared" si="39"/>
        <v>0</v>
      </c>
      <c r="M208" s="13">
        <f t="shared" si="40"/>
        <v>0</v>
      </c>
      <c r="N208" s="13">
        <f t="shared" si="41"/>
        <v>0</v>
      </c>
      <c r="O208" s="13">
        <f t="shared" si="42"/>
        <v>0</v>
      </c>
      <c r="P208" s="13">
        <f t="shared" si="43"/>
        <v>0</v>
      </c>
      <c r="Q208" s="13">
        <f t="shared" si="44"/>
        <v>0</v>
      </c>
      <c r="R208" s="13" t="s">
        <v>239</v>
      </c>
      <c r="T208" s="14">
        <v>3.7905899999999999E-5</v>
      </c>
      <c r="U208" s="14">
        <v>1.9718329999999999E-5</v>
      </c>
      <c r="V208" s="14">
        <v>4.4729299999999902E-6</v>
      </c>
      <c r="W208" s="14">
        <v>3.80793E-5</v>
      </c>
      <c r="X208" s="14">
        <v>4.4694409999999998E-5</v>
      </c>
      <c r="Y208" s="14">
        <v>4.0134829999999901E-5</v>
      </c>
      <c r="Z208" s="14">
        <v>3.4398279999999998E-5</v>
      </c>
      <c r="AA208" s="14">
        <v>2.5839440000000001E-5</v>
      </c>
      <c r="AB208" s="14">
        <v>1.2947599999999999E-5</v>
      </c>
      <c r="AC208" s="14">
        <v>5.96662299999999E-6</v>
      </c>
      <c r="AD208" s="14">
        <v>2.8077100000000001E-6</v>
      </c>
      <c r="AE208" s="13" t="s">
        <v>93</v>
      </c>
    </row>
    <row r="209" spans="1:31">
      <c r="A209" s="13" t="s">
        <v>260</v>
      </c>
      <c r="B209" s="13" t="s">
        <v>1</v>
      </c>
      <c r="C209" s="13" t="s">
        <v>145</v>
      </c>
      <c r="D209" s="13" t="str">
        <f>IFERROR(VLOOKUP(C209,ghg_sort!$A$86:$B$512,2,0),0)</f>
        <v>Building</v>
      </c>
      <c r="E209" s="33" t="s">
        <v>89</v>
      </c>
      <c r="F209" s="13">
        <f>IFERROR(VLOOKUP($E209,ghg_sort!$A$3:$B$21,2,0),0)</f>
        <v>0</v>
      </c>
      <c r="G209" s="13">
        <f t="shared" si="34"/>
        <v>0</v>
      </c>
      <c r="H209" s="13">
        <f t="shared" si="35"/>
        <v>0</v>
      </c>
      <c r="I209" s="13">
        <f t="shared" si="36"/>
        <v>0</v>
      </c>
      <c r="J209" s="13">
        <f t="shared" si="37"/>
        <v>0</v>
      </c>
      <c r="K209" s="13">
        <f t="shared" si="38"/>
        <v>0</v>
      </c>
      <c r="L209" s="13">
        <f t="shared" si="39"/>
        <v>0</v>
      </c>
      <c r="M209" s="13">
        <f t="shared" si="40"/>
        <v>0</v>
      </c>
      <c r="N209" s="13">
        <f t="shared" si="41"/>
        <v>0</v>
      </c>
      <c r="O209" s="13">
        <f t="shared" si="42"/>
        <v>0</v>
      </c>
      <c r="P209" s="13">
        <f t="shared" si="43"/>
        <v>0</v>
      </c>
      <c r="Q209" s="13">
        <f t="shared" si="44"/>
        <v>0</v>
      </c>
      <c r="R209" s="13" t="s">
        <v>239</v>
      </c>
      <c r="T209" s="13">
        <v>1.002139E-3</v>
      </c>
      <c r="U209" s="14">
        <v>4.1372380000000001E-4</v>
      </c>
      <c r="V209" s="14">
        <v>2.7998769999999898E-4</v>
      </c>
      <c r="W209" s="14">
        <v>3.3793359999999999E-4</v>
      </c>
      <c r="X209" s="14">
        <v>2.5064399999999898E-4</v>
      </c>
      <c r="Y209" s="14">
        <v>1.947552E-4</v>
      </c>
      <c r="Z209" s="14">
        <v>1.4929529999999999E-4</v>
      </c>
      <c r="AA209" s="14">
        <v>1.015242E-4</v>
      </c>
      <c r="AB209" s="14">
        <v>4.5623539999999997E-5</v>
      </c>
      <c r="AC209" s="14">
        <v>1.7164400000000001E-5</v>
      </c>
      <c r="AD209" s="14">
        <v>5.6201830000000002E-6</v>
      </c>
      <c r="AE209" s="13" t="s">
        <v>93</v>
      </c>
    </row>
    <row r="210" spans="1:31">
      <c r="A210" s="13" t="s">
        <v>260</v>
      </c>
      <c r="B210" s="13" t="s">
        <v>1</v>
      </c>
      <c r="C210" s="13" t="s">
        <v>145</v>
      </c>
      <c r="D210" s="13" t="str">
        <f>IFERROR(VLOOKUP(C210,ghg_sort!$A$86:$B$512,2,0),0)</f>
        <v>Building</v>
      </c>
      <c r="E210" s="33" t="s">
        <v>90</v>
      </c>
      <c r="F210" s="13">
        <f>IFERROR(VLOOKUP($E210,ghg_sort!$A$3:$B$21,2,0),0)</f>
        <v>0</v>
      </c>
      <c r="G210" s="13">
        <f t="shared" si="34"/>
        <v>0</v>
      </c>
      <c r="H210" s="13">
        <f t="shared" si="35"/>
        <v>0</v>
      </c>
      <c r="I210" s="13">
        <f t="shared" si="36"/>
        <v>0</v>
      </c>
      <c r="J210" s="13">
        <f t="shared" si="37"/>
        <v>0</v>
      </c>
      <c r="K210" s="13">
        <f t="shared" si="38"/>
        <v>0</v>
      </c>
      <c r="L210" s="13">
        <f t="shared" si="39"/>
        <v>0</v>
      </c>
      <c r="M210" s="13">
        <f t="shared" si="40"/>
        <v>0</v>
      </c>
      <c r="N210" s="13">
        <f t="shared" si="41"/>
        <v>0</v>
      </c>
      <c r="O210" s="13">
        <f t="shared" si="42"/>
        <v>0</v>
      </c>
      <c r="P210" s="13">
        <f t="shared" si="43"/>
        <v>0</v>
      </c>
      <c r="Q210" s="13">
        <f t="shared" si="44"/>
        <v>0</v>
      </c>
      <c r="R210" s="13" t="s">
        <v>239</v>
      </c>
      <c r="T210" s="13">
        <v>1.7971958499999999E-2</v>
      </c>
      <c r="U210" s="14">
        <v>1.168403E-2</v>
      </c>
      <c r="V210" s="14">
        <v>8.4823099999999998E-3</v>
      </c>
      <c r="W210" s="13">
        <v>6.8925599999999998E-3</v>
      </c>
      <c r="X210" s="14">
        <v>5.9146749999999899E-3</v>
      </c>
      <c r="Y210" s="14">
        <v>5.034803E-3</v>
      </c>
      <c r="Z210" s="14">
        <v>4.2547000000000001E-3</v>
      </c>
      <c r="AA210" s="14">
        <v>3.1627069999999998E-3</v>
      </c>
      <c r="AB210" s="14">
        <v>1.8083997999999899E-3</v>
      </c>
      <c r="AC210" s="14">
        <v>9.1938079999999997E-4</v>
      </c>
      <c r="AD210" s="14">
        <v>4.5998752999999899E-4</v>
      </c>
      <c r="AE210" s="13" t="s">
        <v>93</v>
      </c>
    </row>
    <row r="211" spans="1:31">
      <c r="A211" s="13" t="s">
        <v>260</v>
      </c>
      <c r="B211" s="13" t="s">
        <v>1</v>
      </c>
      <c r="C211" s="13" t="s">
        <v>145</v>
      </c>
      <c r="D211" s="13" t="str">
        <f>IFERROR(VLOOKUP(C211,ghg_sort!$A$86:$B$512,2,0),0)</f>
        <v>Building</v>
      </c>
      <c r="E211" s="33" t="s">
        <v>91</v>
      </c>
      <c r="F211" s="13">
        <f>IFERROR(VLOOKUP($E211,ghg_sort!$A$3:$B$21,2,0),0)</f>
        <v>0</v>
      </c>
      <c r="G211" s="13">
        <f t="shared" si="34"/>
        <v>0</v>
      </c>
      <c r="H211" s="13">
        <f t="shared" si="35"/>
        <v>0</v>
      </c>
      <c r="I211" s="13">
        <f t="shared" si="36"/>
        <v>0</v>
      </c>
      <c r="J211" s="13">
        <f t="shared" si="37"/>
        <v>0</v>
      </c>
      <c r="K211" s="13">
        <f t="shared" si="38"/>
        <v>0</v>
      </c>
      <c r="L211" s="13">
        <f t="shared" si="39"/>
        <v>0</v>
      </c>
      <c r="M211" s="13">
        <f t="shared" si="40"/>
        <v>0</v>
      </c>
      <c r="N211" s="13">
        <f t="shared" si="41"/>
        <v>0</v>
      </c>
      <c r="O211" s="13">
        <f t="shared" si="42"/>
        <v>0</v>
      </c>
      <c r="P211" s="13">
        <f t="shared" si="43"/>
        <v>0</v>
      </c>
      <c r="Q211" s="13">
        <f t="shared" si="44"/>
        <v>0</v>
      </c>
      <c r="R211" s="13" t="s">
        <v>239</v>
      </c>
      <c r="T211" s="13">
        <v>1.60367E-3</v>
      </c>
      <c r="U211" s="14">
        <v>9.0538299999999995E-4</v>
      </c>
      <c r="V211" s="14">
        <v>7.1756900000000004E-4</v>
      </c>
      <c r="W211" s="13">
        <v>1.4556440000000001E-3</v>
      </c>
      <c r="X211" s="14">
        <v>1.1402910000000001E-3</v>
      </c>
      <c r="Y211" s="14">
        <v>8.4269800000000001E-4</v>
      </c>
      <c r="Z211" s="14">
        <v>5.8798789999999997E-4</v>
      </c>
      <c r="AA211" s="14">
        <v>3.8432620000000001E-4</v>
      </c>
      <c r="AB211" s="14">
        <v>1.0620369999999999E-4</v>
      </c>
      <c r="AC211" s="14">
        <v>2.4870630000000001E-5</v>
      </c>
      <c r="AD211" s="14">
        <v>5.9893999999999998E-6</v>
      </c>
      <c r="AE211" s="13" t="s">
        <v>93</v>
      </c>
    </row>
    <row r="212" spans="1:31">
      <c r="A212" s="13" t="s">
        <v>260</v>
      </c>
      <c r="B212" s="13" t="s">
        <v>1</v>
      </c>
      <c r="C212" s="13" t="s">
        <v>145</v>
      </c>
      <c r="D212" s="13" t="str">
        <f>IFERROR(VLOOKUP(C212,ghg_sort!$A$86:$B$512,2,0),0)</f>
        <v>Building</v>
      </c>
      <c r="E212" s="33" t="s">
        <v>92</v>
      </c>
      <c r="F212" s="13">
        <f>IFERROR(VLOOKUP($E212,ghg_sort!$A$3:$B$21,2,0),0)</f>
        <v>0</v>
      </c>
      <c r="G212" s="13">
        <f t="shared" si="34"/>
        <v>0</v>
      </c>
      <c r="H212" s="13">
        <f t="shared" si="35"/>
        <v>0</v>
      </c>
      <c r="I212" s="13">
        <f t="shared" si="36"/>
        <v>0</v>
      </c>
      <c r="J212" s="13">
        <f t="shared" si="37"/>
        <v>0</v>
      </c>
      <c r="K212" s="13">
        <f t="shared" si="38"/>
        <v>0</v>
      </c>
      <c r="L212" s="13">
        <f t="shared" si="39"/>
        <v>0</v>
      </c>
      <c r="M212" s="13">
        <f t="shared" si="40"/>
        <v>0</v>
      </c>
      <c r="N212" s="13">
        <f t="shared" si="41"/>
        <v>0</v>
      </c>
      <c r="O212" s="13">
        <f t="shared" si="42"/>
        <v>0</v>
      </c>
      <c r="P212" s="13">
        <f t="shared" si="43"/>
        <v>0</v>
      </c>
      <c r="Q212" s="13">
        <f t="shared" si="44"/>
        <v>0</v>
      </c>
      <c r="R212" s="13" t="s">
        <v>239</v>
      </c>
      <c r="T212" s="14">
        <v>8.922077657E-3</v>
      </c>
      <c r="U212" s="14">
        <v>2.8654565999999999E-3</v>
      </c>
      <c r="V212" s="13">
        <v>5.2990362999999997E-3</v>
      </c>
      <c r="W212" s="14">
        <v>2.2178661100000002E-3</v>
      </c>
      <c r="X212" s="14">
        <v>1.5022220199999901E-3</v>
      </c>
      <c r="Y212" s="14">
        <v>7.8923495999999897E-4</v>
      </c>
      <c r="Z212" s="14">
        <v>4.6384116999999899E-4</v>
      </c>
      <c r="AA212" s="14">
        <v>2.5415291E-4</v>
      </c>
      <c r="AB212" s="14">
        <v>9.5497179999999996E-5</v>
      </c>
      <c r="AC212" s="14">
        <v>2.4156497E-5</v>
      </c>
      <c r="AD212" s="14">
        <v>1.788343E-6</v>
      </c>
      <c r="AE212" s="13" t="s">
        <v>93</v>
      </c>
    </row>
    <row r="213" spans="1:31">
      <c r="A213" s="13" t="s">
        <v>260</v>
      </c>
      <c r="B213" s="13" t="s">
        <v>1</v>
      </c>
      <c r="C213" s="13" t="s">
        <v>67</v>
      </c>
      <c r="D213" s="13" t="str">
        <f>IFERROR(VLOOKUP(C213,ghg_sort!$A$86:$B$512,2,0),0)</f>
        <v>Industry</v>
      </c>
      <c r="E213" s="33" t="s">
        <v>83</v>
      </c>
      <c r="F213" s="13">
        <f>IFERROR(VLOOKUP($E213,ghg_sort!$A$3:$B$21,2,0),0)</f>
        <v>0</v>
      </c>
      <c r="G213" s="13">
        <f t="shared" si="34"/>
        <v>0</v>
      </c>
      <c r="H213" s="13">
        <f t="shared" si="35"/>
        <v>0</v>
      </c>
      <c r="I213" s="13">
        <f t="shared" si="36"/>
        <v>0</v>
      </c>
      <c r="J213" s="13">
        <f t="shared" si="37"/>
        <v>0</v>
      </c>
      <c r="K213" s="13">
        <f t="shared" si="38"/>
        <v>0</v>
      </c>
      <c r="L213" s="13">
        <f t="shared" si="39"/>
        <v>0</v>
      </c>
      <c r="M213" s="13">
        <f t="shared" si="40"/>
        <v>0</v>
      </c>
      <c r="N213" s="13">
        <f t="shared" si="41"/>
        <v>0</v>
      </c>
      <c r="O213" s="13">
        <f t="shared" si="42"/>
        <v>0</v>
      </c>
      <c r="P213" s="13">
        <f t="shared" si="43"/>
        <v>0</v>
      </c>
      <c r="Q213" s="13">
        <f t="shared" si="44"/>
        <v>0</v>
      </c>
      <c r="R213" s="13" t="s">
        <v>239</v>
      </c>
      <c r="T213" s="14">
        <v>7.4510899999999998E-4</v>
      </c>
      <c r="U213" s="14">
        <v>8.63809E-4</v>
      </c>
      <c r="V213" s="14">
        <v>1.52341E-3</v>
      </c>
      <c r="W213" s="14">
        <v>3.7956390000000001E-5</v>
      </c>
      <c r="X213" s="14">
        <v>4.8668021E-5</v>
      </c>
      <c r="Y213" s="14">
        <v>9.3423519000000003E-5</v>
      </c>
      <c r="Z213" s="14">
        <v>1.7948198919999999E-4</v>
      </c>
      <c r="AA213" s="14">
        <v>2.6657178219999998E-4</v>
      </c>
      <c r="AB213" s="14">
        <v>2.6039289449999997E-4</v>
      </c>
      <c r="AC213" s="14">
        <v>2.09545423299999E-4</v>
      </c>
      <c r="AD213" s="14">
        <v>1.435313585E-4</v>
      </c>
      <c r="AE213" s="13" t="s">
        <v>93</v>
      </c>
    </row>
    <row r="214" spans="1:31">
      <c r="A214" s="13" t="s">
        <v>260</v>
      </c>
      <c r="B214" s="13" t="s">
        <v>1</v>
      </c>
      <c r="C214" s="13" t="s">
        <v>67</v>
      </c>
      <c r="D214" s="13" t="str">
        <f>IFERROR(VLOOKUP(C214,ghg_sort!$A$86:$B$512,2,0),0)</f>
        <v>Industry</v>
      </c>
      <c r="E214" s="33" t="s">
        <v>84</v>
      </c>
      <c r="F214" s="13">
        <f>IFERROR(VLOOKUP($E214,ghg_sort!$A$3:$B$21,2,0),0)</f>
        <v>25</v>
      </c>
      <c r="G214" s="13">
        <f t="shared" si="34"/>
        <v>1.25E-3</v>
      </c>
      <c r="H214" s="13">
        <f t="shared" si="35"/>
        <v>5.0000000000000001E-4</v>
      </c>
      <c r="I214" s="13">
        <f t="shared" si="36"/>
        <v>7.5000000000000002E-4</v>
      </c>
      <c r="J214" s="13">
        <f t="shared" si="37"/>
        <v>1.25E-3</v>
      </c>
      <c r="K214" s="13">
        <f t="shared" si="38"/>
        <v>1.3686857499999999E-3</v>
      </c>
      <c r="L214" s="13">
        <f t="shared" si="39"/>
        <v>1.8703834999999973E-3</v>
      </c>
      <c r="M214" s="13">
        <f t="shared" si="40"/>
        <v>2.9286220000000001E-3</v>
      </c>
      <c r="N214" s="13">
        <f t="shared" si="41"/>
        <v>4.0364490499999999E-3</v>
      </c>
      <c r="O214" s="13">
        <f t="shared" si="42"/>
        <v>3.9060002999999999E-3</v>
      </c>
      <c r="P214" s="13">
        <f t="shared" si="43"/>
        <v>3.1480832249999998E-3</v>
      </c>
      <c r="Q214" s="13">
        <f t="shared" si="44"/>
        <v>2.1758299749999998E-3</v>
      </c>
      <c r="R214" s="13" t="s">
        <v>239</v>
      </c>
      <c r="T214" s="14">
        <v>5.0000000000000002E-5</v>
      </c>
      <c r="U214" s="14">
        <v>2.0000000000000002E-5</v>
      </c>
      <c r="V214" s="14">
        <v>3.0000000000000001E-5</v>
      </c>
      <c r="W214" s="14">
        <v>5.0000000000000002E-5</v>
      </c>
      <c r="X214" s="14">
        <v>5.4747429999999999E-5</v>
      </c>
      <c r="Y214" s="14">
        <v>7.4815339999999896E-5</v>
      </c>
      <c r="Z214" s="14">
        <v>1.1714488E-4</v>
      </c>
      <c r="AA214" s="14">
        <v>1.61457962E-4</v>
      </c>
      <c r="AB214" s="14">
        <v>1.5624001199999999E-4</v>
      </c>
      <c r="AC214" s="14">
        <v>1.2592332899999999E-4</v>
      </c>
      <c r="AD214" s="14">
        <v>8.7033198999999996E-5</v>
      </c>
      <c r="AE214" s="13" t="s">
        <v>93</v>
      </c>
    </row>
    <row r="215" spans="1:31">
      <c r="A215" s="13" t="s">
        <v>260</v>
      </c>
      <c r="B215" s="13" t="s">
        <v>1</v>
      </c>
      <c r="C215" s="13" t="s">
        <v>67</v>
      </c>
      <c r="D215" s="13" t="str">
        <f>IFERROR(VLOOKUP(C215,ghg_sort!$A$86:$B$512,2,0),0)</f>
        <v>Industry</v>
      </c>
      <c r="E215" s="33" t="s">
        <v>85</v>
      </c>
      <c r="F215" s="13">
        <f>IFERROR(VLOOKUP($E215,ghg_sort!$A$3:$B$21,2,0),0)</f>
        <v>0</v>
      </c>
      <c r="G215" s="13">
        <f t="shared" si="34"/>
        <v>0</v>
      </c>
      <c r="H215" s="13">
        <f t="shared" si="35"/>
        <v>0</v>
      </c>
      <c r="I215" s="13">
        <f t="shared" si="36"/>
        <v>0</v>
      </c>
      <c r="J215" s="13">
        <f t="shared" si="37"/>
        <v>0</v>
      </c>
      <c r="K215" s="13">
        <f t="shared" si="38"/>
        <v>0</v>
      </c>
      <c r="L215" s="13">
        <f t="shared" si="39"/>
        <v>0</v>
      </c>
      <c r="M215" s="13">
        <f t="shared" si="40"/>
        <v>0</v>
      </c>
      <c r="N215" s="13">
        <f t="shared" si="41"/>
        <v>0</v>
      </c>
      <c r="O215" s="13">
        <f t="shared" si="42"/>
        <v>0</v>
      </c>
      <c r="P215" s="13">
        <f t="shared" si="43"/>
        <v>0</v>
      </c>
      <c r="Q215" s="13">
        <f t="shared" si="44"/>
        <v>0</v>
      </c>
      <c r="R215" s="13" t="s">
        <v>239</v>
      </c>
      <c r="T215" s="13">
        <v>3.64E-3</v>
      </c>
      <c r="U215" s="13">
        <v>4.0499999999999998E-3</v>
      </c>
      <c r="V215" s="13">
        <v>8.6599999999999993E-3</v>
      </c>
      <c r="W215" s="13">
        <v>9.92E-3</v>
      </c>
      <c r="X215" s="13">
        <v>7.1237219999999999E-3</v>
      </c>
      <c r="Y215" s="13">
        <v>7.1418395000000003E-3</v>
      </c>
      <c r="Z215" s="13">
        <v>9.9162429999999999E-3</v>
      </c>
      <c r="AA215" s="13">
        <v>1.3014747199999999E-2</v>
      </c>
      <c r="AB215" s="13">
        <v>1.25772227E-2</v>
      </c>
      <c r="AC215" s="13">
        <v>1.05196549E-2</v>
      </c>
      <c r="AD215" s="13">
        <v>7.7953546000000002E-3</v>
      </c>
      <c r="AE215" s="13" t="s">
        <v>93</v>
      </c>
    </row>
    <row r="216" spans="1:31">
      <c r="A216" s="13" t="s">
        <v>260</v>
      </c>
      <c r="B216" s="13" t="s">
        <v>1</v>
      </c>
      <c r="C216" s="13" t="s">
        <v>67</v>
      </c>
      <c r="D216" s="13" t="str">
        <f>IFERROR(VLOOKUP(C216,ghg_sort!$A$86:$B$512,2,0),0)</f>
        <v>Industry</v>
      </c>
      <c r="E216" s="12" t="s">
        <v>86</v>
      </c>
      <c r="F216" s="13">
        <f>IFERROR(VLOOKUP($E216,ghg_sort!$A$3:$B$21,2,0),0)</f>
        <v>3.6666666666666701</v>
      </c>
      <c r="G216" s="13">
        <f t="shared" si="34"/>
        <v>1.5342506666666682</v>
      </c>
      <c r="H216" s="13">
        <f t="shared" si="35"/>
        <v>1.8110180000000018</v>
      </c>
      <c r="I216" s="13">
        <f t="shared" si="36"/>
        <v>2.4548076666666692</v>
      </c>
      <c r="J216" s="13">
        <f t="shared" si="37"/>
        <v>2.5820731566666688</v>
      </c>
      <c r="K216" s="13">
        <f t="shared" si="38"/>
        <v>2.678036386666669</v>
      </c>
      <c r="L216" s="13">
        <f t="shared" si="39"/>
        <v>2.6175201066666691</v>
      </c>
      <c r="M216" s="13">
        <f t="shared" si="40"/>
        <v>2.5621659873333358</v>
      </c>
      <c r="N216" s="13">
        <f t="shared" si="41"/>
        <v>2.4628139066666654</v>
      </c>
      <c r="O216" s="13">
        <f t="shared" si="42"/>
        <v>2.1965763966666687</v>
      </c>
      <c r="P216" s="13">
        <f t="shared" si="43"/>
        <v>1.8122965666666684</v>
      </c>
      <c r="Q216" s="13">
        <f t="shared" si="44"/>
        <v>1.382400616666668</v>
      </c>
      <c r="R216" s="13" t="s">
        <v>239</v>
      </c>
      <c r="T216" s="14">
        <v>0.41843200000000003</v>
      </c>
      <c r="U216" s="14">
        <v>0.49391400000000002</v>
      </c>
      <c r="V216" s="14">
        <v>0.669493</v>
      </c>
      <c r="W216" s="14">
        <v>0.70420176999999995</v>
      </c>
      <c r="X216" s="14">
        <v>0.73037355999999998</v>
      </c>
      <c r="Y216" s="14">
        <v>0.71386912000000002</v>
      </c>
      <c r="Z216" s="14">
        <v>0.69877254200000005</v>
      </c>
      <c r="AA216" s="14">
        <v>0.671676519999999</v>
      </c>
      <c r="AB216" s="14">
        <v>0.59906629</v>
      </c>
      <c r="AC216" s="14">
        <v>0.4942627</v>
      </c>
      <c r="AD216" s="14">
        <v>0.37701835</v>
      </c>
      <c r="AE216" s="13" t="s">
        <v>94</v>
      </c>
    </row>
    <row r="217" spans="1:31">
      <c r="A217" s="13" t="s">
        <v>260</v>
      </c>
      <c r="B217" s="13" t="s">
        <v>1</v>
      </c>
      <c r="C217" s="13" t="s">
        <v>67</v>
      </c>
      <c r="D217" s="13" t="str">
        <f>IFERROR(VLOOKUP(C217,ghg_sort!$A$86:$B$512,2,0),0)</f>
        <v>Industry</v>
      </c>
      <c r="E217" s="33" t="s">
        <v>87</v>
      </c>
      <c r="F217" s="13">
        <f>IFERROR(VLOOKUP($E217,ghg_sort!$A$3:$B$21,2,0),0)</f>
        <v>298</v>
      </c>
      <c r="G217" s="13">
        <f t="shared" si="34"/>
        <v>2.9800000000000004E-3</v>
      </c>
      <c r="H217" s="13">
        <f t="shared" si="35"/>
        <v>2.9800000000000004E-3</v>
      </c>
      <c r="I217" s="13">
        <f t="shared" si="36"/>
        <v>5.9600000000000009E-3</v>
      </c>
      <c r="J217" s="13">
        <f t="shared" si="37"/>
        <v>8.94E-3</v>
      </c>
      <c r="K217" s="13">
        <f t="shared" si="38"/>
        <v>9.5594972999999989E-3</v>
      </c>
      <c r="L217" s="13">
        <f t="shared" si="39"/>
        <v>1.228485034E-2</v>
      </c>
      <c r="M217" s="13">
        <f t="shared" si="40"/>
        <v>1.8291400919999999E-2</v>
      </c>
      <c r="N217" s="13">
        <f t="shared" si="41"/>
        <v>2.4667452725999999E-2</v>
      </c>
      <c r="O217" s="13">
        <f t="shared" si="42"/>
        <v>2.3801288011999999E-2</v>
      </c>
      <c r="P217" s="13">
        <f t="shared" si="43"/>
        <v>1.9191958708000001E-2</v>
      </c>
      <c r="Q217" s="13">
        <f t="shared" si="44"/>
        <v>1.3301236854E-2</v>
      </c>
      <c r="R217" s="13" t="s">
        <v>239</v>
      </c>
      <c r="T217" s="14">
        <v>1.0000000000000001E-5</v>
      </c>
      <c r="U217" s="14">
        <v>1.0000000000000001E-5</v>
      </c>
      <c r="V217" s="14">
        <v>2.0000000000000002E-5</v>
      </c>
      <c r="W217" s="14">
        <v>3.0000000000000001E-5</v>
      </c>
      <c r="X217" s="14">
        <v>3.2078849999999999E-5</v>
      </c>
      <c r="Y217" s="14">
        <v>4.122433E-5</v>
      </c>
      <c r="Z217" s="14">
        <v>6.1380539999999996E-5</v>
      </c>
      <c r="AA217" s="14">
        <v>8.2776687000000001E-5</v>
      </c>
      <c r="AB217" s="14">
        <v>7.9870093999999996E-5</v>
      </c>
      <c r="AC217" s="14">
        <v>6.4402545999999998E-5</v>
      </c>
      <c r="AD217" s="14">
        <v>4.4635022999999998E-5</v>
      </c>
      <c r="AE217" s="13" t="s">
        <v>93</v>
      </c>
    </row>
    <row r="218" spans="1:31">
      <c r="A218" s="13" t="s">
        <v>260</v>
      </c>
      <c r="B218" s="13" t="s">
        <v>1</v>
      </c>
      <c r="C218" s="13" t="s">
        <v>67</v>
      </c>
      <c r="D218" s="13" t="str">
        <f>IFERROR(VLOOKUP(C218,ghg_sort!$A$86:$B$512,2,0),0)</f>
        <v>Industry</v>
      </c>
      <c r="E218" s="33" t="s">
        <v>88</v>
      </c>
      <c r="F218" s="13">
        <f>IFERROR(VLOOKUP($E218,ghg_sort!$A$3:$B$21,2,0),0)</f>
        <v>0</v>
      </c>
      <c r="G218" s="13">
        <f t="shared" si="34"/>
        <v>0</v>
      </c>
      <c r="H218" s="13">
        <f t="shared" si="35"/>
        <v>0</v>
      </c>
      <c r="I218" s="13">
        <f t="shared" si="36"/>
        <v>0</v>
      </c>
      <c r="J218" s="13">
        <f t="shared" si="37"/>
        <v>0</v>
      </c>
      <c r="K218" s="13">
        <f t="shared" si="38"/>
        <v>0</v>
      </c>
      <c r="L218" s="13">
        <f t="shared" si="39"/>
        <v>0</v>
      </c>
      <c r="M218" s="13">
        <f t="shared" si="40"/>
        <v>0</v>
      </c>
      <c r="N218" s="13">
        <f t="shared" si="41"/>
        <v>0</v>
      </c>
      <c r="O218" s="13">
        <f t="shared" si="42"/>
        <v>0</v>
      </c>
      <c r="P218" s="13">
        <f t="shared" si="43"/>
        <v>0</v>
      </c>
      <c r="Q218" s="13">
        <f t="shared" si="44"/>
        <v>0</v>
      </c>
      <c r="R218" s="13" t="s">
        <v>239</v>
      </c>
      <c r="T218" s="14">
        <v>1.0000000000000001E-5</v>
      </c>
      <c r="U218" s="14">
        <v>1.0000000000000001E-5</v>
      </c>
      <c r="V218" s="14">
        <v>1.0000000000000001E-5</v>
      </c>
      <c r="W218" s="14">
        <v>1.0000000000000001E-5</v>
      </c>
      <c r="X218" s="14">
        <v>1.3258530000000001E-5</v>
      </c>
      <c r="Y218" s="14">
        <v>2.5957750000000001E-5</v>
      </c>
      <c r="Z218" s="14">
        <v>5.0148339999999998E-5</v>
      </c>
      <c r="AA218" s="14">
        <v>7.4586025999999998E-5</v>
      </c>
      <c r="AB218" s="14">
        <v>7.2869549999999994E-5</v>
      </c>
      <c r="AC218" s="14">
        <v>5.8638999999999999E-5</v>
      </c>
      <c r="AD218" s="14">
        <v>4.0161219999999999E-5</v>
      </c>
      <c r="AE218" s="13" t="s">
        <v>93</v>
      </c>
    </row>
    <row r="219" spans="1:31">
      <c r="A219" s="13" t="s">
        <v>260</v>
      </c>
      <c r="B219" s="13" t="s">
        <v>1</v>
      </c>
      <c r="C219" s="13" t="s">
        <v>67</v>
      </c>
      <c r="D219" s="13" t="str">
        <f>IFERROR(VLOOKUP(C219,ghg_sort!$A$86:$B$512,2,0),0)</f>
        <v>Industry</v>
      </c>
      <c r="E219" s="33" t="s">
        <v>89</v>
      </c>
      <c r="F219" s="13">
        <f>IFERROR(VLOOKUP($E219,ghg_sort!$A$3:$B$21,2,0),0)</f>
        <v>0</v>
      </c>
      <c r="G219" s="13">
        <f t="shared" si="34"/>
        <v>0</v>
      </c>
      <c r="H219" s="13">
        <f t="shared" si="35"/>
        <v>0</v>
      </c>
      <c r="I219" s="13">
        <f t="shared" si="36"/>
        <v>0</v>
      </c>
      <c r="J219" s="13">
        <f t="shared" si="37"/>
        <v>0</v>
      </c>
      <c r="K219" s="13">
        <f t="shared" si="38"/>
        <v>0</v>
      </c>
      <c r="L219" s="13">
        <f t="shared" si="39"/>
        <v>0</v>
      </c>
      <c r="M219" s="13">
        <f t="shared" si="40"/>
        <v>0</v>
      </c>
      <c r="N219" s="13">
        <f t="shared" si="41"/>
        <v>0</v>
      </c>
      <c r="O219" s="13">
        <f t="shared" si="42"/>
        <v>0</v>
      </c>
      <c r="P219" s="13">
        <f t="shared" si="43"/>
        <v>0</v>
      </c>
      <c r="Q219" s="13">
        <f t="shared" si="44"/>
        <v>0</v>
      </c>
      <c r="R219" s="13" t="s">
        <v>239</v>
      </c>
      <c r="T219" s="14">
        <v>5.1999999999999995E-4</v>
      </c>
      <c r="U219" s="14">
        <v>4.8000000000000001E-4</v>
      </c>
      <c r="V219" s="14">
        <v>4.6999999999999999E-4</v>
      </c>
      <c r="W219" s="14">
        <v>6.8999999999999997E-4</v>
      </c>
      <c r="X219" s="14">
        <v>7.4496717E-4</v>
      </c>
      <c r="Y219" s="13">
        <v>1.26527603E-3</v>
      </c>
      <c r="Z219" s="13">
        <v>2.3264171199999998E-3</v>
      </c>
      <c r="AA219" s="13">
        <v>3.3968155399999901E-3</v>
      </c>
      <c r="AB219" s="13">
        <v>3.3184015399999999E-3</v>
      </c>
      <c r="AC219" s="13">
        <v>2.6996794900000002E-3</v>
      </c>
      <c r="AD219" s="13">
        <v>1.8897908099999999E-3</v>
      </c>
      <c r="AE219" s="13" t="s">
        <v>93</v>
      </c>
    </row>
    <row r="220" spans="1:31">
      <c r="A220" s="13" t="s">
        <v>260</v>
      </c>
      <c r="B220" s="13" t="s">
        <v>1</v>
      </c>
      <c r="C220" s="13" t="s">
        <v>67</v>
      </c>
      <c r="D220" s="13" t="str">
        <f>IFERROR(VLOOKUP(C220,ghg_sort!$A$86:$B$512,2,0),0)</f>
        <v>Industry</v>
      </c>
      <c r="E220" s="33" t="s">
        <v>90</v>
      </c>
      <c r="F220" s="13">
        <f>IFERROR(VLOOKUP($E220,ghg_sort!$A$3:$B$21,2,0),0)</f>
        <v>0</v>
      </c>
      <c r="G220" s="13">
        <f t="shared" si="34"/>
        <v>0</v>
      </c>
      <c r="H220" s="13">
        <f t="shared" si="35"/>
        <v>0</v>
      </c>
      <c r="I220" s="13">
        <f t="shared" si="36"/>
        <v>0</v>
      </c>
      <c r="J220" s="13">
        <f t="shared" si="37"/>
        <v>0</v>
      </c>
      <c r="K220" s="13">
        <f t="shared" si="38"/>
        <v>0</v>
      </c>
      <c r="L220" s="13">
        <f t="shared" si="39"/>
        <v>0</v>
      </c>
      <c r="M220" s="13">
        <f t="shared" si="40"/>
        <v>0</v>
      </c>
      <c r="N220" s="13">
        <f t="shared" si="41"/>
        <v>0</v>
      </c>
      <c r="O220" s="13">
        <f t="shared" si="42"/>
        <v>0</v>
      </c>
      <c r="P220" s="13">
        <f t="shared" si="43"/>
        <v>0</v>
      </c>
      <c r="Q220" s="13">
        <f t="shared" si="44"/>
        <v>0</v>
      </c>
      <c r="R220" s="13" t="s">
        <v>239</v>
      </c>
      <c r="T220" s="14">
        <v>5.8900000000000003E-3</v>
      </c>
      <c r="U220" s="14">
        <v>8.6899999999999998E-3</v>
      </c>
      <c r="V220" s="14">
        <v>1.307E-2</v>
      </c>
      <c r="W220" s="14">
        <v>1.9810000000000001E-2</v>
      </c>
      <c r="X220" s="14">
        <v>1.278143E-2</v>
      </c>
      <c r="Y220" s="14">
        <v>9.8486938999999898E-3</v>
      </c>
      <c r="Z220" s="14">
        <v>1.06086818E-2</v>
      </c>
      <c r="AA220" s="14">
        <v>1.2339478500000001E-2</v>
      </c>
      <c r="AB220" s="14">
        <v>1.1635789000000001E-2</v>
      </c>
      <c r="AC220" s="14">
        <v>9.7052059999999992E-3</v>
      </c>
      <c r="AD220" s="14">
        <v>7.2685072999999897E-3</v>
      </c>
      <c r="AE220" s="13" t="s">
        <v>93</v>
      </c>
    </row>
    <row r="221" spans="1:31">
      <c r="A221" s="13" t="s">
        <v>260</v>
      </c>
      <c r="B221" s="13" t="s">
        <v>1</v>
      </c>
      <c r="C221" s="13" t="s">
        <v>67</v>
      </c>
      <c r="D221" s="13" t="str">
        <f>IFERROR(VLOOKUP(C221,ghg_sort!$A$86:$B$512,2,0),0)</f>
        <v>Industry</v>
      </c>
      <c r="E221" s="33" t="s">
        <v>91</v>
      </c>
      <c r="F221" s="13">
        <f>IFERROR(VLOOKUP($E221,ghg_sort!$A$3:$B$21,2,0),0)</f>
        <v>0</v>
      </c>
      <c r="G221" s="13">
        <f t="shared" si="34"/>
        <v>0</v>
      </c>
      <c r="H221" s="13">
        <f t="shared" si="35"/>
        <v>0</v>
      </c>
      <c r="I221" s="13">
        <f t="shared" si="36"/>
        <v>0</v>
      </c>
      <c r="J221" s="13">
        <f t="shared" si="37"/>
        <v>0</v>
      </c>
      <c r="K221" s="13">
        <f t="shared" si="38"/>
        <v>0</v>
      </c>
      <c r="L221" s="13">
        <f t="shared" si="39"/>
        <v>0</v>
      </c>
      <c r="M221" s="13">
        <f t="shared" si="40"/>
        <v>0</v>
      </c>
      <c r="N221" s="13">
        <f t="shared" si="41"/>
        <v>0</v>
      </c>
      <c r="O221" s="13">
        <f t="shared" si="42"/>
        <v>0</v>
      </c>
      <c r="P221" s="13">
        <f t="shared" si="43"/>
        <v>0</v>
      </c>
      <c r="Q221" s="13">
        <f t="shared" si="44"/>
        <v>0</v>
      </c>
      <c r="R221" s="13" t="s">
        <v>239</v>
      </c>
      <c r="T221" s="14">
        <v>2.3000000000000001E-4</v>
      </c>
      <c r="U221" s="14">
        <v>2.7E-4</v>
      </c>
      <c r="V221" s="14">
        <v>4.8000000000000001E-4</v>
      </c>
      <c r="W221" s="14">
        <v>4.7999999999999898E-4</v>
      </c>
      <c r="X221" s="14">
        <v>4.45084E-4</v>
      </c>
      <c r="Y221" s="14">
        <v>6.566508E-4</v>
      </c>
      <c r="Z221" s="14">
        <v>1.1525414100000001E-3</v>
      </c>
      <c r="AA221" s="14">
        <v>1.67106533E-3</v>
      </c>
      <c r="AB221" s="14">
        <v>1.6252180099999901E-3</v>
      </c>
      <c r="AC221" s="14">
        <v>1.3055676599999901E-3</v>
      </c>
      <c r="AD221" s="14">
        <v>8.9394069999999999E-4</v>
      </c>
      <c r="AE221" s="13" t="s">
        <v>93</v>
      </c>
    </row>
    <row r="222" spans="1:31">
      <c r="A222" s="13" t="s">
        <v>260</v>
      </c>
      <c r="B222" s="13" t="s">
        <v>1</v>
      </c>
      <c r="C222" s="13" t="s">
        <v>67</v>
      </c>
      <c r="D222" s="13" t="str">
        <f>IFERROR(VLOOKUP(C222,ghg_sort!$A$86:$B$512,2,0),0)</f>
        <v>Industry</v>
      </c>
      <c r="E222" s="33" t="s">
        <v>92</v>
      </c>
      <c r="F222" s="13">
        <f>IFERROR(VLOOKUP($E222,ghg_sort!$A$3:$B$21,2,0),0)</f>
        <v>0</v>
      </c>
      <c r="G222" s="13">
        <f t="shared" si="34"/>
        <v>0</v>
      </c>
      <c r="H222" s="13">
        <f t="shared" si="35"/>
        <v>0</v>
      </c>
      <c r="I222" s="13">
        <f t="shared" si="36"/>
        <v>0</v>
      </c>
      <c r="J222" s="13">
        <f t="shared" si="37"/>
        <v>0</v>
      </c>
      <c r="K222" s="13">
        <f t="shared" si="38"/>
        <v>0</v>
      </c>
      <c r="L222" s="13">
        <f t="shared" si="39"/>
        <v>0</v>
      </c>
      <c r="M222" s="13">
        <f t="shared" si="40"/>
        <v>0</v>
      </c>
      <c r="N222" s="13">
        <f t="shared" si="41"/>
        <v>0</v>
      </c>
      <c r="O222" s="13">
        <f t="shared" si="42"/>
        <v>0</v>
      </c>
      <c r="P222" s="13">
        <f t="shared" si="43"/>
        <v>0</v>
      </c>
      <c r="Q222" s="13">
        <f t="shared" si="44"/>
        <v>0</v>
      </c>
      <c r="R222" s="13" t="s">
        <v>239</v>
      </c>
      <c r="T222" s="14">
        <v>4.9708299999999999E-3</v>
      </c>
      <c r="U222" s="14">
        <v>2.1319199999999998E-3</v>
      </c>
      <c r="V222" s="14">
        <v>3.2409399999999999E-3</v>
      </c>
      <c r="W222" s="14">
        <v>1.2209186100000001E-4</v>
      </c>
      <c r="X222" s="14">
        <v>7.2438244220000004E-5</v>
      </c>
      <c r="Y222" s="14">
        <v>4.1437696309999998E-5</v>
      </c>
      <c r="Z222" s="14">
        <v>2.57997063649999E-5</v>
      </c>
      <c r="AA222" s="14">
        <v>1.8208685525999999E-5</v>
      </c>
      <c r="AB222" s="14">
        <v>1.597891643E-5</v>
      </c>
      <c r="AC222" s="14">
        <v>1.30896980299999E-5</v>
      </c>
      <c r="AD222" s="14">
        <v>9.8761336900000002E-6</v>
      </c>
      <c r="AE222" s="13" t="s">
        <v>93</v>
      </c>
    </row>
    <row r="223" spans="1:31">
      <c r="A223" s="13" t="s">
        <v>260</v>
      </c>
      <c r="B223" s="13" t="s">
        <v>1</v>
      </c>
      <c r="C223" s="13" t="s">
        <v>146</v>
      </c>
      <c r="D223" s="13" t="str">
        <f>IFERROR(VLOOKUP(C223,ghg_sort!$A$86:$B$512,2,0),0)</f>
        <v>Electricity</v>
      </c>
      <c r="E223" s="12" t="s">
        <v>86</v>
      </c>
      <c r="F223" s="13">
        <f>IFERROR(VLOOKUP($E223,ghg_sort!$A$3:$B$21,2,0),0)</f>
        <v>3.6666666666666701</v>
      </c>
      <c r="G223" s="13">
        <f t="shared" si="34"/>
        <v>2.1897865733333318E-4</v>
      </c>
      <c r="H223" s="13">
        <f t="shared" si="35"/>
        <v>4.4073333333333371E-4</v>
      </c>
      <c r="I223" s="13">
        <f t="shared" si="36"/>
        <v>4.1789733333333373E-4</v>
      </c>
      <c r="J223" s="13">
        <f t="shared" si="37"/>
        <v>4.0461043333333007E-4</v>
      </c>
      <c r="K223" s="13">
        <f t="shared" si="38"/>
        <v>8.1115833333333411E-4</v>
      </c>
      <c r="L223" s="13">
        <f t="shared" si="39"/>
        <v>8.5339466666666745E-4</v>
      </c>
      <c r="M223" s="13">
        <f t="shared" si="40"/>
        <v>8.3440500000000074E-4</v>
      </c>
      <c r="N223" s="13">
        <f t="shared" si="41"/>
        <v>7.7417413333333404E-4</v>
      </c>
      <c r="O223" s="13">
        <f t="shared" si="42"/>
        <v>6.4605383333333393E-4</v>
      </c>
      <c r="P223" s="13">
        <f t="shared" si="43"/>
        <v>5.3984040000000055E-4</v>
      </c>
      <c r="Q223" s="13">
        <f t="shared" si="44"/>
        <v>4.7769186666666712E-4</v>
      </c>
      <c r="R223" s="13" t="s">
        <v>239</v>
      </c>
      <c r="T223" s="14">
        <v>5.9721451999999901E-5</v>
      </c>
      <c r="U223" s="14">
        <v>1.2019999999999999E-4</v>
      </c>
      <c r="V223" s="14">
        <v>1.13972E-4</v>
      </c>
      <c r="W223" s="14">
        <v>1.10348299999999E-4</v>
      </c>
      <c r="X223" s="14">
        <v>2.21225E-4</v>
      </c>
      <c r="Y223" s="14">
        <v>2.3274400000000001E-4</v>
      </c>
      <c r="Z223" s="14">
        <v>2.2756499999999999E-4</v>
      </c>
      <c r="AA223" s="14">
        <v>2.1113840000000001E-4</v>
      </c>
      <c r="AB223" s="14">
        <v>1.761965E-4</v>
      </c>
      <c r="AC223" s="14">
        <v>1.4722920000000001E-4</v>
      </c>
      <c r="AD223" s="14">
        <v>1.3027960000000001E-4</v>
      </c>
      <c r="AE223" s="13" t="s">
        <v>94</v>
      </c>
    </row>
    <row r="224" spans="1:31">
      <c r="A224" s="13" t="s">
        <v>260</v>
      </c>
      <c r="B224" s="13" t="s">
        <v>1</v>
      </c>
      <c r="C224" s="13" t="s">
        <v>132</v>
      </c>
      <c r="D224" s="13" t="str">
        <f>IFERROR(VLOOKUP(C224,ghg_sort!$A$86:$B$512,2,0),0)</f>
        <v>Electricity</v>
      </c>
      <c r="E224" s="12" t="s">
        <v>86</v>
      </c>
      <c r="F224" s="13">
        <f>IFERROR(VLOOKUP($E224,ghg_sort!$A$3:$B$21,2,0),0)</f>
        <v>3.6666666666666701</v>
      </c>
      <c r="G224" s="13">
        <f t="shared" si="34"/>
        <v>0</v>
      </c>
      <c r="H224" s="13">
        <f t="shared" si="35"/>
        <v>0</v>
      </c>
      <c r="I224" s="13">
        <f t="shared" si="36"/>
        <v>0</v>
      </c>
      <c r="J224" s="13">
        <f t="shared" si="37"/>
        <v>0</v>
      </c>
      <c r="K224" s="13">
        <f t="shared" si="38"/>
        <v>0</v>
      </c>
      <c r="L224" s="13">
        <f t="shared" si="39"/>
        <v>9.7829530333333426E-4</v>
      </c>
      <c r="M224" s="13">
        <f t="shared" si="40"/>
        <v>2.3426239393333353E-2</v>
      </c>
      <c r="N224" s="13">
        <f t="shared" si="41"/>
        <v>0.27477849655666692</v>
      </c>
      <c r="O224" s="13">
        <f t="shared" si="42"/>
        <v>1.0624691923266676</v>
      </c>
      <c r="P224" s="13">
        <f t="shared" si="43"/>
        <v>1.9722725813266651</v>
      </c>
      <c r="Q224" s="13">
        <f t="shared" si="44"/>
        <v>2.4111625162533357</v>
      </c>
      <c r="R224" s="13" t="s">
        <v>239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4">
        <v>2.6680781E-4</v>
      </c>
      <c r="Z224" s="13">
        <v>6.3889743799999997E-3</v>
      </c>
      <c r="AA224" s="13">
        <v>7.4939589969999998E-2</v>
      </c>
      <c r="AB224" s="13">
        <v>0.28976432518</v>
      </c>
      <c r="AC224" s="13">
        <v>0.53789252217999906</v>
      </c>
      <c r="AD224" s="13">
        <v>0.65758977716</v>
      </c>
      <c r="AE224" s="13" t="s">
        <v>94</v>
      </c>
    </row>
    <row r="225" spans="1:31">
      <c r="A225" s="13" t="s">
        <v>260</v>
      </c>
      <c r="B225" s="13" t="s">
        <v>1</v>
      </c>
      <c r="C225" s="13" t="s">
        <v>122</v>
      </c>
      <c r="D225" s="13" t="str">
        <f>IFERROR(VLOOKUP(C225,ghg_sort!$A$86:$B$512,2,0),0)</f>
        <v>Electricity</v>
      </c>
      <c r="E225" s="12" t="s">
        <v>86</v>
      </c>
      <c r="F225" s="13">
        <f>IFERROR(VLOOKUP($E225,ghg_sort!$A$3:$B$21,2,0),0)</f>
        <v>3.6666666666666701</v>
      </c>
      <c r="G225" s="13">
        <f t="shared" si="34"/>
        <v>0</v>
      </c>
      <c r="H225" s="13">
        <f t="shared" si="35"/>
        <v>0</v>
      </c>
      <c r="I225" s="13">
        <f t="shared" si="36"/>
        <v>0</v>
      </c>
      <c r="J225" s="13">
        <f t="shared" si="37"/>
        <v>0</v>
      </c>
      <c r="K225" s="13">
        <f t="shared" si="38"/>
        <v>0</v>
      </c>
      <c r="L225" s="13">
        <f t="shared" si="39"/>
        <v>1.1075469166666676</v>
      </c>
      <c r="M225" s="13">
        <f t="shared" si="40"/>
        <v>4.182991303333301</v>
      </c>
      <c r="N225" s="13">
        <f t="shared" si="41"/>
        <v>6.5379036800000065</v>
      </c>
      <c r="O225" s="13">
        <f t="shared" si="42"/>
        <v>2.9228589133333358</v>
      </c>
      <c r="P225" s="13">
        <f t="shared" si="43"/>
        <v>0.25774067036666654</v>
      </c>
      <c r="Q225" s="13">
        <f t="shared" si="44"/>
        <v>2.9640323460000027E-2</v>
      </c>
      <c r="R225" s="13" t="s">
        <v>239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0.30205824999999997</v>
      </c>
      <c r="Z225" s="13">
        <v>1.1408158099999901</v>
      </c>
      <c r="AA225" s="13">
        <v>1.7830646400000001</v>
      </c>
      <c r="AB225" s="13">
        <v>0.79714333999999998</v>
      </c>
      <c r="AC225" s="13">
        <v>7.0292910099999897E-2</v>
      </c>
      <c r="AD225" s="13">
        <v>8.0837245799999999E-3</v>
      </c>
      <c r="AE225" s="13" t="s">
        <v>94</v>
      </c>
    </row>
    <row r="226" spans="1:31">
      <c r="A226" s="13" t="s">
        <v>260</v>
      </c>
      <c r="B226" s="13" t="s">
        <v>1</v>
      </c>
      <c r="C226" s="13" t="s">
        <v>133</v>
      </c>
      <c r="D226" s="13" t="str">
        <f>IFERROR(VLOOKUP(C226,ghg_sort!$A$86:$B$512,2,0),0)</f>
        <v>Electricity</v>
      </c>
      <c r="E226" s="12" t="s">
        <v>86</v>
      </c>
      <c r="F226" s="13">
        <f>IFERROR(VLOOKUP($E226,ghg_sort!$A$3:$B$21,2,0),0)</f>
        <v>3.6666666666666701</v>
      </c>
      <c r="G226" s="13">
        <f t="shared" si="34"/>
        <v>0</v>
      </c>
      <c r="H226" s="13">
        <f t="shared" si="35"/>
        <v>0</v>
      </c>
      <c r="I226" s="13">
        <f t="shared" si="36"/>
        <v>0</v>
      </c>
      <c r="J226" s="13">
        <f t="shared" si="37"/>
        <v>0</v>
      </c>
      <c r="K226" s="13">
        <f t="shared" si="38"/>
        <v>0</v>
      </c>
      <c r="L226" s="13">
        <f t="shared" si="39"/>
        <v>4.4995390000000042E-4</v>
      </c>
      <c r="M226" s="13">
        <f t="shared" si="40"/>
        <v>1.3955738170000013E-2</v>
      </c>
      <c r="N226" s="13">
        <f t="shared" si="41"/>
        <v>0.25021629490000025</v>
      </c>
      <c r="O226" s="13">
        <f t="shared" si="42"/>
        <v>0.96347430410000079</v>
      </c>
      <c r="P226" s="13">
        <f t="shared" si="43"/>
        <v>1.4844662732899978</v>
      </c>
      <c r="Q226" s="13">
        <f t="shared" si="44"/>
        <v>1.2488111171800012</v>
      </c>
      <c r="R226" s="13" t="s">
        <v>239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4">
        <v>1.227147E-4</v>
      </c>
      <c r="Z226" s="13">
        <v>3.8061104099999998E-3</v>
      </c>
      <c r="AA226" s="13">
        <v>6.8240807700000003E-2</v>
      </c>
      <c r="AB226" s="13">
        <v>0.26276571929999998</v>
      </c>
      <c r="AC226" s="13">
        <v>0.404854438169999</v>
      </c>
      <c r="AD226" s="13">
        <v>0.34058485014000001</v>
      </c>
      <c r="AE226" s="13" t="s">
        <v>94</v>
      </c>
    </row>
    <row r="227" spans="1:31">
      <c r="A227" s="13" t="s">
        <v>260</v>
      </c>
      <c r="B227" s="13" t="s">
        <v>1</v>
      </c>
      <c r="C227" s="13" t="s">
        <v>123</v>
      </c>
      <c r="D227" s="13" t="str">
        <f>IFERROR(VLOOKUP(C227,ghg_sort!$A$86:$B$512,2,0),0)</f>
        <v>Electricity</v>
      </c>
      <c r="E227" s="12" t="s">
        <v>86</v>
      </c>
      <c r="F227" s="13">
        <f>IFERROR(VLOOKUP($E227,ghg_sort!$A$3:$B$21,2,0),0)</f>
        <v>3.6666666666666701</v>
      </c>
      <c r="G227" s="13">
        <f t="shared" si="34"/>
        <v>0</v>
      </c>
      <c r="H227" s="13">
        <f t="shared" si="35"/>
        <v>3.5302914166666699E-2</v>
      </c>
      <c r="I227" s="13">
        <f t="shared" si="36"/>
        <v>0.31065643766666695</v>
      </c>
      <c r="J227" s="13">
        <f t="shared" si="37"/>
        <v>1.9439673000000015</v>
      </c>
      <c r="K227" s="13">
        <f t="shared" si="38"/>
        <v>4.637401010000004</v>
      </c>
      <c r="L227" s="13">
        <f t="shared" si="39"/>
        <v>8.7313490733333428</v>
      </c>
      <c r="M227" s="13">
        <f t="shared" si="40"/>
        <v>16.514561800000017</v>
      </c>
      <c r="N227" s="13">
        <f t="shared" si="41"/>
        <v>21.135652560000022</v>
      </c>
      <c r="O227" s="13">
        <f t="shared" si="42"/>
        <v>18.81840801133335</v>
      </c>
      <c r="P227" s="13">
        <f t="shared" si="43"/>
        <v>2.3445720499666689</v>
      </c>
      <c r="Q227" s="13">
        <f t="shared" si="44"/>
        <v>9.6392122016666762E-2</v>
      </c>
      <c r="R227" s="13" t="s">
        <v>239</v>
      </c>
      <c r="T227" s="13">
        <v>0</v>
      </c>
      <c r="U227" s="13">
        <v>9.6280675000000003E-3</v>
      </c>
      <c r="V227" s="13">
        <v>8.4724483000000003E-2</v>
      </c>
      <c r="W227" s="13">
        <v>0.53017289999999995</v>
      </c>
      <c r="X227" s="13">
        <v>1.26474573</v>
      </c>
      <c r="Y227" s="13">
        <v>2.3812770200000002</v>
      </c>
      <c r="Z227" s="13">
        <v>4.5039714000000002</v>
      </c>
      <c r="AA227" s="13">
        <v>5.7642688800000004</v>
      </c>
      <c r="AB227" s="13">
        <v>5.1322930939999996</v>
      </c>
      <c r="AC227" s="13">
        <v>0.63942874090000001</v>
      </c>
      <c r="AD227" s="13">
        <v>2.6288760550000002E-2</v>
      </c>
      <c r="AE227" s="13" t="s">
        <v>94</v>
      </c>
    </row>
    <row r="228" spans="1:31">
      <c r="A228" s="13" t="s">
        <v>260</v>
      </c>
      <c r="B228" s="13" t="s">
        <v>1</v>
      </c>
      <c r="C228" s="13" t="s">
        <v>125</v>
      </c>
      <c r="D228" s="13" t="str">
        <f>IFERROR(VLOOKUP(C228,ghg_sort!$A$86:$B$512,2,0),0)</f>
        <v>Electricity</v>
      </c>
      <c r="E228" s="12" t="s">
        <v>86</v>
      </c>
      <c r="F228" s="13">
        <f>IFERROR(VLOOKUP($E228,ghg_sort!$A$3:$B$21,2,0),0)</f>
        <v>3.6666666666666701</v>
      </c>
      <c r="G228" s="13">
        <f t="shared" si="34"/>
        <v>16.442807333333349</v>
      </c>
      <c r="H228" s="13">
        <f t="shared" si="35"/>
        <v>135.9083696666668</v>
      </c>
      <c r="I228" s="13">
        <f t="shared" si="36"/>
        <v>198.08646366666648</v>
      </c>
      <c r="J228" s="13">
        <f t="shared" si="37"/>
        <v>206.94172033333354</v>
      </c>
      <c r="K228" s="13">
        <f t="shared" si="38"/>
        <v>189.90223340000017</v>
      </c>
      <c r="L228" s="13">
        <f t="shared" si="39"/>
        <v>151.25356546666683</v>
      </c>
      <c r="M228" s="13">
        <f t="shared" si="40"/>
        <v>65.045319900000067</v>
      </c>
      <c r="N228" s="13">
        <f t="shared" si="41"/>
        <v>14.443352403333346</v>
      </c>
      <c r="O228" s="13">
        <f t="shared" si="42"/>
        <v>1.9907962066666685</v>
      </c>
      <c r="P228" s="13">
        <f t="shared" si="43"/>
        <v>6.9711447666666732E-2</v>
      </c>
      <c r="Q228" s="13">
        <f t="shared" si="44"/>
        <v>0</v>
      </c>
      <c r="R228" s="13" t="s">
        <v>239</v>
      </c>
      <c r="T228" s="13">
        <v>4.4844020000000002</v>
      </c>
      <c r="U228" s="13">
        <v>37.065919000000001</v>
      </c>
      <c r="V228" s="13">
        <v>54.023580999999901</v>
      </c>
      <c r="W228" s="13">
        <v>56.438651</v>
      </c>
      <c r="X228" s="13">
        <v>51.791518199999999</v>
      </c>
      <c r="Y228" s="14">
        <v>41.250972400000002</v>
      </c>
      <c r="Z228" s="13">
        <v>17.739632700000001</v>
      </c>
      <c r="AA228" s="13">
        <v>3.9390961099999999</v>
      </c>
      <c r="AB228" s="13">
        <v>0.54294441999999998</v>
      </c>
      <c r="AC228" s="13">
        <v>1.9012213E-2</v>
      </c>
      <c r="AD228" s="13">
        <v>0</v>
      </c>
      <c r="AE228" s="13" t="s">
        <v>94</v>
      </c>
    </row>
    <row r="229" spans="1:31">
      <c r="A229" s="13" t="s">
        <v>260</v>
      </c>
      <c r="B229" s="13" t="s">
        <v>1</v>
      </c>
      <c r="C229" s="13" t="s">
        <v>136</v>
      </c>
      <c r="D229" s="13" t="str">
        <f>IFERROR(VLOOKUP(C229,ghg_sort!$A$86:$B$512,2,0),0)</f>
        <v>Electricity</v>
      </c>
      <c r="E229" s="12" t="s">
        <v>86</v>
      </c>
      <c r="F229" s="13">
        <f>IFERROR(VLOOKUP($E229,ghg_sort!$A$3:$B$21,2,0),0)</f>
        <v>3.6666666666666701</v>
      </c>
      <c r="G229" s="13">
        <f t="shared" si="34"/>
        <v>0</v>
      </c>
      <c r="H229" s="13">
        <f t="shared" si="35"/>
        <v>0</v>
      </c>
      <c r="I229" s="13">
        <f t="shared" si="36"/>
        <v>0</v>
      </c>
      <c r="J229" s="13">
        <f t="shared" si="37"/>
        <v>0</v>
      </c>
      <c r="K229" s="13">
        <f t="shared" si="38"/>
        <v>0</v>
      </c>
      <c r="L229" s="13">
        <f t="shared" si="39"/>
        <v>0</v>
      </c>
      <c r="M229" s="13">
        <f t="shared" si="40"/>
        <v>0.29246257333333364</v>
      </c>
      <c r="N229" s="13">
        <f t="shared" si="41"/>
        <v>0.78333555666666377</v>
      </c>
      <c r="O229" s="13">
        <f t="shared" si="42"/>
        <v>1.5351465433333347</v>
      </c>
      <c r="P229" s="13">
        <f t="shared" si="43"/>
        <v>2.6307947966666689</v>
      </c>
      <c r="Q229" s="13">
        <f t="shared" si="44"/>
        <v>3.3745481000000028</v>
      </c>
      <c r="R229" s="13" t="s">
        <v>239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7.9762520000000003E-2</v>
      </c>
      <c r="AA229" s="13">
        <v>0.21363696999999901</v>
      </c>
      <c r="AB229" s="13">
        <v>0.41867632999999999</v>
      </c>
      <c r="AC229" s="13">
        <v>0.71748948999999995</v>
      </c>
      <c r="AD229" s="13">
        <v>0.92033129999999996</v>
      </c>
      <c r="AE229" s="13" t="s">
        <v>94</v>
      </c>
    </row>
    <row r="230" spans="1:31">
      <c r="A230" s="13" t="s">
        <v>260</v>
      </c>
      <c r="B230" s="13" t="s">
        <v>1</v>
      </c>
      <c r="C230" s="13" t="s">
        <v>126</v>
      </c>
      <c r="D230" s="13" t="str">
        <f>IFERROR(VLOOKUP(C230,ghg_sort!$A$86:$B$512,2,0),0)</f>
        <v>Electricity</v>
      </c>
      <c r="E230" s="12" t="s">
        <v>86</v>
      </c>
      <c r="F230" s="13">
        <f>IFERROR(VLOOKUP($E230,ghg_sort!$A$3:$B$21,2,0),0)</f>
        <v>3.6666666666666701</v>
      </c>
      <c r="G230" s="13">
        <f t="shared" si="34"/>
        <v>3.121930533333336</v>
      </c>
      <c r="H230" s="13">
        <f t="shared" si="35"/>
        <v>21.110759633333352</v>
      </c>
      <c r="I230" s="13">
        <f t="shared" si="36"/>
        <v>24.39629426666669</v>
      </c>
      <c r="J230" s="13">
        <f t="shared" si="37"/>
        <v>39.598740133333372</v>
      </c>
      <c r="K230" s="13">
        <f t="shared" si="38"/>
        <v>47.245811433333373</v>
      </c>
      <c r="L230" s="13">
        <f t="shared" si="39"/>
        <v>53.975502900000052</v>
      </c>
      <c r="M230" s="13">
        <f t="shared" si="40"/>
        <v>60.774830233333383</v>
      </c>
      <c r="N230" s="13">
        <f t="shared" si="41"/>
        <v>55.460862233333387</v>
      </c>
      <c r="O230" s="13">
        <f t="shared" si="42"/>
        <v>37.425255303333365</v>
      </c>
      <c r="P230" s="13">
        <f t="shared" si="43"/>
        <v>15.072984740000015</v>
      </c>
      <c r="Q230" s="13">
        <f t="shared" si="44"/>
        <v>4.2003714133333379</v>
      </c>
      <c r="R230" s="13" t="s">
        <v>239</v>
      </c>
      <c r="T230" s="13">
        <v>0.85143559999999996</v>
      </c>
      <c r="U230" s="13">
        <v>5.7574798999999999</v>
      </c>
      <c r="V230" s="13">
        <v>6.6535348000000001</v>
      </c>
      <c r="W230" s="13">
        <v>10.7996564</v>
      </c>
      <c r="X230" s="13">
        <v>12.8852213</v>
      </c>
      <c r="Y230" s="13">
        <v>14.7205917</v>
      </c>
      <c r="Z230" s="13">
        <v>16.574953699999998</v>
      </c>
      <c r="AA230" s="13">
        <v>15.125689700000001</v>
      </c>
      <c r="AB230" s="13">
        <v>10.20688781</v>
      </c>
      <c r="AC230" s="13">
        <v>4.1108140200000003</v>
      </c>
      <c r="AD230" s="13">
        <v>1.1455558400000001</v>
      </c>
      <c r="AE230" s="13" t="s">
        <v>94</v>
      </c>
    </row>
    <row r="231" spans="1:31">
      <c r="A231" s="13" t="s">
        <v>260</v>
      </c>
      <c r="B231" s="13" t="s">
        <v>1</v>
      </c>
      <c r="C231" s="13" t="s">
        <v>127</v>
      </c>
      <c r="D231" s="13" t="str">
        <f>IFERROR(VLOOKUP(C231,ghg_sort!$A$86:$B$512,2,0),0)</f>
        <v>Electricity</v>
      </c>
      <c r="E231" s="12" t="s">
        <v>86</v>
      </c>
      <c r="F231" s="13">
        <f>IFERROR(VLOOKUP($E231,ghg_sort!$A$3:$B$21,2,0),0)</f>
        <v>3.6666666666666701</v>
      </c>
      <c r="G231" s="13">
        <f t="shared" si="34"/>
        <v>1.3178746166666679</v>
      </c>
      <c r="H231" s="13">
        <f t="shared" si="35"/>
        <v>1.6309016533333314</v>
      </c>
      <c r="I231" s="13">
        <f t="shared" si="36"/>
        <v>13.912943733333346</v>
      </c>
      <c r="J231" s="13">
        <f t="shared" si="37"/>
        <v>0.49971057033333383</v>
      </c>
      <c r="K231" s="13">
        <f t="shared" si="38"/>
        <v>0.50406074033333381</v>
      </c>
      <c r="L231" s="13">
        <f t="shared" si="39"/>
        <v>0.33953795333333325</v>
      </c>
      <c r="M231" s="13">
        <f t="shared" si="40"/>
        <v>0.24825667166666651</v>
      </c>
      <c r="N231" s="13">
        <f t="shared" si="41"/>
        <v>0.12279019830000013</v>
      </c>
      <c r="O231" s="13">
        <f t="shared" si="42"/>
        <v>3.1570898333333368E-2</v>
      </c>
      <c r="P231" s="13">
        <f t="shared" si="43"/>
        <v>4.6798975666666708E-3</v>
      </c>
      <c r="Q231" s="13">
        <f t="shared" si="44"/>
        <v>0</v>
      </c>
      <c r="R231" s="13" t="s">
        <v>239</v>
      </c>
      <c r="T231" s="14">
        <v>0.35942035</v>
      </c>
      <c r="U231" s="13">
        <v>0.44479135999999903</v>
      </c>
      <c r="V231" s="13">
        <v>3.7944391999999998</v>
      </c>
      <c r="W231" s="13">
        <v>0.13628470100000001</v>
      </c>
      <c r="X231" s="13">
        <v>0.13747111100000001</v>
      </c>
      <c r="Y231" s="13">
        <v>9.2601259999999894E-2</v>
      </c>
      <c r="Z231" s="13">
        <v>6.7706364999999893E-2</v>
      </c>
      <c r="AA231" s="14">
        <v>3.3488235900000003E-2</v>
      </c>
      <c r="AB231" s="14">
        <v>8.6102450000000007E-3</v>
      </c>
      <c r="AC231" s="14">
        <v>1.2763357E-3</v>
      </c>
      <c r="AD231" s="14">
        <v>0</v>
      </c>
      <c r="AE231" s="13" t="s">
        <v>94</v>
      </c>
    </row>
    <row r="232" spans="1:31">
      <c r="A232" s="13" t="s">
        <v>260</v>
      </c>
      <c r="B232" s="13" t="s">
        <v>1</v>
      </c>
      <c r="C232" s="13" t="s">
        <v>129</v>
      </c>
      <c r="D232" s="13" t="str">
        <f>IFERROR(VLOOKUP(C232,ghg_sort!$A$86:$B$512,2,0),0)</f>
        <v>Electricity</v>
      </c>
      <c r="E232" s="12" t="s">
        <v>86</v>
      </c>
      <c r="F232" s="13">
        <f>IFERROR(VLOOKUP($E232,ghg_sort!$A$3:$B$21,2,0),0)</f>
        <v>3.6666666666666701</v>
      </c>
      <c r="G232" s="13">
        <f t="shared" si="34"/>
        <v>13.571061533333346</v>
      </c>
      <c r="H232" s="13">
        <f t="shared" si="35"/>
        <v>15.141381200000014</v>
      </c>
      <c r="I232" s="13">
        <f t="shared" si="36"/>
        <v>9.8372376666666757</v>
      </c>
      <c r="J232" s="13">
        <f t="shared" si="37"/>
        <v>6.77068663333334</v>
      </c>
      <c r="K232" s="13">
        <f t="shared" si="38"/>
        <v>1.6090223966666681</v>
      </c>
      <c r="L232" s="13">
        <f t="shared" si="39"/>
        <v>1.7139858266666683</v>
      </c>
      <c r="M232" s="13">
        <f t="shared" si="40"/>
        <v>1.6445944533333348</v>
      </c>
      <c r="N232" s="13">
        <f t="shared" si="41"/>
        <v>1.2110922633333343</v>
      </c>
      <c r="O232" s="13">
        <f t="shared" si="42"/>
        <v>0.46408609866666706</v>
      </c>
      <c r="P232" s="13">
        <f t="shared" si="43"/>
        <v>0.10448856366666677</v>
      </c>
      <c r="Q232" s="13">
        <f t="shared" si="44"/>
        <v>2.1740512566666651E-2</v>
      </c>
      <c r="R232" s="13" t="s">
        <v>239</v>
      </c>
      <c r="T232" s="14">
        <v>3.7011986000000001</v>
      </c>
      <c r="U232" s="13">
        <v>4.1294675999999999</v>
      </c>
      <c r="V232" s="13">
        <v>2.6828829999999999</v>
      </c>
      <c r="W232" s="13">
        <v>1.8465509</v>
      </c>
      <c r="X232" s="13">
        <v>0.43882429000000001</v>
      </c>
      <c r="Y232" s="13">
        <v>0.46745068000000001</v>
      </c>
      <c r="Z232" s="13">
        <v>0.44852576</v>
      </c>
      <c r="AA232" s="13">
        <v>0.33029788999999998</v>
      </c>
      <c r="AB232" s="13">
        <v>0.12656893599999999</v>
      </c>
      <c r="AC232" s="13">
        <v>2.8496881000000002E-2</v>
      </c>
      <c r="AD232" s="13">
        <v>5.92923069999999E-3</v>
      </c>
      <c r="AE232" s="13" t="s">
        <v>94</v>
      </c>
    </row>
    <row r="233" spans="1:31">
      <c r="A233" s="13" t="s">
        <v>260</v>
      </c>
      <c r="B233" s="13" t="s">
        <v>1</v>
      </c>
      <c r="C233" s="13" t="s">
        <v>59</v>
      </c>
      <c r="D233" s="13" t="str">
        <f>IFERROR(VLOOKUP(C233,ghg_sort!$A$86:$B$512,2,0),0)</f>
        <v>Electricity</v>
      </c>
      <c r="E233" s="12" t="s">
        <v>83</v>
      </c>
      <c r="F233" s="13">
        <f>IFERROR(VLOOKUP($E233,ghg_sort!$A$3:$B$21,2,0),0)</f>
        <v>0</v>
      </c>
      <c r="G233" s="13">
        <f t="shared" si="34"/>
        <v>0</v>
      </c>
      <c r="H233" s="13">
        <f t="shared" si="35"/>
        <v>0</v>
      </c>
      <c r="I233" s="13">
        <f t="shared" si="36"/>
        <v>0</v>
      </c>
      <c r="J233" s="13">
        <f t="shared" si="37"/>
        <v>0</v>
      </c>
      <c r="K233" s="13">
        <f t="shared" si="38"/>
        <v>0</v>
      </c>
      <c r="L233" s="13">
        <f t="shared" si="39"/>
        <v>0</v>
      </c>
      <c r="M233" s="13">
        <f t="shared" si="40"/>
        <v>0</v>
      </c>
      <c r="N233" s="13">
        <f t="shared" si="41"/>
        <v>0</v>
      </c>
      <c r="O233" s="13">
        <f t="shared" si="42"/>
        <v>0</v>
      </c>
      <c r="P233" s="13">
        <f t="shared" si="43"/>
        <v>0</v>
      </c>
      <c r="Q233" s="13">
        <f t="shared" si="44"/>
        <v>0</v>
      </c>
      <c r="R233" s="13" t="s">
        <v>239</v>
      </c>
      <c r="T233" s="14">
        <v>5.0151600000000003E-4</v>
      </c>
      <c r="U233" s="13">
        <v>1.4306307999999901E-3</v>
      </c>
      <c r="V233" s="13">
        <v>1.932923E-3</v>
      </c>
      <c r="W233" s="13">
        <v>2.7986129999999902E-3</v>
      </c>
      <c r="X233" s="13">
        <v>2.1370337789999999E-3</v>
      </c>
      <c r="Y233" s="13">
        <v>2.1027544346199998E-3</v>
      </c>
      <c r="Z233" s="13">
        <v>2.5796013192120001E-3</v>
      </c>
      <c r="AA233" s="13">
        <v>2.6415721522E-3</v>
      </c>
      <c r="AB233" s="13">
        <v>1.974995933E-3</v>
      </c>
      <c r="AC233" s="14">
        <v>2.1194455978000001E-4</v>
      </c>
      <c r="AD233" s="14">
        <v>8.0775169309999999E-6</v>
      </c>
      <c r="AE233" s="13" t="s">
        <v>94</v>
      </c>
    </row>
    <row r="234" spans="1:31">
      <c r="A234" s="13" t="s">
        <v>260</v>
      </c>
      <c r="B234" s="13" t="s">
        <v>1</v>
      </c>
      <c r="C234" s="13" t="s">
        <v>59</v>
      </c>
      <c r="D234" s="13" t="str">
        <f>IFERROR(VLOOKUP(C234,ghg_sort!$A$86:$B$512,2,0),0)</f>
        <v>Electricity</v>
      </c>
      <c r="E234" s="12" t="s">
        <v>84</v>
      </c>
      <c r="F234" s="13">
        <f>IFERROR(VLOOKUP($E234,ghg_sort!$A$3:$B$21,2,0),0)</f>
        <v>25</v>
      </c>
      <c r="G234" s="13">
        <f t="shared" si="34"/>
        <v>1.7249999999999998E-2</v>
      </c>
      <c r="H234" s="13">
        <f t="shared" si="35"/>
        <v>8.272703549999999E-2</v>
      </c>
      <c r="I234" s="13">
        <f t="shared" si="36"/>
        <v>0.1254970825</v>
      </c>
      <c r="J234" s="13">
        <f t="shared" si="37"/>
        <v>0.144505305</v>
      </c>
      <c r="K234" s="13">
        <f t="shared" si="38"/>
        <v>2.7705027500000003E-2</v>
      </c>
      <c r="L234" s="13">
        <f t="shared" si="39"/>
        <v>3.0545002245000001E-2</v>
      </c>
      <c r="M234" s="13">
        <f t="shared" si="40"/>
        <v>3.5398695374999754E-2</v>
      </c>
      <c r="N234" s="13">
        <f t="shared" si="41"/>
        <v>3.7326922499999748E-2</v>
      </c>
      <c r="O234" s="13">
        <f t="shared" si="42"/>
        <v>3.3200432500000002E-2</v>
      </c>
      <c r="P234" s="13">
        <f t="shared" si="43"/>
        <v>1.7353685825E-2</v>
      </c>
      <c r="Q234" s="13">
        <f t="shared" si="44"/>
        <v>1.5266034474999999E-2</v>
      </c>
      <c r="R234" s="13" t="s">
        <v>239</v>
      </c>
      <c r="T234" s="14">
        <v>6.8999999999999997E-4</v>
      </c>
      <c r="U234" s="13">
        <v>3.3090814199999998E-3</v>
      </c>
      <c r="V234" s="13">
        <v>5.0198832999999998E-3</v>
      </c>
      <c r="W234" s="13">
        <v>5.7802121999999999E-3</v>
      </c>
      <c r="X234" s="14">
        <v>1.1082011000000001E-3</v>
      </c>
      <c r="Y234" s="13">
        <v>1.2218000898E-3</v>
      </c>
      <c r="Z234" s="13">
        <v>1.4159478149999901E-3</v>
      </c>
      <c r="AA234" s="13">
        <v>1.49307689999999E-3</v>
      </c>
      <c r="AB234" s="13">
        <v>1.3280173E-3</v>
      </c>
      <c r="AC234" s="14">
        <v>6.94147433E-4</v>
      </c>
      <c r="AD234" s="14">
        <v>6.1064137899999999E-4</v>
      </c>
      <c r="AE234" s="13" t="s">
        <v>94</v>
      </c>
    </row>
    <row r="235" spans="1:31">
      <c r="A235" s="13" t="s">
        <v>260</v>
      </c>
      <c r="B235" s="13" t="s">
        <v>1</v>
      </c>
      <c r="C235" s="13" t="s">
        <v>59</v>
      </c>
      <c r="D235" s="13" t="str">
        <f>IFERROR(VLOOKUP(C235,ghg_sort!$A$86:$B$512,2,0),0)</f>
        <v>Electricity</v>
      </c>
      <c r="E235" s="12" t="s">
        <v>85</v>
      </c>
      <c r="F235" s="13">
        <f>IFERROR(VLOOKUP($E235,ghg_sort!$A$3:$B$21,2,0),0)</f>
        <v>0</v>
      </c>
      <c r="G235" s="13">
        <f t="shared" si="34"/>
        <v>0</v>
      </c>
      <c r="H235" s="13">
        <f t="shared" si="35"/>
        <v>0</v>
      </c>
      <c r="I235" s="13">
        <f t="shared" si="36"/>
        <v>0</v>
      </c>
      <c r="J235" s="13">
        <f t="shared" si="37"/>
        <v>0</v>
      </c>
      <c r="K235" s="13">
        <f t="shared" si="38"/>
        <v>0</v>
      </c>
      <c r="L235" s="13">
        <f t="shared" si="39"/>
        <v>0</v>
      </c>
      <c r="M235" s="13">
        <f t="shared" si="40"/>
        <v>0</v>
      </c>
      <c r="N235" s="13">
        <f t="shared" si="41"/>
        <v>0</v>
      </c>
      <c r="O235" s="13">
        <f t="shared" si="42"/>
        <v>0</v>
      </c>
      <c r="P235" s="13">
        <f t="shared" si="43"/>
        <v>0</v>
      </c>
      <c r="Q235" s="13">
        <f t="shared" si="44"/>
        <v>0</v>
      </c>
      <c r="R235" s="13" t="s">
        <v>239</v>
      </c>
      <c r="T235" s="14">
        <v>1.21900009999999E-2</v>
      </c>
      <c r="U235" s="14">
        <v>2.470931979E-2</v>
      </c>
      <c r="V235" s="13">
        <v>2.7759407099999901E-2</v>
      </c>
      <c r="W235" s="13">
        <v>3.0410586399999998E-2</v>
      </c>
      <c r="X235" s="13">
        <v>2.2171296399999998E-2</v>
      </c>
      <c r="Y235" s="13">
        <v>1.8016859069999999E-2</v>
      </c>
      <c r="Z235" s="13">
        <v>1.7856773399999901E-2</v>
      </c>
      <c r="AA235" s="13">
        <v>1.81870287E-2</v>
      </c>
      <c r="AB235" s="13">
        <v>1.966278887E-2</v>
      </c>
      <c r="AC235" s="13">
        <v>2.2104419571000001E-2</v>
      </c>
      <c r="AD235" s="13">
        <v>2.3197375754000001E-2</v>
      </c>
      <c r="AE235" s="13" t="s">
        <v>94</v>
      </c>
    </row>
    <row r="236" spans="1:31">
      <c r="A236" s="13" t="s">
        <v>260</v>
      </c>
      <c r="B236" s="13" t="s">
        <v>1</v>
      </c>
      <c r="C236" s="13" t="s">
        <v>59</v>
      </c>
      <c r="D236" s="13" t="str">
        <f>IFERROR(VLOOKUP(C236,ghg_sort!$A$86:$B$512,2,0),0)</f>
        <v>Electricity</v>
      </c>
      <c r="E236" s="12" t="s">
        <v>87</v>
      </c>
      <c r="F236" s="13">
        <f>IFERROR(VLOOKUP($E236,ghg_sort!$A$3:$B$21,2,0),0)</f>
        <v>298</v>
      </c>
      <c r="G236" s="13">
        <f t="shared" si="34"/>
        <v>9.5360000000000014E-2</v>
      </c>
      <c r="H236" s="13">
        <f t="shared" si="35"/>
        <v>1.4445891746399973</v>
      </c>
      <c r="I236" s="13">
        <f t="shared" si="36"/>
        <v>2.0983008439999997</v>
      </c>
      <c r="J236" s="13">
        <f t="shared" si="37"/>
        <v>2.391525095999997</v>
      </c>
      <c r="K236" s="13">
        <f t="shared" si="38"/>
        <v>1.7607453968</v>
      </c>
      <c r="L236" s="13">
        <f t="shared" si="39"/>
        <v>1.4706668707204971</v>
      </c>
      <c r="M236" s="13">
        <f t="shared" si="40"/>
        <v>0.80728977273399993</v>
      </c>
      <c r="N236" s="13">
        <f t="shared" si="41"/>
        <v>0.41244196214000001</v>
      </c>
      <c r="O236" s="13">
        <f t="shared" si="42"/>
        <v>0.26755092023999971</v>
      </c>
      <c r="P236" s="13">
        <f t="shared" si="43"/>
        <v>6.3708109991999995E-2</v>
      </c>
      <c r="Q236" s="13">
        <f t="shared" si="44"/>
        <v>3.7380139967399702E-2</v>
      </c>
      <c r="R236" s="13" t="s">
        <v>239</v>
      </c>
      <c r="T236" s="14">
        <v>3.2000000000000003E-4</v>
      </c>
      <c r="U236" s="13">
        <v>4.8476146799999904E-3</v>
      </c>
      <c r="V236" s="13">
        <v>7.0412779999999998E-3</v>
      </c>
      <c r="W236" s="13">
        <v>8.0252519999999897E-3</v>
      </c>
      <c r="X236" s="14">
        <v>5.9085416E-3</v>
      </c>
      <c r="Y236" s="14">
        <v>4.9351237272499899E-3</v>
      </c>
      <c r="Z236" s="14">
        <v>2.7090260829999999E-3</v>
      </c>
      <c r="AA236" s="14">
        <v>1.38403343E-3</v>
      </c>
      <c r="AB236" s="14">
        <v>8.9782187999999901E-4</v>
      </c>
      <c r="AC236" s="14">
        <v>2.13785604E-4</v>
      </c>
      <c r="AD236" s="14">
        <v>1.25436711299999E-4</v>
      </c>
      <c r="AE236" s="13" t="s">
        <v>94</v>
      </c>
    </row>
    <row r="237" spans="1:31">
      <c r="A237" s="13" t="s">
        <v>260</v>
      </c>
      <c r="B237" s="13" t="s">
        <v>1</v>
      </c>
      <c r="C237" s="13" t="s">
        <v>59</v>
      </c>
      <c r="D237" s="13" t="str">
        <f>IFERROR(VLOOKUP(C237,ghg_sort!$A$86:$B$512,2,0),0)</f>
        <v>Electricity</v>
      </c>
      <c r="E237" s="12" t="s">
        <v>88</v>
      </c>
      <c r="F237" s="13">
        <f>IFERROR(VLOOKUP($E237,ghg_sort!$A$3:$B$21,2,0),0)</f>
        <v>0</v>
      </c>
      <c r="G237" s="13">
        <f t="shared" si="34"/>
        <v>0</v>
      </c>
      <c r="H237" s="13">
        <f t="shared" si="35"/>
        <v>0</v>
      </c>
      <c r="I237" s="13">
        <f t="shared" si="36"/>
        <v>0</v>
      </c>
      <c r="J237" s="13">
        <f t="shared" si="37"/>
        <v>0</v>
      </c>
      <c r="K237" s="13">
        <f t="shared" si="38"/>
        <v>0</v>
      </c>
      <c r="L237" s="13">
        <f t="shared" si="39"/>
        <v>0</v>
      </c>
      <c r="M237" s="13">
        <f t="shared" si="40"/>
        <v>0</v>
      </c>
      <c r="N237" s="13">
        <f t="shared" si="41"/>
        <v>0</v>
      </c>
      <c r="O237" s="13">
        <f t="shared" si="42"/>
        <v>0</v>
      </c>
      <c r="P237" s="13">
        <f t="shared" si="43"/>
        <v>0</v>
      </c>
      <c r="Q237" s="13">
        <f t="shared" si="44"/>
        <v>0</v>
      </c>
      <c r="R237" s="13" t="s">
        <v>239</v>
      </c>
      <c r="T237" s="14">
        <v>3.8999999999999999E-4</v>
      </c>
      <c r="U237" s="14">
        <v>8.3848117400000003E-4</v>
      </c>
      <c r="V237" s="13">
        <v>1.40578632E-3</v>
      </c>
      <c r="W237" s="13">
        <v>1.3842823799999999E-3</v>
      </c>
      <c r="X237" s="13">
        <v>1.4462283399999901E-3</v>
      </c>
      <c r="Y237" s="13">
        <v>1.54085326999999E-3</v>
      </c>
      <c r="Z237" s="13">
        <v>1.5774692299999999E-3</v>
      </c>
      <c r="AA237" s="13">
        <v>1.4154149700000001E-3</v>
      </c>
      <c r="AB237" s="14">
        <v>9.9370220100000002E-4</v>
      </c>
      <c r="AC237" s="14">
        <v>3.3665721260000002E-4</v>
      </c>
      <c r="AD237" s="14">
        <v>8.7768228000000001E-5</v>
      </c>
      <c r="AE237" s="13" t="s">
        <v>94</v>
      </c>
    </row>
    <row r="238" spans="1:31">
      <c r="A238" s="13" t="s">
        <v>260</v>
      </c>
      <c r="B238" s="13" t="s">
        <v>1</v>
      </c>
      <c r="C238" s="13" t="s">
        <v>59</v>
      </c>
      <c r="D238" s="13" t="str">
        <f>IFERROR(VLOOKUP(C238,ghg_sort!$A$86:$B$512,2,0),0)</f>
        <v>Electricity</v>
      </c>
      <c r="E238" s="33" t="s">
        <v>89</v>
      </c>
      <c r="F238" s="13">
        <f>IFERROR(VLOOKUP($E238,ghg_sort!$A$3:$B$21,2,0),0)</f>
        <v>0</v>
      </c>
      <c r="G238" s="13">
        <f t="shared" si="34"/>
        <v>0</v>
      </c>
      <c r="H238" s="13">
        <f t="shared" si="35"/>
        <v>0</v>
      </c>
      <c r="I238" s="13">
        <f t="shared" si="36"/>
        <v>0</v>
      </c>
      <c r="J238" s="13">
        <f t="shared" si="37"/>
        <v>0</v>
      </c>
      <c r="K238" s="13">
        <f t="shared" si="38"/>
        <v>0</v>
      </c>
      <c r="L238" s="13">
        <f t="shared" si="39"/>
        <v>0</v>
      </c>
      <c r="M238" s="13">
        <f t="shared" si="40"/>
        <v>0</v>
      </c>
      <c r="N238" s="13">
        <f t="shared" si="41"/>
        <v>0</v>
      </c>
      <c r="O238" s="13">
        <f t="shared" si="42"/>
        <v>0</v>
      </c>
      <c r="P238" s="13">
        <f t="shared" si="43"/>
        <v>0</v>
      </c>
      <c r="Q238" s="13">
        <f t="shared" si="44"/>
        <v>0</v>
      </c>
      <c r="R238" s="13" t="s">
        <v>239</v>
      </c>
      <c r="T238" s="14">
        <v>2.3499999999999901E-3</v>
      </c>
      <c r="U238" s="13">
        <v>3.4127760200000001E-3</v>
      </c>
      <c r="V238" s="13">
        <v>3.5886956E-3</v>
      </c>
      <c r="W238" s="13">
        <v>3.6490144E-3</v>
      </c>
      <c r="X238" s="14">
        <v>7.7374769999999902E-4</v>
      </c>
      <c r="Y238" s="14">
        <v>5.5097422725000004E-4</v>
      </c>
      <c r="Z238" s="14">
        <v>3.95567703E-4</v>
      </c>
      <c r="AA238" s="14">
        <v>2.8290402999999999E-4</v>
      </c>
      <c r="AB238" s="14">
        <v>2.0604902999999899E-4</v>
      </c>
      <c r="AC238" s="14">
        <v>8.9566913E-5</v>
      </c>
      <c r="AD238" s="14">
        <v>7.8011618299999994E-5</v>
      </c>
      <c r="AE238" s="13" t="s">
        <v>93</v>
      </c>
    </row>
    <row r="239" spans="1:31">
      <c r="A239" s="13" t="s">
        <v>260</v>
      </c>
      <c r="B239" s="13" t="s">
        <v>1</v>
      </c>
      <c r="C239" s="13" t="s">
        <v>59</v>
      </c>
      <c r="D239" s="13" t="str">
        <f>IFERROR(VLOOKUP(C239,ghg_sort!$A$86:$B$512,2,0),0)</f>
        <v>Electricity</v>
      </c>
      <c r="E239" s="33" t="s">
        <v>90</v>
      </c>
      <c r="F239" s="13">
        <f>IFERROR(VLOOKUP($E239,ghg_sort!$A$3:$B$21,2,0),0)</f>
        <v>0</v>
      </c>
      <c r="G239" s="13">
        <f t="shared" si="34"/>
        <v>0</v>
      </c>
      <c r="H239" s="13">
        <f t="shared" si="35"/>
        <v>0</v>
      </c>
      <c r="I239" s="13">
        <f t="shared" si="36"/>
        <v>0</v>
      </c>
      <c r="J239" s="13">
        <f t="shared" si="37"/>
        <v>0</v>
      </c>
      <c r="K239" s="13">
        <f t="shared" si="38"/>
        <v>0</v>
      </c>
      <c r="L239" s="13">
        <f t="shared" si="39"/>
        <v>0</v>
      </c>
      <c r="M239" s="13">
        <f t="shared" si="40"/>
        <v>0</v>
      </c>
      <c r="N239" s="13">
        <f t="shared" si="41"/>
        <v>0</v>
      </c>
      <c r="O239" s="13">
        <f t="shared" si="42"/>
        <v>0</v>
      </c>
      <c r="P239" s="13">
        <f t="shared" si="43"/>
        <v>0</v>
      </c>
      <c r="Q239" s="13">
        <f t="shared" si="44"/>
        <v>0</v>
      </c>
      <c r="R239" s="13" t="s">
        <v>239</v>
      </c>
      <c r="T239" s="14">
        <v>0.11128005000000001</v>
      </c>
      <c r="U239" s="13">
        <v>0.31240292789999902</v>
      </c>
      <c r="V239" s="13">
        <v>9.7175248800000003E-2</v>
      </c>
      <c r="W239" s="13">
        <v>7.6949529000000003E-2</v>
      </c>
      <c r="X239" s="13">
        <v>4.3334302599999999E-2</v>
      </c>
      <c r="Y239" s="13">
        <v>2.63757161699999E-2</v>
      </c>
      <c r="Z239" s="13">
        <v>1.54623383E-2</v>
      </c>
      <c r="AA239" s="13">
        <v>1.2314816500000001E-2</v>
      </c>
      <c r="AB239" s="14">
        <v>1.3851724069999899E-2</v>
      </c>
      <c r="AC239" s="14">
        <v>1.6007614566E-2</v>
      </c>
      <c r="AD239" s="13">
        <v>1.6786673160000001E-2</v>
      </c>
      <c r="AE239" s="13" t="s">
        <v>93</v>
      </c>
    </row>
    <row r="240" spans="1:31">
      <c r="A240" s="13" t="s">
        <v>260</v>
      </c>
      <c r="B240" s="13" t="s">
        <v>1</v>
      </c>
      <c r="C240" s="13" t="s">
        <v>59</v>
      </c>
      <c r="D240" s="13" t="str">
        <f>IFERROR(VLOOKUP(C240,ghg_sort!$A$86:$B$512,2,0),0)</f>
        <v>Electricity</v>
      </c>
      <c r="E240" s="33" t="s">
        <v>91</v>
      </c>
      <c r="F240" s="13">
        <f>IFERROR(VLOOKUP($E240,ghg_sort!$A$3:$B$21,2,0),0)</f>
        <v>0</v>
      </c>
      <c r="G240" s="13">
        <f t="shared" si="34"/>
        <v>0</v>
      </c>
      <c r="H240" s="13">
        <f t="shared" si="35"/>
        <v>0</v>
      </c>
      <c r="I240" s="13">
        <f t="shared" si="36"/>
        <v>0</v>
      </c>
      <c r="J240" s="13">
        <f t="shared" si="37"/>
        <v>0</v>
      </c>
      <c r="K240" s="13">
        <f t="shared" si="38"/>
        <v>0</v>
      </c>
      <c r="L240" s="13">
        <f t="shared" si="39"/>
        <v>0</v>
      </c>
      <c r="M240" s="13">
        <f t="shared" si="40"/>
        <v>0</v>
      </c>
      <c r="N240" s="13">
        <f t="shared" si="41"/>
        <v>0</v>
      </c>
      <c r="O240" s="13">
        <f t="shared" si="42"/>
        <v>0</v>
      </c>
      <c r="P240" s="13">
        <f t="shared" si="43"/>
        <v>0</v>
      </c>
      <c r="Q240" s="13">
        <f t="shared" si="44"/>
        <v>0</v>
      </c>
      <c r="R240" s="13" t="s">
        <v>239</v>
      </c>
      <c r="T240" s="14">
        <v>3.8999999999999999E-4</v>
      </c>
      <c r="U240" s="13">
        <v>2.2721818999999902E-3</v>
      </c>
      <c r="V240" s="13">
        <v>3.5838269999999999E-3</v>
      </c>
      <c r="W240" s="13">
        <v>4.5562789999999999E-3</v>
      </c>
      <c r="X240" s="13">
        <v>4.3562119799999896E-3</v>
      </c>
      <c r="Y240" s="13">
        <v>4.842732402422E-3</v>
      </c>
      <c r="Z240" s="13">
        <v>6.5723562215000003E-3</v>
      </c>
      <c r="AA240" s="13">
        <v>6.945014712E-3</v>
      </c>
      <c r="AB240" s="13">
        <v>5.2380009189999998E-3</v>
      </c>
      <c r="AC240" s="14">
        <v>5.6797403579999996E-4</v>
      </c>
      <c r="AD240" s="14">
        <v>2.85705221399999E-5</v>
      </c>
      <c r="AE240" s="13" t="s">
        <v>93</v>
      </c>
    </row>
    <row r="241" spans="1:31">
      <c r="A241" s="13" t="s">
        <v>260</v>
      </c>
      <c r="B241" s="13" t="s">
        <v>1</v>
      </c>
      <c r="C241" s="13" t="s">
        <v>59</v>
      </c>
      <c r="D241" s="13" t="str">
        <f>IFERROR(VLOOKUP(C241,ghg_sort!$A$86:$B$512,2,0),0)</f>
        <v>Electricity</v>
      </c>
      <c r="E241" s="33" t="s">
        <v>92</v>
      </c>
      <c r="F241" s="13">
        <f>IFERROR(VLOOKUP($E241,ghg_sort!$A$3:$B$21,2,0),0)</f>
        <v>0</v>
      </c>
      <c r="G241" s="13">
        <f t="shared" si="34"/>
        <v>0</v>
      </c>
      <c r="H241" s="13">
        <f t="shared" si="35"/>
        <v>0</v>
      </c>
      <c r="I241" s="13">
        <f t="shared" si="36"/>
        <v>0</v>
      </c>
      <c r="J241" s="13">
        <f t="shared" si="37"/>
        <v>0</v>
      </c>
      <c r="K241" s="13">
        <f t="shared" si="38"/>
        <v>0</v>
      </c>
      <c r="L241" s="13">
        <f t="shared" si="39"/>
        <v>0</v>
      </c>
      <c r="M241" s="13">
        <f t="shared" si="40"/>
        <v>0</v>
      </c>
      <c r="N241" s="13">
        <f t="shared" si="41"/>
        <v>0</v>
      </c>
      <c r="O241" s="13">
        <f t="shared" si="42"/>
        <v>0</v>
      </c>
      <c r="P241" s="13">
        <f t="shared" si="43"/>
        <v>0</v>
      </c>
      <c r="Q241" s="13">
        <f t="shared" si="44"/>
        <v>0</v>
      </c>
      <c r="R241" s="13" t="s">
        <v>239</v>
      </c>
      <c r="T241" s="14">
        <v>0.10997651525999901</v>
      </c>
      <c r="U241" s="13">
        <v>0.106375661219999</v>
      </c>
      <c r="V241" s="13">
        <v>5.3570554100000001E-2</v>
      </c>
      <c r="W241" s="13">
        <v>6.2168590503999997E-2</v>
      </c>
      <c r="X241" s="13">
        <v>3.5234811618000003E-2</v>
      </c>
      <c r="Y241" s="13">
        <v>2.0087218418999998E-2</v>
      </c>
      <c r="Z241" s="13">
        <v>8.1374292680000005E-3</v>
      </c>
      <c r="AA241" s="13">
        <v>3.1286938630000001E-3</v>
      </c>
      <c r="AB241" s="14">
        <v>1.8586799164999901E-3</v>
      </c>
      <c r="AC241" s="14">
        <v>1.21373113453E-3</v>
      </c>
      <c r="AD241" s="14">
        <v>1.145251586E-3</v>
      </c>
      <c r="AE241" s="13" t="s">
        <v>93</v>
      </c>
    </row>
    <row r="242" spans="1:31">
      <c r="A242" s="13" t="s">
        <v>260</v>
      </c>
      <c r="B242" s="13" t="s">
        <v>1</v>
      </c>
      <c r="C242" s="13" t="s">
        <v>130</v>
      </c>
      <c r="D242" s="13" t="str">
        <f>IFERROR(VLOOKUP(C242,ghg_sort!$A$86:$B$512,2,0),0)</f>
        <v>Electricity</v>
      </c>
      <c r="E242" s="33" t="s">
        <v>103</v>
      </c>
      <c r="F242" s="13">
        <f>IFERROR(VLOOKUP($E242,ghg_sort!$A$3:$B$21,2,0),0)</f>
        <v>22.8</v>
      </c>
      <c r="G242" s="13">
        <f t="shared" si="34"/>
        <v>0.64214148000000004</v>
      </c>
      <c r="H242" s="13">
        <f t="shared" si="35"/>
        <v>2.27809164</v>
      </c>
      <c r="I242" s="13">
        <f t="shared" si="36"/>
        <v>2.9500920000000002</v>
      </c>
      <c r="J242" s="13">
        <f t="shared" si="37"/>
        <v>3.5313780000000001</v>
      </c>
      <c r="K242" s="13">
        <f t="shared" si="38"/>
        <v>3.3788003999999998</v>
      </c>
      <c r="L242" s="13">
        <f t="shared" si="39"/>
        <v>2.8870271999999999</v>
      </c>
      <c r="M242" s="13">
        <f t="shared" si="40"/>
        <v>2.3296356</v>
      </c>
      <c r="N242" s="13">
        <f t="shared" si="41"/>
        <v>2.0436324000000003</v>
      </c>
      <c r="O242" s="13">
        <f t="shared" si="42"/>
        <v>1.9806952799999999</v>
      </c>
      <c r="P242" s="13">
        <f t="shared" si="43"/>
        <v>1.8710204400000001</v>
      </c>
      <c r="Q242" s="13">
        <f t="shared" si="44"/>
        <v>1.97604636</v>
      </c>
      <c r="R242" s="13" t="s">
        <v>239</v>
      </c>
      <c r="T242" s="14">
        <v>2.8164100000000001E-2</v>
      </c>
      <c r="U242" s="14">
        <v>9.99163E-2</v>
      </c>
      <c r="V242" s="13">
        <v>0.12939000000000001</v>
      </c>
      <c r="W242" s="13">
        <v>0.15488499999999999</v>
      </c>
      <c r="X242" s="13">
        <v>0.14819299999999999</v>
      </c>
      <c r="Y242" s="13">
        <v>0.12662399999999999</v>
      </c>
      <c r="Z242" s="13">
        <v>0.102177</v>
      </c>
      <c r="AA242" s="13">
        <v>8.9633000000000004E-2</v>
      </c>
      <c r="AB242" s="14">
        <v>8.6872599999999994E-2</v>
      </c>
      <c r="AC242" s="14">
        <v>8.2062300000000005E-2</v>
      </c>
      <c r="AD242" s="14">
        <v>8.6668700000000001E-2</v>
      </c>
      <c r="AE242" s="13" t="s">
        <v>93</v>
      </c>
    </row>
    <row r="243" spans="1:31">
      <c r="A243" s="13" t="s">
        <v>260</v>
      </c>
      <c r="B243" s="13" t="s">
        <v>1</v>
      </c>
      <c r="C243" s="13" t="s">
        <v>147</v>
      </c>
      <c r="D243" s="13" t="str">
        <f>IFERROR(VLOOKUP(C243,ghg_sort!$A$86:$B$512,2,0),0)</f>
        <v>Industry</v>
      </c>
      <c r="E243" s="33" t="s">
        <v>86</v>
      </c>
      <c r="F243" s="13">
        <f>IFERROR(VLOOKUP($E243,ghg_sort!$A$3:$B$21,2,0),0)</f>
        <v>3.6666666666666701</v>
      </c>
      <c r="G243" s="13">
        <f t="shared" si="34"/>
        <v>4.6110166666666709E-2</v>
      </c>
      <c r="H243" s="13">
        <f t="shared" si="35"/>
        <v>0.20748896666666686</v>
      </c>
      <c r="I243" s="13">
        <f t="shared" si="36"/>
        <v>0.51742900000000047</v>
      </c>
      <c r="J243" s="13">
        <f t="shared" si="37"/>
        <v>0.47375166666666707</v>
      </c>
      <c r="K243" s="13">
        <f t="shared" si="38"/>
        <v>1.0611777000000011</v>
      </c>
      <c r="L243" s="13">
        <f t="shared" si="39"/>
        <v>1.9334853633333351</v>
      </c>
      <c r="M243" s="13">
        <f t="shared" si="40"/>
        <v>2.9361172133333362</v>
      </c>
      <c r="N243" s="13">
        <f t="shared" si="41"/>
        <v>4.6117074666666342</v>
      </c>
      <c r="O243" s="13">
        <f t="shared" si="42"/>
        <v>2.3553616863333358</v>
      </c>
      <c r="P243" s="13">
        <f t="shared" si="43"/>
        <v>0.41348787700000034</v>
      </c>
      <c r="Q243" s="13">
        <f t="shared" si="44"/>
        <v>0.13318648566666677</v>
      </c>
      <c r="R243" s="13" t="s">
        <v>239</v>
      </c>
      <c r="T243" s="14">
        <v>1.25755E-2</v>
      </c>
      <c r="U243" s="13">
        <v>5.6587899999999997E-2</v>
      </c>
      <c r="V243" s="13">
        <v>0.14111699999999999</v>
      </c>
      <c r="W243" s="13">
        <v>0.12920499999999999</v>
      </c>
      <c r="X243" s="14">
        <v>0.28941210000000001</v>
      </c>
      <c r="Y243" s="14">
        <v>0.52731419000000002</v>
      </c>
      <c r="Z243" s="14">
        <v>0.80075923999999998</v>
      </c>
      <c r="AA243" s="14">
        <v>1.25773839999999</v>
      </c>
      <c r="AB243" s="14">
        <v>0.64237136900000003</v>
      </c>
      <c r="AC243" s="14">
        <v>0.11276942099999999</v>
      </c>
      <c r="AD243" s="14">
        <v>3.6323586999999997E-2</v>
      </c>
      <c r="AE243" s="13" t="s">
        <v>93</v>
      </c>
    </row>
    <row r="244" spans="1:31">
      <c r="A244" s="13" t="s">
        <v>260</v>
      </c>
      <c r="B244" s="13" t="s">
        <v>1</v>
      </c>
      <c r="C244" s="13" t="s">
        <v>229</v>
      </c>
      <c r="D244" s="13" t="str">
        <f>IFERROR(VLOOKUP(C244,ghg_sort!$A$86:$B$512,2,0),0)</f>
        <v>Industry</v>
      </c>
      <c r="E244" s="33" t="s">
        <v>95</v>
      </c>
      <c r="F244" s="13">
        <f>IFERROR(VLOOKUP($E244,ghg_sort!$A$3:$B$21,2,0),0)</f>
        <v>12.2</v>
      </c>
      <c r="G244" s="13">
        <f t="shared" si="34"/>
        <v>5.2916035999999995E-4</v>
      </c>
      <c r="H244" s="13">
        <f t="shared" si="35"/>
        <v>2.0582986000000001</v>
      </c>
      <c r="I244" s="13">
        <f t="shared" si="36"/>
        <v>1.8615247999999998</v>
      </c>
      <c r="J244" s="13">
        <f t="shared" si="37"/>
        <v>2.1196524000000001</v>
      </c>
      <c r="K244" s="13">
        <f t="shared" si="38"/>
        <v>2.2806557999999999</v>
      </c>
      <c r="L244" s="13">
        <f t="shared" si="39"/>
        <v>1.4716981999999998</v>
      </c>
      <c r="M244" s="13">
        <f t="shared" si="40"/>
        <v>1.3326181999999998</v>
      </c>
      <c r="N244" s="13">
        <f t="shared" si="41"/>
        <v>1.21032662</v>
      </c>
      <c r="O244" s="13">
        <f t="shared" si="42"/>
        <v>1.1632077799999998</v>
      </c>
      <c r="P244" s="13">
        <f t="shared" si="43"/>
        <v>1.1422994199999998</v>
      </c>
      <c r="Q244" s="13">
        <f t="shared" si="44"/>
        <v>1.1369277600000001</v>
      </c>
      <c r="R244" s="13" t="s">
        <v>239</v>
      </c>
      <c r="T244" s="14">
        <v>4.3373800000000001E-5</v>
      </c>
      <c r="U244" s="13">
        <v>0.168713</v>
      </c>
      <c r="V244" s="13">
        <v>0.152584</v>
      </c>
      <c r="W244" s="13">
        <v>0.17374200000000001</v>
      </c>
      <c r="X244" s="13">
        <v>0.18693899999999999</v>
      </c>
      <c r="Y244" s="13">
        <v>0.120631</v>
      </c>
      <c r="Z244" s="13">
        <v>0.10923099999999999</v>
      </c>
      <c r="AA244" s="13">
        <v>9.9207100000000006E-2</v>
      </c>
      <c r="AB244" s="14">
        <v>9.5344899999999996E-2</v>
      </c>
      <c r="AC244" s="14">
        <v>9.3631099999999995E-2</v>
      </c>
      <c r="AD244" s="14">
        <v>9.3190800000000004E-2</v>
      </c>
      <c r="AE244" s="13" t="s">
        <v>93</v>
      </c>
    </row>
    <row r="245" spans="1:31">
      <c r="A245" s="13" t="s">
        <v>260</v>
      </c>
      <c r="B245" s="13" t="s">
        <v>1</v>
      </c>
      <c r="C245" s="13" t="s">
        <v>229</v>
      </c>
      <c r="D245" s="13" t="str">
        <f>IFERROR(VLOOKUP(C245,ghg_sort!$A$86:$B$512,2,0),0)</f>
        <v>Industry</v>
      </c>
      <c r="E245" s="33" t="s">
        <v>96</v>
      </c>
      <c r="F245" s="13">
        <f>IFERROR(VLOOKUP($E245,ghg_sort!$A$3:$B$21,2,0),0)</f>
        <v>7.39</v>
      </c>
      <c r="G245" s="13">
        <f t="shared" si="34"/>
        <v>2.3836223300000001E-4</v>
      </c>
      <c r="H245" s="13">
        <f t="shared" si="35"/>
        <v>0.77113171999999996</v>
      </c>
      <c r="I245" s="13">
        <f t="shared" si="36"/>
        <v>0.67538244599999997</v>
      </c>
      <c r="J245" s="13">
        <f t="shared" si="37"/>
        <v>0.76903295999999999</v>
      </c>
      <c r="K245" s="13">
        <f t="shared" si="38"/>
        <v>0.82745090999999993</v>
      </c>
      <c r="L245" s="13">
        <f t="shared" si="39"/>
        <v>0.53394819199999999</v>
      </c>
      <c r="M245" s="13">
        <f t="shared" si="40"/>
        <v>0.48349001099999994</v>
      </c>
      <c r="N245" s="13">
        <f t="shared" si="41"/>
        <v>0.43912045099999997</v>
      </c>
      <c r="O245" s="13">
        <f t="shared" si="42"/>
        <v>0.42202516400000001</v>
      </c>
      <c r="P245" s="13">
        <f t="shared" si="43"/>
        <v>0.41443932900000002</v>
      </c>
      <c r="Q245" s="13">
        <f t="shared" si="44"/>
        <v>0.41249058599999999</v>
      </c>
      <c r="R245" s="13" t="s">
        <v>239</v>
      </c>
      <c r="T245" s="14">
        <v>3.2254700000000001E-5</v>
      </c>
      <c r="U245" s="13">
        <v>0.104348</v>
      </c>
      <c r="V245" s="13">
        <v>9.1391399999999998E-2</v>
      </c>
      <c r="W245" s="13">
        <v>0.104064</v>
      </c>
      <c r="X245" s="13">
        <v>0.111969</v>
      </c>
      <c r="Y245" s="13">
        <v>7.2252800000000006E-2</v>
      </c>
      <c r="Z245" s="13">
        <v>6.5424899999999994E-2</v>
      </c>
      <c r="AA245" s="13">
        <v>5.9420899999999999E-2</v>
      </c>
      <c r="AB245" s="14">
        <v>5.7107600000000001E-2</v>
      </c>
      <c r="AC245" s="14">
        <v>5.6081100000000002E-2</v>
      </c>
      <c r="AD245" s="14">
        <v>5.5817400000000003E-2</v>
      </c>
      <c r="AE245" s="13" t="s">
        <v>93</v>
      </c>
    </row>
    <row r="246" spans="1:31">
      <c r="A246" s="13" t="s">
        <v>260</v>
      </c>
      <c r="B246" s="13" t="s">
        <v>1</v>
      </c>
      <c r="C246" s="13" t="s">
        <v>229</v>
      </c>
      <c r="D246" s="13" t="str">
        <f>IFERROR(VLOOKUP(C246,ghg_sort!$A$86:$B$512,2,0),0)</f>
        <v>Industry</v>
      </c>
      <c r="E246" s="33" t="s">
        <v>84</v>
      </c>
      <c r="F246" s="13">
        <f>IFERROR(VLOOKUP($E246,ghg_sort!$A$3:$B$21,2,0),0)</f>
        <v>25</v>
      </c>
      <c r="G246" s="13">
        <f t="shared" si="34"/>
        <v>0.04</v>
      </c>
      <c r="H246" s="13">
        <f t="shared" si="35"/>
        <v>0.11050000000000001</v>
      </c>
      <c r="I246" s="13">
        <f t="shared" si="36"/>
        <v>0.13849999999999998</v>
      </c>
      <c r="J246" s="13">
        <f t="shared" si="37"/>
        <v>0.15275</v>
      </c>
      <c r="K246" s="13">
        <f t="shared" si="38"/>
        <v>0.13426874999999999</v>
      </c>
      <c r="L246" s="13">
        <f t="shared" si="39"/>
        <v>8.8643749999999993E-2</v>
      </c>
      <c r="M246" s="13">
        <f t="shared" si="40"/>
        <v>3.04525E-2</v>
      </c>
      <c r="N246" s="13">
        <f t="shared" si="41"/>
        <v>6.7354500000000005E-3</v>
      </c>
      <c r="O246" s="13">
        <f t="shared" si="42"/>
        <v>6.1725749999999996E-3</v>
      </c>
      <c r="P246" s="13">
        <f t="shared" si="43"/>
        <v>5.7657749999999999E-3</v>
      </c>
      <c r="Q246" s="13">
        <f t="shared" si="44"/>
        <v>5.4436250000000005E-3</v>
      </c>
      <c r="R246" s="13" t="s">
        <v>239</v>
      </c>
      <c r="T246" s="13">
        <v>1.6000000000000001E-3</v>
      </c>
      <c r="U246" s="13">
        <v>4.4200000000000003E-3</v>
      </c>
      <c r="V246" s="13">
        <v>5.5399999999999998E-3</v>
      </c>
      <c r="W246" s="13">
        <v>6.11E-3</v>
      </c>
      <c r="X246" s="13">
        <v>5.3707499999999997E-3</v>
      </c>
      <c r="Y246" s="13">
        <v>3.5457499999999999E-3</v>
      </c>
      <c r="Z246" s="13">
        <v>1.2181E-3</v>
      </c>
      <c r="AA246" s="14">
        <v>2.69418E-4</v>
      </c>
      <c r="AB246" s="14">
        <v>2.4690299999999998E-4</v>
      </c>
      <c r="AC246" s="14">
        <v>2.3063099999999999E-4</v>
      </c>
      <c r="AD246" s="14">
        <v>2.1774500000000001E-4</v>
      </c>
      <c r="AE246" s="13" t="s">
        <v>93</v>
      </c>
    </row>
    <row r="247" spans="1:31">
      <c r="A247" s="13" t="s">
        <v>260</v>
      </c>
      <c r="B247" s="13" t="s">
        <v>1</v>
      </c>
      <c r="C247" s="13" t="s">
        <v>229</v>
      </c>
      <c r="D247" s="13" t="str">
        <f>IFERROR(VLOOKUP(C247,ghg_sort!$A$86:$B$512,2,0),0)</f>
        <v>Industry</v>
      </c>
      <c r="E247" s="33" t="s">
        <v>85</v>
      </c>
      <c r="F247" s="13">
        <f>IFERROR(VLOOKUP($E247,ghg_sort!$A$3:$B$21,2,0),0)</f>
        <v>0</v>
      </c>
      <c r="G247" s="13">
        <f t="shared" si="34"/>
        <v>0</v>
      </c>
      <c r="H247" s="13">
        <f t="shared" si="35"/>
        <v>0</v>
      </c>
      <c r="I247" s="13">
        <f t="shared" si="36"/>
        <v>0</v>
      </c>
      <c r="J247" s="13">
        <f t="shared" si="37"/>
        <v>0</v>
      </c>
      <c r="K247" s="13">
        <f t="shared" si="38"/>
        <v>0</v>
      </c>
      <c r="L247" s="13">
        <f t="shared" si="39"/>
        <v>0</v>
      </c>
      <c r="M247" s="13">
        <f t="shared" si="40"/>
        <v>0</v>
      </c>
      <c r="N247" s="13">
        <f t="shared" si="41"/>
        <v>0</v>
      </c>
      <c r="O247" s="13">
        <f t="shared" si="42"/>
        <v>0</v>
      </c>
      <c r="P247" s="13">
        <f t="shared" si="43"/>
        <v>0</v>
      </c>
      <c r="Q247" s="13">
        <f t="shared" si="44"/>
        <v>0</v>
      </c>
      <c r="R247" s="13" t="s">
        <v>239</v>
      </c>
      <c r="T247" s="13">
        <v>1.489E-2</v>
      </c>
      <c r="U247" s="13">
        <v>1.7590000000000001E-2</v>
      </c>
      <c r="V247" s="13">
        <v>1.644E-2</v>
      </c>
      <c r="W247" s="13">
        <v>1.7639999999999999E-2</v>
      </c>
      <c r="X247" s="13">
        <v>1.2007800000000001E-2</v>
      </c>
      <c r="Y247" s="13">
        <v>8.2116800000000007E-3</v>
      </c>
      <c r="Z247" s="13">
        <v>6.4320000000000002E-3</v>
      </c>
      <c r="AA247" s="13">
        <v>5.3352699999999996E-3</v>
      </c>
      <c r="AB247" s="13">
        <v>4.3915300000000003E-3</v>
      </c>
      <c r="AC247" s="13">
        <v>3.6783900000000001E-3</v>
      </c>
      <c r="AD247" s="13">
        <v>3.5370699999999998E-3</v>
      </c>
      <c r="AE247" s="13" t="s">
        <v>131</v>
      </c>
    </row>
    <row r="248" spans="1:31">
      <c r="A248" s="13" t="s">
        <v>260</v>
      </c>
      <c r="B248" s="13" t="s">
        <v>1</v>
      </c>
      <c r="C248" s="13" t="s">
        <v>229</v>
      </c>
      <c r="D248" s="13" t="str">
        <f>IFERROR(VLOOKUP(C248,ghg_sort!$A$86:$B$512,2,0),0)</f>
        <v>Industry</v>
      </c>
      <c r="E248" s="12" t="s">
        <v>99</v>
      </c>
      <c r="F248" s="13">
        <f>IFERROR(VLOOKUP($E248,ghg_sort!$A$3:$B$21,2,0),0)</f>
        <v>14.8</v>
      </c>
      <c r="G248" s="13">
        <f t="shared" si="34"/>
        <v>4.8690816000000005E-2</v>
      </c>
      <c r="H248" s="13">
        <f t="shared" si="35"/>
        <v>6.640863748000001</v>
      </c>
      <c r="I248" s="13">
        <f t="shared" si="36"/>
        <v>4.17117132</v>
      </c>
      <c r="J248" s="13">
        <f t="shared" si="37"/>
        <v>3.5912644000000005</v>
      </c>
      <c r="K248" s="13">
        <f t="shared" si="38"/>
        <v>3.8965632400000003</v>
      </c>
      <c r="L248" s="13">
        <f t="shared" si="39"/>
        <v>3.7750360000000005</v>
      </c>
      <c r="M248" s="13">
        <f t="shared" si="40"/>
        <v>3.7605290399999998</v>
      </c>
      <c r="N248" s="13">
        <f t="shared" si="41"/>
        <v>3.7015998800000003</v>
      </c>
      <c r="O248" s="13">
        <f t="shared" si="42"/>
        <v>3.5575001239999855</v>
      </c>
      <c r="P248" s="13">
        <f t="shared" si="43"/>
        <v>3.4935435520000002</v>
      </c>
      <c r="Q248" s="13">
        <f t="shared" si="44"/>
        <v>3.4771257640000002</v>
      </c>
      <c r="R248" s="13" t="s">
        <v>239</v>
      </c>
      <c r="T248" s="13">
        <v>3.28992E-3</v>
      </c>
      <c r="U248" s="13">
        <v>0.44870701000000002</v>
      </c>
      <c r="V248" s="14">
        <v>0.28183589999999997</v>
      </c>
      <c r="W248" s="13">
        <v>0.24265300000000001</v>
      </c>
      <c r="X248" s="13">
        <v>0.2632813</v>
      </c>
      <c r="Y248" s="13">
        <v>0.25507000000000002</v>
      </c>
      <c r="Z248" s="13">
        <v>0.25408979999999998</v>
      </c>
      <c r="AA248" s="13">
        <v>0.2501081</v>
      </c>
      <c r="AB248" s="13">
        <v>0.240371629999999</v>
      </c>
      <c r="AC248" s="13">
        <v>0.23605023999999999</v>
      </c>
      <c r="AD248" s="13">
        <v>0.23494092999999999</v>
      </c>
      <c r="AE248" s="13" t="s">
        <v>94</v>
      </c>
    </row>
    <row r="249" spans="1:31">
      <c r="A249" s="13" t="s">
        <v>260</v>
      </c>
      <c r="B249" s="13" t="s">
        <v>1</v>
      </c>
      <c r="C249" s="13" t="s">
        <v>229</v>
      </c>
      <c r="D249" s="13" t="str">
        <f>IFERROR(VLOOKUP(C249,ghg_sort!$A$86:$B$512,2,0),0)</f>
        <v>Industry</v>
      </c>
      <c r="E249" s="33" t="s">
        <v>230</v>
      </c>
      <c r="F249" s="13">
        <f>IFERROR(VLOOKUP($E249,ghg_sort!$A$3:$B$21,2,0),0)</f>
        <v>0</v>
      </c>
      <c r="G249" s="13">
        <f t="shared" si="34"/>
        <v>0</v>
      </c>
      <c r="H249" s="13">
        <f t="shared" si="35"/>
        <v>0</v>
      </c>
      <c r="I249" s="13">
        <f t="shared" si="36"/>
        <v>0</v>
      </c>
      <c r="J249" s="13">
        <f t="shared" si="37"/>
        <v>0</v>
      </c>
      <c r="K249" s="13">
        <f t="shared" si="38"/>
        <v>0</v>
      </c>
      <c r="L249" s="13">
        <f t="shared" si="39"/>
        <v>0</v>
      </c>
      <c r="M249" s="13">
        <f t="shared" si="40"/>
        <v>0</v>
      </c>
      <c r="N249" s="13">
        <f t="shared" si="41"/>
        <v>0</v>
      </c>
      <c r="O249" s="13">
        <f t="shared" si="42"/>
        <v>0</v>
      </c>
      <c r="P249" s="13">
        <f t="shared" si="43"/>
        <v>0</v>
      </c>
      <c r="Q249" s="13">
        <f t="shared" si="44"/>
        <v>0</v>
      </c>
      <c r="R249" s="13" t="s">
        <v>239</v>
      </c>
      <c r="T249" s="14">
        <v>0</v>
      </c>
      <c r="U249" s="13">
        <v>0.108863</v>
      </c>
      <c r="V249" s="13">
        <v>0.14657600000000001</v>
      </c>
      <c r="W249" s="13">
        <v>0.16803399999999999</v>
      </c>
      <c r="X249" s="13">
        <v>0.182112</v>
      </c>
      <c r="Y249" s="13">
        <v>0.17598</v>
      </c>
      <c r="Z249" s="13">
        <v>0.17119000000000001</v>
      </c>
      <c r="AA249" s="13">
        <v>0.163742</v>
      </c>
      <c r="AB249" s="13">
        <v>0.15736700000000001</v>
      </c>
      <c r="AC249" s="13">
        <v>0.15453900000000001</v>
      </c>
      <c r="AD249" s="13">
        <v>0.153812</v>
      </c>
      <c r="AE249" s="13" t="s">
        <v>131</v>
      </c>
    </row>
    <row r="250" spans="1:31">
      <c r="A250" s="13" t="s">
        <v>260</v>
      </c>
      <c r="B250" s="13" t="s">
        <v>1</v>
      </c>
      <c r="C250" s="13" t="s">
        <v>229</v>
      </c>
      <c r="D250" s="13" t="str">
        <f>IFERROR(VLOOKUP(C250,ghg_sort!$A$86:$B$512,2,0),0)</f>
        <v>Industry</v>
      </c>
      <c r="E250" s="33" t="s">
        <v>87</v>
      </c>
      <c r="F250" s="13">
        <f>IFERROR(VLOOKUP($E250,ghg_sort!$A$3:$B$21,2,0),0)</f>
        <v>298</v>
      </c>
      <c r="G250" s="13">
        <f t="shared" si="34"/>
        <v>1.06982</v>
      </c>
      <c r="H250" s="13">
        <f t="shared" si="35"/>
        <v>10.313780000000001</v>
      </c>
      <c r="I250" s="13">
        <f t="shared" si="36"/>
        <v>0.19966</v>
      </c>
      <c r="J250" s="13">
        <f t="shared" si="37"/>
        <v>0.35462000000000005</v>
      </c>
      <c r="K250" s="13">
        <f t="shared" si="38"/>
        <v>0.38163584560000002</v>
      </c>
      <c r="L250" s="13">
        <f t="shared" si="39"/>
        <v>0.1230512924</v>
      </c>
      <c r="M250" s="13">
        <f t="shared" si="40"/>
        <v>7.1629234879999698E-2</v>
      </c>
      <c r="N250" s="13">
        <f t="shared" si="41"/>
        <v>3.4818442179999701E-2</v>
      </c>
      <c r="O250" s="13">
        <f t="shared" si="42"/>
        <v>2.7977142939999998E-2</v>
      </c>
      <c r="P250" s="13">
        <f t="shared" si="43"/>
        <v>2.4993772559999999E-2</v>
      </c>
      <c r="Q250" s="13">
        <f t="shared" si="44"/>
        <v>2.205610048E-2</v>
      </c>
      <c r="R250" s="13" t="s">
        <v>239</v>
      </c>
      <c r="T250" s="14">
        <v>3.5899999999999999E-3</v>
      </c>
      <c r="U250" s="13">
        <v>3.4610000000000002E-2</v>
      </c>
      <c r="V250" s="14">
        <v>6.7000000000000002E-4</v>
      </c>
      <c r="W250" s="13">
        <v>1.1900000000000001E-3</v>
      </c>
      <c r="X250" s="13">
        <v>1.2806572E-3</v>
      </c>
      <c r="Y250" s="14">
        <v>4.1292379999999999E-4</v>
      </c>
      <c r="Z250" s="14">
        <v>2.40366559999999E-4</v>
      </c>
      <c r="AA250" s="14">
        <v>1.16840409999999E-4</v>
      </c>
      <c r="AB250" s="14">
        <v>9.3883029999999998E-5</v>
      </c>
      <c r="AC250" s="14">
        <v>8.3871719999999993E-5</v>
      </c>
      <c r="AD250" s="14">
        <v>7.4013759999999997E-5</v>
      </c>
      <c r="AE250" s="13" t="s">
        <v>131</v>
      </c>
    </row>
    <row r="251" spans="1:31">
      <c r="A251" s="13" t="s">
        <v>260</v>
      </c>
      <c r="B251" s="13" t="s">
        <v>1</v>
      </c>
      <c r="C251" s="13" t="s">
        <v>229</v>
      </c>
      <c r="D251" s="13" t="str">
        <f>IFERROR(VLOOKUP(C251,ghg_sort!$A$86:$B$512,2,0),0)</f>
        <v>Industry</v>
      </c>
      <c r="E251" s="33" t="s">
        <v>88</v>
      </c>
      <c r="F251" s="13">
        <f>IFERROR(VLOOKUP($E251,ghg_sort!$A$3:$B$21,2,0),0)</f>
        <v>0</v>
      </c>
      <c r="G251" s="13">
        <f t="shared" si="34"/>
        <v>0</v>
      </c>
      <c r="H251" s="13">
        <f t="shared" si="35"/>
        <v>0</v>
      </c>
      <c r="I251" s="13">
        <f t="shared" si="36"/>
        <v>0</v>
      </c>
      <c r="J251" s="13">
        <f t="shared" si="37"/>
        <v>0</v>
      </c>
      <c r="K251" s="13">
        <f t="shared" si="38"/>
        <v>0</v>
      </c>
      <c r="L251" s="13">
        <f t="shared" si="39"/>
        <v>0</v>
      </c>
      <c r="M251" s="13">
        <f t="shared" si="40"/>
        <v>0</v>
      </c>
      <c r="N251" s="13">
        <f t="shared" si="41"/>
        <v>0</v>
      </c>
      <c r="O251" s="13">
        <f t="shared" si="42"/>
        <v>0</v>
      </c>
      <c r="P251" s="13">
        <f t="shared" si="43"/>
        <v>0</v>
      </c>
      <c r="Q251" s="13">
        <f t="shared" si="44"/>
        <v>0</v>
      </c>
      <c r="R251" s="13" t="s">
        <v>239</v>
      </c>
      <c r="T251" s="13">
        <v>1.9809999999999901E-2</v>
      </c>
      <c r="U251" s="13">
        <v>4.3099999999999996E-3</v>
      </c>
      <c r="V251" s="13">
        <v>2.6099999999999999E-3</v>
      </c>
      <c r="W251" s="13">
        <v>2.6099999999999999E-3</v>
      </c>
      <c r="X251" s="13">
        <v>2.8337599999999998E-3</v>
      </c>
      <c r="Y251" s="13">
        <v>2.81766E-3</v>
      </c>
      <c r="Z251" s="14">
        <v>2.8198899999999998E-3</v>
      </c>
      <c r="AA251" s="14">
        <v>2.7856399999999998E-3</v>
      </c>
      <c r="AB251" s="14">
        <v>2.6771999999999998E-3</v>
      </c>
      <c r="AC251" s="14">
        <v>2.6290699999999998E-3</v>
      </c>
      <c r="AD251" s="14">
        <v>2.61671E-3</v>
      </c>
      <c r="AE251" s="13" t="s">
        <v>93</v>
      </c>
    </row>
    <row r="252" spans="1:31">
      <c r="A252" s="13" t="s">
        <v>260</v>
      </c>
      <c r="B252" s="13" t="s">
        <v>1</v>
      </c>
      <c r="C252" s="13" t="s">
        <v>229</v>
      </c>
      <c r="D252" s="13" t="str">
        <f>IFERROR(VLOOKUP(C252,ghg_sort!$A$86:$B$512,2,0),0)</f>
        <v>Industry</v>
      </c>
      <c r="E252" s="33" t="s">
        <v>89</v>
      </c>
      <c r="F252" s="13">
        <f>IFERROR(VLOOKUP($E252,ghg_sort!$A$3:$B$21,2,0),0)</f>
        <v>0</v>
      </c>
      <c r="G252" s="13">
        <f t="shared" si="34"/>
        <v>0</v>
      </c>
      <c r="H252" s="13">
        <f t="shared" si="35"/>
        <v>0</v>
      </c>
      <c r="I252" s="13">
        <f t="shared" si="36"/>
        <v>0</v>
      </c>
      <c r="J252" s="13">
        <f t="shared" si="37"/>
        <v>0</v>
      </c>
      <c r="K252" s="13">
        <f t="shared" si="38"/>
        <v>0</v>
      </c>
      <c r="L252" s="13">
        <f t="shared" si="39"/>
        <v>0</v>
      </c>
      <c r="M252" s="13">
        <f t="shared" si="40"/>
        <v>0</v>
      </c>
      <c r="N252" s="13">
        <f t="shared" si="41"/>
        <v>0</v>
      </c>
      <c r="O252" s="13">
        <f t="shared" si="42"/>
        <v>0</v>
      </c>
      <c r="P252" s="13">
        <f t="shared" si="43"/>
        <v>0</v>
      </c>
      <c r="Q252" s="13">
        <f t="shared" si="44"/>
        <v>0</v>
      </c>
      <c r="R252" s="13" t="s">
        <v>239</v>
      </c>
      <c r="T252" s="13">
        <v>0.38029999999999903</v>
      </c>
      <c r="U252" s="13">
        <v>0.46633999999999998</v>
      </c>
      <c r="V252" s="13">
        <v>0.43974999999999997</v>
      </c>
      <c r="W252" s="13">
        <v>0.45417999999999997</v>
      </c>
      <c r="X252" s="13">
        <v>0.3091681</v>
      </c>
      <c r="Y252" s="13">
        <v>0.2114277</v>
      </c>
      <c r="Z252" s="13">
        <v>0.19628199999999901</v>
      </c>
      <c r="AA252" s="13">
        <v>0.19389770000000001</v>
      </c>
      <c r="AB252" s="13">
        <v>0.18634980000000001</v>
      </c>
      <c r="AC252" s="13">
        <v>0.18299940000000001</v>
      </c>
      <c r="AD252" s="13">
        <v>0.18213950000000001</v>
      </c>
      <c r="AE252" s="13" t="s">
        <v>93</v>
      </c>
    </row>
    <row r="253" spans="1:31">
      <c r="A253" s="13" t="s">
        <v>260</v>
      </c>
      <c r="B253" s="13" t="s">
        <v>1</v>
      </c>
      <c r="C253" s="13" t="s">
        <v>229</v>
      </c>
      <c r="D253" s="13" t="str">
        <f>IFERROR(VLOOKUP(C253,ghg_sort!$A$86:$B$512,2,0),0)</f>
        <v>Industry</v>
      </c>
      <c r="E253" s="33" t="s">
        <v>90</v>
      </c>
      <c r="F253" s="13">
        <f>IFERROR(VLOOKUP($E253,ghg_sort!$A$3:$B$21,2,0),0)</f>
        <v>0</v>
      </c>
      <c r="G253" s="13">
        <f t="shared" si="34"/>
        <v>0</v>
      </c>
      <c r="H253" s="13">
        <f t="shared" si="35"/>
        <v>0</v>
      </c>
      <c r="I253" s="13">
        <f t="shared" si="36"/>
        <v>0</v>
      </c>
      <c r="J253" s="13">
        <f t="shared" si="37"/>
        <v>0</v>
      </c>
      <c r="K253" s="13">
        <f t="shared" si="38"/>
        <v>0</v>
      </c>
      <c r="L253" s="13">
        <f t="shared" si="39"/>
        <v>0</v>
      </c>
      <c r="M253" s="13">
        <f t="shared" si="40"/>
        <v>0</v>
      </c>
      <c r="N253" s="13">
        <f t="shared" si="41"/>
        <v>0</v>
      </c>
      <c r="O253" s="13">
        <f t="shared" si="42"/>
        <v>0</v>
      </c>
      <c r="P253" s="13">
        <f t="shared" si="43"/>
        <v>0</v>
      </c>
      <c r="Q253" s="13">
        <f t="shared" si="44"/>
        <v>0</v>
      </c>
      <c r="R253" s="13" t="s">
        <v>239</v>
      </c>
      <c r="T253" s="13">
        <v>2.0539999999999999E-2</v>
      </c>
      <c r="U253" s="13">
        <v>3.422E-2</v>
      </c>
      <c r="V253" s="13">
        <v>3.0329999999999999E-2</v>
      </c>
      <c r="W253" s="13">
        <v>3.5790000000000002E-2</v>
      </c>
      <c r="X253" s="13">
        <v>2.43628E-2</v>
      </c>
      <c r="Y253" s="13">
        <v>1.66608E-2</v>
      </c>
      <c r="Z253" s="13">
        <v>1.3050000000000001E-2</v>
      </c>
      <c r="AA253" s="13">
        <v>1.0824800000000001E-2</v>
      </c>
      <c r="AB253" s="13">
        <v>8.9100299999999993E-3</v>
      </c>
      <c r="AC253" s="13">
        <v>7.4631300000000001E-3</v>
      </c>
      <c r="AD253" s="13">
        <v>6.4131099999999996E-3</v>
      </c>
      <c r="AE253" s="13" t="s">
        <v>131</v>
      </c>
    </row>
    <row r="254" spans="1:31">
      <c r="A254" s="13" t="s">
        <v>260</v>
      </c>
      <c r="B254" s="13" t="s">
        <v>1</v>
      </c>
      <c r="C254" s="13" t="s">
        <v>229</v>
      </c>
      <c r="D254" s="13" t="str">
        <f>IFERROR(VLOOKUP(C254,ghg_sort!$A$86:$B$512,2,0),0)</f>
        <v>Industry</v>
      </c>
      <c r="E254" s="33" t="s">
        <v>103</v>
      </c>
      <c r="F254" s="13">
        <f>IFERROR(VLOOKUP($E254,ghg_sort!$A$3:$B$21,2,0),0)</f>
        <v>22.8</v>
      </c>
      <c r="G254" s="13">
        <f t="shared" si="34"/>
        <v>0.23554452000000001</v>
      </c>
      <c r="H254" s="13">
        <f t="shared" si="35"/>
        <v>1.3803006000000002</v>
      </c>
      <c r="I254" s="13">
        <f t="shared" si="36"/>
        <v>4.6277616000000004</v>
      </c>
      <c r="J254" s="13">
        <f t="shared" si="37"/>
        <v>7.2836195999999997</v>
      </c>
      <c r="K254" s="13">
        <f t="shared" si="38"/>
        <v>7.8379033320000007</v>
      </c>
      <c r="L254" s="13">
        <f t="shared" si="39"/>
        <v>4.9852168080000006</v>
      </c>
      <c r="M254" s="13">
        <f t="shared" si="40"/>
        <v>4.4919244667999774</v>
      </c>
      <c r="N254" s="13">
        <f t="shared" si="41"/>
        <v>4.0655523599999999</v>
      </c>
      <c r="O254" s="13">
        <f t="shared" si="42"/>
        <v>3.9069274476000002</v>
      </c>
      <c r="P254" s="13">
        <f t="shared" si="43"/>
        <v>3.8365365743999775</v>
      </c>
      <c r="Q254" s="13">
        <f t="shared" si="44"/>
        <v>3.8183174136</v>
      </c>
      <c r="R254" s="13" t="s">
        <v>239</v>
      </c>
      <c r="T254" s="14">
        <v>1.03309E-2</v>
      </c>
      <c r="U254" s="14">
        <v>6.0539500000000003E-2</v>
      </c>
      <c r="V254" s="14">
        <v>0.20297200000000001</v>
      </c>
      <c r="W254" s="14">
        <v>0.31945699999999999</v>
      </c>
      <c r="X254" s="14">
        <v>0.34376769000000001</v>
      </c>
      <c r="Y254" s="14">
        <v>0.21864986</v>
      </c>
      <c r="Z254" s="14">
        <v>0.19701423099999901</v>
      </c>
      <c r="AA254" s="14">
        <v>0.17831369999999999</v>
      </c>
      <c r="AB254" s="14">
        <v>0.17135646700000001</v>
      </c>
      <c r="AC254" s="14">
        <v>0.16826914799999901</v>
      </c>
      <c r="AD254" s="14">
        <v>0.167470062</v>
      </c>
      <c r="AE254" s="13" t="s">
        <v>131</v>
      </c>
    </row>
    <row r="255" spans="1:31">
      <c r="A255" s="13" t="s">
        <v>260</v>
      </c>
      <c r="B255" s="13" t="s">
        <v>1</v>
      </c>
      <c r="C255" s="13" t="s">
        <v>229</v>
      </c>
      <c r="D255" s="13" t="str">
        <f>IFERROR(VLOOKUP(C255,ghg_sort!$A$86:$B$512,2,0),0)</f>
        <v>Industry</v>
      </c>
      <c r="E255" s="33" t="s">
        <v>92</v>
      </c>
      <c r="F255" s="13">
        <f>IFERROR(VLOOKUP($E255,ghg_sort!$A$3:$B$21,2,0),0)</f>
        <v>0</v>
      </c>
      <c r="G255" s="13">
        <f t="shared" si="34"/>
        <v>0</v>
      </c>
      <c r="H255" s="13">
        <f t="shared" si="35"/>
        <v>0</v>
      </c>
      <c r="I255" s="13">
        <f t="shared" si="36"/>
        <v>0</v>
      </c>
      <c r="J255" s="13">
        <f t="shared" si="37"/>
        <v>0</v>
      </c>
      <c r="K255" s="13">
        <f t="shared" si="38"/>
        <v>0</v>
      </c>
      <c r="L255" s="13">
        <f t="shared" si="39"/>
        <v>0</v>
      </c>
      <c r="M255" s="13">
        <f t="shared" si="40"/>
        <v>0</v>
      </c>
      <c r="N255" s="13">
        <f t="shared" si="41"/>
        <v>0</v>
      </c>
      <c r="O255" s="13">
        <f t="shared" si="42"/>
        <v>0</v>
      </c>
      <c r="P255" s="13">
        <f t="shared" si="43"/>
        <v>0</v>
      </c>
      <c r="Q255" s="13">
        <f t="shared" si="44"/>
        <v>0</v>
      </c>
      <c r="R255" s="13" t="s">
        <v>239</v>
      </c>
      <c r="T255" s="14">
        <v>1.9611199999999999E-2</v>
      </c>
      <c r="U255" s="13">
        <v>3.83328E-2</v>
      </c>
      <c r="V255" s="14">
        <v>3.5276500000000002E-2</v>
      </c>
      <c r="W255" s="13">
        <v>4.2395299999999997E-2</v>
      </c>
      <c r="X255" s="13">
        <v>2.8859200000000002E-2</v>
      </c>
      <c r="Y255" s="14">
        <v>1.9735699999999998E-2</v>
      </c>
      <c r="Z255" s="14">
        <v>1.5458400000000001E-2</v>
      </c>
      <c r="AA255" s="14">
        <v>1.28226E-2</v>
      </c>
      <c r="AB255" s="14">
        <v>1.05544E-2</v>
      </c>
      <c r="AC255" s="14">
        <v>8.8404999999999994E-3</v>
      </c>
      <c r="AD255" s="14">
        <v>7.5966999999999996E-3</v>
      </c>
      <c r="AE255" s="13" t="s">
        <v>93</v>
      </c>
    </row>
    <row r="256" spans="1:31">
      <c r="A256" s="13" t="s">
        <v>260</v>
      </c>
      <c r="B256" s="13" t="s">
        <v>1</v>
      </c>
      <c r="C256" s="13" t="s">
        <v>32</v>
      </c>
      <c r="D256" s="13" t="str">
        <f>IFERROR(VLOOKUP(C256,ghg_sort!$A$86:$B$512,2,0),0)</f>
        <v>Industry</v>
      </c>
      <c r="E256" s="33" t="s">
        <v>83</v>
      </c>
      <c r="F256" s="13">
        <f>IFERROR(VLOOKUP($E256,ghg_sort!$A$3:$B$21,2,0),0)</f>
        <v>0</v>
      </c>
      <c r="G256" s="13">
        <f t="shared" si="34"/>
        <v>0</v>
      </c>
      <c r="H256" s="13">
        <f t="shared" si="35"/>
        <v>0</v>
      </c>
      <c r="I256" s="13">
        <f t="shared" si="36"/>
        <v>0</v>
      </c>
      <c r="J256" s="13">
        <f t="shared" si="37"/>
        <v>0</v>
      </c>
      <c r="K256" s="13">
        <f t="shared" si="38"/>
        <v>0</v>
      </c>
      <c r="L256" s="13">
        <f t="shared" si="39"/>
        <v>0</v>
      </c>
      <c r="M256" s="13">
        <f t="shared" si="40"/>
        <v>0</v>
      </c>
      <c r="N256" s="13">
        <f t="shared" si="41"/>
        <v>0</v>
      </c>
      <c r="O256" s="13">
        <f t="shared" si="42"/>
        <v>0</v>
      </c>
      <c r="P256" s="13">
        <f t="shared" si="43"/>
        <v>0</v>
      </c>
      <c r="Q256" s="13">
        <f t="shared" si="44"/>
        <v>0</v>
      </c>
      <c r="R256" s="13" t="s">
        <v>239</v>
      </c>
      <c r="T256" s="14">
        <v>1.026889E-4</v>
      </c>
      <c r="U256" s="14">
        <v>2.2381939999999999E-4</v>
      </c>
      <c r="V256" s="14">
        <v>2.4547449999999998E-4</v>
      </c>
      <c r="W256" s="14">
        <v>3.8135544500000001E-4</v>
      </c>
      <c r="X256" s="14">
        <v>2.6771914329999999E-4</v>
      </c>
      <c r="Y256" s="14">
        <v>1.8003786E-4</v>
      </c>
      <c r="Z256" s="14">
        <v>1.164059858E-4</v>
      </c>
      <c r="AA256" s="14">
        <v>6.8154871399999994E-5</v>
      </c>
      <c r="AB256" s="14">
        <v>3.7663087099999998E-5</v>
      </c>
      <c r="AC256" s="14">
        <v>1.68432412E-5</v>
      </c>
      <c r="AD256" s="14">
        <v>6.5239759E-6</v>
      </c>
      <c r="AE256" s="13" t="s">
        <v>93</v>
      </c>
    </row>
    <row r="257" spans="1:31">
      <c r="A257" s="13" t="s">
        <v>260</v>
      </c>
      <c r="B257" s="13" t="s">
        <v>1</v>
      </c>
      <c r="C257" s="13" t="s">
        <v>32</v>
      </c>
      <c r="D257" s="13" t="str">
        <f>IFERROR(VLOOKUP(C257,ghg_sort!$A$86:$B$512,2,0),0)</f>
        <v>Industry</v>
      </c>
      <c r="E257" s="33" t="s">
        <v>84</v>
      </c>
      <c r="F257" s="13">
        <f>IFERROR(VLOOKUP($E257,ghg_sort!$A$3:$B$21,2,0),0)</f>
        <v>25</v>
      </c>
      <c r="G257" s="13">
        <f t="shared" si="34"/>
        <v>6.2570174999999999E-3</v>
      </c>
      <c r="H257" s="13">
        <f t="shared" si="35"/>
        <v>4.4916042249999996E-2</v>
      </c>
      <c r="I257" s="13">
        <f t="shared" si="36"/>
        <v>4.2293567499999997E-2</v>
      </c>
      <c r="J257" s="13">
        <f t="shared" si="37"/>
        <v>4.3249949999999995E-2</v>
      </c>
      <c r="K257" s="13">
        <f t="shared" si="38"/>
        <v>5.0069285000000005E-2</v>
      </c>
      <c r="L257" s="13">
        <f t="shared" si="39"/>
        <v>6.5501712500000003E-2</v>
      </c>
      <c r="M257" s="13">
        <f t="shared" si="40"/>
        <v>8.4528692500000002E-2</v>
      </c>
      <c r="N257" s="13">
        <f t="shared" si="41"/>
        <v>0.10410134449999975</v>
      </c>
      <c r="O257" s="13">
        <f t="shared" si="42"/>
        <v>0.102261223</v>
      </c>
      <c r="P257" s="13">
        <f t="shared" si="43"/>
        <v>8.3662047000000003E-2</v>
      </c>
      <c r="Q257" s="13">
        <f t="shared" si="44"/>
        <v>5.8396617074999997E-2</v>
      </c>
      <c r="R257" s="13" t="s">
        <v>239</v>
      </c>
      <c r="T257" s="14">
        <v>2.5028069999999999E-4</v>
      </c>
      <c r="U257" s="13">
        <v>1.7966416899999999E-3</v>
      </c>
      <c r="V257" s="13">
        <v>1.6917427E-3</v>
      </c>
      <c r="W257" s="13">
        <v>1.729998E-3</v>
      </c>
      <c r="X257" s="13">
        <v>2.0027714000000001E-3</v>
      </c>
      <c r="Y257" s="13">
        <v>2.6200684999999999E-3</v>
      </c>
      <c r="Z257" s="13">
        <v>3.3811477E-3</v>
      </c>
      <c r="AA257" s="13">
        <v>4.16405377999999E-3</v>
      </c>
      <c r="AB257" s="13">
        <v>4.0904489199999998E-3</v>
      </c>
      <c r="AC257" s="13">
        <v>3.3464818800000001E-3</v>
      </c>
      <c r="AD257" s="13">
        <v>2.3358646829999999E-3</v>
      </c>
      <c r="AE257" s="13" t="s">
        <v>93</v>
      </c>
    </row>
    <row r="258" spans="1:31">
      <c r="A258" s="13" t="s">
        <v>260</v>
      </c>
      <c r="B258" s="13" t="s">
        <v>1</v>
      </c>
      <c r="C258" s="13" t="s">
        <v>32</v>
      </c>
      <c r="D258" s="13" t="str">
        <f>IFERROR(VLOOKUP(C258,ghg_sort!$A$86:$B$512,2,0),0)</f>
        <v>Industry</v>
      </c>
      <c r="E258" s="33" t="s">
        <v>85</v>
      </c>
      <c r="F258" s="13">
        <f>IFERROR(VLOOKUP($E258,ghg_sort!$A$3:$B$21,2,0),0)</f>
        <v>0</v>
      </c>
      <c r="G258" s="13">
        <f t="shared" si="34"/>
        <v>0</v>
      </c>
      <c r="H258" s="13">
        <f t="shared" si="35"/>
        <v>0</v>
      </c>
      <c r="I258" s="13">
        <f t="shared" si="36"/>
        <v>0</v>
      </c>
      <c r="J258" s="13">
        <f t="shared" si="37"/>
        <v>0</v>
      </c>
      <c r="K258" s="13">
        <f t="shared" si="38"/>
        <v>0</v>
      </c>
      <c r="L258" s="13">
        <f t="shared" si="39"/>
        <v>0</v>
      </c>
      <c r="M258" s="13">
        <f t="shared" si="40"/>
        <v>0</v>
      </c>
      <c r="N258" s="13">
        <f t="shared" si="41"/>
        <v>0</v>
      </c>
      <c r="O258" s="13">
        <f t="shared" si="42"/>
        <v>0</v>
      </c>
      <c r="P258" s="13">
        <f t="shared" si="43"/>
        <v>0</v>
      </c>
      <c r="Q258" s="13">
        <f t="shared" si="44"/>
        <v>0</v>
      </c>
      <c r="R258" s="13" t="s">
        <v>239</v>
      </c>
      <c r="T258" s="14">
        <v>2.5059099999999999E-4</v>
      </c>
      <c r="U258" s="14">
        <v>1.5216140999999999E-3</v>
      </c>
      <c r="V258" s="14">
        <v>1.711787E-3</v>
      </c>
      <c r="W258" s="14">
        <v>2.8799966600000001E-3</v>
      </c>
      <c r="X258" s="14">
        <v>2.0613199839999998E-3</v>
      </c>
      <c r="Y258" s="14">
        <v>1.657078383E-3</v>
      </c>
      <c r="Z258" s="14">
        <v>1.4607960999999999E-3</v>
      </c>
      <c r="AA258" s="14">
        <v>1.340029866E-3</v>
      </c>
      <c r="AB258" s="14">
        <v>1.1416482579999999E-3</v>
      </c>
      <c r="AC258" s="14">
        <v>8.9252225899999905E-4</v>
      </c>
      <c r="AD258" s="14">
        <v>6.1023567100000002E-4</v>
      </c>
      <c r="AE258" s="13" t="s">
        <v>93</v>
      </c>
    </row>
    <row r="259" spans="1:31">
      <c r="A259" s="13" t="s">
        <v>260</v>
      </c>
      <c r="B259" s="13" t="s">
        <v>1</v>
      </c>
      <c r="C259" s="13" t="s">
        <v>32</v>
      </c>
      <c r="D259" s="13" t="str">
        <f>IFERROR(VLOOKUP(C259,ghg_sort!$A$86:$B$512,2,0),0)</f>
        <v>Industry</v>
      </c>
      <c r="E259" s="33" t="s">
        <v>86</v>
      </c>
      <c r="F259" s="13">
        <f>IFERROR(VLOOKUP($E259,ghg_sort!$A$3:$B$21,2,0),0)</f>
        <v>3.6666666666666701</v>
      </c>
      <c r="G259" s="13">
        <f t="shared" si="34"/>
        <v>27.038264000000026</v>
      </c>
      <c r="H259" s="13">
        <f t="shared" si="35"/>
        <v>3.7628537833333366</v>
      </c>
      <c r="I259" s="13">
        <f t="shared" si="36"/>
        <v>4.3355430066666703</v>
      </c>
      <c r="J259" s="13">
        <f t="shared" si="37"/>
        <v>89.077264466666747</v>
      </c>
      <c r="K259" s="13">
        <f t="shared" si="38"/>
        <v>99.835869393333425</v>
      </c>
      <c r="L259" s="13">
        <f t="shared" si="39"/>
        <v>99.08919122666677</v>
      </c>
      <c r="M259" s="13">
        <f t="shared" si="40"/>
        <v>85.055619990000082</v>
      </c>
      <c r="N259" s="13">
        <f t="shared" si="41"/>
        <v>64.747555979333399</v>
      </c>
      <c r="O259" s="13">
        <f t="shared" si="42"/>
        <v>46.710424280666707</v>
      </c>
      <c r="P259" s="13">
        <f t="shared" si="43"/>
        <v>28.667306836666693</v>
      </c>
      <c r="Q259" s="13">
        <f t="shared" si="44"/>
        <v>15.471377056666682</v>
      </c>
      <c r="R259" s="13" t="s">
        <v>239</v>
      </c>
      <c r="T259" s="14">
        <v>7.374072</v>
      </c>
      <c r="U259" s="14">
        <v>1.02623285</v>
      </c>
      <c r="V259" s="14">
        <v>1.1824208199999999</v>
      </c>
      <c r="W259" s="14">
        <v>24.293799400000001</v>
      </c>
      <c r="X259" s="14">
        <v>27.22796438</v>
      </c>
      <c r="Y259" s="14">
        <v>27.024324880000002</v>
      </c>
      <c r="Z259" s="14">
        <v>23.196987270000001</v>
      </c>
      <c r="AA259" s="14">
        <v>17.658424358000001</v>
      </c>
      <c r="AB259" s="14">
        <v>12.739206621999999</v>
      </c>
      <c r="AC259" s="14">
        <v>7.8183564099999998</v>
      </c>
      <c r="AD259" s="14">
        <v>4.2194664700000004</v>
      </c>
      <c r="AE259" s="13" t="s">
        <v>131</v>
      </c>
    </row>
    <row r="260" spans="1:31">
      <c r="A260" s="13" t="s">
        <v>260</v>
      </c>
      <c r="B260" s="13" t="s">
        <v>1</v>
      </c>
      <c r="C260" s="13" t="s">
        <v>32</v>
      </c>
      <c r="D260" s="13" t="str">
        <f>IFERROR(VLOOKUP(C260,ghg_sort!$A$86:$B$512,2,0),0)</f>
        <v>Industry</v>
      </c>
      <c r="E260" s="33" t="s">
        <v>87</v>
      </c>
      <c r="F260" s="13">
        <f>IFERROR(VLOOKUP($E260,ghg_sort!$A$3:$B$21,2,0),0)</f>
        <v>298</v>
      </c>
      <c r="G260" s="13">
        <f t="shared" ref="G260:G323" si="45">T260*$F260</f>
        <v>1.125713476E-3</v>
      </c>
      <c r="H260" s="13">
        <f t="shared" ref="H260:H323" si="46">U260*$F260</f>
        <v>1.189043839999997E-2</v>
      </c>
      <c r="I260" s="13">
        <f t="shared" ref="I260:I323" si="47">V260*$F260</f>
        <v>2.8272362600000003E-2</v>
      </c>
      <c r="J260" s="13">
        <f t="shared" ref="J260:J323" si="48">W260*$F260</f>
        <v>7.1520119199999996E-2</v>
      </c>
      <c r="K260" s="13">
        <f t="shared" ref="K260:K323" si="49">X260*$F260</f>
        <v>8.0292151500000006E-2</v>
      </c>
      <c r="L260" s="13">
        <f t="shared" ref="L260:L323" si="50">Y260*$F260</f>
        <v>8.0845316979999998E-2</v>
      </c>
      <c r="M260" s="13">
        <f t="shared" ref="M260:M323" si="51">Z260*$F260</f>
        <v>7.1099146520000003E-2</v>
      </c>
      <c r="N260" s="13">
        <f t="shared" ref="N260:N323" si="52">AA260*$F260</f>
        <v>5.6013891840000003E-2</v>
      </c>
      <c r="O260" s="13">
        <f t="shared" ref="O260:O323" si="53">AB260*$F260</f>
        <v>4.1082974339999703E-2</v>
      </c>
      <c r="P260" s="13">
        <f t="shared" ref="P260:P323" si="54">AC260*$F260</f>
        <v>2.5664326199999969E-2</v>
      </c>
      <c r="Q260" s="13">
        <f t="shared" ref="Q260:Q323" si="55">AD260*$F260</f>
        <v>1.4210935196E-2</v>
      </c>
      <c r="R260" s="13" t="s">
        <v>239</v>
      </c>
      <c r="T260" s="14">
        <v>3.7775619999999998E-6</v>
      </c>
      <c r="U260" s="14">
        <v>3.9900799999999901E-5</v>
      </c>
      <c r="V260" s="14">
        <v>9.4873700000000006E-5</v>
      </c>
      <c r="W260" s="14">
        <v>2.4000040000000001E-4</v>
      </c>
      <c r="X260" s="14">
        <v>2.6943675E-4</v>
      </c>
      <c r="Y260" s="14">
        <v>2.7129300999999999E-4</v>
      </c>
      <c r="Z260" s="14">
        <v>2.3858774000000001E-4</v>
      </c>
      <c r="AA260" s="14">
        <v>1.8796608E-4</v>
      </c>
      <c r="AB260" s="14">
        <v>1.37862329999999E-4</v>
      </c>
      <c r="AC260" s="14">
        <v>8.6121899999999898E-5</v>
      </c>
      <c r="AD260" s="14">
        <v>4.7687702E-5</v>
      </c>
      <c r="AE260" s="13" t="s">
        <v>93</v>
      </c>
    </row>
    <row r="261" spans="1:31">
      <c r="A261" s="13" t="s">
        <v>260</v>
      </c>
      <c r="B261" s="13" t="s">
        <v>1</v>
      </c>
      <c r="C261" s="13" t="s">
        <v>32</v>
      </c>
      <c r="D261" s="13" t="str">
        <f>IFERROR(VLOOKUP(C261,ghg_sort!$A$86:$B$512,2,0),0)</f>
        <v>Industry</v>
      </c>
      <c r="E261" s="33" t="s">
        <v>88</v>
      </c>
      <c r="F261" s="13">
        <f>IFERROR(VLOOKUP($E261,ghg_sort!$A$3:$B$21,2,0),0)</f>
        <v>0</v>
      </c>
      <c r="G261" s="13">
        <f t="shared" si="45"/>
        <v>0</v>
      </c>
      <c r="H261" s="13">
        <f t="shared" si="46"/>
        <v>0</v>
      </c>
      <c r="I261" s="13">
        <f t="shared" si="47"/>
        <v>0</v>
      </c>
      <c r="J261" s="13">
        <f t="shared" si="48"/>
        <v>0</v>
      </c>
      <c r="K261" s="13">
        <f t="shared" si="49"/>
        <v>0</v>
      </c>
      <c r="L261" s="13">
        <f t="shared" si="50"/>
        <v>0</v>
      </c>
      <c r="M261" s="13">
        <f t="shared" si="51"/>
        <v>0</v>
      </c>
      <c r="N261" s="13">
        <f t="shared" si="52"/>
        <v>0</v>
      </c>
      <c r="O261" s="13">
        <f t="shared" si="53"/>
        <v>0</v>
      </c>
      <c r="P261" s="13">
        <f t="shared" si="54"/>
        <v>0</v>
      </c>
      <c r="Q261" s="13">
        <f t="shared" si="55"/>
        <v>0</v>
      </c>
      <c r="R261" s="13" t="s">
        <v>239</v>
      </c>
      <c r="T261" s="14">
        <v>5.6663420000000002E-6</v>
      </c>
      <c r="U261" s="14">
        <v>8.4539389999999998E-5</v>
      </c>
      <c r="V261" s="14">
        <v>6.9747399999999996E-5</v>
      </c>
      <c r="W261" s="14">
        <v>9.9999999999999896E-5</v>
      </c>
      <c r="X261" s="14">
        <v>1.140235E-4</v>
      </c>
      <c r="Y261" s="14">
        <v>1.323218E-4</v>
      </c>
      <c r="Z261" s="14">
        <v>1.4762200999999999E-4</v>
      </c>
      <c r="AA261" s="14">
        <v>1.5983786E-4</v>
      </c>
      <c r="AB261" s="14">
        <v>1.4730605000000001E-4</v>
      </c>
      <c r="AC261" s="14">
        <v>1.14981393E-4</v>
      </c>
      <c r="AD261" s="14">
        <v>7.7679429700000001E-5</v>
      </c>
      <c r="AE261" s="13" t="s">
        <v>93</v>
      </c>
    </row>
    <row r="262" spans="1:31">
      <c r="A262" s="13" t="s">
        <v>260</v>
      </c>
      <c r="B262" s="13" t="s">
        <v>1</v>
      </c>
      <c r="C262" s="13" t="s">
        <v>32</v>
      </c>
      <c r="D262" s="13" t="str">
        <f>IFERROR(VLOOKUP(C262,ghg_sort!$A$86:$B$512,2,0),0)</f>
        <v>Industry</v>
      </c>
      <c r="E262" s="33" t="s">
        <v>89</v>
      </c>
      <c r="F262" s="13">
        <f>IFERROR(VLOOKUP($E262,ghg_sort!$A$3:$B$21,2,0),0)</f>
        <v>0</v>
      </c>
      <c r="G262" s="13">
        <f t="shared" si="45"/>
        <v>0</v>
      </c>
      <c r="H262" s="13">
        <f t="shared" si="46"/>
        <v>0</v>
      </c>
      <c r="I262" s="13">
        <f t="shared" si="47"/>
        <v>0</v>
      </c>
      <c r="J262" s="13">
        <f t="shared" si="48"/>
        <v>0</v>
      </c>
      <c r="K262" s="13">
        <f t="shared" si="49"/>
        <v>0</v>
      </c>
      <c r="L262" s="13">
        <f t="shared" si="50"/>
        <v>0</v>
      </c>
      <c r="M262" s="13">
        <f t="shared" si="51"/>
        <v>0</v>
      </c>
      <c r="N262" s="13">
        <f t="shared" si="52"/>
        <v>0</v>
      </c>
      <c r="O262" s="13">
        <f t="shared" si="53"/>
        <v>0</v>
      </c>
      <c r="P262" s="13">
        <f t="shared" si="54"/>
        <v>0</v>
      </c>
      <c r="Q262" s="13">
        <f t="shared" si="55"/>
        <v>0</v>
      </c>
      <c r="R262" s="13" t="s">
        <v>239</v>
      </c>
      <c r="T262" s="14">
        <v>3.72294E-5</v>
      </c>
      <c r="U262" s="14">
        <v>1.4961369E-4</v>
      </c>
      <c r="V262" s="14">
        <v>1.846324E-4</v>
      </c>
      <c r="W262" s="14">
        <v>2.7E-4</v>
      </c>
      <c r="X262" s="14">
        <v>2.3300649999999999E-4</v>
      </c>
      <c r="Y262" s="14">
        <v>2.291974E-4</v>
      </c>
      <c r="Z262" s="14">
        <v>2.4655853999999998E-4</v>
      </c>
      <c r="AA262" s="14">
        <v>2.7326887000000001E-4</v>
      </c>
      <c r="AB262" s="14">
        <v>2.5711674999999998E-4</v>
      </c>
      <c r="AC262" s="14">
        <v>2.0524138899999901E-4</v>
      </c>
      <c r="AD262" s="14">
        <v>1.4145947839999901E-4</v>
      </c>
      <c r="AE262" s="13" t="s">
        <v>93</v>
      </c>
    </row>
    <row r="263" spans="1:31">
      <c r="A263" s="13" t="s">
        <v>260</v>
      </c>
      <c r="B263" s="13" t="s">
        <v>1</v>
      </c>
      <c r="C263" s="13" t="s">
        <v>32</v>
      </c>
      <c r="D263" s="13" t="str">
        <f>IFERROR(VLOOKUP(C263,ghg_sort!$A$86:$B$512,2,0),0)</f>
        <v>Industry</v>
      </c>
      <c r="E263" s="33" t="s">
        <v>90</v>
      </c>
      <c r="F263" s="13">
        <f>IFERROR(VLOOKUP($E263,ghg_sort!$A$3:$B$21,2,0),0)</f>
        <v>0</v>
      </c>
      <c r="G263" s="13">
        <f t="shared" si="45"/>
        <v>0</v>
      </c>
      <c r="H263" s="13">
        <f t="shared" si="46"/>
        <v>0</v>
      </c>
      <c r="I263" s="13">
        <f t="shared" si="47"/>
        <v>0</v>
      </c>
      <c r="J263" s="13">
        <f t="shared" si="48"/>
        <v>0</v>
      </c>
      <c r="K263" s="13">
        <f t="shared" si="49"/>
        <v>0</v>
      </c>
      <c r="L263" s="13">
        <f t="shared" si="50"/>
        <v>0</v>
      </c>
      <c r="M263" s="13">
        <f t="shared" si="51"/>
        <v>0</v>
      </c>
      <c r="N263" s="13">
        <f t="shared" si="52"/>
        <v>0</v>
      </c>
      <c r="O263" s="13">
        <f t="shared" si="53"/>
        <v>0</v>
      </c>
      <c r="P263" s="13">
        <f t="shared" si="54"/>
        <v>0</v>
      </c>
      <c r="Q263" s="13">
        <f t="shared" si="55"/>
        <v>0</v>
      </c>
      <c r="R263" s="13" t="s">
        <v>239</v>
      </c>
      <c r="T263" s="14">
        <v>2.7246199999999901E-3</v>
      </c>
      <c r="U263" s="13">
        <v>1.0983939E-2</v>
      </c>
      <c r="V263" s="13">
        <v>1.36848919999999E-2</v>
      </c>
      <c r="W263" s="13">
        <v>2.2129981E-2</v>
      </c>
      <c r="X263" s="13">
        <v>1.5831339939999901E-2</v>
      </c>
      <c r="Y263" s="13">
        <v>1.274300567E-2</v>
      </c>
      <c r="Z263" s="13">
        <v>1.12584239099999E-2</v>
      </c>
      <c r="AA263" s="13">
        <v>1.0353646667E-2</v>
      </c>
      <c r="AB263" s="14">
        <v>8.7083011700000001E-3</v>
      </c>
      <c r="AC263" s="14">
        <v>6.8011093899999998E-3</v>
      </c>
      <c r="AD263" s="14">
        <v>4.6350933799999897E-3</v>
      </c>
      <c r="AE263" s="13" t="s">
        <v>93</v>
      </c>
    </row>
    <row r="264" spans="1:31">
      <c r="A264" s="13" t="s">
        <v>260</v>
      </c>
      <c r="B264" s="13" t="s">
        <v>1</v>
      </c>
      <c r="C264" s="13" t="s">
        <v>32</v>
      </c>
      <c r="D264" s="13" t="str">
        <f>IFERROR(VLOOKUP(C264,ghg_sort!$A$86:$B$512,2,0),0)</f>
        <v>Industry</v>
      </c>
      <c r="E264" s="12" t="s">
        <v>91</v>
      </c>
      <c r="F264" s="13">
        <f>IFERROR(VLOOKUP($E264,ghg_sort!$A$3:$B$21,2,0),0)</f>
        <v>0</v>
      </c>
      <c r="G264" s="13">
        <f t="shared" si="45"/>
        <v>0</v>
      </c>
      <c r="H264" s="13">
        <f t="shared" si="46"/>
        <v>0</v>
      </c>
      <c r="I264" s="13">
        <f t="shared" si="47"/>
        <v>0</v>
      </c>
      <c r="J264" s="13">
        <f t="shared" si="48"/>
        <v>0</v>
      </c>
      <c r="K264" s="13">
        <f t="shared" si="49"/>
        <v>0</v>
      </c>
      <c r="L264" s="13">
        <f t="shared" si="50"/>
        <v>0</v>
      </c>
      <c r="M264" s="13">
        <f t="shared" si="51"/>
        <v>0</v>
      </c>
      <c r="N264" s="13">
        <f t="shared" si="52"/>
        <v>0</v>
      </c>
      <c r="O264" s="13">
        <f t="shared" si="53"/>
        <v>0</v>
      </c>
      <c r="P264" s="13">
        <f t="shared" si="54"/>
        <v>0</v>
      </c>
      <c r="Q264" s="13">
        <f t="shared" si="55"/>
        <v>0</v>
      </c>
      <c r="R264" s="13" t="s">
        <v>239</v>
      </c>
      <c r="T264" s="14">
        <v>5.69035999999999E-5</v>
      </c>
      <c r="U264" s="14">
        <v>1.4983680000000001E-4</v>
      </c>
      <c r="V264" s="14">
        <v>1.8991169999999901E-4</v>
      </c>
      <c r="W264" s="14">
        <v>3.1000025999999999E-4</v>
      </c>
      <c r="X264" s="14">
        <v>2.1751468E-4</v>
      </c>
      <c r="Y264" s="14">
        <v>1.4594808999999901E-4</v>
      </c>
      <c r="Z264" s="14">
        <v>9.3917336000000001E-5</v>
      </c>
      <c r="AA264" s="14">
        <v>5.4479778E-5</v>
      </c>
      <c r="AB264" s="14">
        <v>2.9696531000000001E-5</v>
      </c>
      <c r="AC264" s="14">
        <v>1.2876301999999999E-5</v>
      </c>
      <c r="AD264" s="14">
        <v>4.6031015999999999E-6</v>
      </c>
      <c r="AE264" s="13" t="s">
        <v>94</v>
      </c>
    </row>
    <row r="265" spans="1:31">
      <c r="A265" s="13" t="s">
        <v>260</v>
      </c>
      <c r="B265" s="13" t="s">
        <v>1</v>
      </c>
      <c r="C265" s="13" t="s">
        <v>32</v>
      </c>
      <c r="D265" s="13" t="str">
        <f>IFERROR(VLOOKUP(C265,ghg_sort!$A$86:$B$512,2,0),0)</f>
        <v>Industry</v>
      </c>
      <c r="E265" s="33" t="s">
        <v>92</v>
      </c>
      <c r="F265" s="13">
        <f>IFERROR(VLOOKUP($E265,ghg_sort!$A$3:$B$21,2,0),0)</f>
        <v>0</v>
      </c>
      <c r="G265" s="13">
        <f t="shared" si="45"/>
        <v>0</v>
      </c>
      <c r="H265" s="13">
        <f t="shared" si="46"/>
        <v>0</v>
      </c>
      <c r="I265" s="13">
        <f t="shared" si="47"/>
        <v>0</v>
      </c>
      <c r="J265" s="13">
        <f t="shared" si="48"/>
        <v>0</v>
      </c>
      <c r="K265" s="13">
        <f t="shared" si="49"/>
        <v>0</v>
      </c>
      <c r="L265" s="13">
        <f t="shared" si="50"/>
        <v>0</v>
      </c>
      <c r="M265" s="13">
        <f t="shared" si="51"/>
        <v>0</v>
      </c>
      <c r="N265" s="13">
        <f t="shared" si="52"/>
        <v>0</v>
      </c>
      <c r="O265" s="13">
        <f t="shared" si="53"/>
        <v>0</v>
      </c>
      <c r="P265" s="13">
        <f t="shared" si="54"/>
        <v>0</v>
      </c>
      <c r="Q265" s="13">
        <f t="shared" si="55"/>
        <v>0</v>
      </c>
      <c r="R265" s="13" t="s">
        <v>239</v>
      </c>
      <c r="T265" s="14">
        <v>5.93547E-3</v>
      </c>
      <c r="U265" s="14">
        <v>6.8387750000000001E-3</v>
      </c>
      <c r="V265" s="14">
        <v>7.9459490000000008E-3</v>
      </c>
      <c r="W265" s="14">
        <v>1.4220112300000001E-2</v>
      </c>
      <c r="X265" s="14">
        <v>9.9788478099999897E-3</v>
      </c>
      <c r="Y265" s="14">
        <v>6.7095339399999999E-3</v>
      </c>
      <c r="Z265" s="14">
        <v>4.3379399849999903E-3</v>
      </c>
      <c r="AA265" s="14">
        <v>2.5419680510000001E-3</v>
      </c>
      <c r="AB265" s="14">
        <v>1.4041338089999999E-3</v>
      </c>
      <c r="AC265" s="14">
        <v>6.3039134899999904E-4</v>
      </c>
      <c r="AD265" s="14">
        <v>2.6022816599999998E-4</v>
      </c>
      <c r="AE265" s="13" t="s">
        <v>93</v>
      </c>
    </row>
    <row r="266" spans="1:31">
      <c r="A266" s="13" t="s">
        <v>260</v>
      </c>
      <c r="B266" s="13" t="s">
        <v>1</v>
      </c>
      <c r="C266" s="13" t="s">
        <v>66</v>
      </c>
      <c r="D266" s="13" t="str">
        <f>IFERROR(VLOOKUP(C266,ghg_sort!$A$86:$B$512,2,0),0)</f>
        <v>Industry</v>
      </c>
      <c r="E266" s="33" t="s">
        <v>83</v>
      </c>
      <c r="F266" s="13">
        <f>IFERROR(VLOOKUP($E266,ghg_sort!$A$3:$B$21,2,0),0)</f>
        <v>0</v>
      </c>
      <c r="G266" s="13">
        <f t="shared" si="45"/>
        <v>0</v>
      </c>
      <c r="H266" s="13">
        <f t="shared" si="46"/>
        <v>0</v>
      </c>
      <c r="I266" s="13">
        <f t="shared" si="47"/>
        <v>0</v>
      </c>
      <c r="J266" s="13">
        <f t="shared" si="48"/>
        <v>0</v>
      </c>
      <c r="K266" s="13">
        <f t="shared" si="49"/>
        <v>0</v>
      </c>
      <c r="L266" s="13">
        <f t="shared" si="50"/>
        <v>0</v>
      </c>
      <c r="M266" s="13">
        <f t="shared" si="51"/>
        <v>0</v>
      </c>
      <c r="N266" s="13">
        <f t="shared" si="52"/>
        <v>0</v>
      </c>
      <c r="O266" s="13">
        <f t="shared" si="53"/>
        <v>0</v>
      </c>
      <c r="P266" s="13">
        <f t="shared" si="54"/>
        <v>0</v>
      </c>
      <c r="Q266" s="13">
        <f t="shared" si="55"/>
        <v>0</v>
      </c>
      <c r="R266" s="13" t="s">
        <v>239</v>
      </c>
      <c r="T266" s="14">
        <v>1.2610900000000001E-4</v>
      </c>
      <c r="U266" s="14">
        <v>7.5147400000000005E-5</v>
      </c>
      <c r="V266" s="14">
        <v>1.15871E-4</v>
      </c>
      <c r="W266" s="14">
        <v>1.3507700000000001E-6</v>
      </c>
      <c r="X266" s="14">
        <v>8.67191E-7</v>
      </c>
      <c r="Y266" s="14">
        <v>6.0315520000000001E-7</v>
      </c>
      <c r="Z266" s="14">
        <v>4.9393459999999999E-7</v>
      </c>
      <c r="AA266" s="14">
        <v>4.3749300000000001E-7</v>
      </c>
      <c r="AB266" s="14">
        <v>3.8091990000000001E-7</v>
      </c>
      <c r="AC266" s="14">
        <v>2.8989109999999998E-7</v>
      </c>
      <c r="AD266" s="14">
        <v>1.946934E-7</v>
      </c>
      <c r="AE266" s="13" t="s">
        <v>93</v>
      </c>
    </row>
    <row r="267" spans="1:31">
      <c r="A267" s="13" t="s">
        <v>260</v>
      </c>
      <c r="B267" s="13" t="s">
        <v>1</v>
      </c>
      <c r="C267" s="13" t="s">
        <v>66</v>
      </c>
      <c r="D267" s="13" t="str">
        <f>IFERROR(VLOOKUP(C267,ghg_sort!$A$86:$B$512,2,0),0)</f>
        <v>Industry</v>
      </c>
      <c r="E267" s="33" t="s">
        <v>84</v>
      </c>
      <c r="F267" s="13">
        <f>IFERROR(VLOOKUP($E267,ghg_sort!$A$3:$B$21,2,0),0)</f>
        <v>25</v>
      </c>
      <c r="G267" s="13">
        <f t="shared" si="45"/>
        <v>2.5000000000000001E-4</v>
      </c>
      <c r="H267" s="13">
        <f t="shared" si="46"/>
        <v>0</v>
      </c>
      <c r="I267" s="13">
        <f t="shared" si="47"/>
        <v>0</v>
      </c>
      <c r="J267" s="13">
        <f t="shared" si="48"/>
        <v>0</v>
      </c>
      <c r="K267" s="13">
        <f t="shared" si="49"/>
        <v>0</v>
      </c>
      <c r="L267" s="13">
        <f t="shared" si="50"/>
        <v>0</v>
      </c>
      <c r="M267" s="13">
        <f t="shared" si="51"/>
        <v>0</v>
      </c>
      <c r="N267" s="13">
        <f t="shared" si="52"/>
        <v>0</v>
      </c>
      <c r="O267" s="13">
        <f t="shared" si="53"/>
        <v>0</v>
      </c>
      <c r="P267" s="13">
        <f t="shared" si="54"/>
        <v>0</v>
      </c>
      <c r="Q267" s="13">
        <f t="shared" si="55"/>
        <v>0</v>
      </c>
      <c r="R267" s="13" t="s">
        <v>239</v>
      </c>
      <c r="T267" s="14">
        <v>1.0000000000000001E-5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3" t="s">
        <v>93</v>
      </c>
    </row>
    <row r="268" spans="1:31">
      <c r="A268" s="13" t="s">
        <v>260</v>
      </c>
      <c r="B268" s="13" t="s">
        <v>1</v>
      </c>
      <c r="C268" s="13" t="s">
        <v>66</v>
      </c>
      <c r="D268" s="13" t="str">
        <f>IFERROR(VLOOKUP(C268,ghg_sort!$A$86:$B$512,2,0),0)</f>
        <v>Industry</v>
      </c>
      <c r="E268" s="33" t="s">
        <v>85</v>
      </c>
      <c r="F268" s="13">
        <f>IFERROR(VLOOKUP($E268,ghg_sort!$A$3:$B$21,2,0),0)</f>
        <v>0</v>
      </c>
      <c r="G268" s="13">
        <f t="shared" si="45"/>
        <v>0</v>
      </c>
      <c r="H268" s="13">
        <f t="shared" si="46"/>
        <v>0</v>
      </c>
      <c r="I268" s="13">
        <f t="shared" si="47"/>
        <v>0</v>
      </c>
      <c r="J268" s="13">
        <f t="shared" si="48"/>
        <v>0</v>
      </c>
      <c r="K268" s="13">
        <f t="shared" si="49"/>
        <v>0</v>
      </c>
      <c r="L268" s="13">
        <f t="shared" si="50"/>
        <v>0</v>
      </c>
      <c r="M268" s="13">
        <f t="shared" si="51"/>
        <v>0</v>
      </c>
      <c r="N268" s="13">
        <f t="shared" si="52"/>
        <v>0</v>
      </c>
      <c r="O268" s="13">
        <f t="shared" si="53"/>
        <v>0</v>
      </c>
      <c r="P268" s="13">
        <f t="shared" si="54"/>
        <v>0</v>
      </c>
      <c r="Q268" s="13">
        <f t="shared" si="55"/>
        <v>0</v>
      </c>
      <c r="R268" s="13" t="s">
        <v>239</v>
      </c>
      <c r="T268" s="14">
        <v>4.0000000000000003E-5</v>
      </c>
      <c r="U268" s="14">
        <v>2.0000000000000002E-5</v>
      </c>
      <c r="V268" s="14">
        <v>2.0000000000000002E-5</v>
      </c>
      <c r="W268" s="14">
        <v>2.0000000000000002E-5</v>
      </c>
      <c r="X268" s="14">
        <v>1.694392E-5</v>
      </c>
      <c r="Y268" s="14">
        <v>1.7135090000000001E-5</v>
      </c>
      <c r="Z268" s="14">
        <v>1.7929069999999999E-5</v>
      </c>
      <c r="AA268" s="14">
        <v>1.7725134E-5</v>
      </c>
      <c r="AB268" s="14">
        <v>1.543306E-5</v>
      </c>
      <c r="AC268" s="14">
        <v>1.17449999999999E-5</v>
      </c>
      <c r="AD268" s="14">
        <v>7.8880499999999998E-6</v>
      </c>
      <c r="AE268" s="13" t="s">
        <v>93</v>
      </c>
    </row>
    <row r="269" spans="1:31">
      <c r="A269" s="13" t="s">
        <v>260</v>
      </c>
      <c r="B269" s="13" t="s">
        <v>1</v>
      </c>
      <c r="C269" s="13" t="s">
        <v>66</v>
      </c>
      <c r="D269" s="13" t="str">
        <f>IFERROR(VLOOKUP(C269,ghg_sort!$A$86:$B$512,2,0),0)</f>
        <v>Industry</v>
      </c>
      <c r="E269" s="33" t="s">
        <v>86</v>
      </c>
      <c r="F269" s="13">
        <f>IFERROR(VLOOKUP($E269,ghg_sort!$A$3:$B$21,2,0),0)</f>
        <v>3.6666666666666701</v>
      </c>
      <c r="G269" s="13">
        <f t="shared" si="45"/>
        <v>0.33994510000000033</v>
      </c>
      <c r="H269" s="13">
        <f t="shared" si="46"/>
        <v>0.17749050000000016</v>
      </c>
      <c r="I269" s="13">
        <f t="shared" si="47"/>
        <v>0.25570746666666694</v>
      </c>
      <c r="J269" s="13">
        <f t="shared" si="48"/>
        <v>0.19253043333333353</v>
      </c>
      <c r="K269" s="13">
        <f t="shared" si="49"/>
        <v>0.19714640000000019</v>
      </c>
      <c r="L269" s="13">
        <f t="shared" si="50"/>
        <v>0.19937008666666683</v>
      </c>
      <c r="M269" s="13">
        <f t="shared" si="51"/>
        <v>0.2086082900000002</v>
      </c>
      <c r="N269" s="13">
        <f t="shared" si="52"/>
        <v>0.20623569999999983</v>
      </c>
      <c r="O269" s="13">
        <f t="shared" si="53"/>
        <v>0.17956671333333352</v>
      </c>
      <c r="P269" s="13">
        <f t="shared" si="54"/>
        <v>0.13665531000000011</v>
      </c>
      <c r="Q269" s="13">
        <f t="shared" si="55"/>
        <v>9.1779086666666385E-2</v>
      </c>
      <c r="R269" s="13" t="s">
        <v>239</v>
      </c>
      <c r="T269" s="14">
        <v>9.2712299999999997E-2</v>
      </c>
      <c r="U269" s="14">
        <v>4.8406499999999998E-2</v>
      </c>
      <c r="V269" s="14">
        <v>6.9738400000000006E-2</v>
      </c>
      <c r="W269" s="14">
        <v>5.2508300000000001E-2</v>
      </c>
      <c r="X269" s="14">
        <v>5.3767200000000001E-2</v>
      </c>
      <c r="Y269" s="14">
        <v>5.4373659999999997E-2</v>
      </c>
      <c r="Z269" s="14">
        <v>5.689317E-2</v>
      </c>
      <c r="AA269" s="14">
        <v>5.6246099999999903E-2</v>
      </c>
      <c r="AB269" s="14">
        <v>4.8972740000000001E-2</v>
      </c>
      <c r="AC269" s="14">
        <v>3.7269629999999998E-2</v>
      </c>
      <c r="AD269" s="14">
        <v>2.5030659999999899E-2</v>
      </c>
      <c r="AE269" s="13" t="s">
        <v>93</v>
      </c>
    </row>
    <row r="270" spans="1:31">
      <c r="A270" s="13" t="s">
        <v>260</v>
      </c>
      <c r="B270" s="13" t="s">
        <v>1</v>
      </c>
      <c r="C270" s="13" t="s">
        <v>66</v>
      </c>
      <c r="D270" s="13" t="str">
        <f>IFERROR(VLOOKUP(C270,ghg_sort!$A$86:$B$512,2,0),0)</f>
        <v>Industry</v>
      </c>
      <c r="E270" s="33" t="s">
        <v>90</v>
      </c>
      <c r="F270" s="13">
        <f>IFERROR(VLOOKUP($E270,ghg_sort!$A$3:$B$21,2,0),0)</f>
        <v>0</v>
      </c>
      <c r="G270" s="13">
        <f t="shared" si="45"/>
        <v>0</v>
      </c>
      <c r="H270" s="13">
        <f t="shared" si="46"/>
        <v>0</v>
      </c>
      <c r="I270" s="13">
        <f t="shared" si="47"/>
        <v>0</v>
      </c>
      <c r="J270" s="13">
        <f t="shared" si="48"/>
        <v>0</v>
      </c>
      <c r="K270" s="13">
        <f t="shared" si="49"/>
        <v>0</v>
      </c>
      <c r="L270" s="13">
        <f t="shared" si="50"/>
        <v>0</v>
      </c>
      <c r="M270" s="13">
        <f t="shared" si="51"/>
        <v>0</v>
      </c>
      <c r="N270" s="13">
        <f t="shared" si="52"/>
        <v>0</v>
      </c>
      <c r="O270" s="13">
        <f t="shared" si="53"/>
        <v>0</v>
      </c>
      <c r="P270" s="13">
        <f t="shared" si="54"/>
        <v>0</v>
      </c>
      <c r="Q270" s="13">
        <f t="shared" si="55"/>
        <v>0</v>
      </c>
      <c r="R270" s="13" t="s">
        <v>239</v>
      </c>
      <c r="T270" s="14">
        <v>5.4000000000000001E-4</v>
      </c>
      <c r="U270" s="14">
        <v>1.4999999999999999E-4</v>
      </c>
      <c r="V270" s="14">
        <v>3.1E-4</v>
      </c>
      <c r="W270" s="14">
        <v>2.7999999999999998E-4</v>
      </c>
      <c r="X270" s="14">
        <v>1.7975829999999999E-4</v>
      </c>
      <c r="Y270" s="14">
        <v>1.2502720000000001E-4</v>
      </c>
      <c r="Z270" s="14">
        <v>1.0238706E-4</v>
      </c>
      <c r="AA270" s="14">
        <v>8.4995150000000006E-5</v>
      </c>
      <c r="AB270" s="14">
        <v>6.7076160000000004E-5</v>
      </c>
      <c r="AC270" s="14">
        <v>5.1046929999999901E-5</v>
      </c>
      <c r="AD270" s="14">
        <v>3.4283640000000001E-5</v>
      </c>
      <c r="AE270" s="13" t="s">
        <v>93</v>
      </c>
    </row>
    <row r="271" spans="1:31">
      <c r="A271" s="13" t="s">
        <v>260</v>
      </c>
      <c r="B271" s="13" t="s">
        <v>1</v>
      </c>
      <c r="C271" s="13" t="s">
        <v>66</v>
      </c>
      <c r="D271" s="13" t="str">
        <f>IFERROR(VLOOKUP(C271,ghg_sort!$A$86:$B$512,2,0),0)</f>
        <v>Industry</v>
      </c>
      <c r="E271" s="33" t="s">
        <v>91</v>
      </c>
      <c r="F271" s="13">
        <f>IFERROR(VLOOKUP($E271,ghg_sort!$A$3:$B$21,2,0),0)</f>
        <v>0</v>
      </c>
      <c r="G271" s="13">
        <f t="shared" si="45"/>
        <v>0</v>
      </c>
      <c r="H271" s="13">
        <f t="shared" si="46"/>
        <v>0</v>
      </c>
      <c r="I271" s="13">
        <f t="shared" si="47"/>
        <v>0</v>
      </c>
      <c r="J271" s="13">
        <f t="shared" si="48"/>
        <v>0</v>
      </c>
      <c r="K271" s="13">
        <f t="shared" si="49"/>
        <v>0</v>
      </c>
      <c r="L271" s="13">
        <f t="shared" si="50"/>
        <v>0</v>
      </c>
      <c r="M271" s="13">
        <f t="shared" si="51"/>
        <v>0</v>
      </c>
      <c r="N271" s="13">
        <f t="shared" si="52"/>
        <v>0</v>
      </c>
      <c r="O271" s="13">
        <f t="shared" si="53"/>
        <v>0</v>
      </c>
      <c r="P271" s="13">
        <f t="shared" si="54"/>
        <v>0</v>
      </c>
      <c r="Q271" s="13">
        <f t="shared" si="55"/>
        <v>0</v>
      </c>
      <c r="R271" s="13" t="s">
        <v>239</v>
      </c>
      <c r="T271" s="14">
        <v>4.0000000000000003E-5</v>
      </c>
      <c r="U271" s="14">
        <v>2.0000000000000002E-5</v>
      </c>
      <c r="V271" s="14">
        <v>4.0000000000000003E-5</v>
      </c>
      <c r="W271" s="14">
        <v>1.0000000000000001E-5</v>
      </c>
      <c r="X271" s="14">
        <v>6.4199600000000001E-6</v>
      </c>
      <c r="Y271" s="14">
        <v>4.4652510000000004E-6</v>
      </c>
      <c r="Z271" s="14">
        <v>3.6566869999999999E-6</v>
      </c>
      <c r="AA271" s="14">
        <v>3.0355439999999999E-6</v>
      </c>
      <c r="AB271" s="14">
        <v>2.2636190000000001E-6</v>
      </c>
      <c r="AC271" s="14">
        <v>1.4693460000000001E-6</v>
      </c>
      <c r="AD271" s="14">
        <v>8.5199299999999997E-7</v>
      </c>
      <c r="AE271" s="13" t="s">
        <v>93</v>
      </c>
    </row>
    <row r="272" spans="1:31">
      <c r="A272" s="13" t="s">
        <v>260</v>
      </c>
      <c r="B272" s="13" t="s">
        <v>1</v>
      </c>
      <c r="C272" s="13" t="s">
        <v>66</v>
      </c>
      <c r="D272" s="13" t="str">
        <f>IFERROR(VLOOKUP(C272,ghg_sort!$A$86:$B$512,2,0),0)</f>
        <v>Industry</v>
      </c>
      <c r="E272" s="33" t="s">
        <v>92</v>
      </c>
      <c r="F272" s="13">
        <f>IFERROR(VLOOKUP($E272,ghg_sort!$A$3:$B$21,2,0),0)</f>
        <v>0</v>
      </c>
      <c r="G272" s="13">
        <f t="shared" si="45"/>
        <v>0</v>
      </c>
      <c r="H272" s="13">
        <f t="shared" si="46"/>
        <v>0</v>
      </c>
      <c r="I272" s="13">
        <f t="shared" si="47"/>
        <v>0</v>
      </c>
      <c r="J272" s="13">
        <f t="shared" si="48"/>
        <v>0</v>
      </c>
      <c r="K272" s="13">
        <f t="shared" si="49"/>
        <v>0</v>
      </c>
      <c r="L272" s="13">
        <f t="shared" si="50"/>
        <v>0</v>
      </c>
      <c r="M272" s="13">
        <f t="shared" si="51"/>
        <v>0</v>
      </c>
      <c r="N272" s="13">
        <f t="shared" si="52"/>
        <v>0</v>
      </c>
      <c r="O272" s="13">
        <f t="shared" si="53"/>
        <v>0</v>
      </c>
      <c r="P272" s="13">
        <f t="shared" si="54"/>
        <v>0</v>
      </c>
      <c r="Q272" s="13">
        <f t="shared" si="55"/>
        <v>0</v>
      </c>
      <c r="R272" s="13" t="s">
        <v>239</v>
      </c>
      <c r="T272" s="14">
        <v>1.72054E-3</v>
      </c>
      <c r="U272" s="14">
        <v>2.43098E-4</v>
      </c>
      <c r="V272" s="14">
        <v>4.0765000000000002E-4</v>
      </c>
      <c r="W272" s="14">
        <v>1.17595E-4</v>
      </c>
      <c r="X272" s="14">
        <v>7.5495700000000003E-5</v>
      </c>
      <c r="Y272" s="14">
        <v>5.2509300000000002E-5</v>
      </c>
      <c r="Z272" s="14">
        <v>4.3000860000000001E-5</v>
      </c>
      <c r="AA272" s="14">
        <v>3.569661E-5</v>
      </c>
      <c r="AB272" s="14">
        <v>2.6619069999999999E-5</v>
      </c>
      <c r="AC272" s="14">
        <v>2.0181960000000001E-5</v>
      </c>
      <c r="AD272" s="14">
        <v>1.3554389999999999E-5</v>
      </c>
      <c r="AE272" s="13" t="s">
        <v>93</v>
      </c>
    </row>
    <row r="273" spans="1:31">
      <c r="A273" s="13" t="s">
        <v>260</v>
      </c>
      <c r="B273" s="13" t="s">
        <v>1</v>
      </c>
      <c r="C273" s="13" t="s">
        <v>68</v>
      </c>
      <c r="D273" s="13" t="str">
        <f>IFERROR(VLOOKUP(C273,ghg_sort!$A$86:$B$512,2,0),0)</f>
        <v>Industry</v>
      </c>
      <c r="E273" s="33" t="s">
        <v>83</v>
      </c>
      <c r="F273" s="13">
        <f>IFERROR(VLOOKUP($E273,ghg_sort!$A$3:$B$21,2,0),0)</f>
        <v>0</v>
      </c>
      <c r="G273" s="13">
        <f t="shared" si="45"/>
        <v>0</v>
      </c>
      <c r="H273" s="13">
        <f t="shared" si="46"/>
        <v>0</v>
      </c>
      <c r="I273" s="13">
        <f t="shared" si="47"/>
        <v>0</v>
      </c>
      <c r="J273" s="13">
        <f t="shared" si="48"/>
        <v>0</v>
      </c>
      <c r="K273" s="13">
        <f t="shared" si="49"/>
        <v>0</v>
      </c>
      <c r="L273" s="13">
        <f t="shared" si="50"/>
        <v>0</v>
      </c>
      <c r="M273" s="13">
        <f t="shared" si="51"/>
        <v>0</v>
      </c>
      <c r="N273" s="13">
        <f t="shared" si="52"/>
        <v>0</v>
      </c>
      <c r="O273" s="13">
        <f t="shared" si="53"/>
        <v>0</v>
      </c>
      <c r="P273" s="13">
        <f t="shared" si="54"/>
        <v>0</v>
      </c>
      <c r="Q273" s="13">
        <f t="shared" si="55"/>
        <v>0</v>
      </c>
      <c r="R273" s="13" t="s">
        <v>239</v>
      </c>
      <c r="T273" s="14">
        <v>3.8044059999999898E-3</v>
      </c>
      <c r="U273" s="14">
        <v>4.4493470000000002E-3</v>
      </c>
      <c r="V273" s="14">
        <v>4.5262719999999996E-3</v>
      </c>
      <c r="W273" s="14">
        <v>2.8680959999999901E-3</v>
      </c>
      <c r="X273" s="14">
        <v>2.9543968899999901E-3</v>
      </c>
      <c r="Y273" s="14">
        <v>2.9761496599999999E-3</v>
      </c>
      <c r="Z273" s="14">
        <v>3.2288491999999998E-3</v>
      </c>
      <c r="AA273" s="14">
        <v>3.7726747E-3</v>
      </c>
      <c r="AB273" s="14">
        <v>3.6643042899999899E-3</v>
      </c>
      <c r="AC273" s="14">
        <v>3.2867382740000002E-3</v>
      </c>
      <c r="AD273" s="14">
        <v>2.7606455169999901E-3</v>
      </c>
      <c r="AE273" s="13" t="s">
        <v>93</v>
      </c>
    </row>
    <row r="274" spans="1:31">
      <c r="A274" s="13" t="s">
        <v>260</v>
      </c>
      <c r="B274" s="13" t="s">
        <v>1</v>
      </c>
      <c r="C274" s="13" t="s">
        <v>68</v>
      </c>
      <c r="D274" s="13" t="str">
        <f>IFERROR(VLOOKUP(C274,ghg_sort!$A$86:$B$512,2,0),0)</f>
        <v>Industry</v>
      </c>
      <c r="E274" s="12" t="s">
        <v>84</v>
      </c>
      <c r="F274" s="13">
        <f>IFERROR(VLOOKUP($E274,ghg_sort!$A$3:$B$21,2,0),0)</f>
        <v>25</v>
      </c>
      <c r="G274" s="13">
        <f t="shared" si="45"/>
        <v>1.7729624999999999E-2</v>
      </c>
      <c r="H274" s="13">
        <f t="shared" si="46"/>
        <v>3.8151625000000002E-2</v>
      </c>
      <c r="I274" s="13">
        <f t="shared" si="47"/>
        <v>4.3969974999999752E-2</v>
      </c>
      <c r="J274" s="13">
        <f t="shared" si="48"/>
        <v>6.1713249999999997E-2</v>
      </c>
      <c r="K274" s="13">
        <f t="shared" si="49"/>
        <v>6.7416670249999755E-2</v>
      </c>
      <c r="L274" s="13">
        <f t="shared" si="50"/>
        <v>6.7427246475000008E-2</v>
      </c>
      <c r="M274" s="13">
        <f t="shared" si="51"/>
        <v>7.0069768849999992E-2</v>
      </c>
      <c r="N274" s="13">
        <f t="shared" si="52"/>
        <v>7.4195412949999998E-2</v>
      </c>
      <c r="O274" s="13">
        <f t="shared" si="53"/>
        <v>6.905033377499975E-2</v>
      </c>
      <c r="P274" s="13">
        <f t="shared" si="54"/>
        <v>6.1550262474999999E-2</v>
      </c>
      <c r="Q274" s="13">
        <f t="shared" si="55"/>
        <v>5.2612195557499755E-2</v>
      </c>
      <c r="R274" s="13" t="s">
        <v>239</v>
      </c>
      <c r="T274" s="14">
        <v>7.0918499999999998E-4</v>
      </c>
      <c r="U274" s="13">
        <v>1.5260650000000001E-3</v>
      </c>
      <c r="V274" s="13">
        <v>1.7587989999999899E-3</v>
      </c>
      <c r="W274" s="13">
        <v>2.46853E-3</v>
      </c>
      <c r="X274" s="13">
        <v>2.6966668099999902E-3</v>
      </c>
      <c r="Y274" s="13">
        <v>2.6970898590000002E-3</v>
      </c>
      <c r="Z274" s="13">
        <v>2.8027907539999999E-3</v>
      </c>
      <c r="AA274" s="13">
        <v>2.967816518E-3</v>
      </c>
      <c r="AB274" s="13">
        <v>2.7620133509999902E-3</v>
      </c>
      <c r="AC274" s="13">
        <v>2.4620104989999999E-3</v>
      </c>
      <c r="AD274" s="13">
        <v>2.1044878222999902E-3</v>
      </c>
      <c r="AE274" s="13" t="s">
        <v>94</v>
      </c>
    </row>
    <row r="275" spans="1:31">
      <c r="A275" s="13" t="s">
        <v>260</v>
      </c>
      <c r="B275" s="13" t="s">
        <v>1</v>
      </c>
      <c r="C275" s="13" t="s">
        <v>68</v>
      </c>
      <c r="D275" s="13" t="str">
        <f>IFERROR(VLOOKUP(C275,ghg_sort!$A$86:$B$512,2,0),0)</f>
        <v>Industry</v>
      </c>
      <c r="E275" s="33" t="s">
        <v>85</v>
      </c>
      <c r="F275" s="13">
        <f>IFERROR(VLOOKUP($E275,ghg_sort!$A$3:$B$21,2,0),0)</f>
        <v>0</v>
      </c>
      <c r="G275" s="13">
        <f t="shared" si="45"/>
        <v>0</v>
      </c>
      <c r="H275" s="13">
        <f t="shared" si="46"/>
        <v>0</v>
      </c>
      <c r="I275" s="13">
        <f t="shared" si="47"/>
        <v>0</v>
      </c>
      <c r="J275" s="13">
        <f t="shared" si="48"/>
        <v>0</v>
      </c>
      <c r="K275" s="13">
        <f t="shared" si="49"/>
        <v>0</v>
      </c>
      <c r="L275" s="13">
        <f t="shared" si="50"/>
        <v>0</v>
      </c>
      <c r="M275" s="13">
        <f t="shared" si="51"/>
        <v>0</v>
      </c>
      <c r="N275" s="13">
        <f t="shared" si="52"/>
        <v>0</v>
      </c>
      <c r="O275" s="13">
        <f t="shared" si="53"/>
        <v>0</v>
      </c>
      <c r="P275" s="13">
        <f t="shared" si="54"/>
        <v>0</v>
      </c>
      <c r="Q275" s="13">
        <f t="shared" si="55"/>
        <v>0</v>
      </c>
      <c r="R275" s="13" t="s">
        <v>239</v>
      </c>
      <c r="T275" s="14">
        <v>1.9473699999999999E-3</v>
      </c>
      <c r="U275" s="14">
        <v>3.7672549999999902E-3</v>
      </c>
      <c r="V275" s="14">
        <v>3.4638519999999999E-3</v>
      </c>
      <c r="W275" s="14">
        <v>4.4904489999999997E-3</v>
      </c>
      <c r="X275" s="14">
        <v>4.3598845999999998E-3</v>
      </c>
      <c r="Y275" s="14">
        <v>4.3624801499999996E-3</v>
      </c>
      <c r="Z275" s="14">
        <v>4.5496138999999904E-3</v>
      </c>
      <c r="AA275" s="14">
        <v>4.8734956500000003E-3</v>
      </c>
      <c r="AB275" s="14">
        <v>4.5402931000000004E-3</v>
      </c>
      <c r="AC275" s="14">
        <v>4.0317954400000003E-3</v>
      </c>
      <c r="AD275" s="14">
        <v>3.4200864140000002E-3</v>
      </c>
      <c r="AE275" s="13" t="s">
        <v>93</v>
      </c>
    </row>
    <row r="276" spans="1:31">
      <c r="A276" s="13" t="s">
        <v>260</v>
      </c>
      <c r="B276" s="13" t="s">
        <v>1</v>
      </c>
      <c r="C276" s="13" t="s">
        <v>68</v>
      </c>
      <c r="D276" s="13" t="str">
        <f>IFERROR(VLOOKUP(C276,ghg_sort!$A$86:$B$512,2,0),0)</f>
        <v>Industry</v>
      </c>
      <c r="E276" s="33" t="s">
        <v>86</v>
      </c>
      <c r="F276" s="13">
        <f>IFERROR(VLOOKUP($E276,ghg_sort!$A$3:$B$21,2,0),0)</f>
        <v>3.6666666666666701</v>
      </c>
      <c r="G276" s="13">
        <f t="shared" si="45"/>
        <v>44.282842999999673</v>
      </c>
      <c r="H276" s="13">
        <f t="shared" si="46"/>
        <v>106.79019633333343</v>
      </c>
      <c r="I276" s="13">
        <f t="shared" si="47"/>
        <v>125.70671666666679</v>
      </c>
      <c r="J276" s="13">
        <f t="shared" si="48"/>
        <v>65.434699000000066</v>
      </c>
      <c r="K276" s="13">
        <f t="shared" si="49"/>
        <v>73.974707400000071</v>
      </c>
      <c r="L276" s="13">
        <f t="shared" si="50"/>
        <v>73.607258743333404</v>
      </c>
      <c r="M276" s="13">
        <f t="shared" si="51"/>
        <v>73.098593076666731</v>
      </c>
      <c r="N276" s="13">
        <f t="shared" si="52"/>
        <v>68.347603573333032</v>
      </c>
      <c r="O276" s="13">
        <f t="shared" si="53"/>
        <v>55.267386350000052</v>
      </c>
      <c r="P276" s="13">
        <f t="shared" si="54"/>
        <v>44.582029396666705</v>
      </c>
      <c r="Q276" s="13">
        <f t="shared" si="55"/>
        <v>35.770791536333363</v>
      </c>
      <c r="R276" s="13" t="s">
        <v>239</v>
      </c>
      <c r="T276" s="14">
        <v>12.077138999999899</v>
      </c>
      <c r="U276" s="14">
        <v>29.124599</v>
      </c>
      <c r="V276" s="14">
        <v>34.283650000000002</v>
      </c>
      <c r="W276" s="14">
        <v>17.845827</v>
      </c>
      <c r="X276" s="14">
        <v>20.174920199999999</v>
      </c>
      <c r="Y276" s="14">
        <v>20.074706930000001</v>
      </c>
      <c r="Z276" s="14">
        <v>19.935979929999998</v>
      </c>
      <c r="AA276" s="14">
        <v>18.640255519999901</v>
      </c>
      <c r="AB276" s="14">
        <v>15.072923550000001</v>
      </c>
      <c r="AC276" s="14">
        <v>12.158735289999999</v>
      </c>
      <c r="AD276" s="14">
        <v>9.7556704189999994</v>
      </c>
      <c r="AE276" s="13" t="s">
        <v>93</v>
      </c>
    </row>
    <row r="277" spans="1:31">
      <c r="A277" s="13" t="s">
        <v>260</v>
      </c>
      <c r="B277" s="13" t="s">
        <v>1</v>
      </c>
      <c r="C277" s="13" t="s">
        <v>68</v>
      </c>
      <c r="D277" s="13" t="str">
        <f>IFERROR(VLOOKUP(C277,ghg_sort!$A$86:$B$512,2,0),0)</f>
        <v>Industry</v>
      </c>
      <c r="E277" s="33" t="s">
        <v>87</v>
      </c>
      <c r="F277" s="13">
        <f>IFERROR(VLOOKUP($E277,ghg_sort!$A$3:$B$21,2,0),0)</f>
        <v>298</v>
      </c>
      <c r="G277" s="13">
        <f t="shared" si="45"/>
        <v>3.4829256599999706E-2</v>
      </c>
      <c r="H277" s="13">
        <f t="shared" si="46"/>
        <v>0.11622</v>
      </c>
      <c r="I277" s="13">
        <f t="shared" si="47"/>
        <v>0.11622</v>
      </c>
      <c r="J277" s="13">
        <f t="shared" si="48"/>
        <v>0.13111999999999971</v>
      </c>
      <c r="K277" s="13">
        <f t="shared" si="49"/>
        <v>0.14376834478</v>
      </c>
      <c r="L277" s="13">
        <f t="shared" si="50"/>
        <v>0.14459897120599999</v>
      </c>
      <c r="M277" s="13">
        <f t="shared" si="51"/>
        <v>0.15546987740400001</v>
      </c>
      <c r="N277" s="13">
        <f t="shared" si="52"/>
        <v>0.17844076576799969</v>
      </c>
      <c r="O277" s="13">
        <f t="shared" si="53"/>
        <v>0.172187445858</v>
      </c>
      <c r="P277" s="13">
        <f t="shared" si="54"/>
        <v>0.15431929702</v>
      </c>
      <c r="Q277" s="13">
        <f t="shared" si="55"/>
        <v>0.12994084886600002</v>
      </c>
      <c r="R277" s="13" t="s">
        <v>239</v>
      </c>
      <c r="T277" s="14">
        <v>1.16876699999999E-4</v>
      </c>
      <c r="U277" s="14">
        <v>3.8999999999999999E-4</v>
      </c>
      <c r="V277" s="14">
        <v>3.8999999999999999E-4</v>
      </c>
      <c r="W277" s="14">
        <v>4.3999999999999899E-4</v>
      </c>
      <c r="X277" s="14">
        <v>4.8244411E-4</v>
      </c>
      <c r="Y277" s="14">
        <v>4.8523144699999998E-4</v>
      </c>
      <c r="Z277" s="14">
        <v>5.2171099800000001E-4</v>
      </c>
      <c r="AA277" s="14">
        <v>5.9879451599999895E-4</v>
      </c>
      <c r="AB277" s="14">
        <v>5.7781022099999998E-4</v>
      </c>
      <c r="AC277" s="14">
        <v>5.1784998999999997E-4</v>
      </c>
      <c r="AD277" s="14">
        <v>4.3604311700000002E-4</v>
      </c>
      <c r="AE277" s="13" t="s">
        <v>93</v>
      </c>
    </row>
    <row r="278" spans="1:31">
      <c r="A278" s="13" t="s">
        <v>260</v>
      </c>
      <c r="B278" s="13" t="s">
        <v>1</v>
      </c>
      <c r="C278" s="13" t="s">
        <v>68</v>
      </c>
      <c r="D278" s="13" t="str">
        <f>IFERROR(VLOOKUP(C278,ghg_sort!$A$86:$B$512,2,0),0)</f>
        <v>Industry</v>
      </c>
      <c r="E278" s="33" t="s">
        <v>88</v>
      </c>
      <c r="F278" s="13">
        <f>IFERROR(VLOOKUP($E278,ghg_sort!$A$3:$B$21,2,0),0)</f>
        <v>0</v>
      </c>
      <c r="G278" s="13">
        <f t="shared" si="45"/>
        <v>0</v>
      </c>
      <c r="H278" s="13">
        <f t="shared" si="46"/>
        <v>0</v>
      </c>
      <c r="I278" s="13">
        <f t="shared" si="47"/>
        <v>0</v>
      </c>
      <c r="J278" s="13">
        <f t="shared" si="48"/>
        <v>0</v>
      </c>
      <c r="K278" s="13">
        <f t="shared" si="49"/>
        <v>0</v>
      </c>
      <c r="L278" s="13">
        <f t="shared" si="50"/>
        <v>0</v>
      </c>
      <c r="M278" s="13">
        <f t="shared" si="51"/>
        <v>0</v>
      </c>
      <c r="N278" s="13">
        <f t="shared" si="52"/>
        <v>0</v>
      </c>
      <c r="O278" s="13">
        <f t="shared" si="53"/>
        <v>0</v>
      </c>
      <c r="P278" s="13">
        <f t="shared" si="54"/>
        <v>0</v>
      </c>
      <c r="Q278" s="13">
        <f t="shared" si="55"/>
        <v>0</v>
      </c>
      <c r="R278" s="13" t="s">
        <v>239</v>
      </c>
      <c r="T278" s="14">
        <v>1.6783299999999999E-4</v>
      </c>
      <c r="U278" s="14">
        <v>9.8487050000000006E-4</v>
      </c>
      <c r="V278" s="14">
        <v>8.0721630000000003E-4</v>
      </c>
      <c r="W278" s="14">
        <v>8.5230919999999995E-4</v>
      </c>
      <c r="X278" s="14">
        <v>9.3471577199999998E-4</v>
      </c>
      <c r="Y278" s="14">
        <v>9.3977741300000001E-4</v>
      </c>
      <c r="Z278" s="14">
        <v>1.0073310409999901E-3</v>
      </c>
      <c r="AA278" s="13">
        <v>1.14859724799999E-3</v>
      </c>
      <c r="AB278" s="13">
        <v>1.1179485899999999E-3</v>
      </c>
      <c r="AC278" s="14">
        <v>1.0112889297000001E-3</v>
      </c>
      <c r="AD278" s="14">
        <v>8.6012133769999995E-4</v>
      </c>
      <c r="AE278" s="13" t="s">
        <v>93</v>
      </c>
    </row>
    <row r="279" spans="1:31">
      <c r="A279" s="13" t="s">
        <v>260</v>
      </c>
      <c r="B279" s="13" t="s">
        <v>1</v>
      </c>
      <c r="C279" s="13" t="s">
        <v>68</v>
      </c>
      <c r="D279" s="13" t="str">
        <f>IFERROR(VLOOKUP(C279,ghg_sort!$A$86:$B$512,2,0),0)</f>
        <v>Industry</v>
      </c>
      <c r="E279" s="33" t="s">
        <v>89</v>
      </c>
      <c r="F279" s="13">
        <f>IFERROR(VLOOKUP($E279,ghg_sort!$A$3:$B$21,2,0),0)</f>
        <v>0</v>
      </c>
      <c r="G279" s="13">
        <f t="shared" si="45"/>
        <v>0</v>
      </c>
      <c r="H279" s="13">
        <f t="shared" si="46"/>
        <v>0</v>
      </c>
      <c r="I279" s="13">
        <f t="shared" si="47"/>
        <v>0</v>
      </c>
      <c r="J279" s="13">
        <f t="shared" si="48"/>
        <v>0</v>
      </c>
      <c r="K279" s="13">
        <f t="shared" si="49"/>
        <v>0</v>
      </c>
      <c r="L279" s="13">
        <f t="shared" si="50"/>
        <v>0</v>
      </c>
      <c r="M279" s="13">
        <f t="shared" si="51"/>
        <v>0</v>
      </c>
      <c r="N279" s="13">
        <f t="shared" si="52"/>
        <v>0</v>
      </c>
      <c r="O279" s="13">
        <f t="shared" si="53"/>
        <v>0</v>
      </c>
      <c r="P279" s="13">
        <f t="shared" si="54"/>
        <v>0</v>
      </c>
      <c r="Q279" s="13">
        <f t="shared" si="55"/>
        <v>0</v>
      </c>
      <c r="R279" s="13" t="s">
        <v>239</v>
      </c>
      <c r="T279" s="14">
        <v>3.7766999999999998E-4</v>
      </c>
      <c r="U279" s="14">
        <v>6.1704679999999995E-4</v>
      </c>
      <c r="V279" s="14">
        <v>6.0131919999999997E-4</v>
      </c>
      <c r="W279" s="14">
        <v>6.469275E-4</v>
      </c>
      <c r="X279" s="14">
        <v>7.0925601999999896E-4</v>
      </c>
      <c r="Y279" s="14">
        <v>7.13249732E-4</v>
      </c>
      <c r="Z279" s="14">
        <v>7.6660318999999895E-4</v>
      </c>
      <c r="AA279" s="14">
        <v>8.7756046E-4</v>
      </c>
      <c r="AB279" s="14">
        <v>8.3734037099999895E-4</v>
      </c>
      <c r="AC279" s="14">
        <v>7.44092683E-4</v>
      </c>
      <c r="AD279" s="14">
        <v>6.2236929399999905E-4</v>
      </c>
      <c r="AE279" s="13" t="s">
        <v>93</v>
      </c>
    </row>
    <row r="280" spans="1:31">
      <c r="A280" s="13" t="s">
        <v>260</v>
      </c>
      <c r="B280" s="13" t="s">
        <v>1</v>
      </c>
      <c r="C280" s="13" t="s">
        <v>68</v>
      </c>
      <c r="D280" s="13" t="str">
        <f>IFERROR(VLOOKUP(C280,ghg_sort!$A$86:$B$512,2,0),0)</f>
        <v>Industry</v>
      </c>
      <c r="E280" s="33" t="s">
        <v>90</v>
      </c>
      <c r="F280" s="13">
        <f>IFERROR(VLOOKUP($E280,ghg_sort!$A$3:$B$21,2,0),0)</f>
        <v>0</v>
      </c>
      <c r="G280" s="13">
        <f t="shared" si="45"/>
        <v>0</v>
      </c>
      <c r="H280" s="13">
        <f t="shared" si="46"/>
        <v>0</v>
      </c>
      <c r="I280" s="13">
        <f t="shared" si="47"/>
        <v>0</v>
      </c>
      <c r="J280" s="13">
        <f t="shared" si="48"/>
        <v>0</v>
      </c>
      <c r="K280" s="13">
        <f t="shared" si="49"/>
        <v>0</v>
      </c>
      <c r="L280" s="13">
        <f t="shared" si="50"/>
        <v>0</v>
      </c>
      <c r="M280" s="13">
        <f t="shared" si="51"/>
        <v>0</v>
      </c>
      <c r="N280" s="13">
        <f t="shared" si="52"/>
        <v>0</v>
      </c>
      <c r="O280" s="13">
        <f t="shared" si="53"/>
        <v>0</v>
      </c>
      <c r="P280" s="13">
        <f t="shared" si="54"/>
        <v>0</v>
      </c>
      <c r="Q280" s="13">
        <f t="shared" si="55"/>
        <v>0</v>
      </c>
      <c r="R280" s="13" t="s">
        <v>239</v>
      </c>
      <c r="T280" s="13">
        <v>2.1783999999999901E-2</v>
      </c>
      <c r="U280" s="13">
        <v>2.9009799999999999E-2</v>
      </c>
      <c r="V280" s="13">
        <v>2.9079460000000001E-2</v>
      </c>
      <c r="W280" s="13">
        <v>2.9806840000000001E-2</v>
      </c>
      <c r="X280" s="13">
        <v>2.8073068999999999E-2</v>
      </c>
      <c r="Y280" s="13">
        <v>2.5729003600000001E-2</v>
      </c>
      <c r="Z280" s="13">
        <v>2.55012955E-2</v>
      </c>
      <c r="AA280" s="13">
        <v>2.61770162E-2</v>
      </c>
      <c r="AB280" s="13">
        <v>2.33827520999999E-2</v>
      </c>
      <c r="AC280" s="13">
        <v>2.00644234E-2</v>
      </c>
      <c r="AD280" s="13">
        <v>1.6708933719999999E-2</v>
      </c>
      <c r="AE280" s="13" t="s">
        <v>93</v>
      </c>
    </row>
    <row r="281" spans="1:31">
      <c r="A281" s="13" t="s">
        <v>260</v>
      </c>
      <c r="B281" s="13" t="s">
        <v>1</v>
      </c>
      <c r="C281" s="13" t="s">
        <v>68</v>
      </c>
      <c r="D281" s="13" t="str">
        <f>IFERROR(VLOOKUP(C281,ghg_sort!$A$86:$B$512,2,0),0)</f>
        <v>Industry</v>
      </c>
      <c r="E281" s="12" t="s">
        <v>91</v>
      </c>
      <c r="F281" s="13">
        <f>IFERROR(VLOOKUP($E281,ghg_sort!$A$3:$B$21,2,0),0)</f>
        <v>0</v>
      </c>
      <c r="G281" s="13">
        <f t="shared" si="45"/>
        <v>0</v>
      </c>
      <c r="H281" s="13">
        <f t="shared" si="46"/>
        <v>0</v>
      </c>
      <c r="I281" s="13">
        <f t="shared" si="47"/>
        <v>0</v>
      </c>
      <c r="J281" s="13">
        <f t="shared" si="48"/>
        <v>0</v>
      </c>
      <c r="K281" s="13">
        <f t="shared" si="49"/>
        <v>0</v>
      </c>
      <c r="L281" s="13">
        <f t="shared" si="50"/>
        <v>0</v>
      </c>
      <c r="M281" s="13">
        <f t="shared" si="51"/>
        <v>0</v>
      </c>
      <c r="N281" s="13">
        <f t="shared" si="52"/>
        <v>0</v>
      </c>
      <c r="O281" s="13">
        <f t="shared" si="53"/>
        <v>0</v>
      </c>
      <c r="P281" s="13">
        <f t="shared" si="54"/>
        <v>0</v>
      </c>
      <c r="Q281" s="13">
        <f t="shared" si="55"/>
        <v>0</v>
      </c>
      <c r="R281" s="13" t="s">
        <v>239</v>
      </c>
      <c r="T281" s="13">
        <v>5.47614E-3</v>
      </c>
      <c r="U281" s="13">
        <v>1.06E-2</v>
      </c>
      <c r="V281" s="13">
        <v>1.0330000000000001E-2</v>
      </c>
      <c r="W281" s="13">
        <v>1.303E-2</v>
      </c>
      <c r="X281" s="13">
        <v>1.35192763199999E-2</v>
      </c>
      <c r="Y281" s="13">
        <v>1.3237853040000001E-2</v>
      </c>
      <c r="Z281" s="13">
        <v>1.451680876E-2</v>
      </c>
      <c r="AA281" s="13">
        <v>1.7702677E-2</v>
      </c>
      <c r="AB281" s="13">
        <v>1.7234615379999901E-2</v>
      </c>
      <c r="AC281" s="13">
        <v>1.5277912323999899E-2</v>
      </c>
      <c r="AD281" s="13">
        <v>1.2573850165999999E-2</v>
      </c>
      <c r="AE281" s="13" t="s">
        <v>94</v>
      </c>
    </row>
    <row r="282" spans="1:31">
      <c r="A282" s="13" t="s">
        <v>260</v>
      </c>
      <c r="B282" s="13" t="s">
        <v>1</v>
      </c>
      <c r="C282" s="13" t="s">
        <v>68</v>
      </c>
      <c r="D282" s="13" t="str">
        <f>IFERROR(VLOOKUP(C282,ghg_sort!$A$86:$B$512,2,0),0)</f>
        <v>Industry</v>
      </c>
      <c r="E282" s="33" t="s">
        <v>92</v>
      </c>
      <c r="F282" s="13">
        <f>IFERROR(VLOOKUP($E282,ghg_sort!$A$3:$B$21,2,0),0)</f>
        <v>0</v>
      </c>
      <c r="G282" s="13">
        <f t="shared" si="45"/>
        <v>0</v>
      </c>
      <c r="H282" s="13">
        <f t="shared" si="46"/>
        <v>0</v>
      </c>
      <c r="I282" s="13">
        <f t="shared" si="47"/>
        <v>0</v>
      </c>
      <c r="J282" s="13">
        <f t="shared" si="48"/>
        <v>0</v>
      </c>
      <c r="K282" s="13">
        <f t="shared" si="49"/>
        <v>0</v>
      </c>
      <c r="L282" s="13">
        <f t="shared" si="50"/>
        <v>0</v>
      </c>
      <c r="M282" s="13">
        <f t="shared" si="51"/>
        <v>0</v>
      </c>
      <c r="N282" s="13">
        <f t="shared" si="52"/>
        <v>0</v>
      </c>
      <c r="O282" s="13">
        <f t="shared" si="53"/>
        <v>0</v>
      </c>
      <c r="P282" s="13">
        <f t="shared" si="54"/>
        <v>0</v>
      </c>
      <c r="Q282" s="13">
        <f t="shared" si="55"/>
        <v>0</v>
      </c>
      <c r="R282" s="13" t="s">
        <v>239</v>
      </c>
      <c r="T282" s="14">
        <v>5.3120923E-2</v>
      </c>
      <c r="U282" s="14">
        <v>2.678939801E-2</v>
      </c>
      <c r="V282" s="14">
        <v>2.579146999E-2</v>
      </c>
      <c r="W282" s="14">
        <v>9.7967179999999994E-3</v>
      </c>
      <c r="X282" s="14">
        <v>8.3470648809999999E-3</v>
      </c>
      <c r="Y282" s="14">
        <v>7.0814265159999997E-3</v>
      </c>
      <c r="Z282" s="14">
        <v>6.2466339169999999E-3</v>
      </c>
      <c r="AA282" s="14">
        <v>5.3301406050000003E-3</v>
      </c>
      <c r="AB282" s="14">
        <v>4.1204088710000003E-3</v>
      </c>
      <c r="AC282" s="14">
        <v>3.31587038899999E-3</v>
      </c>
      <c r="AD282" s="14">
        <v>2.7306985851999902E-3</v>
      </c>
      <c r="AE282" s="13" t="s">
        <v>93</v>
      </c>
    </row>
    <row r="283" spans="1:31">
      <c r="A283" s="13" t="s">
        <v>260</v>
      </c>
      <c r="B283" s="13" t="s">
        <v>1</v>
      </c>
      <c r="C283" s="13" t="s">
        <v>62</v>
      </c>
      <c r="D283" s="13" t="str">
        <f>IFERROR(VLOOKUP(C283,ghg_sort!$A$86:$B$512,2,0),0)</f>
        <v>Industry</v>
      </c>
      <c r="E283" s="33" t="s">
        <v>83</v>
      </c>
      <c r="F283" s="13">
        <f>IFERROR(VLOOKUP($E283,ghg_sort!$A$3:$B$21,2,0),0)</f>
        <v>0</v>
      </c>
      <c r="G283" s="13">
        <f t="shared" si="45"/>
        <v>0</v>
      </c>
      <c r="H283" s="13">
        <f t="shared" si="46"/>
        <v>0</v>
      </c>
      <c r="I283" s="13">
        <f t="shared" si="47"/>
        <v>0</v>
      </c>
      <c r="J283" s="13">
        <f t="shared" si="48"/>
        <v>0</v>
      </c>
      <c r="K283" s="13">
        <f t="shared" si="49"/>
        <v>0</v>
      </c>
      <c r="L283" s="13">
        <f t="shared" si="50"/>
        <v>0</v>
      </c>
      <c r="M283" s="13">
        <f t="shared" si="51"/>
        <v>0</v>
      </c>
      <c r="N283" s="13">
        <f t="shared" si="52"/>
        <v>0</v>
      </c>
      <c r="O283" s="13">
        <f t="shared" si="53"/>
        <v>0</v>
      </c>
      <c r="P283" s="13">
        <f t="shared" si="54"/>
        <v>0</v>
      </c>
      <c r="Q283" s="13">
        <f t="shared" si="55"/>
        <v>0</v>
      </c>
      <c r="R283" s="13" t="s">
        <v>239</v>
      </c>
      <c r="T283" s="14">
        <v>1.641022E-3</v>
      </c>
      <c r="U283" s="14">
        <v>1.9697930000000001E-3</v>
      </c>
      <c r="V283" s="14">
        <v>2.4512380000000001E-3</v>
      </c>
      <c r="W283" s="14">
        <v>1.8004803999999901E-3</v>
      </c>
      <c r="X283" s="14">
        <v>1.781335111E-3</v>
      </c>
      <c r="Y283" s="14">
        <v>1.320374276E-3</v>
      </c>
      <c r="Z283" s="13">
        <v>1.1423638989999901E-3</v>
      </c>
      <c r="AA283" s="13">
        <v>1.1508972229999899E-3</v>
      </c>
      <c r="AB283" s="13">
        <v>1.38109722599999E-3</v>
      </c>
      <c r="AC283" s="13">
        <v>1.3362524265E-3</v>
      </c>
      <c r="AD283" s="13">
        <v>1.2212405631E-3</v>
      </c>
      <c r="AE283" s="13" t="s">
        <v>93</v>
      </c>
    </row>
    <row r="284" spans="1:31">
      <c r="A284" s="13" t="s">
        <v>260</v>
      </c>
      <c r="B284" s="13" t="s">
        <v>1</v>
      </c>
      <c r="C284" s="13" t="s">
        <v>62</v>
      </c>
      <c r="D284" s="13" t="str">
        <f>IFERROR(VLOOKUP(C284,ghg_sort!$A$86:$B$512,2,0),0)</f>
        <v>Industry</v>
      </c>
      <c r="E284" s="33" t="s">
        <v>84</v>
      </c>
      <c r="F284" s="13">
        <f>IFERROR(VLOOKUP($E284,ghg_sort!$A$3:$B$21,2,0),0)</f>
        <v>25</v>
      </c>
      <c r="G284" s="13">
        <f t="shared" si="45"/>
        <v>8.2500000000000004E-3</v>
      </c>
      <c r="H284" s="13">
        <f t="shared" si="46"/>
        <v>7.7499999999999999E-3</v>
      </c>
      <c r="I284" s="13">
        <f t="shared" si="47"/>
        <v>1.4750000000000001E-2</v>
      </c>
      <c r="J284" s="13">
        <f t="shared" si="48"/>
        <v>0.02</v>
      </c>
      <c r="K284" s="13">
        <f t="shared" si="49"/>
        <v>1.9553170275E-2</v>
      </c>
      <c r="L284" s="13">
        <f t="shared" si="50"/>
        <v>1.4585618425E-2</v>
      </c>
      <c r="M284" s="13">
        <f t="shared" si="51"/>
        <v>1.2624391699999975E-2</v>
      </c>
      <c r="N284" s="13">
        <f t="shared" si="52"/>
        <v>1.2766923699999974E-2</v>
      </c>
      <c r="O284" s="13">
        <f t="shared" si="53"/>
        <v>1.5602605649999999E-2</v>
      </c>
      <c r="P284" s="13">
        <f t="shared" si="54"/>
        <v>1.523382689E-2</v>
      </c>
      <c r="Q284" s="13">
        <f t="shared" si="55"/>
        <v>1.396138022E-2</v>
      </c>
      <c r="R284" s="13" t="s">
        <v>239</v>
      </c>
      <c r="T284" s="14">
        <v>3.3E-4</v>
      </c>
      <c r="U284" s="14">
        <v>3.1E-4</v>
      </c>
      <c r="V284" s="14">
        <v>5.9000000000000003E-4</v>
      </c>
      <c r="W284" s="14">
        <v>8.0000000000000004E-4</v>
      </c>
      <c r="X284" s="14">
        <v>7.8212681099999997E-4</v>
      </c>
      <c r="Y284" s="14">
        <v>5.8342473700000001E-4</v>
      </c>
      <c r="Z284" s="14">
        <v>5.0497566799999902E-4</v>
      </c>
      <c r="AA284" s="14">
        <v>5.1067694799999898E-4</v>
      </c>
      <c r="AB284" s="14">
        <v>6.2410422599999996E-4</v>
      </c>
      <c r="AC284" s="14">
        <v>6.0935307559999998E-4</v>
      </c>
      <c r="AD284" s="14">
        <v>5.5845520879999999E-4</v>
      </c>
      <c r="AE284" s="13" t="s">
        <v>93</v>
      </c>
    </row>
    <row r="285" spans="1:31">
      <c r="A285" s="13" t="s">
        <v>260</v>
      </c>
      <c r="B285" s="13" t="s">
        <v>1</v>
      </c>
      <c r="C285" s="13" t="s">
        <v>62</v>
      </c>
      <c r="D285" s="13" t="str">
        <f>IFERROR(VLOOKUP(C285,ghg_sort!$A$86:$B$512,2,0),0)</f>
        <v>Industry</v>
      </c>
      <c r="E285" s="33" t="s">
        <v>85</v>
      </c>
      <c r="F285" s="13">
        <f>IFERROR(VLOOKUP($E285,ghg_sort!$A$3:$B$21,2,0),0)</f>
        <v>0</v>
      </c>
      <c r="G285" s="13">
        <f t="shared" si="45"/>
        <v>0</v>
      </c>
      <c r="H285" s="13">
        <f t="shared" si="46"/>
        <v>0</v>
      </c>
      <c r="I285" s="13">
        <f t="shared" si="47"/>
        <v>0</v>
      </c>
      <c r="J285" s="13">
        <f t="shared" si="48"/>
        <v>0</v>
      </c>
      <c r="K285" s="13">
        <f t="shared" si="49"/>
        <v>0</v>
      </c>
      <c r="L285" s="13">
        <f t="shared" si="50"/>
        <v>0</v>
      </c>
      <c r="M285" s="13">
        <f t="shared" si="51"/>
        <v>0</v>
      </c>
      <c r="N285" s="13">
        <f t="shared" si="52"/>
        <v>0</v>
      </c>
      <c r="O285" s="13">
        <f t="shared" si="53"/>
        <v>0</v>
      </c>
      <c r="P285" s="13">
        <f t="shared" si="54"/>
        <v>0</v>
      </c>
      <c r="Q285" s="13">
        <f t="shared" si="55"/>
        <v>0</v>
      </c>
      <c r="R285" s="13" t="s">
        <v>239</v>
      </c>
      <c r="T285" s="14">
        <v>2.5599999999999898E-3</v>
      </c>
      <c r="U285" s="14">
        <v>2.8999999999999998E-3</v>
      </c>
      <c r="V285" s="14">
        <v>3.0000000000000001E-3</v>
      </c>
      <c r="W285" s="14">
        <v>3.5500000000000002E-3</v>
      </c>
      <c r="X285" s="14">
        <v>3.43213908E-3</v>
      </c>
      <c r="Y285" s="14">
        <v>2.5733227799999898E-3</v>
      </c>
      <c r="Z285" s="14">
        <v>2.2233914899999901E-3</v>
      </c>
      <c r="AA285" s="14">
        <v>1.9890815499999902E-3</v>
      </c>
      <c r="AB285" s="14">
        <v>1.7585387000000001E-3</v>
      </c>
      <c r="AC285" s="14">
        <v>1.527151827E-3</v>
      </c>
      <c r="AD285" s="14">
        <v>1.35236709899999E-3</v>
      </c>
      <c r="AE285" s="13" t="s">
        <v>93</v>
      </c>
    </row>
    <row r="286" spans="1:31">
      <c r="A286" s="13" t="s">
        <v>260</v>
      </c>
      <c r="B286" s="13" t="s">
        <v>1</v>
      </c>
      <c r="C286" s="13" t="s">
        <v>62</v>
      </c>
      <c r="D286" s="13" t="str">
        <f>IFERROR(VLOOKUP(C286,ghg_sort!$A$86:$B$512,2,0),0)</f>
        <v>Industry</v>
      </c>
      <c r="E286" s="33" t="s">
        <v>86</v>
      </c>
      <c r="F286" s="13">
        <f>IFERROR(VLOOKUP($E286,ghg_sort!$A$3:$B$21,2,0),0)</f>
        <v>3.6666666666666701</v>
      </c>
      <c r="G286" s="13">
        <f t="shared" si="45"/>
        <v>12.873380666666678</v>
      </c>
      <c r="H286" s="13">
        <f t="shared" si="46"/>
        <v>16.699056000000013</v>
      </c>
      <c r="I286" s="13">
        <f t="shared" si="47"/>
        <v>16.31306233333331</v>
      </c>
      <c r="J286" s="13">
        <f t="shared" si="48"/>
        <v>16.352640333333348</v>
      </c>
      <c r="K286" s="13">
        <f t="shared" si="49"/>
        <v>15.440936463333347</v>
      </c>
      <c r="L286" s="13">
        <f t="shared" si="50"/>
        <v>11.723912456666678</v>
      </c>
      <c r="M286" s="13">
        <f t="shared" si="51"/>
        <v>10.133910343333344</v>
      </c>
      <c r="N286" s="13">
        <f t="shared" si="52"/>
        <v>8.9214169733333044</v>
      </c>
      <c r="O286" s="13">
        <f t="shared" si="53"/>
        <v>7.6907236266666734</v>
      </c>
      <c r="P286" s="13">
        <f t="shared" si="54"/>
        <v>6.68276319333334</v>
      </c>
      <c r="Q286" s="13">
        <f t="shared" si="55"/>
        <v>5.9248561496666721</v>
      </c>
      <c r="R286" s="13" t="s">
        <v>239</v>
      </c>
      <c r="T286" s="14">
        <v>3.5109219999999999</v>
      </c>
      <c r="U286" s="14">
        <v>4.5542879999999997</v>
      </c>
      <c r="V286" s="14">
        <v>4.4490169999999898</v>
      </c>
      <c r="W286" s="14">
        <v>4.4598110000000002</v>
      </c>
      <c r="X286" s="14">
        <v>4.2111644899999998</v>
      </c>
      <c r="Y286" s="14">
        <v>3.1974306700000001</v>
      </c>
      <c r="Z286" s="14">
        <v>2.7637937300000002</v>
      </c>
      <c r="AA286" s="14">
        <v>2.4331137199999899</v>
      </c>
      <c r="AB286" s="14">
        <v>2.0974700799999999</v>
      </c>
      <c r="AC286" s="14">
        <v>1.8225717800000001</v>
      </c>
      <c r="AD286" s="14">
        <v>1.615869859</v>
      </c>
      <c r="AE286" s="13" t="s">
        <v>93</v>
      </c>
    </row>
    <row r="287" spans="1:31">
      <c r="A287" s="13" t="s">
        <v>260</v>
      </c>
      <c r="B287" s="13" t="s">
        <v>1</v>
      </c>
      <c r="C287" s="13" t="s">
        <v>62</v>
      </c>
      <c r="D287" s="13" t="str">
        <f>IFERROR(VLOOKUP(C287,ghg_sort!$A$86:$B$512,2,0),0)</f>
        <v>Industry</v>
      </c>
      <c r="E287" s="33" t="s">
        <v>87</v>
      </c>
      <c r="F287" s="13">
        <f>IFERROR(VLOOKUP($E287,ghg_sort!$A$3:$B$21,2,0),0)</f>
        <v>298</v>
      </c>
      <c r="G287" s="13">
        <f t="shared" si="45"/>
        <v>3.8739999999999997E-2</v>
      </c>
      <c r="H287" s="13">
        <f t="shared" si="46"/>
        <v>6.8539999999999698E-2</v>
      </c>
      <c r="I287" s="13">
        <f t="shared" si="47"/>
        <v>8.9399999999999993E-2</v>
      </c>
      <c r="J287" s="13">
        <f t="shared" si="48"/>
        <v>0.10132000000000001</v>
      </c>
      <c r="K287" s="13">
        <f t="shared" si="49"/>
        <v>9.9603801312000001E-2</v>
      </c>
      <c r="L287" s="13">
        <f t="shared" si="50"/>
        <v>7.4057767672199987E-2</v>
      </c>
      <c r="M287" s="13">
        <f t="shared" si="51"/>
        <v>6.4038831971400006E-2</v>
      </c>
      <c r="N287" s="13">
        <f t="shared" si="52"/>
        <v>6.1910949024999704E-2</v>
      </c>
      <c r="O287" s="13">
        <f t="shared" si="53"/>
        <v>6.7642233846200009E-2</v>
      </c>
      <c r="P287" s="13">
        <f t="shared" si="54"/>
        <v>6.3554975212199993E-2</v>
      </c>
      <c r="Q287" s="13">
        <f t="shared" si="55"/>
        <v>5.7610944644800002E-2</v>
      </c>
      <c r="R287" s="13" t="s">
        <v>239</v>
      </c>
      <c r="T287" s="14">
        <v>1.2999999999999999E-4</v>
      </c>
      <c r="U287" s="14">
        <v>2.29999999999999E-4</v>
      </c>
      <c r="V287" s="14">
        <v>2.9999999999999997E-4</v>
      </c>
      <c r="W287" s="14">
        <v>3.4000000000000002E-4</v>
      </c>
      <c r="X287" s="14">
        <v>3.3424094399999999E-4</v>
      </c>
      <c r="Y287" s="14">
        <v>2.4851599889999998E-4</v>
      </c>
      <c r="Z287" s="14">
        <v>2.148954093E-4</v>
      </c>
      <c r="AA287" s="14">
        <v>2.0775486249999901E-4</v>
      </c>
      <c r="AB287" s="14">
        <v>2.2698736190000001E-4</v>
      </c>
      <c r="AC287" s="14">
        <v>2.1327172889999999E-4</v>
      </c>
      <c r="AD287" s="14">
        <v>1.9332531760000001E-4</v>
      </c>
      <c r="AE287" s="13" t="s">
        <v>93</v>
      </c>
    </row>
    <row r="288" spans="1:31">
      <c r="A288" s="13" t="s">
        <v>260</v>
      </c>
      <c r="B288" s="13" t="s">
        <v>1</v>
      </c>
      <c r="C288" s="13" t="s">
        <v>62</v>
      </c>
      <c r="D288" s="13" t="str">
        <f>IFERROR(VLOOKUP(C288,ghg_sort!$A$86:$B$512,2,0),0)</f>
        <v>Industry</v>
      </c>
      <c r="E288" s="33" t="s">
        <v>88</v>
      </c>
      <c r="F288" s="13">
        <f>IFERROR(VLOOKUP($E288,ghg_sort!$A$3:$B$21,2,0),0)</f>
        <v>0</v>
      </c>
      <c r="G288" s="13">
        <f t="shared" si="45"/>
        <v>0</v>
      </c>
      <c r="H288" s="13">
        <f t="shared" si="46"/>
        <v>0</v>
      </c>
      <c r="I288" s="13">
        <f t="shared" si="47"/>
        <v>0</v>
      </c>
      <c r="J288" s="13">
        <f t="shared" si="48"/>
        <v>0</v>
      </c>
      <c r="K288" s="13">
        <f t="shared" si="49"/>
        <v>0</v>
      </c>
      <c r="L288" s="13">
        <f t="shared" si="50"/>
        <v>0</v>
      </c>
      <c r="M288" s="13">
        <f t="shared" si="51"/>
        <v>0</v>
      </c>
      <c r="N288" s="13">
        <f t="shared" si="52"/>
        <v>0</v>
      </c>
      <c r="O288" s="13">
        <f t="shared" si="53"/>
        <v>0</v>
      </c>
      <c r="P288" s="13">
        <f t="shared" si="54"/>
        <v>0</v>
      </c>
      <c r="Q288" s="13">
        <f t="shared" si="55"/>
        <v>0</v>
      </c>
      <c r="R288" s="13" t="s">
        <v>239</v>
      </c>
      <c r="T288" s="14">
        <v>6.0000000000000002E-5</v>
      </c>
      <c r="U288" s="14">
        <v>2.1000000000000001E-4</v>
      </c>
      <c r="V288" s="14">
        <v>2.9E-4</v>
      </c>
      <c r="W288" s="14">
        <v>4.0000000000000002E-4</v>
      </c>
      <c r="X288" s="14">
        <v>3.6907464900000001E-4</v>
      </c>
      <c r="Y288" s="14">
        <v>2.8412389899999999E-4</v>
      </c>
      <c r="Z288" s="14">
        <v>2.4650365799999999E-4</v>
      </c>
      <c r="AA288" s="14">
        <v>2.5922739000000002E-4</v>
      </c>
      <c r="AB288" s="14">
        <v>3.5781041399999999E-4</v>
      </c>
      <c r="AC288" s="14">
        <v>3.6635800199999902E-4</v>
      </c>
      <c r="AD288" s="14">
        <v>3.4037797999999998E-4</v>
      </c>
      <c r="AE288" s="13" t="s">
        <v>93</v>
      </c>
    </row>
    <row r="289" spans="1:31">
      <c r="A289" s="13" t="s">
        <v>260</v>
      </c>
      <c r="B289" s="13" t="s">
        <v>1</v>
      </c>
      <c r="C289" s="13" t="s">
        <v>62</v>
      </c>
      <c r="D289" s="13" t="str">
        <f>IFERROR(VLOOKUP(C289,ghg_sort!$A$86:$B$512,2,0),0)</f>
        <v>Industry</v>
      </c>
      <c r="E289" s="33" t="s">
        <v>89</v>
      </c>
      <c r="F289" s="13">
        <f>IFERROR(VLOOKUP($E289,ghg_sort!$A$3:$B$21,2,0),0)</f>
        <v>0</v>
      </c>
      <c r="G289" s="13">
        <f t="shared" si="45"/>
        <v>0</v>
      </c>
      <c r="H289" s="13">
        <f t="shared" si="46"/>
        <v>0</v>
      </c>
      <c r="I289" s="13">
        <f t="shared" si="47"/>
        <v>0</v>
      </c>
      <c r="J289" s="13">
        <f t="shared" si="48"/>
        <v>0</v>
      </c>
      <c r="K289" s="13">
        <f t="shared" si="49"/>
        <v>0</v>
      </c>
      <c r="L289" s="13">
        <f t="shared" si="50"/>
        <v>0</v>
      </c>
      <c r="M289" s="13">
        <f t="shared" si="51"/>
        <v>0</v>
      </c>
      <c r="N289" s="13">
        <f t="shared" si="52"/>
        <v>0</v>
      </c>
      <c r="O289" s="13">
        <f t="shared" si="53"/>
        <v>0</v>
      </c>
      <c r="P289" s="13">
        <f t="shared" si="54"/>
        <v>0</v>
      </c>
      <c r="Q289" s="13">
        <f t="shared" si="55"/>
        <v>0</v>
      </c>
      <c r="R289" s="13" t="s">
        <v>239</v>
      </c>
      <c r="T289" s="14">
        <v>5.1000000000000004E-4</v>
      </c>
      <c r="U289" s="14">
        <v>4.8000000000000001E-4</v>
      </c>
      <c r="V289" s="14">
        <v>6.3000000000000003E-4</v>
      </c>
      <c r="W289" s="14">
        <v>6.0999999999999997E-4</v>
      </c>
      <c r="X289" s="14">
        <v>5.9847079799999999E-4</v>
      </c>
      <c r="Y289" s="14">
        <v>4.4538976799999999E-4</v>
      </c>
      <c r="Z289" s="14">
        <v>3.8502816900000002E-4</v>
      </c>
      <c r="AA289" s="14">
        <v>3.65029775E-4</v>
      </c>
      <c r="AB289" s="14">
        <v>3.7929819400000001E-4</v>
      </c>
      <c r="AC289" s="14">
        <v>3.5014902669999899E-4</v>
      </c>
      <c r="AD289" s="14">
        <v>3.1578473320000001E-4</v>
      </c>
      <c r="AE289" s="13" t="s">
        <v>93</v>
      </c>
    </row>
    <row r="290" spans="1:31">
      <c r="A290" s="13" t="s">
        <v>260</v>
      </c>
      <c r="B290" s="13" t="s">
        <v>1</v>
      </c>
      <c r="C290" s="13" t="s">
        <v>62</v>
      </c>
      <c r="D290" s="13" t="str">
        <f>IFERROR(VLOOKUP(C290,ghg_sort!$A$86:$B$512,2,0),0)</f>
        <v>Industry</v>
      </c>
      <c r="E290" s="33" t="s">
        <v>90</v>
      </c>
      <c r="F290" s="13">
        <f>IFERROR(VLOOKUP($E290,ghg_sort!$A$3:$B$21,2,0),0)</f>
        <v>0</v>
      </c>
      <c r="G290" s="13">
        <f t="shared" si="45"/>
        <v>0</v>
      </c>
      <c r="H290" s="13">
        <f t="shared" si="46"/>
        <v>0</v>
      </c>
      <c r="I290" s="13">
        <f t="shared" si="47"/>
        <v>0</v>
      </c>
      <c r="J290" s="13">
        <f t="shared" si="48"/>
        <v>0</v>
      </c>
      <c r="K290" s="13">
        <f t="shared" si="49"/>
        <v>0</v>
      </c>
      <c r="L290" s="13">
        <f t="shared" si="50"/>
        <v>0</v>
      </c>
      <c r="M290" s="13">
        <f t="shared" si="51"/>
        <v>0</v>
      </c>
      <c r="N290" s="13">
        <f t="shared" si="52"/>
        <v>0</v>
      </c>
      <c r="O290" s="13">
        <f t="shared" si="53"/>
        <v>0</v>
      </c>
      <c r="P290" s="13">
        <f t="shared" si="54"/>
        <v>0</v>
      </c>
      <c r="Q290" s="13">
        <f t="shared" si="55"/>
        <v>0</v>
      </c>
      <c r="R290" s="13" t="s">
        <v>239</v>
      </c>
      <c r="T290" s="13">
        <v>2.8250000000000001E-2</v>
      </c>
      <c r="U290" s="13">
        <v>2.247E-2</v>
      </c>
      <c r="V290" s="13">
        <v>2.7179999999999999E-2</v>
      </c>
      <c r="W290" s="13">
        <v>2.648E-2</v>
      </c>
      <c r="X290" s="13">
        <v>2.46040173999999E-2</v>
      </c>
      <c r="Y290" s="13">
        <v>1.8845991199999999E-2</v>
      </c>
      <c r="Z290" s="13">
        <v>1.6298889600000002E-2</v>
      </c>
      <c r="AA290" s="13">
        <v>1.44235133999999E-2</v>
      </c>
      <c r="AB290" s="13">
        <v>1.29251727999999E-2</v>
      </c>
      <c r="AC290" s="13">
        <v>1.151839464E-2</v>
      </c>
      <c r="AD290" s="13">
        <v>1.0298622509999999E-2</v>
      </c>
      <c r="AE290" s="13" t="s">
        <v>93</v>
      </c>
    </row>
    <row r="291" spans="1:31">
      <c r="A291" s="13" t="s">
        <v>260</v>
      </c>
      <c r="B291" s="13" t="s">
        <v>1</v>
      </c>
      <c r="C291" s="13" t="s">
        <v>62</v>
      </c>
      <c r="D291" s="13" t="str">
        <f>IFERROR(VLOOKUP(C291,ghg_sort!$A$86:$B$512,2,0),0)</f>
        <v>Industry</v>
      </c>
      <c r="E291" s="12" t="s">
        <v>91</v>
      </c>
      <c r="F291" s="13">
        <f>IFERROR(VLOOKUP($E291,ghg_sort!$A$3:$B$21,2,0),0)</f>
        <v>0</v>
      </c>
      <c r="G291" s="13">
        <f t="shared" si="45"/>
        <v>0</v>
      </c>
      <c r="H291" s="13">
        <f t="shared" si="46"/>
        <v>0</v>
      </c>
      <c r="I291" s="13">
        <f t="shared" si="47"/>
        <v>0</v>
      </c>
      <c r="J291" s="13">
        <f t="shared" si="48"/>
        <v>0</v>
      </c>
      <c r="K291" s="13">
        <f t="shared" si="49"/>
        <v>0</v>
      </c>
      <c r="L291" s="13">
        <f t="shared" si="50"/>
        <v>0</v>
      </c>
      <c r="M291" s="13">
        <f t="shared" si="51"/>
        <v>0</v>
      </c>
      <c r="N291" s="13">
        <f t="shared" si="52"/>
        <v>0</v>
      </c>
      <c r="O291" s="13">
        <f t="shared" si="53"/>
        <v>0</v>
      </c>
      <c r="P291" s="13">
        <f t="shared" si="54"/>
        <v>0</v>
      </c>
      <c r="Q291" s="13">
        <f t="shared" si="55"/>
        <v>0</v>
      </c>
      <c r="R291" s="13" t="s">
        <v>239</v>
      </c>
      <c r="T291" s="14">
        <v>9.8999999999999999E-4</v>
      </c>
      <c r="U291" s="13">
        <v>3.8700000000000002E-3</v>
      </c>
      <c r="V291" s="13">
        <v>6.8500000000000002E-3</v>
      </c>
      <c r="W291" s="13">
        <v>7.4900000000000001E-3</v>
      </c>
      <c r="X291" s="14">
        <v>7.461352999E-3</v>
      </c>
      <c r="Y291" s="14">
        <v>5.5144458539999903E-3</v>
      </c>
      <c r="Z291" s="14">
        <v>4.7783322059999998E-3</v>
      </c>
      <c r="AA291" s="14">
        <v>5.2777473129999898E-3</v>
      </c>
      <c r="AB291" s="14">
        <v>7.5574271789999904E-3</v>
      </c>
      <c r="AC291" s="14">
        <v>7.6747402189999998E-3</v>
      </c>
      <c r="AD291" s="13">
        <v>7.1060863250000002E-3</v>
      </c>
      <c r="AE291" s="13" t="s">
        <v>94</v>
      </c>
    </row>
    <row r="292" spans="1:31">
      <c r="A292" s="13" t="s">
        <v>260</v>
      </c>
      <c r="B292" s="13" t="s">
        <v>1</v>
      </c>
      <c r="C292" s="13" t="s">
        <v>62</v>
      </c>
      <c r="D292" s="13" t="str">
        <f>IFERROR(VLOOKUP(C292,ghg_sort!$A$86:$B$512,2,0),0)</f>
        <v>Industry</v>
      </c>
      <c r="E292" s="33" t="s">
        <v>92</v>
      </c>
      <c r="F292" s="13">
        <f>IFERROR(VLOOKUP($E292,ghg_sort!$A$3:$B$21,2,0),0)</f>
        <v>0</v>
      </c>
      <c r="G292" s="13">
        <f t="shared" si="45"/>
        <v>0</v>
      </c>
      <c r="H292" s="13">
        <f t="shared" si="46"/>
        <v>0</v>
      </c>
      <c r="I292" s="13">
        <f t="shared" si="47"/>
        <v>0</v>
      </c>
      <c r="J292" s="13">
        <f t="shared" si="48"/>
        <v>0</v>
      </c>
      <c r="K292" s="13">
        <f t="shared" si="49"/>
        <v>0</v>
      </c>
      <c r="L292" s="13">
        <f t="shared" si="50"/>
        <v>0</v>
      </c>
      <c r="M292" s="13">
        <f t="shared" si="51"/>
        <v>0</v>
      </c>
      <c r="N292" s="13">
        <f t="shared" si="52"/>
        <v>0</v>
      </c>
      <c r="O292" s="13">
        <f t="shared" si="53"/>
        <v>0</v>
      </c>
      <c r="P292" s="13">
        <f t="shared" si="54"/>
        <v>0</v>
      </c>
      <c r="Q292" s="13">
        <f t="shared" si="55"/>
        <v>0</v>
      </c>
      <c r="R292" s="13" t="s">
        <v>239</v>
      </c>
      <c r="T292" s="14">
        <v>4.1904299999999998E-2</v>
      </c>
      <c r="U292" s="14">
        <v>1.4207047E-2</v>
      </c>
      <c r="V292" s="14">
        <v>1.4668392000000001E-2</v>
      </c>
      <c r="W292" s="14">
        <v>8.2818229999999902E-3</v>
      </c>
      <c r="X292" s="14">
        <v>7.9645611799999995E-3</v>
      </c>
      <c r="Y292" s="14">
        <v>5.9850068200000004E-3</v>
      </c>
      <c r="Z292" s="14">
        <v>5.1643198299999998E-3</v>
      </c>
      <c r="AA292" s="14">
        <v>4.1932492600000003E-3</v>
      </c>
      <c r="AB292" s="14">
        <v>2.44323017E-3</v>
      </c>
      <c r="AC292" s="14">
        <v>1.6236386680000001E-3</v>
      </c>
      <c r="AD292" s="14">
        <v>1.298142048E-3</v>
      </c>
      <c r="AE292" s="13" t="s">
        <v>93</v>
      </c>
    </row>
    <row r="293" spans="1:31">
      <c r="A293" s="13" t="s">
        <v>260</v>
      </c>
      <c r="B293" s="13" t="s">
        <v>1</v>
      </c>
      <c r="C293" s="13" t="s">
        <v>190</v>
      </c>
      <c r="D293" s="13" t="str">
        <f>IFERROR(VLOOKUP(C293,ghg_sort!$A$86:$B$512,2,0),0)</f>
        <v>DAC</v>
      </c>
      <c r="E293" s="33" t="s">
        <v>86</v>
      </c>
      <c r="F293" s="13">
        <f>IFERROR(VLOOKUP($E293,ghg_sort!$A$3:$B$21,2,0),0)</f>
        <v>3.6666666666666701</v>
      </c>
      <c r="G293" s="13">
        <f t="shared" si="45"/>
        <v>0</v>
      </c>
      <c r="H293" s="13">
        <f t="shared" si="46"/>
        <v>0</v>
      </c>
      <c r="I293" s="13">
        <f t="shared" si="47"/>
        <v>0</v>
      </c>
      <c r="J293" s="13">
        <f t="shared" si="48"/>
        <v>0</v>
      </c>
      <c r="K293" s="13">
        <f t="shared" si="49"/>
        <v>0</v>
      </c>
      <c r="L293" s="13">
        <f t="shared" si="50"/>
        <v>0</v>
      </c>
      <c r="M293" s="13">
        <f t="shared" si="51"/>
        <v>0</v>
      </c>
      <c r="N293" s="13">
        <f t="shared" si="52"/>
        <v>0</v>
      </c>
      <c r="O293" s="13">
        <f t="shared" si="53"/>
        <v>8.4292266666666747E-6</v>
      </c>
      <c r="P293" s="13">
        <f t="shared" si="54"/>
        <v>3.6808200000000039E-3</v>
      </c>
      <c r="Q293" s="13">
        <f t="shared" si="55"/>
        <v>1.0590433333333342</v>
      </c>
      <c r="R293" s="13" t="s">
        <v>239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2.29888E-6</v>
      </c>
      <c r="AC293" s="14">
        <v>1.0038600000000001E-3</v>
      </c>
      <c r="AD293" s="14">
        <v>0.28882999999999998</v>
      </c>
      <c r="AE293" s="13" t="s">
        <v>93</v>
      </c>
    </row>
    <row r="294" spans="1:31">
      <c r="A294" s="13" t="s">
        <v>260</v>
      </c>
      <c r="B294" s="13" t="s">
        <v>1</v>
      </c>
      <c r="C294" s="13" t="s">
        <v>148</v>
      </c>
      <c r="D294" s="13" t="str">
        <f>IFERROR(VLOOKUP(C294,ghg_sort!$A$86:$B$512,2,0),0)</f>
        <v>Industry</v>
      </c>
      <c r="E294" s="33" t="s">
        <v>84</v>
      </c>
      <c r="F294" s="13">
        <f>IFERROR(VLOOKUP($E294,ghg_sort!$A$3:$B$21,2,0),0)</f>
        <v>25</v>
      </c>
      <c r="G294" s="13">
        <f t="shared" si="45"/>
        <v>0</v>
      </c>
      <c r="H294" s="13">
        <f t="shared" si="46"/>
        <v>0</v>
      </c>
      <c r="I294" s="13">
        <f t="shared" si="47"/>
        <v>0</v>
      </c>
      <c r="J294" s="13">
        <f t="shared" si="48"/>
        <v>0</v>
      </c>
      <c r="K294" s="13">
        <f t="shared" si="49"/>
        <v>2.5926749999999999E-4</v>
      </c>
      <c r="L294" s="13">
        <f t="shared" si="50"/>
        <v>2.5116499999999997E-4</v>
      </c>
      <c r="M294" s="13">
        <f t="shared" si="51"/>
        <v>2.4373774999999999E-4</v>
      </c>
      <c r="N294" s="13">
        <f t="shared" si="52"/>
        <v>2.513975E-4</v>
      </c>
      <c r="O294" s="13">
        <f t="shared" si="53"/>
        <v>2.1197743185749976E-3</v>
      </c>
      <c r="P294" s="13">
        <f t="shared" si="54"/>
        <v>1.0808630791249975E-2</v>
      </c>
      <c r="Q294" s="13">
        <f t="shared" si="55"/>
        <v>1.8337724465999999E-2</v>
      </c>
      <c r="R294" s="13" t="s">
        <v>239</v>
      </c>
      <c r="T294" s="14">
        <v>0</v>
      </c>
      <c r="U294" s="14">
        <v>0</v>
      </c>
      <c r="V294" s="14">
        <v>0</v>
      </c>
      <c r="W294" s="14">
        <v>0</v>
      </c>
      <c r="X294" s="14">
        <v>1.0370700000000001E-5</v>
      </c>
      <c r="Y294" s="14">
        <v>1.00466E-5</v>
      </c>
      <c r="Z294" s="14">
        <v>9.7495099999999994E-6</v>
      </c>
      <c r="AA294" s="14">
        <v>1.00559E-5</v>
      </c>
      <c r="AB294" s="14">
        <v>8.4790972742999898E-5</v>
      </c>
      <c r="AC294" s="14">
        <v>4.3234523164999898E-4</v>
      </c>
      <c r="AD294" s="14">
        <v>7.3350897864E-4</v>
      </c>
      <c r="AE294" s="13" t="s">
        <v>93</v>
      </c>
    </row>
    <row r="295" spans="1:31">
      <c r="A295" s="13" t="s">
        <v>260</v>
      </c>
      <c r="B295" s="13" t="s">
        <v>1</v>
      </c>
      <c r="C295" s="13" t="s">
        <v>148</v>
      </c>
      <c r="D295" s="13" t="str">
        <f>IFERROR(VLOOKUP(C295,ghg_sort!$A$86:$B$512,2,0),0)</f>
        <v>Industry</v>
      </c>
      <c r="E295" s="33" t="s">
        <v>85</v>
      </c>
      <c r="F295" s="13">
        <f>IFERROR(VLOOKUP($E295,ghg_sort!$A$3:$B$21,2,0),0)</f>
        <v>0</v>
      </c>
      <c r="G295" s="13">
        <f t="shared" si="45"/>
        <v>0</v>
      </c>
      <c r="H295" s="13">
        <f t="shared" si="46"/>
        <v>0</v>
      </c>
      <c r="I295" s="13">
        <f t="shared" si="47"/>
        <v>0</v>
      </c>
      <c r="J295" s="13">
        <f t="shared" si="48"/>
        <v>0</v>
      </c>
      <c r="K295" s="13">
        <f t="shared" si="49"/>
        <v>0</v>
      </c>
      <c r="L295" s="13">
        <f t="shared" si="50"/>
        <v>0</v>
      </c>
      <c r="M295" s="13">
        <f t="shared" si="51"/>
        <v>0</v>
      </c>
      <c r="N295" s="13">
        <f t="shared" si="52"/>
        <v>0</v>
      </c>
      <c r="O295" s="13">
        <f t="shared" si="53"/>
        <v>0</v>
      </c>
      <c r="P295" s="13">
        <f t="shared" si="54"/>
        <v>0</v>
      </c>
      <c r="Q295" s="13">
        <f t="shared" si="55"/>
        <v>0</v>
      </c>
      <c r="R295" s="13" t="s">
        <v>239</v>
      </c>
      <c r="T295" s="13">
        <v>0</v>
      </c>
      <c r="U295" s="14">
        <v>4.7470700000000003E-6</v>
      </c>
      <c r="V295" s="14">
        <v>1.4369400000000001E-4</v>
      </c>
      <c r="W295" s="14">
        <v>1.80371E-4</v>
      </c>
      <c r="X295" s="14">
        <v>2.980023E-4</v>
      </c>
      <c r="Y295" s="14">
        <v>1.9633380000000001E-4</v>
      </c>
      <c r="Z295" s="14">
        <v>1.4512339999999999E-4</v>
      </c>
      <c r="AA295" s="14">
        <v>1.1856859999999901E-4</v>
      </c>
      <c r="AB295" s="14">
        <v>2.8297631326799899E-4</v>
      </c>
      <c r="AC295" s="14">
        <v>8.9497362508699895E-4</v>
      </c>
      <c r="AD295" s="14">
        <v>1.3474303931809901E-3</v>
      </c>
      <c r="AE295" s="13" t="s">
        <v>93</v>
      </c>
    </row>
    <row r="296" spans="1:31">
      <c r="A296" s="13" t="s">
        <v>260</v>
      </c>
      <c r="B296" s="13" t="s">
        <v>1</v>
      </c>
      <c r="C296" s="13" t="s">
        <v>148</v>
      </c>
      <c r="D296" s="13" t="str">
        <f>IFERROR(VLOOKUP(C296,ghg_sort!$A$86:$B$512,2,0),0)</f>
        <v>Industry</v>
      </c>
      <c r="E296" s="33" t="s">
        <v>86</v>
      </c>
      <c r="F296" s="13">
        <f>IFERROR(VLOOKUP($E296,ghg_sort!$A$3:$B$21,2,0),0)</f>
        <v>3.6666666666666701</v>
      </c>
      <c r="G296" s="13">
        <f t="shared" si="45"/>
        <v>2.0245353333333354</v>
      </c>
      <c r="H296" s="13">
        <f t="shared" si="46"/>
        <v>15.067455245333347</v>
      </c>
      <c r="I296" s="13">
        <f t="shared" si="47"/>
        <v>21.247477166666684</v>
      </c>
      <c r="J296" s="13">
        <f t="shared" si="48"/>
        <v>31.439373533333363</v>
      </c>
      <c r="K296" s="13">
        <f t="shared" si="49"/>
        <v>31.448346233333364</v>
      </c>
      <c r="L296" s="13">
        <f t="shared" si="50"/>
        <v>30.253319066666695</v>
      </c>
      <c r="M296" s="13">
        <f t="shared" si="51"/>
        <v>28.275924966666693</v>
      </c>
      <c r="N296" s="13">
        <f t="shared" si="52"/>
        <v>26.134223866666691</v>
      </c>
      <c r="O296" s="13">
        <f t="shared" si="53"/>
        <v>24.225565557599985</v>
      </c>
      <c r="P296" s="13">
        <f t="shared" si="54"/>
        <v>21.223158849119645</v>
      </c>
      <c r="Q296" s="13">
        <f t="shared" si="55"/>
        <v>17.264294620694383</v>
      </c>
      <c r="R296" s="13" t="s">
        <v>239</v>
      </c>
      <c r="T296" s="14">
        <v>0.55214600000000003</v>
      </c>
      <c r="U296" s="14">
        <v>4.1093059759999999</v>
      </c>
      <c r="V296" s="14">
        <v>5.7947664999999997</v>
      </c>
      <c r="W296" s="14">
        <v>8.5743746000000005</v>
      </c>
      <c r="X296" s="14">
        <v>8.5768217</v>
      </c>
      <c r="Y296" s="14">
        <v>8.2509052000000001</v>
      </c>
      <c r="Z296" s="14">
        <v>7.7116159</v>
      </c>
      <c r="AA296" s="14">
        <v>7.1275155999999997</v>
      </c>
      <c r="AB296" s="13">
        <v>6.6069724247999897</v>
      </c>
      <c r="AC296" s="13">
        <v>5.7881342315780797</v>
      </c>
      <c r="AD296" s="13">
        <v>4.7084439874620996</v>
      </c>
      <c r="AE296" s="13" t="s">
        <v>93</v>
      </c>
    </row>
    <row r="297" spans="1:31">
      <c r="A297" s="13" t="s">
        <v>260</v>
      </c>
      <c r="B297" s="13" t="s">
        <v>1</v>
      </c>
      <c r="C297" s="13" t="s">
        <v>148</v>
      </c>
      <c r="D297" s="13" t="str">
        <f>IFERROR(VLOOKUP(C297,ghg_sort!$A$86:$B$512,2,0),0)</f>
        <v>Industry</v>
      </c>
      <c r="E297" s="33" t="s">
        <v>87</v>
      </c>
      <c r="F297" s="13">
        <f>IFERROR(VLOOKUP($E297,ghg_sort!$A$3:$B$21,2,0),0)</f>
        <v>298</v>
      </c>
      <c r="G297" s="13">
        <f t="shared" si="45"/>
        <v>0</v>
      </c>
      <c r="H297" s="13">
        <f t="shared" si="46"/>
        <v>1.4146268599999999E-5</v>
      </c>
      <c r="I297" s="13">
        <f t="shared" si="47"/>
        <v>4.2820812000000003E-4</v>
      </c>
      <c r="J297" s="13">
        <f t="shared" si="48"/>
        <v>5.3750558000000004E-4</v>
      </c>
      <c r="K297" s="13">
        <f t="shared" si="49"/>
        <v>1.416421416E-3</v>
      </c>
      <c r="L297" s="13">
        <f t="shared" si="50"/>
        <v>1.3568279719999999E-3</v>
      </c>
      <c r="M297" s="13">
        <f t="shared" si="51"/>
        <v>1.281439634E-3</v>
      </c>
      <c r="N297" s="13">
        <f t="shared" si="52"/>
        <v>1.246846602E-3</v>
      </c>
      <c r="O297" s="13">
        <f t="shared" si="53"/>
        <v>3.4744607187859999E-3</v>
      </c>
      <c r="P297" s="13">
        <f t="shared" si="54"/>
        <v>1.288337716842E-2</v>
      </c>
      <c r="Q297" s="13">
        <f t="shared" si="55"/>
        <v>2.0076700238379999E-2</v>
      </c>
      <c r="R297" s="13" t="s">
        <v>239</v>
      </c>
      <c r="T297" s="13">
        <v>0</v>
      </c>
      <c r="U297" s="14">
        <v>4.7470699999999999E-8</v>
      </c>
      <c r="V297" s="14">
        <v>1.43694E-6</v>
      </c>
      <c r="W297" s="14">
        <v>1.80371E-6</v>
      </c>
      <c r="X297" s="14">
        <v>4.7530920000000001E-6</v>
      </c>
      <c r="Y297" s="14">
        <v>4.5531139999999996E-6</v>
      </c>
      <c r="Z297" s="14">
        <v>4.300133E-6</v>
      </c>
      <c r="AA297" s="14">
        <v>4.184049E-6</v>
      </c>
      <c r="AB297" s="14">
        <v>1.1659264157E-5</v>
      </c>
      <c r="AC297" s="14">
        <v>4.323280929E-5</v>
      </c>
      <c r="AD297" s="14">
        <v>6.7371477309999999E-5</v>
      </c>
      <c r="AE297" s="13" t="s">
        <v>93</v>
      </c>
    </row>
    <row r="298" spans="1:31">
      <c r="A298" s="13" t="s">
        <v>260</v>
      </c>
      <c r="B298" s="13" t="s">
        <v>1</v>
      </c>
      <c r="C298" s="13" t="s">
        <v>148</v>
      </c>
      <c r="D298" s="13" t="str">
        <f>IFERROR(VLOOKUP(C298,ghg_sort!$A$86:$B$512,2,0),0)</f>
        <v>Industry</v>
      </c>
      <c r="E298" s="12" t="s">
        <v>89</v>
      </c>
      <c r="F298" s="13">
        <f>IFERROR(VLOOKUP($E298,ghg_sort!$A$3:$B$21,2,0),0)</f>
        <v>0</v>
      </c>
      <c r="G298" s="13">
        <f t="shared" si="45"/>
        <v>0</v>
      </c>
      <c r="H298" s="13">
        <f t="shared" si="46"/>
        <v>0</v>
      </c>
      <c r="I298" s="13">
        <f t="shared" si="47"/>
        <v>0</v>
      </c>
      <c r="J298" s="13">
        <f t="shared" si="48"/>
        <v>0</v>
      </c>
      <c r="K298" s="13">
        <f t="shared" si="49"/>
        <v>0</v>
      </c>
      <c r="L298" s="13">
        <f t="shared" si="50"/>
        <v>0</v>
      </c>
      <c r="M298" s="13">
        <f t="shared" si="51"/>
        <v>0</v>
      </c>
      <c r="N298" s="13">
        <f t="shared" si="52"/>
        <v>0</v>
      </c>
      <c r="O298" s="13">
        <f t="shared" si="53"/>
        <v>0</v>
      </c>
      <c r="P298" s="13">
        <f t="shared" si="54"/>
        <v>0</v>
      </c>
      <c r="Q298" s="13">
        <f t="shared" si="55"/>
        <v>0</v>
      </c>
      <c r="R298" s="13" t="s">
        <v>239</v>
      </c>
      <c r="T298" s="13">
        <v>0</v>
      </c>
      <c r="U298" s="14">
        <v>4.7470699999999999E-8</v>
      </c>
      <c r="V298" s="14">
        <v>1.43694E-6</v>
      </c>
      <c r="W298" s="14">
        <v>1.80371E-6</v>
      </c>
      <c r="X298" s="14">
        <v>2.9800229999999998E-6</v>
      </c>
      <c r="Y298" s="14">
        <v>1.9633380000000001E-6</v>
      </c>
      <c r="Z298" s="14">
        <v>1.7200550000000001E-6</v>
      </c>
      <c r="AA298" s="14">
        <v>1.6736190000000001E-6</v>
      </c>
      <c r="AB298" s="14">
        <v>4.6637076629999901E-6</v>
      </c>
      <c r="AC298" s="14">
        <v>1.7293102935E-5</v>
      </c>
      <c r="AD298" s="14">
        <v>2.6948588552E-5</v>
      </c>
      <c r="AE298" s="13" t="s">
        <v>94</v>
      </c>
    </row>
    <row r="299" spans="1:31">
      <c r="A299" s="13" t="s">
        <v>260</v>
      </c>
      <c r="B299" s="13" t="s">
        <v>1</v>
      </c>
      <c r="C299" s="13" t="s">
        <v>148</v>
      </c>
      <c r="D299" s="13" t="str">
        <f>IFERROR(VLOOKUP(C299,ghg_sort!$A$86:$B$512,2,0),0)</f>
        <v>Industry</v>
      </c>
      <c r="E299" s="33" t="s">
        <v>90</v>
      </c>
      <c r="F299" s="13">
        <f>IFERROR(VLOOKUP($E299,ghg_sort!$A$3:$B$21,2,0),0)</f>
        <v>0</v>
      </c>
      <c r="G299" s="13">
        <f t="shared" si="45"/>
        <v>0</v>
      </c>
      <c r="H299" s="13">
        <f t="shared" si="46"/>
        <v>0</v>
      </c>
      <c r="I299" s="13">
        <f t="shared" si="47"/>
        <v>0</v>
      </c>
      <c r="J299" s="13">
        <f t="shared" si="48"/>
        <v>0</v>
      </c>
      <c r="K299" s="13">
        <f t="shared" si="49"/>
        <v>0</v>
      </c>
      <c r="L299" s="13">
        <f t="shared" si="50"/>
        <v>0</v>
      </c>
      <c r="M299" s="13">
        <f t="shared" si="51"/>
        <v>0</v>
      </c>
      <c r="N299" s="13">
        <f t="shared" si="52"/>
        <v>0</v>
      </c>
      <c r="O299" s="13">
        <f t="shared" si="53"/>
        <v>0</v>
      </c>
      <c r="P299" s="13">
        <f t="shared" si="54"/>
        <v>0</v>
      </c>
      <c r="Q299" s="13">
        <f t="shared" si="55"/>
        <v>0</v>
      </c>
      <c r="R299" s="13" t="s">
        <v>239</v>
      </c>
      <c r="T299" s="13">
        <v>0</v>
      </c>
      <c r="U299" s="14">
        <v>4.7470700000000003E-6</v>
      </c>
      <c r="V299" s="14">
        <v>1.4369400000000001E-4</v>
      </c>
      <c r="W299" s="14">
        <v>1.80371E-4</v>
      </c>
      <c r="X299" s="14">
        <v>2.980023E-4</v>
      </c>
      <c r="Y299" s="14">
        <v>2.4586850000000001E-4</v>
      </c>
      <c r="Z299" s="14">
        <v>2.322073E-4</v>
      </c>
      <c r="AA299" s="14">
        <v>2.2593860000000001E-4</v>
      </c>
      <c r="AB299" s="14">
        <v>6.2960214155999999E-4</v>
      </c>
      <c r="AC299" s="13">
        <v>2.3345718647529998E-3</v>
      </c>
      <c r="AD299" s="13">
        <v>3.6380625659589898E-3</v>
      </c>
      <c r="AE299" s="13" t="s">
        <v>93</v>
      </c>
    </row>
    <row r="300" spans="1:31">
      <c r="A300" s="13" t="s">
        <v>260</v>
      </c>
      <c r="B300" s="13" t="s">
        <v>1</v>
      </c>
      <c r="C300" s="13" t="s">
        <v>148</v>
      </c>
      <c r="D300" s="13" t="str">
        <f>IFERROR(VLOOKUP(C300,ghg_sort!$A$86:$B$512,2,0),0)</f>
        <v>Industry</v>
      </c>
      <c r="E300" s="33" t="s">
        <v>92</v>
      </c>
      <c r="F300" s="13">
        <f>IFERROR(VLOOKUP($E300,ghg_sort!$A$3:$B$21,2,0),0)</f>
        <v>0</v>
      </c>
      <c r="G300" s="13">
        <f t="shared" si="45"/>
        <v>0</v>
      </c>
      <c r="H300" s="13">
        <f t="shared" si="46"/>
        <v>0</v>
      </c>
      <c r="I300" s="13">
        <f t="shared" si="47"/>
        <v>0</v>
      </c>
      <c r="J300" s="13">
        <f t="shared" si="48"/>
        <v>0</v>
      </c>
      <c r="K300" s="13">
        <f t="shared" si="49"/>
        <v>0</v>
      </c>
      <c r="L300" s="13">
        <f t="shared" si="50"/>
        <v>0</v>
      </c>
      <c r="M300" s="13">
        <f t="shared" si="51"/>
        <v>0</v>
      </c>
      <c r="N300" s="13">
        <f t="shared" si="52"/>
        <v>0</v>
      </c>
      <c r="O300" s="13">
        <f t="shared" si="53"/>
        <v>0</v>
      </c>
      <c r="P300" s="13">
        <f t="shared" si="54"/>
        <v>0</v>
      </c>
      <c r="Q300" s="13">
        <f t="shared" si="55"/>
        <v>0</v>
      </c>
      <c r="R300" s="13" t="s">
        <v>239</v>
      </c>
      <c r="T300" s="13">
        <v>0</v>
      </c>
      <c r="U300" s="14">
        <v>4.7470700000000003E-6</v>
      </c>
      <c r="V300" s="14">
        <v>1.4369400000000001E-4</v>
      </c>
      <c r="W300" s="14">
        <v>1.80371E-4</v>
      </c>
      <c r="X300" s="14">
        <v>3.564827E-4</v>
      </c>
      <c r="Y300" s="14">
        <v>3.4148339999999998E-4</v>
      </c>
      <c r="Z300" s="14">
        <v>3.2250989999999999E-4</v>
      </c>
      <c r="AA300" s="14">
        <v>3.138037E-4</v>
      </c>
      <c r="AB300" s="14">
        <v>8.7444779650999998E-4</v>
      </c>
      <c r="AC300" s="13">
        <v>3.2424622452669901E-3</v>
      </c>
      <c r="AD300" s="13">
        <v>5.0528663392899898E-3</v>
      </c>
      <c r="AE300" s="13" t="s">
        <v>93</v>
      </c>
    </row>
    <row r="301" spans="1:31">
      <c r="A301" s="13" t="s">
        <v>260</v>
      </c>
      <c r="B301" s="13" t="s">
        <v>1</v>
      </c>
      <c r="C301" s="13" t="s">
        <v>149</v>
      </c>
      <c r="D301" s="13">
        <f>IFERROR(VLOOKUP(C301,ghg_sort!$A$86:$B$512,2,0),0)</f>
        <v>0</v>
      </c>
      <c r="E301" s="12" t="s">
        <v>86</v>
      </c>
      <c r="F301" s="13">
        <f>IFERROR(VLOOKUP($E301,ghg_sort!$A$3:$B$21,2,0),0)</f>
        <v>3.6666666666666701</v>
      </c>
      <c r="G301" s="13">
        <f t="shared" si="45"/>
        <v>-5.5657800000000055</v>
      </c>
      <c r="H301" s="13">
        <f t="shared" si="46"/>
        <v>-10.79023000000001</v>
      </c>
      <c r="I301" s="13">
        <f t="shared" si="47"/>
        <v>-15.086646666666681</v>
      </c>
      <c r="J301" s="13">
        <f t="shared" si="48"/>
        <v>-22.626303333333354</v>
      </c>
      <c r="K301" s="13">
        <f t="shared" si="49"/>
        <v>-29.195906666666691</v>
      </c>
      <c r="L301" s="13">
        <f t="shared" si="50"/>
        <v>-37.695166666666701</v>
      </c>
      <c r="M301" s="13">
        <f t="shared" si="51"/>
        <v>-54.121833333333385</v>
      </c>
      <c r="N301" s="13">
        <f t="shared" si="52"/>
        <v>-75.749666666666727</v>
      </c>
      <c r="O301" s="13">
        <f t="shared" si="53"/>
        <v>-88.363733333333414</v>
      </c>
      <c r="P301" s="13">
        <f t="shared" si="54"/>
        <v>-100.02776666666676</v>
      </c>
      <c r="Q301" s="13">
        <f t="shared" si="55"/>
        <v>-112.43466666666677</v>
      </c>
      <c r="R301" s="13" t="s">
        <v>239</v>
      </c>
      <c r="T301" s="13">
        <v>-1.5179400000000001</v>
      </c>
      <c r="U301" s="13">
        <v>-2.94279</v>
      </c>
      <c r="V301" s="13">
        <v>-4.1145399999999999</v>
      </c>
      <c r="W301" s="13">
        <v>-6.1708100000000004</v>
      </c>
      <c r="X301" s="13">
        <v>-7.9625199999999996</v>
      </c>
      <c r="Y301" s="13">
        <v>-10.2805</v>
      </c>
      <c r="Z301" s="13">
        <v>-14.7605</v>
      </c>
      <c r="AA301" s="13">
        <v>-20.658999999999999</v>
      </c>
      <c r="AB301" s="13">
        <v>-24.0992</v>
      </c>
      <c r="AC301" s="13">
        <v>-27.2803</v>
      </c>
      <c r="AD301" s="13">
        <v>-30.664000000000001</v>
      </c>
      <c r="AE301" s="13" t="s">
        <v>94</v>
      </c>
    </row>
    <row r="302" spans="1:31">
      <c r="A302" s="13" t="s">
        <v>260</v>
      </c>
      <c r="B302" s="13" t="s">
        <v>1</v>
      </c>
      <c r="C302" s="13" t="s">
        <v>150</v>
      </c>
      <c r="D302" s="13">
        <f>IFERROR(VLOOKUP(C302,ghg_sort!$A$86:$B$512,2,0),0)</f>
        <v>0</v>
      </c>
      <c r="E302" s="33" t="s">
        <v>86</v>
      </c>
      <c r="F302" s="13">
        <f>IFERROR(VLOOKUP($E302,ghg_sort!$A$3:$B$21,2,0),0)</f>
        <v>3.6666666666666701</v>
      </c>
      <c r="G302" s="13">
        <f t="shared" si="45"/>
        <v>0</v>
      </c>
      <c r="H302" s="13">
        <f t="shared" si="46"/>
        <v>-3.4115620000000034E-2</v>
      </c>
      <c r="I302" s="13">
        <f t="shared" si="47"/>
        <v>-1.0326836666666674</v>
      </c>
      <c r="J302" s="13">
        <f t="shared" si="48"/>
        <v>-1.2962656666666679</v>
      </c>
      <c r="K302" s="13">
        <f t="shared" si="49"/>
        <v>-2.3055853333333354</v>
      </c>
      <c r="L302" s="13">
        <f t="shared" si="50"/>
        <v>-2.1977266666666688</v>
      </c>
      <c r="M302" s="13">
        <f t="shared" si="51"/>
        <v>-2.0468800000000016</v>
      </c>
      <c r="N302" s="13">
        <f t="shared" si="52"/>
        <v>-1.9304156666666683</v>
      </c>
      <c r="O302" s="13">
        <f t="shared" si="53"/>
        <v>-2.0794326666666687</v>
      </c>
      <c r="P302" s="13">
        <f t="shared" si="54"/>
        <v>-2.6276360000000025</v>
      </c>
      <c r="Q302" s="13">
        <f t="shared" si="55"/>
        <v>-2.7500146666666692</v>
      </c>
      <c r="R302" s="13" t="s">
        <v>239</v>
      </c>
      <c r="T302" s="13">
        <v>0</v>
      </c>
      <c r="U302" s="14">
        <v>-9.30426E-3</v>
      </c>
      <c r="V302" s="14">
        <v>-0.28164099999999997</v>
      </c>
      <c r="W302" s="14">
        <v>-0.35352699999999998</v>
      </c>
      <c r="X302" s="14">
        <v>-0.62879600000000002</v>
      </c>
      <c r="Y302" s="14">
        <v>-0.59938000000000002</v>
      </c>
      <c r="Z302" s="14">
        <v>-0.55823999999999996</v>
      </c>
      <c r="AA302" s="14">
        <v>-0.52647699999999997</v>
      </c>
      <c r="AB302" s="14">
        <v>-0.56711800000000001</v>
      </c>
      <c r="AC302" s="14">
        <v>-0.71662800000000004</v>
      </c>
      <c r="AD302" s="14">
        <v>-0.750004</v>
      </c>
      <c r="AE302" s="13" t="s">
        <v>93</v>
      </c>
    </row>
    <row r="303" spans="1:31">
      <c r="A303" s="13" t="s">
        <v>260</v>
      </c>
      <c r="B303" s="13" t="s">
        <v>1</v>
      </c>
      <c r="C303" s="13" t="s">
        <v>151</v>
      </c>
      <c r="D303" s="13">
        <f>IFERROR(VLOOKUP(C303,ghg_sort!$A$86:$B$512,2,0),0)</f>
        <v>0</v>
      </c>
      <c r="E303" s="33" t="s">
        <v>86</v>
      </c>
      <c r="F303" s="13">
        <f>IFERROR(VLOOKUP($E303,ghg_sort!$A$3:$B$21,2,0),0)</f>
        <v>3.6666666666666701</v>
      </c>
      <c r="G303" s="13">
        <f t="shared" si="45"/>
        <v>0</v>
      </c>
      <c r="H303" s="13">
        <f t="shared" si="46"/>
        <v>0</v>
      </c>
      <c r="I303" s="13">
        <f t="shared" si="47"/>
        <v>0</v>
      </c>
      <c r="J303" s="13">
        <f t="shared" si="48"/>
        <v>0</v>
      </c>
      <c r="K303" s="13">
        <f t="shared" si="49"/>
        <v>-0.36499796666666701</v>
      </c>
      <c r="L303" s="13">
        <f t="shared" si="50"/>
        <v>-0.35242973333333366</v>
      </c>
      <c r="M303" s="13">
        <f t="shared" si="51"/>
        <v>-0.34281940000000033</v>
      </c>
      <c r="N303" s="13">
        <f t="shared" si="52"/>
        <v>-0.35383516666666703</v>
      </c>
      <c r="O303" s="13">
        <f t="shared" si="53"/>
        <v>-0.95401900000000084</v>
      </c>
      <c r="P303" s="13">
        <f t="shared" si="54"/>
        <v>-2.6834060000000024</v>
      </c>
      <c r="Q303" s="13">
        <f t="shared" si="55"/>
        <v>-3.4867470000000029</v>
      </c>
      <c r="R303" s="13" t="s">
        <v>239</v>
      </c>
      <c r="T303" s="13">
        <v>0</v>
      </c>
      <c r="U303" s="14">
        <v>0</v>
      </c>
      <c r="V303" s="14">
        <v>0</v>
      </c>
      <c r="W303" s="14">
        <v>0</v>
      </c>
      <c r="X303" s="14">
        <v>-9.9544900000000006E-2</v>
      </c>
      <c r="Y303" s="14">
        <v>-9.61172E-2</v>
      </c>
      <c r="Z303" s="14">
        <v>-9.3496200000000002E-2</v>
      </c>
      <c r="AA303" s="14">
        <v>-9.6500500000000003E-2</v>
      </c>
      <c r="AB303" s="14">
        <v>-0.260187</v>
      </c>
      <c r="AC303" s="14">
        <v>-0.73183799999999999</v>
      </c>
      <c r="AD303" s="14">
        <v>-0.95093099999999997</v>
      </c>
      <c r="AE303" s="13" t="s">
        <v>93</v>
      </c>
    </row>
    <row r="304" spans="1:31">
      <c r="A304" s="13" t="s">
        <v>260</v>
      </c>
      <c r="B304" s="13" t="s">
        <v>1</v>
      </c>
      <c r="C304" s="13" t="s">
        <v>231</v>
      </c>
      <c r="D304" s="13" t="str">
        <f>IFERROR(VLOOKUP(C304,ghg_sort!$A$86:$B$512,2,0),0)</f>
        <v>Building</v>
      </c>
      <c r="E304" s="33" t="s">
        <v>228</v>
      </c>
      <c r="F304" s="13">
        <f>IFERROR(VLOOKUP($E304,ghg_sort!$A$3:$B$21,2,0),0)</f>
        <v>3.5</v>
      </c>
      <c r="G304" s="13">
        <f t="shared" si="45"/>
        <v>0</v>
      </c>
      <c r="H304" s="13">
        <f t="shared" si="46"/>
        <v>1.0819830000000001</v>
      </c>
      <c r="I304" s="13">
        <f t="shared" si="47"/>
        <v>2.5302480000000003</v>
      </c>
      <c r="J304" s="13">
        <f t="shared" si="48"/>
        <v>2.8850885000000002</v>
      </c>
      <c r="K304" s="13">
        <f t="shared" si="49"/>
        <v>3.2898879999999999</v>
      </c>
      <c r="L304" s="13">
        <f t="shared" si="50"/>
        <v>2.8649635</v>
      </c>
      <c r="M304" s="13">
        <f t="shared" si="51"/>
        <v>2.4290349999999998</v>
      </c>
      <c r="N304" s="13">
        <f t="shared" si="52"/>
        <v>1.8271679999999999</v>
      </c>
      <c r="O304" s="13">
        <f t="shared" si="53"/>
        <v>1.8548390000000001</v>
      </c>
      <c r="P304" s="13">
        <f t="shared" si="54"/>
        <v>1.267819</v>
      </c>
      <c r="Q304" s="13">
        <f t="shared" si="55"/>
        <v>1.2552680000000001</v>
      </c>
      <c r="R304" s="13" t="s">
        <v>239</v>
      </c>
      <c r="T304" s="13">
        <v>0</v>
      </c>
      <c r="U304" s="14">
        <v>0.30913800000000002</v>
      </c>
      <c r="V304" s="14">
        <v>0.72292800000000002</v>
      </c>
      <c r="W304" s="14">
        <v>0.82431100000000002</v>
      </c>
      <c r="X304" s="14">
        <v>0.93996800000000003</v>
      </c>
      <c r="Y304" s="14">
        <v>0.81856099999999998</v>
      </c>
      <c r="Z304" s="14">
        <v>0.69401000000000002</v>
      </c>
      <c r="AA304" s="13">
        <v>0.52204799999999996</v>
      </c>
      <c r="AB304" s="13">
        <v>0.52995400000000004</v>
      </c>
      <c r="AC304" s="13">
        <v>0.362234</v>
      </c>
      <c r="AD304" s="13">
        <v>0.35864800000000002</v>
      </c>
      <c r="AE304" s="13" t="s">
        <v>93</v>
      </c>
    </row>
    <row r="305" spans="1:31">
      <c r="A305" s="13" t="s">
        <v>260</v>
      </c>
      <c r="B305" s="13" t="s">
        <v>1</v>
      </c>
      <c r="C305" s="13" t="s">
        <v>231</v>
      </c>
      <c r="D305" s="13" t="str">
        <f>IFERROR(VLOOKUP(C305,ghg_sort!$A$86:$B$512,2,0),0)</f>
        <v>Building</v>
      </c>
      <c r="E305" s="33" t="s">
        <v>97</v>
      </c>
      <c r="F305" s="13">
        <f>IFERROR(VLOOKUP($E305,ghg_sort!$A$3:$B$21,2,0),0)</f>
        <v>1.4300000000000002</v>
      </c>
      <c r="G305" s="13">
        <f t="shared" si="45"/>
        <v>0</v>
      </c>
      <c r="H305" s="13">
        <f t="shared" si="46"/>
        <v>2.6012987000000005</v>
      </c>
      <c r="I305" s="13">
        <f t="shared" si="47"/>
        <v>4.7172411000000007</v>
      </c>
      <c r="J305" s="13">
        <f t="shared" si="48"/>
        <v>5.3787734000000009</v>
      </c>
      <c r="K305" s="13">
        <f t="shared" si="49"/>
        <v>6.1334559000000004</v>
      </c>
      <c r="L305" s="13">
        <f t="shared" si="50"/>
        <v>5.3412502000000002</v>
      </c>
      <c r="M305" s="13">
        <f t="shared" si="51"/>
        <v>4.5285383000000001</v>
      </c>
      <c r="N305" s="13">
        <f t="shared" si="52"/>
        <v>3.4064602000000006</v>
      </c>
      <c r="O305" s="13">
        <f t="shared" si="53"/>
        <v>3.4580546000000001</v>
      </c>
      <c r="P305" s="13">
        <f t="shared" si="54"/>
        <v>2.3636470000000003</v>
      </c>
      <c r="Q305" s="13">
        <f t="shared" si="55"/>
        <v>2.3402379000000004</v>
      </c>
      <c r="R305" s="13" t="s">
        <v>239</v>
      </c>
      <c r="T305" s="13">
        <v>0</v>
      </c>
      <c r="U305" s="14">
        <v>1.8190900000000001</v>
      </c>
      <c r="V305" s="14">
        <v>3.2987700000000002</v>
      </c>
      <c r="W305" s="14">
        <v>3.7613799999999999</v>
      </c>
      <c r="X305" s="14">
        <v>4.2891300000000001</v>
      </c>
      <c r="Y305" s="14">
        <v>3.7351399999999999</v>
      </c>
      <c r="Z305" s="14">
        <v>3.1668099999999999</v>
      </c>
      <c r="AA305" s="13">
        <v>2.3821400000000001</v>
      </c>
      <c r="AB305" s="13">
        <v>2.4182199999999998</v>
      </c>
      <c r="AC305" s="13">
        <v>1.6529</v>
      </c>
      <c r="AD305" s="13">
        <v>1.63653</v>
      </c>
      <c r="AE305" s="13" t="s">
        <v>93</v>
      </c>
    </row>
    <row r="306" spans="1:31">
      <c r="A306" s="13" t="s">
        <v>260</v>
      </c>
      <c r="B306" s="13" t="s">
        <v>1</v>
      </c>
      <c r="C306" s="13" t="s">
        <v>231</v>
      </c>
      <c r="D306" s="13" t="str">
        <f>IFERROR(VLOOKUP(C306,ghg_sort!$A$86:$B$512,2,0),0)</f>
        <v>Building</v>
      </c>
      <c r="E306" s="12" t="s">
        <v>98</v>
      </c>
      <c r="F306" s="13">
        <f>IFERROR(VLOOKUP($E306,ghg_sort!$A$3:$B$21,2,0),0)</f>
        <v>4.47</v>
      </c>
      <c r="G306" s="13">
        <f t="shared" si="45"/>
        <v>0</v>
      </c>
      <c r="H306" s="13">
        <f t="shared" si="46"/>
        <v>1.6993822499999998</v>
      </c>
      <c r="I306" s="13">
        <f t="shared" si="47"/>
        <v>3.5054902199999995</v>
      </c>
      <c r="J306" s="13">
        <f t="shared" si="48"/>
        <v>3.9970963500000001</v>
      </c>
      <c r="K306" s="13">
        <f t="shared" si="49"/>
        <v>4.5579248999999997</v>
      </c>
      <c r="L306" s="13">
        <f t="shared" si="50"/>
        <v>3.9692124899999994</v>
      </c>
      <c r="M306" s="13">
        <f t="shared" si="51"/>
        <v>3.3652663199999995</v>
      </c>
      <c r="N306" s="13">
        <f t="shared" si="52"/>
        <v>2.5314191099999999</v>
      </c>
      <c r="O306" s="13">
        <f t="shared" si="53"/>
        <v>2.5697582999999997</v>
      </c>
      <c r="P306" s="13">
        <f t="shared" si="54"/>
        <v>1.75647756</v>
      </c>
      <c r="Q306" s="13">
        <f t="shared" si="55"/>
        <v>1.7390892599999999</v>
      </c>
      <c r="R306" s="13" t="s">
        <v>239</v>
      </c>
      <c r="T306" s="13">
        <v>0</v>
      </c>
      <c r="U306" s="13">
        <v>0.38017499999999999</v>
      </c>
      <c r="V306" s="13">
        <v>0.78422599999999998</v>
      </c>
      <c r="W306" s="13">
        <v>0.89420500000000003</v>
      </c>
      <c r="X306" s="13">
        <v>1.0196700000000001</v>
      </c>
      <c r="Y306" s="13">
        <v>0.88796699999999995</v>
      </c>
      <c r="Z306" s="13">
        <v>0.75285599999999997</v>
      </c>
      <c r="AA306" s="13">
        <v>0.56631299999999996</v>
      </c>
      <c r="AB306" s="13">
        <v>0.57489000000000001</v>
      </c>
      <c r="AC306" s="14">
        <v>0.39294800000000002</v>
      </c>
      <c r="AD306" s="14">
        <v>0.38905800000000001</v>
      </c>
      <c r="AE306" s="13" t="s">
        <v>94</v>
      </c>
    </row>
    <row r="307" spans="1:31">
      <c r="A307" s="13" t="s">
        <v>260</v>
      </c>
      <c r="B307" s="13" t="s">
        <v>1</v>
      </c>
      <c r="C307" s="13" t="s">
        <v>231</v>
      </c>
      <c r="D307" s="13" t="str">
        <f>IFERROR(VLOOKUP(C307,ghg_sort!$A$86:$B$512,2,0),0)</f>
        <v>Building</v>
      </c>
      <c r="E307" s="12" t="s">
        <v>99</v>
      </c>
      <c r="F307" s="13">
        <f>IFERROR(VLOOKUP($E307,ghg_sort!$A$3:$B$21,2,0),0)</f>
        <v>14.8</v>
      </c>
      <c r="G307" s="13">
        <f t="shared" si="45"/>
        <v>0</v>
      </c>
      <c r="H307" s="13">
        <f t="shared" si="46"/>
        <v>3.9652308000000004E-2</v>
      </c>
      <c r="I307" s="13">
        <f t="shared" si="47"/>
        <v>1.5392148000000001E-2</v>
      </c>
      <c r="J307" s="13">
        <f t="shared" si="48"/>
        <v>1.7550728000000002E-2</v>
      </c>
      <c r="K307" s="13">
        <f t="shared" si="49"/>
        <v>2.0013151999999999E-2</v>
      </c>
      <c r="L307" s="13">
        <f t="shared" si="50"/>
        <v>1.7428183999999999E-2</v>
      </c>
      <c r="M307" s="13">
        <f t="shared" si="51"/>
        <v>1.4776408800000002E-2</v>
      </c>
      <c r="N307" s="13">
        <f t="shared" si="52"/>
        <v>1.1115110800000001E-2</v>
      </c>
      <c r="O307" s="13">
        <f t="shared" si="53"/>
        <v>1.1283446000000001E-2</v>
      </c>
      <c r="P307" s="13">
        <f t="shared" si="54"/>
        <v>7.7124428000000002E-3</v>
      </c>
      <c r="Q307" s="13">
        <f t="shared" si="55"/>
        <v>7.6361044000000005E-3</v>
      </c>
      <c r="R307" s="13" t="s">
        <v>239</v>
      </c>
      <c r="T307" s="13">
        <v>0</v>
      </c>
      <c r="U307" s="13">
        <v>2.67921E-3</v>
      </c>
      <c r="V307" s="13">
        <v>1.0400100000000001E-3</v>
      </c>
      <c r="W307" s="13">
        <v>1.18586E-3</v>
      </c>
      <c r="X307" s="13">
        <v>1.35224E-3</v>
      </c>
      <c r="Y307" s="13">
        <v>1.1775799999999999E-3</v>
      </c>
      <c r="Z307" s="14">
        <v>9.9840600000000008E-4</v>
      </c>
      <c r="AA307" s="14">
        <v>7.5102100000000005E-4</v>
      </c>
      <c r="AB307" s="14">
        <v>7.6239500000000002E-4</v>
      </c>
      <c r="AC307" s="14">
        <v>5.2111099999999999E-4</v>
      </c>
      <c r="AD307" s="14">
        <v>5.1595299999999998E-4</v>
      </c>
      <c r="AE307" s="13" t="s">
        <v>94</v>
      </c>
    </row>
    <row r="308" spans="1:31">
      <c r="A308" s="13" t="s">
        <v>260</v>
      </c>
      <c r="B308" s="13" t="s">
        <v>1</v>
      </c>
      <c r="C308" s="13" t="s">
        <v>231</v>
      </c>
      <c r="D308" s="13" t="str">
        <f>IFERROR(VLOOKUP(C308,ghg_sort!$A$86:$B$512,2,0),0)</f>
        <v>Building</v>
      </c>
      <c r="E308" s="12" t="s">
        <v>100</v>
      </c>
      <c r="F308" s="13">
        <f>IFERROR(VLOOKUP($E308,ghg_sort!$A$3:$B$21,2,0),0)</f>
        <v>0.67500000000000004</v>
      </c>
      <c r="G308" s="13">
        <f t="shared" si="45"/>
        <v>0</v>
      </c>
      <c r="H308" s="13">
        <f t="shared" si="46"/>
        <v>1.8679005000000002E-2</v>
      </c>
      <c r="I308" s="13">
        <f t="shared" si="47"/>
        <v>3.8465279999999998E-2</v>
      </c>
      <c r="J308" s="13">
        <f t="shared" si="48"/>
        <v>4.385961E-2</v>
      </c>
      <c r="K308" s="13">
        <f t="shared" si="49"/>
        <v>5.0013382500000009E-2</v>
      </c>
      <c r="L308" s="13">
        <f t="shared" si="50"/>
        <v>4.3553632500000002E-2</v>
      </c>
      <c r="M308" s="13">
        <f t="shared" si="51"/>
        <v>3.6926617500000002E-2</v>
      </c>
      <c r="N308" s="13">
        <f t="shared" si="52"/>
        <v>2.7776925000000001E-2</v>
      </c>
      <c r="O308" s="13">
        <f t="shared" si="53"/>
        <v>2.8197585000000001E-2</v>
      </c>
      <c r="P308" s="13">
        <f t="shared" si="54"/>
        <v>1.9273612500000002E-2</v>
      </c>
      <c r="Q308" s="13">
        <f t="shared" si="55"/>
        <v>1.9082789999999999E-2</v>
      </c>
      <c r="R308" s="13" t="s">
        <v>239</v>
      </c>
      <c r="T308" s="13">
        <v>0</v>
      </c>
      <c r="U308" s="13">
        <v>2.7672599999999999E-2</v>
      </c>
      <c r="V308" s="13">
        <v>5.6985599999999997E-2</v>
      </c>
      <c r="W308" s="13">
        <v>6.4977199999999999E-2</v>
      </c>
      <c r="X308" s="13">
        <v>7.4093900000000004E-2</v>
      </c>
      <c r="Y308" s="13">
        <v>6.4523899999999995E-2</v>
      </c>
      <c r="Z308" s="13">
        <v>5.4706100000000001E-2</v>
      </c>
      <c r="AA308" s="13">
        <v>4.1151E-2</v>
      </c>
      <c r="AB308" s="13">
        <v>4.1774199999999997E-2</v>
      </c>
      <c r="AC308" s="13">
        <v>2.8553499999999999E-2</v>
      </c>
      <c r="AD308" s="13">
        <v>2.8270799999999999E-2</v>
      </c>
      <c r="AE308" s="13" t="s">
        <v>94</v>
      </c>
    </row>
    <row r="309" spans="1:31">
      <c r="A309" s="13" t="s">
        <v>260</v>
      </c>
      <c r="B309" s="13" t="s">
        <v>1</v>
      </c>
      <c r="C309" s="13" t="s">
        <v>152</v>
      </c>
      <c r="D309" s="13" t="str">
        <f>IFERROR(VLOOKUP(C309,ghg_sort!$A$86:$B$512,2,0),0)</f>
        <v>Building</v>
      </c>
      <c r="E309" s="33" t="s">
        <v>83</v>
      </c>
      <c r="F309" s="13">
        <f>IFERROR(VLOOKUP($E309,ghg_sort!$A$3:$B$21,2,0),0)</f>
        <v>0</v>
      </c>
      <c r="G309" s="13">
        <f t="shared" si="45"/>
        <v>0</v>
      </c>
      <c r="H309" s="13">
        <f t="shared" si="46"/>
        <v>0</v>
      </c>
      <c r="I309" s="13">
        <f t="shared" si="47"/>
        <v>0</v>
      </c>
      <c r="J309" s="13">
        <f t="shared" si="48"/>
        <v>0</v>
      </c>
      <c r="K309" s="13">
        <f t="shared" si="49"/>
        <v>0</v>
      </c>
      <c r="L309" s="13">
        <f t="shared" si="50"/>
        <v>0</v>
      </c>
      <c r="M309" s="13">
        <f t="shared" si="51"/>
        <v>0</v>
      </c>
      <c r="N309" s="13">
        <f t="shared" si="52"/>
        <v>0</v>
      </c>
      <c r="O309" s="13">
        <f t="shared" si="53"/>
        <v>0</v>
      </c>
      <c r="P309" s="13">
        <f t="shared" si="54"/>
        <v>0</v>
      </c>
      <c r="Q309" s="13">
        <f t="shared" si="55"/>
        <v>0</v>
      </c>
      <c r="R309" s="13" t="s">
        <v>239</v>
      </c>
      <c r="T309" s="13">
        <v>1.2190059E-2</v>
      </c>
      <c r="U309" s="13">
        <v>3.0797659999999998E-3</v>
      </c>
      <c r="V309" s="13">
        <v>3.1511659999999999E-3</v>
      </c>
      <c r="W309" s="13">
        <v>3.0848540000000002E-3</v>
      </c>
      <c r="X309" s="13">
        <v>2.1432489999999998E-3</v>
      </c>
      <c r="Y309" s="13">
        <v>1.4822829E-3</v>
      </c>
      <c r="Z309" s="13">
        <v>1.1840817E-3</v>
      </c>
      <c r="AA309" s="14">
        <v>9.5765180999999905E-4</v>
      </c>
      <c r="AB309" s="14">
        <v>4.4731683E-4</v>
      </c>
      <c r="AC309" s="14">
        <v>1.7323983200000001E-4</v>
      </c>
      <c r="AD309" s="14">
        <v>2.4021484E-5</v>
      </c>
      <c r="AE309" s="13" t="s">
        <v>131</v>
      </c>
    </row>
    <row r="310" spans="1:31">
      <c r="A310" s="13" t="s">
        <v>260</v>
      </c>
      <c r="B310" s="13" t="s">
        <v>1</v>
      </c>
      <c r="C310" s="13" t="s">
        <v>152</v>
      </c>
      <c r="D310" s="13" t="str">
        <f>IFERROR(VLOOKUP(C310,ghg_sort!$A$86:$B$512,2,0),0)</f>
        <v>Building</v>
      </c>
      <c r="E310" s="33" t="s">
        <v>84</v>
      </c>
      <c r="F310" s="13">
        <f>IFERROR(VLOOKUP($E310,ghg_sort!$A$3:$B$21,2,0),0)</f>
        <v>25</v>
      </c>
      <c r="G310" s="13">
        <f t="shared" si="45"/>
        <v>1.0774050500000001</v>
      </c>
      <c r="H310" s="13">
        <f t="shared" si="46"/>
        <v>0.28127752249999749</v>
      </c>
      <c r="I310" s="13">
        <f t="shared" si="47"/>
        <v>0.26994002249999749</v>
      </c>
      <c r="J310" s="13">
        <f t="shared" si="48"/>
        <v>0.32564670000000001</v>
      </c>
      <c r="K310" s="13">
        <f t="shared" si="49"/>
        <v>0.367768975</v>
      </c>
      <c r="L310" s="13">
        <f t="shared" si="50"/>
        <v>0.41079823249999997</v>
      </c>
      <c r="M310" s="13">
        <f t="shared" si="51"/>
        <v>0.42110462499999751</v>
      </c>
      <c r="N310" s="13">
        <f t="shared" si="52"/>
        <v>0.41215863149999998</v>
      </c>
      <c r="O310" s="13">
        <f t="shared" si="53"/>
        <v>0.33388600600000001</v>
      </c>
      <c r="P310" s="13">
        <f t="shared" si="54"/>
        <v>0.272791623175</v>
      </c>
      <c r="Q310" s="13">
        <f t="shared" si="55"/>
        <v>0.21198823832499999</v>
      </c>
      <c r="R310" s="13" t="s">
        <v>239</v>
      </c>
      <c r="T310" s="13">
        <v>4.3096202E-2</v>
      </c>
      <c r="U310" s="14">
        <v>1.1251100899999899E-2</v>
      </c>
      <c r="V310" s="14">
        <v>1.07976008999999E-2</v>
      </c>
      <c r="W310" s="14">
        <v>1.3025867999999999E-2</v>
      </c>
      <c r="X310" s="14">
        <v>1.4710759E-2</v>
      </c>
      <c r="Y310" s="14">
        <v>1.6431929299999998E-2</v>
      </c>
      <c r="Z310" s="14">
        <v>1.68441849999999E-2</v>
      </c>
      <c r="AA310" s="14">
        <v>1.648634526E-2</v>
      </c>
      <c r="AB310" s="14">
        <v>1.335544024E-2</v>
      </c>
      <c r="AC310" s="14">
        <v>1.0911664927000001E-2</v>
      </c>
      <c r="AD310" s="14">
        <v>8.4795295329999996E-3</v>
      </c>
      <c r="AE310" s="13" t="s">
        <v>131</v>
      </c>
    </row>
    <row r="311" spans="1:31">
      <c r="A311" s="13" t="s">
        <v>260</v>
      </c>
      <c r="B311" s="13" t="s">
        <v>1</v>
      </c>
      <c r="C311" s="13" t="s">
        <v>152</v>
      </c>
      <c r="D311" s="13" t="str">
        <f>IFERROR(VLOOKUP(C311,ghg_sort!$A$86:$B$512,2,0),0)</f>
        <v>Building</v>
      </c>
      <c r="E311" s="33" t="s">
        <v>85</v>
      </c>
      <c r="F311" s="13">
        <f>IFERROR(VLOOKUP($E311,ghg_sort!$A$3:$B$21,2,0),0)</f>
        <v>0</v>
      </c>
      <c r="G311" s="13">
        <f t="shared" si="45"/>
        <v>0</v>
      </c>
      <c r="H311" s="13">
        <f t="shared" si="46"/>
        <v>0</v>
      </c>
      <c r="I311" s="13">
        <f t="shared" si="47"/>
        <v>0</v>
      </c>
      <c r="J311" s="13">
        <f t="shared" si="48"/>
        <v>0</v>
      </c>
      <c r="K311" s="13">
        <f t="shared" si="49"/>
        <v>0</v>
      </c>
      <c r="L311" s="13">
        <f t="shared" si="50"/>
        <v>0</v>
      </c>
      <c r="M311" s="13">
        <f t="shared" si="51"/>
        <v>0</v>
      </c>
      <c r="N311" s="13">
        <f t="shared" si="52"/>
        <v>0</v>
      </c>
      <c r="O311" s="13">
        <f t="shared" si="53"/>
        <v>0</v>
      </c>
      <c r="P311" s="13">
        <f t="shared" si="54"/>
        <v>0</v>
      </c>
      <c r="Q311" s="13">
        <f t="shared" si="55"/>
        <v>0</v>
      </c>
      <c r="R311" s="13" t="s">
        <v>239</v>
      </c>
      <c r="T311" s="14">
        <v>0.19355572299999901</v>
      </c>
      <c r="U311" s="14">
        <v>3.8098031999999997E-2</v>
      </c>
      <c r="V311" s="14">
        <v>3.5421848999999998E-2</v>
      </c>
      <c r="W311" s="13">
        <v>4.26799E-2</v>
      </c>
      <c r="X311" s="13">
        <v>3.204514E-2</v>
      </c>
      <c r="Y311" s="13">
        <v>2.38979179999999E-2</v>
      </c>
      <c r="Z311" s="13">
        <v>1.8846543E-2</v>
      </c>
      <c r="AA311" s="13">
        <v>1.5408448E-2</v>
      </c>
      <c r="AB311" s="13">
        <v>7.2263238999999996E-3</v>
      </c>
      <c r="AC311" s="13">
        <v>3.8736145999999998E-3</v>
      </c>
      <c r="AD311" s="14">
        <v>2.3619460999999998E-3</v>
      </c>
      <c r="AE311" s="13" t="s">
        <v>131</v>
      </c>
    </row>
    <row r="312" spans="1:31">
      <c r="A312" s="13" t="s">
        <v>260</v>
      </c>
      <c r="B312" s="13" t="s">
        <v>1</v>
      </c>
      <c r="C312" s="13" t="s">
        <v>152</v>
      </c>
      <c r="D312" s="13" t="str">
        <f>IFERROR(VLOOKUP(C312,ghg_sort!$A$86:$B$512,2,0),0)</f>
        <v>Building</v>
      </c>
      <c r="E312" s="33" t="s">
        <v>86</v>
      </c>
      <c r="F312" s="13">
        <f>IFERROR(VLOOKUP($E312,ghg_sort!$A$3:$B$21,2,0),0)</f>
        <v>3.6666666666666701</v>
      </c>
      <c r="G312" s="13">
        <f t="shared" si="45"/>
        <v>16.900367000000017</v>
      </c>
      <c r="H312" s="13">
        <f t="shared" si="46"/>
        <v>20.126524366666686</v>
      </c>
      <c r="I312" s="13">
        <f t="shared" si="47"/>
        <v>20.556866000000017</v>
      </c>
      <c r="J312" s="13">
        <f t="shared" si="48"/>
        <v>19.265928000000017</v>
      </c>
      <c r="K312" s="13">
        <f t="shared" si="49"/>
        <v>21.153975333333353</v>
      </c>
      <c r="L312" s="13">
        <f t="shared" si="50"/>
        <v>21.308225033333354</v>
      </c>
      <c r="M312" s="13">
        <f t="shared" si="51"/>
        <v>21.201730733333353</v>
      </c>
      <c r="N312" s="13">
        <f t="shared" si="52"/>
        <v>20.133733803333314</v>
      </c>
      <c r="O312" s="13">
        <f t="shared" si="53"/>
        <v>17.089905763333352</v>
      </c>
      <c r="P312" s="13">
        <f t="shared" si="54"/>
        <v>13.239833383333346</v>
      </c>
      <c r="Q312" s="13">
        <f t="shared" si="55"/>
        <v>9.2087639233333416</v>
      </c>
      <c r="R312" s="13" t="s">
        <v>239</v>
      </c>
      <c r="T312" s="13">
        <v>4.609191</v>
      </c>
      <c r="U312" s="13">
        <v>5.4890521000000003</v>
      </c>
      <c r="V312" s="13">
        <v>5.6064179999999997</v>
      </c>
      <c r="W312" s="13">
        <v>5.2543439999999997</v>
      </c>
      <c r="X312" s="13">
        <v>5.769266</v>
      </c>
      <c r="Y312" s="14">
        <v>5.8113340999999998</v>
      </c>
      <c r="Z312" s="14">
        <v>5.7822902000000003</v>
      </c>
      <c r="AA312" s="14">
        <v>5.4910183099999896</v>
      </c>
      <c r="AB312" s="14">
        <v>4.6608833900000004</v>
      </c>
      <c r="AC312" s="14">
        <v>3.6108636500000002</v>
      </c>
      <c r="AD312" s="14">
        <v>2.5114810699999999</v>
      </c>
      <c r="AE312" s="13" t="s">
        <v>131</v>
      </c>
    </row>
    <row r="313" spans="1:31">
      <c r="A313" s="13" t="s">
        <v>260</v>
      </c>
      <c r="B313" s="13" t="s">
        <v>1</v>
      </c>
      <c r="C313" s="13" t="s">
        <v>152</v>
      </c>
      <c r="D313" s="13" t="str">
        <f>IFERROR(VLOOKUP(C313,ghg_sort!$A$86:$B$512,2,0),0)</f>
        <v>Building</v>
      </c>
      <c r="E313" s="33" t="s">
        <v>87</v>
      </c>
      <c r="F313" s="13">
        <f>IFERROR(VLOOKUP($E313,ghg_sort!$A$3:$B$21,2,0),0)</f>
        <v>298</v>
      </c>
      <c r="G313" s="13">
        <f t="shared" si="45"/>
        <v>0.31441546708000001</v>
      </c>
      <c r="H313" s="13">
        <f t="shared" si="46"/>
        <v>0.1416890468</v>
      </c>
      <c r="I313" s="13">
        <f t="shared" si="47"/>
        <v>0.1431341978</v>
      </c>
      <c r="J313" s="13">
        <f t="shared" si="48"/>
        <v>0.1054248606</v>
      </c>
      <c r="K313" s="13">
        <f t="shared" si="49"/>
        <v>0.1170170606</v>
      </c>
      <c r="L313" s="13">
        <f t="shared" si="50"/>
        <v>0.12530427074</v>
      </c>
      <c r="M313" s="13">
        <f t="shared" si="51"/>
        <v>0.1205392716</v>
      </c>
      <c r="N313" s="13">
        <f t="shared" si="52"/>
        <v>0.11126616392199999</v>
      </c>
      <c r="O313" s="13">
        <f t="shared" si="53"/>
        <v>6.1470020029999996E-2</v>
      </c>
      <c r="P313" s="13">
        <f t="shared" si="54"/>
        <v>3.2884927885999997E-2</v>
      </c>
      <c r="Q313" s="13">
        <f t="shared" si="55"/>
        <v>1.6408947734E-2</v>
      </c>
      <c r="R313" s="13" t="s">
        <v>239</v>
      </c>
      <c r="T313" s="13">
        <v>1.05508546E-3</v>
      </c>
      <c r="U313" s="14">
        <v>4.7546660000000001E-4</v>
      </c>
      <c r="V313" s="14">
        <v>4.8031609999999998E-4</v>
      </c>
      <c r="W313" s="14">
        <v>3.5377470000000003E-4</v>
      </c>
      <c r="X313" s="14">
        <v>3.926747E-4</v>
      </c>
      <c r="Y313" s="14">
        <v>4.2048413000000002E-4</v>
      </c>
      <c r="Z313" s="14">
        <v>4.0449419999999999E-4</v>
      </c>
      <c r="AA313" s="14">
        <v>3.7337638899999999E-4</v>
      </c>
      <c r="AB313" s="14">
        <v>2.06275235E-4</v>
      </c>
      <c r="AC313" s="14">
        <v>1.10352107E-4</v>
      </c>
      <c r="AD313" s="14">
        <v>5.5063582999999999E-5</v>
      </c>
      <c r="AE313" s="13" t="s">
        <v>131</v>
      </c>
    </row>
    <row r="314" spans="1:31">
      <c r="A314" s="13" t="s">
        <v>260</v>
      </c>
      <c r="B314" s="13" t="s">
        <v>1</v>
      </c>
      <c r="C314" s="13" t="s">
        <v>152</v>
      </c>
      <c r="D314" s="13" t="str">
        <f>IFERROR(VLOOKUP(C314,ghg_sort!$A$86:$B$512,2,0),0)</f>
        <v>Building</v>
      </c>
      <c r="E314" s="33" t="s">
        <v>88</v>
      </c>
      <c r="F314" s="13">
        <f>IFERROR(VLOOKUP($E314,ghg_sort!$A$3:$B$21,2,0),0)</f>
        <v>0</v>
      </c>
      <c r="G314" s="13">
        <f t="shared" si="45"/>
        <v>0</v>
      </c>
      <c r="H314" s="13">
        <f t="shared" si="46"/>
        <v>0</v>
      </c>
      <c r="I314" s="13">
        <f t="shared" si="47"/>
        <v>0</v>
      </c>
      <c r="J314" s="13">
        <f t="shared" si="48"/>
        <v>0</v>
      </c>
      <c r="K314" s="13">
        <f t="shared" si="49"/>
        <v>0</v>
      </c>
      <c r="L314" s="13">
        <f t="shared" si="50"/>
        <v>0</v>
      </c>
      <c r="M314" s="13">
        <f t="shared" si="51"/>
        <v>0</v>
      </c>
      <c r="N314" s="13">
        <f t="shared" si="52"/>
        <v>0</v>
      </c>
      <c r="O314" s="13">
        <f t="shared" si="53"/>
        <v>0</v>
      </c>
      <c r="P314" s="13">
        <f t="shared" si="54"/>
        <v>0</v>
      </c>
      <c r="Q314" s="13">
        <f t="shared" si="55"/>
        <v>0</v>
      </c>
      <c r="R314" s="13" t="s">
        <v>239</v>
      </c>
      <c r="T314" s="14">
        <v>4.6129210000000001E-4</v>
      </c>
      <c r="U314" s="14">
        <v>3.9818716999999898E-4</v>
      </c>
      <c r="V314" s="14">
        <v>3.6189216999999899E-4</v>
      </c>
      <c r="W314" s="13">
        <v>1.0919319999999899E-3</v>
      </c>
      <c r="X314" s="13">
        <v>1.2347611000000001E-3</v>
      </c>
      <c r="Y314" s="13">
        <v>1.413548917E-3</v>
      </c>
      <c r="Z314" s="13">
        <v>1.4305043999999999E-3</v>
      </c>
      <c r="AA314" s="13">
        <v>1.3842928089999899E-3</v>
      </c>
      <c r="AB314" s="14">
        <v>1.0044192523E-3</v>
      </c>
      <c r="AC314" s="14">
        <v>7.6644224590000001E-4</v>
      </c>
      <c r="AD314" s="14">
        <v>5.7668679629999998E-4</v>
      </c>
      <c r="AE314" s="13" t="s">
        <v>93</v>
      </c>
    </row>
    <row r="315" spans="1:31">
      <c r="A315" s="13" t="s">
        <v>260</v>
      </c>
      <c r="B315" s="13" t="s">
        <v>1</v>
      </c>
      <c r="C315" s="13" t="s">
        <v>152</v>
      </c>
      <c r="D315" s="13" t="str">
        <f>IFERROR(VLOOKUP(C315,ghg_sort!$A$86:$B$512,2,0),0)</f>
        <v>Building</v>
      </c>
      <c r="E315" s="33" t="s">
        <v>89</v>
      </c>
      <c r="F315" s="13">
        <f>IFERROR(VLOOKUP($E315,ghg_sort!$A$3:$B$21,2,0),0)</f>
        <v>0</v>
      </c>
      <c r="G315" s="13">
        <f t="shared" si="45"/>
        <v>0</v>
      </c>
      <c r="H315" s="13">
        <f t="shared" si="46"/>
        <v>0</v>
      </c>
      <c r="I315" s="13">
        <f t="shared" si="47"/>
        <v>0</v>
      </c>
      <c r="J315" s="13">
        <f t="shared" si="48"/>
        <v>0</v>
      </c>
      <c r="K315" s="13">
        <f t="shared" si="49"/>
        <v>0</v>
      </c>
      <c r="L315" s="13">
        <f t="shared" si="50"/>
        <v>0</v>
      </c>
      <c r="M315" s="13">
        <f t="shared" si="51"/>
        <v>0</v>
      </c>
      <c r="N315" s="13">
        <f t="shared" si="52"/>
        <v>0</v>
      </c>
      <c r="O315" s="13">
        <f t="shared" si="53"/>
        <v>0</v>
      </c>
      <c r="P315" s="13">
        <f t="shared" si="54"/>
        <v>0</v>
      </c>
      <c r="Q315" s="13">
        <f t="shared" si="55"/>
        <v>0</v>
      </c>
      <c r="R315" s="13" t="s">
        <v>239</v>
      </c>
      <c r="T315" s="13">
        <v>6.8138459600000003E-3</v>
      </c>
      <c r="U315" s="13">
        <v>1.2388920999999999E-3</v>
      </c>
      <c r="V315" s="13">
        <v>1.1837414699999999E-3</v>
      </c>
      <c r="W315" s="13">
        <v>1.6454366999999999E-3</v>
      </c>
      <c r="X315" s="13">
        <v>1.2544810999999901E-3</v>
      </c>
      <c r="Y315" s="14">
        <v>1.0287681E-3</v>
      </c>
      <c r="Z315" s="14">
        <v>7.9693920000000005E-4</v>
      </c>
      <c r="AA315" s="14">
        <v>6.3829345999999996E-4</v>
      </c>
      <c r="AB315" s="14">
        <v>2.5127858999999999E-4</v>
      </c>
      <c r="AC315" s="14">
        <v>1.08911962999999E-4</v>
      </c>
      <c r="AD315" s="14">
        <v>5.9012328999999997E-5</v>
      </c>
      <c r="AE315" s="13" t="s">
        <v>93</v>
      </c>
    </row>
    <row r="316" spans="1:31">
      <c r="A316" s="13" t="s">
        <v>260</v>
      </c>
      <c r="B316" s="13" t="s">
        <v>1</v>
      </c>
      <c r="C316" s="13" t="s">
        <v>152</v>
      </c>
      <c r="D316" s="13" t="str">
        <f>IFERROR(VLOOKUP(C316,ghg_sort!$A$86:$B$512,2,0),0)</f>
        <v>Building</v>
      </c>
      <c r="E316" s="33" t="s">
        <v>90</v>
      </c>
      <c r="F316" s="13">
        <f>IFERROR(VLOOKUP($E316,ghg_sort!$A$3:$B$21,2,0),0)</f>
        <v>0</v>
      </c>
      <c r="G316" s="13">
        <f t="shared" si="45"/>
        <v>0</v>
      </c>
      <c r="H316" s="13">
        <f t="shared" si="46"/>
        <v>0</v>
      </c>
      <c r="I316" s="13">
        <f t="shared" si="47"/>
        <v>0</v>
      </c>
      <c r="J316" s="13">
        <f t="shared" si="48"/>
        <v>0</v>
      </c>
      <c r="K316" s="13">
        <f t="shared" si="49"/>
        <v>0</v>
      </c>
      <c r="L316" s="13">
        <f t="shared" si="50"/>
        <v>0</v>
      </c>
      <c r="M316" s="13">
        <f t="shared" si="51"/>
        <v>0</v>
      </c>
      <c r="N316" s="13">
        <f t="shared" si="52"/>
        <v>0</v>
      </c>
      <c r="O316" s="13">
        <f t="shared" si="53"/>
        <v>0</v>
      </c>
      <c r="P316" s="13">
        <f t="shared" si="54"/>
        <v>0</v>
      </c>
      <c r="Q316" s="13">
        <f t="shared" si="55"/>
        <v>0</v>
      </c>
      <c r="R316" s="13" t="s">
        <v>239</v>
      </c>
      <c r="T316" s="13">
        <v>3.8852999999999999E-2</v>
      </c>
      <c r="U316" s="13">
        <v>3.1043899999999999E-2</v>
      </c>
      <c r="V316" s="13">
        <v>2.7807559999999999E-2</v>
      </c>
      <c r="W316" s="13">
        <v>2.7871130000000001E-2</v>
      </c>
      <c r="X316" s="13">
        <v>1.9274989999999999E-2</v>
      </c>
      <c r="Y316" s="13">
        <v>1.4792303E-2</v>
      </c>
      <c r="Z316" s="13">
        <v>1.44119007999999E-2</v>
      </c>
      <c r="AA316" s="13">
        <v>1.36060120999999E-2</v>
      </c>
      <c r="AB316" s="13">
        <v>1.159032359E-2</v>
      </c>
      <c r="AC316" s="14">
        <v>9.2001995200000006E-3</v>
      </c>
      <c r="AD316" s="14">
        <v>6.6264603100000003E-3</v>
      </c>
      <c r="AE316" s="13" t="s">
        <v>93</v>
      </c>
    </row>
    <row r="317" spans="1:31">
      <c r="A317" s="13" t="s">
        <v>260</v>
      </c>
      <c r="B317" s="13" t="s">
        <v>1</v>
      </c>
      <c r="C317" s="13" t="s">
        <v>152</v>
      </c>
      <c r="D317" s="13" t="str">
        <f>IFERROR(VLOOKUP(C317,ghg_sort!$A$86:$B$512,2,0),0)</f>
        <v>Building</v>
      </c>
      <c r="E317" s="12" t="s">
        <v>91</v>
      </c>
      <c r="F317" s="13">
        <f>IFERROR(VLOOKUP($E317,ghg_sort!$A$3:$B$21,2,0),0)</f>
        <v>0</v>
      </c>
      <c r="G317" s="13">
        <f t="shared" si="45"/>
        <v>0</v>
      </c>
      <c r="H317" s="13">
        <f t="shared" si="46"/>
        <v>0</v>
      </c>
      <c r="I317" s="13">
        <f t="shared" si="47"/>
        <v>0</v>
      </c>
      <c r="J317" s="13">
        <f t="shared" si="48"/>
        <v>0</v>
      </c>
      <c r="K317" s="13">
        <f t="shared" si="49"/>
        <v>0</v>
      </c>
      <c r="L317" s="13">
        <f t="shared" si="50"/>
        <v>0</v>
      </c>
      <c r="M317" s="13">
        <f t="shared" si="51"/>
        <v>0</v>
      </c>
      <c r="N317" s="13">
        <f t="shared" si="52"/>
        <v>0</v>
      </c>
      <c r="O317" s="13">
        <f t="shared" si="53"/>
        <v>0</v>
      </c>
      <c r="P317" s="13">
        <f t="shared" si="54"/>
        <v>0</v>
      </c>
      <c r="Q317" s="13">
        <f t="shared" si="55"/>
        <v>0</v>
      </c>
      <c r="R317" s="13" t="s">
        <v>239</v>
      </c>
      <c r="T317" s="13">
        <v>1.9542491700000001E-2</v>
      </c>
      <c r="U317" s="13">
        <v>5.7229569999999999E-3</v>
      </c>
      <c r="V317" s="13">
        <v>5.7339440000000004E-3</v>
      </c>
      <c r="W317" s="13">
        <v>5.4281700000000004E-3</v>
      </c>
      <c r="X317" s="13">
        <v>3.8429190000000002E-3</v>
      </c>
      <c r="Y317" s="13">
        <v>2.8464283999999999E-3</v>
      </c>
      <c r="Z317" s="13">
        <v>2.1451623999999901E-3</v>
      </c>
      <c r="AA317" s="13">
        <v>1.6992570399999901E-3</v>
      </c>
      <c r="AB317" s="14">
        <v>6.3276028999999896E-4</v>
      </c>
      <c r="AC317" s="14">
        <v>2.1477356000000001E-4</v>
      </c>
      <c r="AD317" s="14">
        <v>6.0745604000000001E-5</v>
      </c>
      <c r="AE317" s="13" t="s">
        <v>94</v>
      </c>
    </row>
    <row r="318" spans="1:31">
      <c r="A318" s="13" t="s">
        <v>260</v>
      </c>
      <c r="B318" s="13" t="s">
        <v>1</v>
      </c>
      <c r="C318" s="13" t="s">
        <v>152</v>
      </c>
      <c r="D318" s="13" t="str">
        <f>IFERROR(VLOOKUP(C318,ghg_sort!$A$86:$B$512,2,0),0)</f>
        <v>Building</v>
      </c>
      <c r="E318" s="33" t="s">
        <v>92</v>
      </c>
      <c r="F318" s="13">
        <f>IFERROR(VLOOKUP($E318,ghg_sort!$A$3:$B$21,2,0),0)</f>
        <v>0</v>
      </c>
      <c r="G318" s="13">
        <f t="shared" si="45"/>
        <v>0</v>
      </c>
      <c r="H318" s="13">
        <f t="shared" si="46"/>
        <v>0</v>
      </c>
      <c r="I318" s="13">
        <f t="shared" si="47"/>
        <v>0</v>
      </c>
      <c r="J318" s="13">
        <f t="shared" si="48"/>
        <v>0</v>
      </c>
      <c r="K318" s="13">
        <f t="shared" si="49"/>
        <v>0</v>
      </c>
      <c r="L318" s="13">
        <f t="shared" si="50"/>
        <v>0</v>
      </c>
      <c r="M318" s="13">
        <f t="shared" si="51"/>
        <v>0</v>
      </c>
      <c r="N318" s="13">
        <f t="shared" si="52"/>
        <v>0</v>
      </c>
      <c r="O318" s="13">
        <f t="shared" si="53"/>
        <v>0</v>
      </c>
      <c r="P318" s="13">
        <f t="shared" si="54"/>
        <v>0</v>
      </c>
      <c r="Q318" s="13">
        <f t="shared" si="55"/>
        <v>0</v>
      </c>
      <c r="R318" s="13" t="s">
        <v>239</v>
      </c>
      <c r="T318" s="13">
        <v>0.12380264033000001</v>
      </c>
      <c r="U318" s="14">
        <v>1.08748331E-2</v>
      </c>
      <c r="V318" s="14">
        <v>7.7151826000000003E-3</v>
      </c>
      <c r="W318" s="14">
        <v>7.3834442000000004E-3</v>
      </c>
      <c r="X318" s="14">
        <v>4.9678652999999998E-3</v>
      </c>
      <c r="Y318" s="14">
        <v>2.02746E-3</v>
      </c>
      <c r="Z318" s="14">
        <v>1.37489409999999E-3</v>
      </c>
      <c r="AA318" s="14">
        <v>9.8469000000000009E-4</v>
      </c>
      <c r="AB318" s="14">
        <v>5.7327940000000003E-4</v>
      </c>
      <c r="AC318" s="14">
        <v>2.345475E-4</v>
      </c>
      <c r="AD318" s="14">
        <v>2.821912E-5</v>
      </c>
      <c r="AE318" s="13" t="s">
        <v>93</v>
      </c>
    </row>
    <row r="319" spans="1:31">
      <c r="A319" s="13" t="s">
        <v>260</v>
      </c>
      <c r="B319" s="13" t="s">
        <v>1</v>
      </c>
      <c r="C319" s="13" t="s">
        <v>153</v>
      </c>
      <c r="D319" s="13" t="str">
        <f>IFERROR(VLOOKUP(C319,ghg_sort!$A$86:$B$512,2,0),0)</f>
        <v>Building</v>
      </c>
      <c r="E319" s="33" t="s">
        <v>83</v>
      </c>
      <c r="F319" s="13">
        <f>IFERROR(VLOOKUP($E319,ghg_sort!$A$3:$B$21,2,0),0)</f>
        <v>0</v>
      </c>
      <c r="G319" s="13">
        <f t="shared" si="45"/>
        <v>0</v>
      </c>
      <c r="H319" s="13">
        <f t="shared" si="46"/>
        <v>0</v>
      </c>
      <c r="I319" s="13">
        <f t="shared" si="47"/>
        <v>0</v>
      </c>
      <c r="J319" s="13">
        <f t="shared" si="48"/>
        <v>0</v>
      </c>
      <c r="K319" s="13">
        <f t="shared" si="49"/>
        <v>0</v>
      </c>
      <c r="L319" s="13">
        <f t="shared" si="50"/>
        <v>0</v>
      </c>
      <c r="M319" s="13">
        <f t="shared" si="51"/>
        <v>0</v>
      </c>
      <c r="N319" s="13">
        <f t="shared" si="52"/>
        <v>0</v>
      </c>
      <c r="O319" s="13">
        <f t="shared" si="53"/>
        <v>0</v>
      </c>
      <c r="P319" s="13">
        <f t="shared" si="54"/>
        <v>0</v>
      </c>
      <c r="Q319" s="13">
        <f t="shared" si="55"/>
        <v>0</v>
      </c>
      <c r="R319" s="13" t="s">
        <v>239</v>
      </c>
      <c r="T319" s="14">
        <v>2.24886186999999E-2</v>
      </c>
      <c r="U319" s="14">
        <v>2.7300800000000002E-3</v>
      </c>
      <c r="V319" s="14">
        <v>2.6095469999999898E-3</v>
      </c>
      <c r="W319" s="13">
        <v>1.920745E-3</v>
      </c>
      <c r="X319" s="14">
        <v>1.6952930000000001E-3</v>
      </c>
      <c r="Y319" s="14">
        <v>4.9710300000000004E-4</v>
      </c>
      <c r="Z319" s="14">
        <v>2.895455E-4</v>
      </c>
      <c r="AA319" s="14">
        <v>1.7974730000000001E-4</v>
      </c>
      <c r="AB319" s="14">
        <v>7.1844599999999905E-5</v>
      </c>
      <c r="AC319" s="14">
        <v>2.2097610000000001E-5</v>
      </c>
      <c r="AD319" s="14">
        <v>4.1752500000000004E-6</v>
      </c>
      <c r="AE319" s="13" t="s">
        <v>93</v>
      </c>
    </row>
    <row r="320" spans="1:31">
      <c r="A320" s="13" t="s">
        <v>260</v>
      </c>
      <c r="B320" s="13" t="s">
        <v>1</v>
      </c>
      <c r="C320" s="13" t="s">
        <v>153</v>
      </c>
      <c r="D320" s="13" t="str">
        <f>IFERROR(VLOOKUP(C320,ghg_sort!$A$86:$B$512,2,0),0)</f>
        <v>Building</v>
      </c>
      <c r="E320" s="33" t="s">
        <v>84</v>
      </c>
      <c r="F320" s="13">
        <f>IFERROR(VLOOKUP($E320,ghg_sort!$A$3:$B$21,2,0),0)</f>
        <v>25</v>
      </c>
      <c r="G320" s="13">
        <f t="shared" si="45"/>
        <v>0.68559495000000004</v>
      </c>
      <c r="H320" s="13">
        <f t="shared" si="46"/>
        <v>0.15597247749999998</v>
      </c>
      <c r="I320" s="13">
        <f t="shared" si="47"/>
        <v>0.1485599775</v>
      </c>
      <c r="J320" s="13">
        <f t="shared" si="48"/>
        <v>0.17235331000000001</v>
      </c>
      <c r="K320" s="13">
        <f t="shared" si="49"/>
        <v>0.22446287749999977</v>
      </c>
      <c r="L320" s="13">
        <f t="shared" si="50"/>
        <v>0.23196382500000001</v>
      </c>
      <c r="M320" s="13">
        <f t="shared" si="51"/>
        <v>0.23152926500000001</v>
      </c>
      <c r="N320" s="13">
        <f t="shared" si="52"/>
        <v>0.20290561299999998</v>
      </c>
      <c r="O320" s="13">
        <f t="shared" si="53"/>
        <v>0.14385490275000001</v>
      </c>
      <c r="P320" s="13">
        <f t="shared" si="54"/>
        <v>9.3134770000000006E-2</v>
      </c>
      <c r="Q320" s="13">
        <f t="shared" si="55"/>
        <v>5.8370102899999755E-2</v>
      </c>
      <c r="R320" s="13" t="s">
        <v>239</v>
      </c>
      <c r="T320" s="13">
        <v>2.7423797999999999E-2</v>
      </c>
      <c r="U320" s="14">
        <v>6.2388990999999996E-3</v>
      </c>
      <c r="V320" s="14">
        <v>5.9423990999999997E-3</v>
      </c>
      <c r="W320" s="14">
        <v>6.8941324E-3</v>
      </c>
      <c r="X320" s="14">
        <v>8.9785150999999903E-3</v>
      </c>
      <c r="Y320" s="14">
        <v>9.2785530000000001E-3</v>
      </c>
      <c r="Z320" s="14">
        <v>9.2611706000000002E-3</v>
      </c>
      <c r="AA320" s="14">
        <v>8.1162245199999997E-3</v>
      </c>
      <c r="AB320" s="14">
        <v>5.75419611E-3</v>
      </c>
      <c r="AC320" s="14">
        <v>3.7253908000000001E-3</v>
      </c>
      <c r="AD320" s="14">
        <v>2.3348041159999902E-3</v>
      </c>
      <c r="AE320" s="13" t="s">
        <v>93</v>
      </c>
    </row>
    <row r="321" spans="1:31">
      <c r="A321" s="13" t="s">
        <v>260</v>
      </c>
      <c r="B321" s="13" t="s">
        <v>1</v>
      </c>
      <c r="C321" s="13" t="s">
        <v>153</v>
      </c>
      <c r="D321" s="13" t="str">
        <f>IFERROR(VLOOKUP(C321,ghg_sort!$A$86:$B$512,2,0),0)</f>
        <v>Building</v>
      </c>
      <c r="E321" s="33" t="s">
        <v>85</v>
      </c>
      <c r="F321" s="13">
        <f>IFERROR(VLOOKUP($E321,ghg_sort!$A$3:$B$21,2,0),0)</f>
        <v>0</v>
      </c>
      <c r="G321" s="13">
        <f t="shared" si="45"/>
        <v>0</v>
      </c>
      <c r="H321" s="13">
        <f t="shared" si="46"/>
        <v>0</v>
      </c>
      <c r="I321" s="13">
        <f t="shared" si="47"/>
        <v>0</v>
      </c>
      <c r="J321" s="13">
        <f t="shared" si="48"/>
        <v>0</v>
      </c>
      <c r="K321" s="13">
        <f t="shared" si="49"/>
        <v>0</v>
      </c>
      <c r="L321" s="13">
        <f t="shared" si="50"/>
        <v>0</v>
      </c>
      <c r="M321" s="13">
        <f t="shared" si="51"/>
        <v>0</v>
      </c>
      <c r="N321" s="13">
        <f t="shared" si="52"/>
        <v>0</v>
      </c>
      <c r="O321" s="13">
        <f t="shared" si="53"/>
        <v>0</v>
      </c>
      <c r="P321" s="13">
        <f t="shared" si="54"/>
        <v>0</v>
      </c>
      <c r="Q321" s="13">
        <f t="shared" si="55"/>
        <v>0</v>
      </c>
      <c r="R321" s="13" t="s">
        <v>239</v>
      </c>
      <c r="T321" s="14">
        <v>0.32372427729999997</v>
      </c>
      <c r="U321" s="14">
        <v>3.1571967999999999E-2</v>
      </c>
      <c r="V321" s="14">
        <v>2.8418150999999999E-2</v>
      </c>
      <c r="W321" s="14">
        <v>2.7170101999999901E-2</v>
      </c>
      <c r="X321" s="14">
        <v>2.268388E-2</v>
      </c>
      <c r="Y321" s="14">
        <v>7.7401939999999997E-3</v>
      </c>
      <c r="Z321" s="14">
        <v>5.1531049999999998E-3</v>
      </c>
      <c r="AA321" s="14">
        <v>3.6867110000000001E-3</v>
      </c>
      <c r="AB321" s="14">
        <v>1.941213E-3</v>
      </c>
      <c r="AC321" s="14">
        <v>1.039084E-3</v>
      </c>
      <c r="AD321" s="14">
        <v>5.931024E-4</v>
      </c>
      <c r="AE321" s="13" t="s">
        <v>93</v>
      </c>
    </row>
    <row r="322" spans="1:31">
      <c r="A322" s="13" t="s">
        <v>260</v>
      </c>
      <c r="B322" s="13" t="s">
        <v>1</v>
      </c>
      <c r="C322" s="13" t="s">
        <v>153</v>
      </c>
      <c r="D322" s="13" t="str">
        <f>IFERROR(VLOOKUP(C322,ghg_sort!$A$86:$B$512,2,0),0)</f>
        <v>Building</v>
      </c>
      <c r="E322" s="33" t="s">
        <v>86</v>
      </c>
      <c r="F322" s="13">
        <f>IFERROR(VLOOKUP($E322,ghg_sort!$A$3:$B$21,2,0),0)</f>
        <v>3.6666666666666701</v>
      </c>
      <c r="G322" s="13">
        <f t="shared" si="45"/>
        <v>27.455738566666653</v>
      </c>
      <c r="H322" s="13">
        <f t="shared" si="46"/>
        <v>12.799994900000012</v>
      </c>
      <c r="I322" s="13">
        <f t="shared" si="47"/>
        <v>12.820582500000013</v>
      </c>
      <c r="J322" s="13">
        <f t="shared" si="48"/>
        <v>11.52262246666664</v>
      </c>
      <c r="K322" s="13">
        <f t="shared" si="49"/>
        <v>14.308710900000014</v>
      </c>
      <c r="L322" s="13">
        <f t="shared" si="50"/>
        <v>12.355934433333346</v>
      </c>
      <c r="M322" s="13">
        <f t="shared" si="51"/>
        <v>11.644300066666677</v>
      </c>
      <c r="N322" s="13">
        <f t="shared" si="52"/>
        <v>9.8348477333333424</v>
      </c>
      <c r="O322" s="13">
        <f t="shared" si="53"/>
        <v>6.8335559233333392</v>
      </c>
      <c r="P322" s="13">
        <f t="shared" si="54"/>
        <v>4.2755749300000039</v>
      </c>
      <c r="Q322" s="13">
        <f t="shared" si="55"/>
        <v>2.5854709833333356</v>
      </c>
      <c r="R322" s="13" t="s">
        <v>239</v>
      </c>
      <c r="T322" s="13">
        <v>7.4879286999999897</v>
      </c>
      <c r="U322" s="14">
        <v>3.4909077000000002</v>
      </c>
      <c r="V322" s="14">
        <v>3.4965225000000002</v>
      </c>
      <c r="W322" s="14">
        <v>3.1425333999999898</v>
      </c>
      <c r="X322" s="14">
        <v>3.9023756999999999</v>
      </c>
      <c r="Y322" s="14">
        <v>3.3698003000000001</v>
      </c>
      <c r="Z322" s="14">
        <v>3.1757181999999999</v>
      </c>
      <c r="AA322" s="14">
        <v>2.6822311999999999</v>
      </c>
      <c r="AB322" s="14">
        <v>1.86369707</v>
      </c>
      <c r="AC322" s="14">
        <v>1.16606589</v>
      </c>
      <c r="AD322" s="14">
        <v>0.70512845000000002</v>
      </c>
      <c r="AE322" s="13" t="s">
        <v>93</v>
      </c>
    </row>
    <row r="323" spans="1:31">
      <c r="A323" s="13" t="s">
        <v>260</v>
      </c>
      <c r="B323" s="13" t="s">
        <v>1</v>
      </c>
      <c r="C323" s="13" t="s">
        <v>153</v>
      </c>
      <c r="D323" s="13" t="str">
        <f>IFERROR(VLOOKUP(C323,ghg_sort!$A$86:$B$512,2,0),0)</f>
        <v>Building</v>
      </c>
      <c r="E323" s="33" t="s">
        <v>87</v>
      </c>
      <c r="F323" s="13">
        <f>IFERROR(VLOOKUP($E323,ghg_sort!$A$3:$B$21,2,0),0)</f>
        <v>298</v>
      </c>
      <c r="G323" s="13">
        <f t="shared" si="45"/>
        <v>0.39482459251999702</v>
      </c>
      <c r="H323" s="13">
        <f t="shared" si="46"/>
        <v>6.9891012799999999E-2</v>
      </c>
      <c r="I323" s="13">
        <f t="shared" si="47"/>
        <v>6.8445891599999698E-2</v>
      </c>
      <c r="J323" s="13">
        <f t="shared" si="48"/>
        <v>4.6555198999999998E-2</v>
      </c>
      <c r="K323" s="13">
        <f t="shared" si="49"/>
        <v>5.6285912199999996E-2</v>
      </c>
      <c r="L323" s="13">
        <f t="shared" si="50"/>
        <v>3.6856967800000001E-2</v>
      </c>
      <c r="M323" s="13">
        <f t="shared" si="51"/>
        <v>3.1475820879999998E-2</v>
      </c>
      <c r="N323" s="13">
        <f t="shared" si="52"/>
        <v>2.5042373379999969E-2</v>
      </c>
      <c r="O323" s="13">
        <f t="shared" si="53"/>
        <v>1.3757912020000001E-2</v>
      </c>
      <c r="P323" s="13">
        <f t="shared" si="54"/>
        <v>7.0982193439999702E-3</v>
      </c>
      <c r="Q323" s="13">
        <f t="shared" si="55"/>
        <v>3.7391010620000001E-3</v>
      </c>
      <c r="R323" s="13" t="s">
        <v>239</v>
      </c>
      <c r="T323" s="13">
        <v>1.3249147399999901E-3</v>
      </c>
      <c r="U323" s="14">
        <v>2.345336E-4</v>
      </c>
      <c r="V323" s="14">
        <v>2.29684199999999E-4</v>
      </c>
      <c r="W323" s="14">
        <v>1.562255E-4</v>
      </c>
      <c r="X323" s="14">
        <v>1.888789E-4</v>
      </c>
      <c r="Y323" s="14">
        <v>1.236811E-4</v>
      </c>
      <c r="Z323" s="14">
        <v>1.0562356E-4</v>
      </c>
      <c r="AA323" s="14">
        <v>8.4034809999999896E-5</v>
      </c>
      <c r="AB323" s="14">
        <v>4.6167490000000001E-5</v>
      </c>
      <c r="AC323" s="14">
        <v>2.38195279999999E-5</v>
      </c>
      <c r="AD323" s="14">
        <v>1.2547319E-5</v>
      </c>
      <c r="AE323" s="13" t="s">
        <v>93</v>
      </c>
    </row>
    <row r="324" spans="1:31">
      <c r="A324" s="13" t="s">
        <v>260</v>
      </c>
      <c r="B324" s="13" t="s">
        <v>1</v>
      </c>
      <c r="C324" s="13" t="s">
        <v>153</v>
      </c>
      <c r="D324" s="13" t="str">
        <f>IFERROR(VLOOKUP(C324,ghg_sort!$A$86:$B$512,2,0),0)</f>
        <v>Building</v>
      </c>
      <c r="E324" s="33" t="s">
        <v>88</v>
      </c>
      <c r="F324" s="13">
        <f>IFERROR(VLOOKUP($E324,ghg_sort!$A$3:$B$21,2,0),0)</f>
        <v>0</v>
      </c>
      <c r="G324" s="13">
        <f t="shared" ref="G324:G387" si="56">T324*$F324</f>
        <v>0</v>
      </c>
      <c r="H324" s="13">
        <f t="shared" ref="H324:H387" si="57">U324*$F324</f>
        <v>0</v>
      </c>
      <c r="I324" s="13">
        <f t="shared" ref="I324:I387" si="58">V324*$F324</f>
        <v>0</v>
      </c>
      <c r="J324" s="13">
        <f t="shared" ref="J324:J387" si="59">W324*$F324</f>
        <v>0</v>
      </c>
      <c r="K324" s="13">
        <f t="shared" ref="K324:K387" si="60">X324*$F324</f>
        <v>0</v>
      </c>
      <c r="L324" s="13">
        <f t="shared" ref="L324:L387" si="61">Y324*$F324</f>
        <v>0</v>
      </c>
      <c r="M324" s="13">
        <f t="shared" ref="M324:M387" si="62">Z324*$F324</f>
        <v>0</v>
      </c>
      <c r="N324" s="13">
        <f t="shared" ref="N324:N387" si="63">AA324*$F324</f>
        <v>0</v>
      </c>
      <c r="O324" s="13">
        <f t="shared" ref="O324:O387" si="64">AB324*$F324</f>
        <v>0</v>
      </c>
      <c r="P324" s="13">
        <f t="shared" ref="P324:P387" si="65">AC324*$F324</f>
        <v>0</v>
      </c>
      <c r="Q324" s="13">
        <f t="shared" ref="Q324:Q387" si="66">AD324*$F324</f>
        <v>0</v>
      </c>
      <c r="R324" s="13" t="s">
        <v>239</v>
      </c>
      <c r="T324" s="14">
        <v>1.6870789999999999E-4</v>
      </c>
      <c r="U324" s="14">
        <v>1.8181282999999999E-4</v>
      </c>
      <c r="V324" s="14">
        <v>1.6810782999999901E-4</v>
      </c>
      <c r="W324" s="14">
        <v>4.8806799999999998E-4</v>
      </c>
      <c r="X324" s="14">
        <v>6.3296809999999995E-4</v>
      </c>
      <c r="Y324" s="14">
        <v>6.5948942999999999E-4</v>
      </c>
      <c r="Z324" s="14">
        <v>6.5451677999999998E-4</v>
      </c>
      <c r="AA324" s="14">
        <v>5.7093021899999998E-4</v>
      </c>
      <c r="AB324" s="14">
        <v>3.9232109399999897E-4</v>
      </c>
      <c r="AC324" s="14">
        <v>2.4952918290000001E-4</v>
      </c>
      <c r="AD324" s="14">
        <v>1.5511079420000001E-4</v>
      </c>
      <c r="AE324" s="13" t="s">
        <v>93</v>
      </c>
    </row>
    <row r="325" spans="1:31">
      <c r="A325" s="13" t="s">
        <v>260</v>
      </c>
      <c r="B325" s="13" t="s">
        <v>1</v>
      </c>
      <c r="C325" s="13" t="s">
        <v>153</v>
      </c>
      <c r="D325" s="13" t="str">
        <f>IFERROR(VLOOKUP(C325,ghg_sort!$A$86:$B$512,2,0),0)</f>
        <v>Building</v>
      </c>
      <c r="E325" s="33" t="s">
        <v>89</v>
      </c>
      <c r="F325" s="13">
        <f>IFERROR(VLOOKUP($E325,ghg_sort!$A$3:$B$21,2,0),0)</f>
        <v>0</v>
      </c>
      <c r="G325" s="13">
        <f t="shared" si="56"/>
        <v>0</v>
      </c>
      <c r="H325" s="13">
        <f t="shared" si="57"/>
        <v>0</v>
      </c>
      <c r="I325" s="13">
        <f t="shared" si="58"/>
        <v>0</v>
      </c>
      <c r="J325" s="13">
        <f t="shared" si="59"/>
        <v>0</v>
      </c>
      <c r="K325" s="13">
        <f t="shared" si="60"/>
        <v>0</v>
      </c>
      <c r="L325" s="13">
        <f t="shared" si="61"/>
        <v>0</v>
      </c>
      <c r="M325" s="13">
        <f t="shared" si="62"/>
        <v>0</v>
      </c>
      <c r="N325" s="13">
        <f t="shared" si="63"/>
        <v>0</v>
      </c>
      <c r="O325" s="13">
        <f t="shared" si="64"/>
        <v>0</v>
      </c>
      <c r="P325" s="13">
        <f t="shared" si="65"/>
        <v>0</v>
      </c>
      <c r="Q325" s="13">
        <f t="shared" si="66"/>
        <v>0</v>
      </c>
      <c r="R325" s="13" t="s">
        <v>239</v>
      </c>
      <c r="T325" s="13">
        <v>6.4061540199999998E-3</v>
      </c>
      <c r="U325" s="14">
        <v>4.6110785000000001E-4</v>
      </c>
      <c r="V325" s="14">
        <v>4.1625852999999899E-4</v>
      </c>
      <c r="W325" s="14">
        <v>4.6456328E-4</v>
      </c>
      <c r="X325" s="14">
        <v>5.0433711999999995E-4</v>
      </c>
      <c r="Y325" s="14">
        <v>2.1572240999999999E-4</v>
      </c>
      <c r="Z325" s="14">
        <v>1.50056459999999E-4</v>
      </c>
      <c r="AA325" s="14">
        <v>1.0740332E-4</v>
      </c>
      <c r="AB325" s="14">
        <v>4.7440990000000001E-5</v>
      </c>
      <c r="AC325" s="14">
        <v>2.23777659999999E-5</v>
      </c>
      <c r="AD325" s="14">
        <v>1.214612E-5</v>
      </c>
      <c r="AE325" s="13" t="s">
        <v>93</v>
      </c>
    </row>
    <row r="326" spans="1:31">
      <c r="A326" s="13" t="s">
        <v>260</v>
      </c>
      <c r="B326" s="13" t="s">
        <v>1</v>
      </c>
      <c r="C326" s="13" t="s">
        <v>153</v>
      </c>
      <c r="D326" s="13" t="str">
        <f>IFERROR(VLOOKUP(C326,ghg_sort!$A$86:$B$512,2,0),0)</f>
        <v>Building</v>
      </c>
      <c r="E326" s="33" t="s">
        <v>90</v>
      </c>
      <c r="F326" s="13">
        <f>IFERROR(VLOOKUP($E326,ghg_sort!$A$3:$B$21,2,0),0)</f>
        <v>0</v>
      </c>
      <c r="G326" s="13">
        <f t="shared" si="56"/>
        <v>0</v>
      </c>
      <c r="H326" s="13">
        <f t="shared" si="57"/>
        <v>0</v>
      </c>
      <c r="I326" s="13">
        <f t="shared" si="58"/>
        <v>0</v>
      </c>
      <c r="J326" s="13">
        <f t="shared" si="59"/>
        <v>0</v>
      </c>
      <c r="K326" s="13">
        <f t="shared" si="60"/>
        <v>0</v>
      </c>
      <c r="L326" s="13">
        <f t="shared" si="61"/>
        <v>0</v>
      </c>
      <c r="M326" s="13">
        <f t="shared" si="62"/>
        <v>0</v>
      </c>
      <c r="N326" s="13">
        <f t="shared" si="63"/>
        <v>0</v>
      </c>
      <c r="O326" s="13">
        <f t="shared" si="64"/>
        <v>0</v>
      </c>
      <c r="P326" s="13">
        <f t="shared" si="65"/>
        <v>0</v>
      </c>
      <c r="Q326" s="13">
        <f t="shared" si="66"/>
        <v>0</v>
      </c>
      <c r="R326" s="13" t="s">
        <v>239</v>
      </c>
      <c r="T326" s="14">
        <v>5.8407050000000002E-2</v>
      </c>
      <c r="U326" s="14">
        <v>2.0806100000000001E-2</v>
      </c>
      <c r="V326" s="14">
        <v>1.8522440000000001E-2</v>
      </c>
      <c r="W326" s="14">
        <v>1.7168880000000001E-2</v>
      </c>
      <c r="X326" s="14">
        <v>1.3417508E-2</v>
      </c>
      <c r="Y326" s="14">
        <v>8.6271639999999997E-3</v>
      </c>
      <c r="Z326" s="14">
        <v>8.0913040000000006E-3</v>
      </c>
      <c r="AA326" s="14">
        <v>6.8653087999999904E-3</v>
      </c>
      <c r="AB326" s="14">
        <v>4.8099270999999999E-3</v>
      </c>
      <c r="AC326" s="14">
        <v>3.0449303299999999E-3</v>
      </c>
      <c r="AD326" s="14">
        <v>1.8618596300000001E-3</v>
      </c>
      <c r="AE326" s="13" t="s">
        <v>93</v>
      </c>
    </row>
    <row r="327" spans="1:31">
      <c r="A327" s="13" t="s">
        <v>260</v>
      </c>
      <c r="B327" s="13" t="s">
        <v>1</v>
      </c>
      <c r="C327" s="13" t="s">
        <v>153</v>
      </c>
      <c r="D327" s="13" t="str">
        <f>IFERROR(VLOOKUP(C327,ghg_sort!$A$86:$B$512,2,0),0)</f>
        <v>Building</v>
      </c>
      <c r="E327" s="12" t="s">
        <v>91</v>
      </c>
      <c r="F327" s="13">
        <f>IFERROR(VLOOKUP($E327,ghg_sort!$A$3:$B$21,2,0),0)</f>
        <v>0</v>
      </c>
      <c r="G327" s="13">
        <f t="shared" si="56"/>
        <v>0</v>
      </c>
      <c r="H327" s="13">
        <f t="shared" si="57"/>
        <v>0</v>
      </c>
      <c r="I327" s="13">
        <f t="shared" si="58"/>
        <v>0</v>
      </c>
      <c r="J327" s="13">
        <f t="shared" si="59"/>
        <v>0</v>
      </c>
      <c r="K327" s="13">
        <f t="shared" si="60"/>
        <v>0</v>
      </c>
      <c r="L327" s="13">
        <f t="shared" si="61"/>
        <v>0</v>
      </c>
      <c r="M327" s="13">
        <f t="shared" si="62"/>
        <v>0</v>
      </c>
      <c r="N327" s="13">
        <f t="shared" si="63"/>
        <v>0</v>
      </c>
      <c r="O327" s="13">
        <f t="shared" si="64"/>
        <v>0</v>
      </c>
      <c r="P327" s="13">
        <f t="shared" si="65"/>
        <v>0</v>
      </c>
      <c r="Q327" s="13">
        <f t="shared" si="66"/>
        <v>0</v>
      </c>
      <c r="R327" s="13" t="s">
        <v>239</v>
      </c>
      <c r="T327" s="14">
        <v>3.1117508299999999E-2</v>
      </c>
      <c r="U327" s="13">
        <v>3.81704299999999E-3</v>
      </c>
      <c r="V327" s="13">
        <v>3.6160559999999999E-3</v>
      </c>
      <c r="W327" s="13">
        <v>2.65183E-3</v>
      </c>
      <c r="X327" s="14">
        <v>2.0342889999999999E-3</v>
      </c>
      <c r="Y327" s="14">
        <v>5.890302E-4</v>
      </c>
      <c r="Z327" s="14">
        <v>3.5927799999999998E-4</v>
      </c>
      <c r="AA327" s="14">
        <v>2.352136E-4</v>
      </c>
      <c r="AB327" s="14">
        <v>7.9370199999999994E-5</v>
      </c>
      <c r="AC327" s="14">
        <v>2.2550099999999999E-5</v>
      </c>
      <c r="AD327" s="14">
        <v>5.8596699999999996E-6</v>
      </c>
      <c r="AE327" s="13" t="s">
        <v>94</v>
      </c>
    </row>
    <row r="328" spans="1:31">
      <c r="A328" s="13" t="s">
        <v>260</v>
      </c>
      <c r="B328" s="13" t="s">
        <v>1</v>
      </c>
      <c r="C328" s="13" t="s">
        <v>153</v>
      </c>
      <c r="D328" s="13" t="str">
        <f>IFERROR(VLOOKUP(C328,ghg_sort!$A$86:$B$512,2,0),0)</f>
        <v>Building</v>
      </c>
      <c r="E328" s="33" t="s">
        <v>92</v>
      </c>
      <c r="F328" s="13">
        <f>IFERROR(VLOOKUP($E328,ghg_sort!$A$3:$B$21,2,0),0)</f>
        <v>0</v>
      </c>
      <c r="G328" s="13">
        <f t="shared" si="56"/>
        <v>0</v>
      </c>
      <c r="H328" s="13">
        <f t="shared" si="57"/>
        <v>0</v>
      </c>
      <c r="I328" s="13">
        <f t="shared" si="58"/>
        <v>0</v>
      </c>
      <c r="J328" s="13">
        <f t="shared" si="59"/>
        <v>0</v>
      </c>
      <c r="K328" s="13">
        <f t="shared" si="60"/>
        <v>0</v>
      </c>
      <c r="L328" s="13">
        <f t="shared" si="61"/>
        <v>0</v>
      </c>
      <c r="M328" s="13">
        <f t="shared" si="62"/>
        <v>0</v>
      </c>
      <c r="N328" s="13">
        <f t="shared" si="63"/>
        <v>0</v>
      </c>
      <c r="O328" s="13">
        <f t="shared" si="64"/>
        <v>0</v>
      </c>
      <c r="P328" s="13">
        <f t="shared" si="65"/>
        <v>0</v>
      </c>
      <c r="Q328" s="13">
        <f t="shared" si="66"/>
        <v>0</v>
      </c>
      <c r="R328" s="13" t="s">
        <v>239</v>
      </c>
      <c r="T328" s="13">
        <v>0.22716921734000001</v>
      </c>
      <c r="U328" s="14">
        <v>1.66005488E-2</v>
      </c>
      <c r="V328" s="14">
        <v>1.11917844E-2</v>
      </c>
      <c r="W328" s="14">
        <v>9.2441850999999998E-3</v>
      </c>
      <c r="X328" s="14">
        <v>6.9662353E-3</v>
      </c>
      <c r="Y328" s="14">
        <v>1.2885522E-3</v>
      </c>
      <c r="Z328" s="14">
        <v>5.6622111999999995E-4</v>
      </c>
      <c r="AA328" s="14">
        <v>2.9099905999999999E-4</v>
      </c>
      <c r="AB328" s="14">
        <v>1.2239561E-4</v>
      </c>
      <c r="AC328" s="14">
        <v>3.9928817999999999E-5</v>
      </c>
      <c r="AD328" s="14">
        <v>1.0256738E-5</v>
      </c>
      <c r="AE328" s="13" t="s">
        <v>93</v>
      </c>
    </row>
    <row r="329" spans="1:31">
      <c r="A329" s="13" t="s">
        <v>260</v>
      </c>
      <c r="B329" s="13" t="s">
        <v>1</v>
      </c>
      <c r="C329" s="13" t="s">
        <v>154</v>
      </c>
      <c r="D329" s="13" t="str">
        <f>IFERROR(VLOOKUP(C329,ghg_sort!$A$86:$B$512,2,0),0)</f>
        <v>International</v>
      </c>
      <c r="E329" s="33" t="s">
        <v>83</v>
      </c>
      <c r="F329" s="13">
        <f>IFERROR(VLOOKUP($E329,ghg_sort!$A$3:$B$21,2,0),0)</f>
        <v>0</v>
      </c>
      <c r="G329" s="13">
        <f t="shared" si="56"/>
        <v>0</v>
      </c>
      <c r="H329" s="13">
        <f t="shared" si="57"/>
        <v>0</v>
      </c>
      <c r="I329" s="13">
        <f t="shared" si="58"/>
        <v>0</v>
      </c>
      <c r="J329" s="13">
        <f t="shared" si="59"/>
        <v>0</v>
      </c>
      <c r="K329" s="13">
        <f t="shared" si="60"/>
        <v>0</v>
      </c>
      <c r="L329" s="13">
        <f t="shared" si="61"/>
        <v>0</v>
      </c>
      <c r="M329" s="13">
        <f t="shared" si="62"/>
        <v>0</v>
      </c>
      <c r="N329" s="13">
        <f t="shared" si="63"/>
        <v>0</v>
      </c>
      <c r="O329" s="13">
        <f t="shared" si="64"/>
        <v>0</v>
      </c>
      <c r="P329" s="13">
        <f t="shared" si="65"/>
        <v>0</v>
      </c>
      <c r="Q329" s="13">
        <f t="shared" si="66"/>
        <v>0</v>
      </c>
      <c r="R329" s="13" t="s">
        <v>239</v>
      </c>
      <c r="T329" s="14">
        <v>1.07067E-5</v>
      </c>
      <c r="U329" s="14">
        <v>9.2270100000000003E-5</v>
      </c>
      <c r="V329" s="14">
        <v>1.5137700000000001E-4</v>
      </c>
      <c r="W329" s="14">
        <v>1.66255E-4</v>
      </c>
      <c r="X329" s="14">
        <v>1.1061E-4</v>
      </c>
      <c r="Y329" s="14">
        <v>7.74012E-5</v>
      </c>
      <c r="Z329" s="14">
        <v>6.0945300000000001E-5</v>
      </c>
      <c r="AA329" s="14">
        <v>5.0413700000000002E-5</v>
      </c>
      <c r="AB329" s="14">
        <v>4.1651199999999999E-5</v>
      </c>
      <c r="AC329" s="14">
        <v>3.3868999999999997E-5</v>
      </c>
      <c r="AD329" s="14">
        <v>2.77219E-5</v>
      </c>
      <c r="AE329" s="13" t="s">
        <v>93</v>
      </c>
    </row>
    <row r="330" spans="1:31">
      <c r="A330" s="13" t="s">
        <v>260</v>
      </c>
      <c r="B330" s="13" t="s">
        <v>1</v>
      </c>
      <c r="C330" s="13" t="s">
        <v>154</v>
      </c>
      <c r="D330" s="13" t="str">
        <f>IFERROR(VLOOKUP(C330,ghg_sort!$A$86:$B$512,2,0),0)</f>
        <v>International</v>
      </c>
      <c r="E330" s="33" t="s">
        <v>85</v>
      </c>
      <c r="F330" s="13">
        <f>IFERROR(VLOOKUP($E330,ghg_sort!$A$3:$B$21,2,0),0)</f>
        <v>0</v>
      </c>
      <c r="G330" s="13">
        <f t="shared" si="56"/>
        <v>0</v>
      </c>
      <c r="H330" s="13">
        <f t="shared" si="57"/>
        <v>0</v>
      </c>
      <c r="I330" s="13">
        <f t="shared" si="58"/>
        <v>0</v>
      </c>
      <c r="J330" s="13">
        <f t="shared" si="59"/>
        <v>0</v>
      </c>
      <c r="K330" s="13">
        <f t="shared" si="60"/>
        <v>0</v>
      </c>
      <c r="L330" s="13">
        <f t="shared" si="61"/>
        <v>0</v>
      </c>
      <c r="M330" s="13">
        <f t="shared" si="62"/>
        <v>0</v>
      </c>
      <c r="N330" s="13">
        <f t="shared" si="63"/>
        <v>0</v>
      </c>
      <c r="O330" s="13">
        <f t="shared" si="64"/>
        <v>0</v>
      </c>
      <c r="P330" s="13">
        <f t="shared" si="65"/>
        <v>0</v>
      </c>
      <c r="Q330" s="13">
        <f t="shared" si="66"/>
        <v>0</v>
      </c>
      <c r="R330" s="13" t="s">
        <v>239</v>
      </c>
      <c r="T330" s="14">
        <v>5.1999999999999995E-4</v>
      </c>
      <c r="U330" s="14">
        <v>3.3600000000000001E-3</v>
      </c>
      <c r="V330" s="14">
        <v>5.5100000000000001E-3</v>
      </c>
      <c r="W330" s="14">
        <v>6.0499999999999998E-3</v>
      </c>
      <c r="X330" s="14">
        <v>4.0251000000000002E-3</v>
      </c>
      <c r="Y330" s="14">
        <v>2.8166300000000001E-3</v>
      </c>
      <c r="Z330" s="14">
        <v>2.2177999999999998E-3</v>
      </c>
      <c r="AA330" s="14">
        <v>1.8345499999999999E-3</v>
      </c>
      <c r="AB330" s="14">
        <v>1.5156900000000001E-3</v>
      </c>
      <c r="AC330" s="14">
        <v>1.2324899999999999E-3</v>
      </c>
      <c r="AD330" s="14">
        <v>1.0088E-3</v>
      </c>
      <c r="AE330" s="13" t="s">
        <v>93</v>
      </c>
    </row>
    <row r="331" spans="1:31">
      <c r="A331" s="13" t="s">
        <v>260</v>
      </c>
      <c r="B331" s="13" t="s">
        <v>1</v>
      </c>
      <c r="C331" s="13" t="s">
        <v>154</v>
      </c>
      <c r="D331" s="13" t="str">
        <f>IFERROR(VLOOKUP(C331,ghg_sort!$A$86:$B$512,2,0),0)</f>
        <v>International</v>
      </c>
      <c r="E331" s="33" t="s">
        <v>86</v>
      </c>
      <c r="F331" s="13">
        <f>IFERROR(VLOOKUP($E331,ghg_sort!$A$3:$B$21,2,0),0)</f>
        <v>3.6666666666666701</v>
      </c>
      <c r="G331" s="13">
        <f t="shared" si="56"/>
        <v>0.5610513333333339</v>
      </c>
      <c r="H331" s="13">
        <f t="shared" si="57"/>
        <v>10.162496666666677</v>
      </c>
      <c r="I331" s="13">
        <f t="shared" si="58"/>
        <v>11.985710000000012</v>
      </c>
      <c r="J331" s="13">
        <f t="shared" si="59"/>
        <v>15.519166666666681</v>
      </c>
      <c r="K331" s="13">
        <f t="shared" si="60"/>
        <v>16.468246666666683</v>
      </c>
      <c r="L331" s="13">
        <f t="shared" si="61"/>
        <v>16.755493333333348</v>
      </c>
      <c r="M331" s="13">
        <f t="shared" si="62"/>
        <v>16.856986666666682</v>
      </c>
      <c r="N331" s="13">
        <f t="shared" si="63"/>
        <v>16.60622333333335</v>
      </c>
      <c r="O331" s="13">
        <f t="shared" si="64"/>
        <v>16.019373333333348</v>
      </c>
      <c r="P331" s="13">
        <f t="shared" si="65"/>
        <v>15.272180000000015</v>
      </c>
      <c r="Q331" s="13">
        <f t="shared" si="66"/>
        <v>14.47856666666668</v>
      </c>
      <c r="R331" s="13" t="s">
        <v>239</v>
      </c>
      <c r="T331" s="14">
        <v>0.15301400000000001</v>
      </c>
      <c r="U331" s="13">
        <v>2.7715900000000002</v>
      </c>
      <c r="V331" s="13">
        <v>3.2688299999999999</v>
      </c>
      <c r="W331" s="13">
        <v>4.2324999999999999</v>
      </c>
      <c r="X331" s="13">
        <v>4.4913400000000001</v>
      </c>
      <c r="Y331" s="14">
        <v>4.56968</v>
      </c>
      <c r="Z331" s="14">
        <v>4.5973600000000001</v>
      </c>
      <c r="AA331" s="14">
        <v>4.5289700000000002</v>
      </c>
      <c r="AB331" s="14">
        <v>4.3689200000000001</v>
      </c>
      <c r="AC331" s="14">
        <v>4.1651400000000001</v>
      </c>
      <c r="AD331" s="14">
        <v>3.9487000000000001</v>
      </c>
      <c r="AE331" s="13" t="s">
        <v>93</v>
      </c>
    </row>
    <row r="332" spans="1:31">
      <c r="A332" s="13" t="s">
        <v>260</v>
      </c>
      <c r="B332" s="13" t="s">
        <v>1</v>
      </c>
      <c r="C332" s="13" t="s">
        <v>154</v>
      </c>
      <c r="D332" s="13" t="str">
        <f>IFERROR(VLOOKUP(C332,ghg_sort!$A$86:$B$512,2,0),0)</f>
        <v>International</v>
      </c>
      <c r="E332" s="33" t="s">
        <v>87</v>
      </c>
      <c r="F332" s="13">
        <f>IFERROR(VLOOKUP($E332,ghg_sort!$A$3:$B$21,2,0),0)</f>
        <v>298</v>
      </c>
      <c r="G332" s="13">
        <f t="shared" si="56"/>
        <v>8.94E-3</v>
      </c>
      <c r="H332" s="13">
        <f t="shared" si="57"/>
        <v>6.8540000000000004E-2</v>
      </c>
      <c r="I332" s="13">
        <f t="shared" si="58"/>
        <v>0.11026</v>
      </c>
      <c r="J332" s="13">
        <f t="shared" si="59"/>
        <v>0.12218</v>
      </c>
      <c r="K332" s="13">
        <f t="shared" si="60"/>
        <v>0.12965175400000001</v>
      </c>
      <c r="L332" s="13">
        <f t="shared" si="61"/>
        <v>0.131913276</v>
      </c>
      <c r="M332" s="13">
        <f t="shared" si="62"/>
        <v>0.132712214</v>
      </c>
      <c r="N332" s="13">
        <f t="shared" si="63"/>
        <v>0.13073796400000001</v>
      </c>
      <c r="O332" s="13">
        <f t="shared" si="64"/>
        <v>0.12611777199999999</v>
      </c>
      <c r="P332" s="13">
        <f t="shared" si="65"/>
        <v>0.120235252</v>
      </c>
      <c r="Q332" s="13">
        <f t="shared" si="66"/>
        <v>0.113987384</v>
      </c>
      <c r="R332" s="13" t="s">
        <v>239</v>
      </c>
      <c r="T332" s="14">
        <v>3.0000000000000001E-5</v>
      </c>
      <c r="U332" s="14">
        <v>2.3000000000000001E-4</v>
      </c>
      <c r="V332" s="14">
        <v>3.6999999999999999E-4</v>
      </c>
      <c r="W332" s="14">
        <v>4.0999999999999999E-4</v>
      </c>
      <c r="X332" s="14">
        <v>4.3507300000000001E-4</v>
      </c>
      <c r="Y332" s="14">
        <v>4.4266200000000003E-4</v>
      </c>
      <c r="Z332" s="14">
        <v>4.4534300000000001E-4</v>
      </c>
      <c r="AA332" s="14">
        <v>4.38718E-4</v>
      </c>
      <c r="AB332" s="14">
        <v>4.2321399999999999E-4</v>
      </c>
      <c r="AC332" s="14">
        <v>4.0347400000000002E-4</v>
      </c>
      <c r="AD332" s="14">
        <v>3.8250799999999999E-4</v>
      </c>
      <c r="AE332" s="13" t="s">
        <v>93</v>
      </c>
    </row>
    <row r="333" spans="1:31">
      <c r="A333" s="13" t="s">
        <v>260</v>
      </c>
      <c r="B333" s="13" t="s">
        <v>1</v>
      </c>
      <c r="C333" s="13" t="s">
        <v>154</v>
      </c>
      <c r="D333" s="13" t="str">
        <f>IFERROR(VLOOKUP(C333,ghg_sort!$A$86:$B$512,2,0),0)</f>
        <v>International</v>
      </c>
      <c r="E333" s="33" t="s">
        <v>88</v>
      </c>
      <c r="F333" s="13">
        <f>IFERROR(VLOOKUP($E333,ghg_sort!$A$3:$B$21,2,0),0)</f>
        <v>0</v>
      </c>
      <c r="G333" s="13">
        <f t="shared" si="56"/>
        <v>0</v>
      </c>
      <c r="H333" s="13">
        <f t="shared" si="57"/>
        <v>0</v>
      </c>
      <c r="I333" s="13">
        <f t="shared" si="58"/>
        <v>0</v>
      </c>
      <c r="J333" s="13">
        <f t="shared" si="59"/>
        <v>0</v>
      </c>
      <c r="K333" s="13">
        <f t="shared" si="60"/>
        <v>0</v>
      </c>
      <c r="L333" s="13">
        <f t="shared" si="61"/>
        <v>0</v>
      </c>
      <c r="M333" s="13">
        <f t="shared" si="62"/>
        <v>0</v>
      </c>
      <c r="N333" s="13">
        <f t="shared" si="63"/>
        <v>0</v>
      </c>
      <c r="O333" s="13">
        <f t="shared" si="64"/>
        <v>0</v>
      </c>
      <c r="P333" s="13">
        <f t="shared" si="65"/>
        <v>0</v>
      </c>
      <c r="Q333" s="13">
        <f t="shared" si="66"/>
        <v>0</v>
      </c>
      <c r="R333" s="13" t="s">
        <v>239</v>
      </c>
      <c r="T333" s="14">
        <v>4.0000000000000003E-5</v>
      </c>
      <c r="U333" s="14">
        <v>3.6999999999999999E-4</v>
      </c>
      <c r="V333" s="14">
        <v>6.0999999999999997E-4</v>
      </c>
      <c r="W333" s="14">
        <v>6.7000000000000002E-4</v>
      </c>
      <c r="X333" s="14">
        <v>7.1097399999999996E-4</v>
      </c>
      <c r="Y333" s="14">
        <v>7.2337400000000004E-4</v>
      </c>
      <c r="Z333" s="14">
        <v>7.2775599999999998E-4</v>
      </c>
      <c r="AA333" s="14">
        <v>7.1692999999999995E-4</v>
      </c>
      <c r="AB333" s="14">
        <v>6.9159400000000002E-4</v>
      </c>
      <c r="AC333" s="14">
        <v>6.5933599999999995E-4</v>
      </c>
      <c r="AD333" s="14">
        <v>6.2507399999999999E-4</v>
      </c>
      <c r="AE333" s="13" t="s">
        <v>93</v>
      </c>
    </row>
    <row r="334" spans="1:31">
      <c r="A334" s="13" t="s">
        <v>260</v>
      </c>
      <c r="B334" s="13" t="s">
        <v>1</v>
      </c>
      <c r="C334" s="13" t="s">
        <v>154</v>
      </c>
      <c r="D334" s="13" t="str">
        <f>IFERROR(VLOOKUP(C334,ghg_sort!$A$86:$B$512,2,0),0)</f>
        <v>International</v>
      </c>
      <c r="E334" s="33" t="s">
        <v>89</v>
      </c>
      <c r="F334" s="13">
        <f>IFERROR(VLOOKUP($E334,ghg_sort!$A$3:$B$21,2,0),0)</f>
        <v>0</v>
      </c>
      <c r="G334" s="13">
        <f t="shared" si="56"/>
        <v>0</v>
      </c>
      <c r="H334" s="13">
        <f t="shared" si="57"/>
        <v>0</v>
      </c>
      <c r="I334" s="13">
        <f t="shared" si="58"/>
        <v>0</v>
      </c>
      <c r="J334" s="13">
        <f t="shared" si="59"/>
        <v>0</v>
      </c>
      <c r="K334" s="13">
        <f t="shared" si="60"/>
        <v>0</v>
      </c>
      <c r="L334" s="13">
        <f t="shared" si="61"/>
        <v>0</v>
      </c>
      <c r="M334" s="13">
        <f t="shared" si="62"/>
        <v>0</v>
      </c>
      <c r="N334" s="13">
        <f t="shared" si="63"/>
        <v>0</v>
      </c>
      <c r="O334" s="13">
        <f t="shared" si="64"/>
        <v>0</v>
      </c>
      <c r="P334" s="13">
        <f t="shared" si="65"/>
        <v>0</v>
      </c>
      <c r="Q334" s="13">
        <f t="shared" si="66"/>
        <v>0</v>
      </c>
      <c r="R334" s="13" t="s">
        <v>239</v>
      </c>
      <c r="T334" s="14">
        <v>1.1E-4</v>
      </c>
      <c r="U334" s="14">
        <v>1.1000000000000001E-3</v>
      </c>
      <c r="V334" s="14">
        <v>1.8E-3</v>
      </c>
      <c r="W334" s="14">
        <v>1.98E-3</v>
      </c>
      <c r="X334" s="14">
        <v>1.3173099999999999E-3</v>
      </c>
      <c r="Y334" s="14">
        <v>9.2180500000000004E-4</v>
      </c>
      <c r="Z334" s="14">
        <v>7.2582400000000002E-4</v>
      </c>
      <c r="AA334" s="14">
        <v>6.0039900000000005E-4</v>
      </c>
      <c r="AB334" s="14">
        <v>4.9604300000000005E-4</v>
      </c>
      <c r="AC334" s="14">
        <v>4.0336099999999998E-4</v>
      </c>
      <c r="AD334" s="14">
        <v>3.3015200000000001E-4</v>
      </c>
      <c r="AE334" s="13" t="s">
        <v>93</v>
      </c>
    </row>
    <row r="335" spans="1:31">
      <c r="A335" s="13" t="s">
        <v>260</v>
      </c>
      <c r="B335" s="13" t="s">
        <v>1</v>
      </c>
      <c r="C335" s="13" t="s">
        <v>154</v>
      </c>
      <c r="D335" s="13" t="str">
        <f>IFERROR(VLOOKUP(C335,ghg_sort!$A$86:$B$512,2,0),0)</f>
        <v>International</v>
      </c>
      <c r="E335" s="33" t="s">
        <v>90</v>
      </c>
      <c r="F335" s="13">
        <f>IFERROR(VLOOKUP($E335,ghg_sort!$A$3:$B$21,2,0),0)</f>
        <v>0</v>
      </c>
      <c r="G335" s="13">
        <f t="shared" si="56"/>
        <v>0</v>
      </c>
      <c r="H335" s="13">
        <f t="shared" si="57"/>
        <v>0</v>
      </c>
      <c r="I335" s="13">
        <f t="shared" si="58"/>
        <v>0</v>
      </c>
      <c r="J335" s="13">
        <f t="shared" si="59"/>
        <v>0</v>
      </c>
      <c r="K335" s="13">
        <f t="shared" si="60"/>
        <v>0</v>
      </c>
      <c r="L335" s="13">
        <f t="shared" si="61"/>
        <v>0</v>
      </c>
      <c r="M335" s="13">
        <f t="shared" si="62"/>
        <v>0</v>
      </c>
      <c r="N335" s="13">
        <f t="shared" si="63"/>
        <v>0</v>
      </c>
      <c r="O335" s="13">
        <f t="shared" si="64"/>
        <v>0</v>
      </c>
      <c r="P335" s="13">
        <f t="shared" si="65"/>
        <v>0</v>
      </c>
      <c r="Q335" s="13">
        <f t="shared" si="66"/>
        <v>0</v>
      </c>
      <c r="R335" s="13" t="s">
        <v>239</v>
      </c>
      <c r="T335" s="14">
        <v>3.8999999999999998E-3</v>
      </c>
      <c r="U335" s="14">
        <v>3.1519999999999999E-2</v>
      </c>
      <c r="V335" s="14">
        <v>5.1720000000000002E-2</v>
      </c>
      <c r="W335" s="14">
        <v>5.6800000000000003E-2</v>
      </c>
      <c r="X335" s="14">
        <v>3.7789400000000001E-2</v>
      </c>
      <c r="Y335" s="14">
        <v>2.6443700000000001E-2</v>
      </c>
      <c r="Z335" s="14">
        <v>2.0821599999999999E-2</v>
      </c>
      <c r="AA335" s="14">
        <v>1.7223599999999999E-2</v>
      </c>
      <c r="AB335" s="14">
        <v>1.42299E-2</v>
      </c>
      <c r="AC335" s="14">
        <v>1.15712E-2</v>
      </c>
      <c r="AD335" s="14">
        <v>9.4710300000000001E-3</v>
      </c>
      <c r="AE335" s="13" t="s">
        <v>93</v>
      </c>
    </row>
    <row r="336" spans="1:31">
      <c r="A336" s="13" t="s">
        <v>260</v>
      </c>
      <c r="B336" s="13" t="s">
        <v>1</v>
      </c>
      <c r="C336" s="13" t="s">
        <v>154</v>
      </c>
      <c r="D336" s="13" t="str">
        <f>IFERROR(VLOOKUP(C336,ghg_sort!$A$86:$B$512,2,0),0)</f>
        <v>International</v>
      </c>
      <c r="E336" s="12" t="s">
        <v>91</v>
      </c>
      <c r="F336" s="13">
        <f>IFERROR(VLOOKUP($E336,ghg_sort!$A$3:$B$21,2,0),0)</f>
        <v>0</v>
      </c>
      <c r="G336" s="13">
        <f t="shared" si="56"/>
        <v>0</v>
      </c>
      <c r="H336" s="13">
        <f t="shared" si="57"/>
        <v>0</v>
      </c>
      <c r="I336" s="13">
        <f t="shared" si="58"/>
        <v>0</v>
      </c>
      <c r="J336" s="13">
        <f t="shared" si="59"/>
        <v>0</v>
      </c>
      <c r="K336" s="13">
        <f t="shared" si="60"/>
        <v>0</v>
      </c>
      <c r="L336" s="13">
        <f t="shared" si="61"/>
        <v>0</v>
      </c>
      <c r="M336" s="13">
        <f t="shared" si="62"/>
        <v>0</v>
      </c>
      <c r="N336" s="13">
        <f t="shared" si="63"/>
        <v>0</v>
      </c>
      <c r="O336" s="13">
        <f t="shared" si="64"/>
        <v>0</v>
      </c>
      <c r="P336" s="13">
        <f t="shared" si="65"/>
        <v>0</v>
      </c>
      <c r="Q336" s="13">
        <f t="shared" si="66"/>
        <v>0</v>
      </c>
      <c r="R336" s="13" t="s">
        <v>239</v>
      </c>
      <c r="T336" s="14">
        <v>1.0000000000000001E-5</v>
      </c>
      <c r="U336" s="14">
        <v>5.0000000000000002E-5</v>
      </c>
      <c r="V336" s="14">
        <v>6.9999999999999994E-5</v>
      </c>
      <c r="W336" s="14">
        <v>8.0000000000000007E-5</v>
      </c>
      <c r="X336" s="14">
        <v>5.3224499999999998E-5</v>
      </c>
      <c r="Y336" s="14">
        <v>3.7244699999999999E-5</v>
      </c>
      <c r="Z336" s="14">
        <v>2.9326200000000001E-5</v>
      </c>
      <c r="AA336" s="14">
        <v>2.4258599999999998E-5</v>
      </c>
      <c r="AB336" s="14">
        <v>2.0042099999999999E-5</v>
      </c>
      <c r="AC336" s="14">
        <v>1.6297400000000001E-5</v>
      </c>
      <c r="AD336" s="14">
        <v>1.33395E-5</v>
      </c>
      <c r="AE336" s="13" t="s">
        <v>94</v>
      </c>
    </row>
    <row r="337" spans="1:31">
      <c r="A337" s="13" t="s">
        <v>260</v>
      </c>
      <c r="B337" s="13" t="s">
        <v>1</v>
      </c>
      <c r="C337" s="13" t="s">
        <v>154</v>
      </c>
      <c r="D337" s="13" t="str">
        <f>IFERROR(VLOOKUP(C337,ghg_sort!$A$86:$B$512,2,0),0)</f>
        <v>International</v>
      </c>
      <c r="E337" s="33" t="s">
        <v>92</v>
      </c>
      <c r="F337" s="13">
        <f>IFERROR(VLOOKUP($E337,ghg_sort!$A$3:$B$21,2,0),0)</f>
        <v>0</v>
      </c>
      <c r="G337" s="13">
        <f t="shared" si="56"/>
        <v>0</v>
      </c>
      <c r="H337" s="13">
        <f t="shared" si="57"/>
        <v>0</v>
      </c>
      <c r="I337" s="13">
        <f t="shared" si="58"/>
        <v>0</v>
      </c>
      <c r="J337" s="13">
        <f t="shared" si="59"/>
        <v>0</v>
      </c>
      <c r="K337" s="13">
        <f t="shared" si="60"/>
        <v>0</v>
      </c>
      <c r="L337" s="13">
        <f t="shared" si="61"/>
        <v>0</v>
      </c>
      <c r="M337" s="13">
        <f t="shared" si="62"/>
        <v>0</v>
      </c>
      <c r="N337" s="13">
        <f t="shared" si="63"/>
        <v>0</v>
      </c>
      <c r="O337" s="13">
        <f t="shared" si="64"/>
        <v>0</v>
      </c>
      <c r="P337" s="13">
        <f t="shared" si="65"/>
        <v>0</v>
      </c>
      <c r="Q337" s="13">
        <f t="shared" si="66"/>
        <v>0</v>
      </c>
      <c r="R337" s="13" t="s">
        <v>239</v>
      </c>
      <c r="T337" s="14">
        <v>2.8195199999999997E-4</v>
      </c>
      <c r="U337" s="14">
        <v>2.4298599999999998E-3</v>
      </c>
      <c r="V337" s="14">
        <v>3.9864000000000002E-3</v>
      </c>
      <c r="W337" s="14">
        <v>4.3781799999999997E-3</v>
      </c>
      <c r="X337" s="14">
        <v>2.9128299999999999E-3</v>
      </c>
      <c r="Y337" s="14">
        <v>2.0382999999999998E-3</v>
      </c>
      <c r="Z337" s="14">
        <v>1.60494E-3</v>
      </c>
      <c r="AA337" s="14">
        <v>1.3276E-3</v>
      </c>
      <c r="AB337" s="14">
        <v>1.0968499999999999E-3</v>
      </c>
      <c r="AC337" s="14">
        <v>8.9191200000000002E-4</v>
      </c>
      <c r="AD337" s="14">
        <v>7.3003200000000003E-4</v>
      </c>
      <c r="AE337" s="13" t="s">
        <v>93</v>
      </c>
    </row>
    <row r="338" spans="1:31">
      <c r="A338" s="13" t="s">
        <v>260</v>
      </c>
      <c r="B338" s="13" t="s">
        <v>1</v>
      </c>
      <c r="C338" s="13" t="s">
        <v>155</v>
      </c>
      <c r="D338" s="13" t="str">
        <f>IFERROR(VLOOKUP(C338,ghg_sort!$A$86:$B$512,2,0),0)</f>
        <v>Transportation</v>
      </c>
      <c r="E338" s="33" t="s">
        <v>83</v>
      </c>
      <c r="F338" s="13">
        <f>IFERROR(VLOOKUP($E338,ghg_sort!$A$3:$B$21,2,0),0)</f>
        <v>0</v>
      </c>
      <c r="G338" s="13">
        <f t="shared" si="56"/>
        <v>0</v>
      </c>
      <c r="H338" s="13">
        <f t="shared" si="57"/>
        <v>0</v>
      </c>
      <c r="I338" s="13">
        <f t="shared" si="58"/>
        <v>0</v>
      </c>
      <c r="J338" s="13">
        <f t="shared" si="59"/>
        <v>0</v>
      </c>
      <c r="K338" s="13">
        <f t="shared" si="60"/>
        <v>0</v>
      </c>
      <c r="L338" s="13">
        <f t="shared" si="61"/>
        <v>0</v>
      </c>
      <c r="M338" s="13">
        <f t="shared" si="62"/>
        <v>0</v>
      </c>
      <c r="N338" s="13">
        <f t="shared" si="63"/>
        <v>0</v>
      </c>
      <c r="O338" s="13">
        <f t="shared" si="64"/>
        <v>0</v>
      </c>
      <c r="P338" s="13">
        <f t="shared" si="65"/>
        <v>0</v>
      </c>
      <c r="Q338" s="13">
        <f t="shared" si="66"/>
        <v>0</v>
      </c>
      <c r="R338" s="13" t="s">
        <v>239</v>
      </c>
      <c r="T338" s="14">
        <v>1.2743850000000001E-3</v>
      </c>
      <c r="U338" s="14">
        <v>7.5310999999999998E-4</v>
      </c>
      <c r="V338" s="14">
        <v>5.6715299999999895E-4</v>
      </c>
      <c r="W338" s="14">
        <v>2.1860369999999999E-4</v>
      </c>
      <c r="X338" s="14">
        <v>1.463731E-4</v>
      </c>
      <c r="Y338" s="14">
        <v>8.8648300000000003E-5</v>
      </c>
      <c r="Z338" s="14">
        <v>6.4805899999999996E-5</v>
      </c>
      <c r="AA338" s="14">
        <v>4.6327299999999999E-5</v>
      </c>
      <c r="AB338" s="14">
        <v>2.96182E-5</v>
      </c>
      <c r="AC338" s="14">
        <v>1.8496400000000001E-5</v>
      </c>
      <c r="AD338" s="14">
        <v>1.232437E-5</v>
      </c>
      <c r="AE338" s="13" t="s">
        <v>93</v>
      </c>
    </row>
    <row r="339" spans="1:31">
      <c r="A339" s="13" t="s">
        <v>260</v>
      </c>
      <c r="B339" s="13" t="s">
        <v>1</v>
      </c>
      <c r="C339" s="13" t="s">
        <v>155</v>
      </c>
      <c r="D339" s="13" t="str">
        <f>IFERROR(VLOOKUP(C339,ghg_sort!$A$86:$B$512,2,0),0)</f>
        <v>Transportation</v>
      </c>
      <c r="E339" s="33" t="s">
        <v>84</v>
      </c>
      <c r="F339" s="13">
        <f>IFERROR(VLOOKUP($E339,ghg_sort!$A$3:$B$21,2,0),0)</f>
        <v>25</v>
      </c>
      <c r="G339" s="13">
        <f t="shared" si="56"/>
        <v>1.9669362499999975E-2</v>
      </c>
      <c r="H339" s="13">
        <f t="shared" si="57"/>
        <v>6.9193624999999998E-3</v>
      </c>
      <c r="I339" s="13">
        <f t="shared" si="58"/>
        <v>6.2516174999999998E-3</v>
      </c>
      <c r="J339" s="13">
        <f t="shared" si="59"/>
        <v>2.1677447500000001E-3</v>
      </c>
      <c r="K339" s="13">
        <f t="shared" si="60"/>
        <v>2.3195917500000002E-3</v>
      </c>
      <c r="L339" s="13">
        <f t="shared" si="61"/>
        <v>1.9109299999999978E-3</v>
      </c>
      <c r="M339" s="13">
        <f t="shared" si="62"/>
        <v>1.7033297500000002E-3</v>
      </c>
      <c r="N339" s="13">
        <f t="shared" si="63"/>
        <v>1.3849335E-3</v>
      </c>
      <c r="O339" s="13">
        <f t="shared" si="64"/>
        <v>9.6444549999999754E-4</v>
      </c>
      <c r="P339" s="13">
        <f t="shared" si="65"/>
        <v>6.5469200000000001E-4</v>
      </c>
      <c r="Q339" s="13">
        <f t="shared" si="66"/>
        <v>4.7469649999999999E-4</v>
      </c>
      <c r="R339" s="13" t="s">
        <v>239</v>
      </c>
      <c r="T339" s="14">
        <v>7.8677449999999904E-4</v>
      </c>
      <c r="U339" s="14">
        <v>2.7677449999999998E-4</v>
      </c>
      <c r="V339" s="14">
        <v>2.500647E-4</v>
      </c>
      <c r="W339" s="14">
        <v>8.670979E-5</v>
      </c>
      <c r="X339" s="14">
        <v>9.2783670000000002E-5</v>
      </c>
      <c r="Y339" s="14">
        <v>7.6437199999999906E-5</v>
      </c>
      <c r="Z339" s="14">
        <v>6.8133190000000006E-5</v>
      </c>
      <c r="AA339" s="14">
        <v>5.5397340000000002E-5</v>
      </c>
      <c r="AB339" s="14">
        <v>3.8577819999999902E-5</v>
      </c>
      <c r="AC339" s="14">
        <v>2.6187679999999999E-5</v>
      </c>
      <c r="AD339" s="14">
        <v>1.8987859999999999E-5</v>
      </c>
      <c r="AE339" s="13" t="s">
        <v>93</v>
      </c>
    </row>
    <row r="340" spans="1:31">
      <c r="A340" s="13" t="s">
        <v>260</v>
      </c>
      <c r="B340" s="13" t="s">
        <v>1</v>
      </c>
      <c r="C340" s="13" t="s">
        <v>155</v>
      </c>
      <c r="D340" s="13" t="str">
        <f>IFERROR(VLOOKUP(C340,ghg_sort!$A$86:$B$512,2,0),0)</f>
        <v>Transportation</v>
      </c>
      <c r="E340" s="33" t="s">
        <v>85</v>
      </c>
      <c r="F340" s="13">
        <f>IFERROR(VLOOKUP($E340,ghg_sort!$A$3:$B$21,2,0),0)</f>
        <v>0</v>
      </c>
      <c r="G340" s="13">
        <f t="shared" si="56"/>
        <v>0</v>
      </c>
      <c r="H340" s="13">
        <f t="shared" si="57"/>
        <v>0</v>
      </c>
      <c r="I340" s="13">
        <f t="shared" si="58"/>
        <v>0</v>
      </c>
      <c r="J340" s="13">
        <f t="shared" si="59"/>
        <v>0</v>
      </c>
      <c r="K340" s="13">
        <f t="shared" si="60"/>
        <v>0</v>
      </c>
      <c r="L340" s="13">
        <f t="shared" si="61"/>
        <v>0</v>
      </c>
      <c r="M340" s="13">
        <f t="shared" si="62"/>
        <v>0</v>
      </c>
      <c r="N340" s="13">
        <f t="shared" si="63"/>
        <v>0</v>
      </c>
      <c r="O340" s="13">
        <f t="shared" si="64"/>
        <v>0</v>
      </c>
      <c r="P340" s="13">
        <f t="shared" si="65"/>
        <v>0</v>
      </c>
      <c r="Q340" s="13">
        <f t="shared" si="66"/>
        <v>0</v>
      </c>
      <c r="R340" s="13" t="s">
        <v>239</v>
      </c>
      <c r="T340" s="14">
        <v>6.8619700000000002E-3</v>
      </c>
      <c r="U340" s="14">
        <v>4.4331300000000004E-3</v>
      </c>
      <c r="V340" s="14">
        <v>3.1786699999999898E-3</v>
      </c>
      <c r="W340" s="13">
        <v>1.3716259999999999E-3</v>
      </c>
      <c r="X340" s="14">
        <v>9.1696300000000002E-4</v>
      </c>
      <c r="Y340" s="14">
        <v>5.8456299999999997E-4</v>
      </c>
      <c r="Z340" s="14">
        <v>4.4151500000000002E-4</v>
      </c>
      <c r="AA340" s="14">
        <v>3.25132E-4</v>
      </c>
      <c r="AB340" s="14">
        <v>2.1933090000000001E-4</v>
      </c>
      <c r="AC340" s="14">
        <v>1.4835299999999999E-4</v>
      </c>
      <c r="AD340" s="14">
        <v>1.051981E-4</v>
      </c>
      <c r="AE340" s="13" t="s">
        <v>93</v>
      </c>
    </row>
    <row r="341" spans="1:31">
      <c r="A341" s="13" t="s">
        <v>260</v>
      </c>
      <c r="B341" s="13" t="s">
        <v>1</v>
      </c>
      <c r="C341" s="13" t="s">
        <v>155</v>
      </c>
      <c r="D341" s="13" t="str">
        <f>IFERROR(VLOOKUP(C341,ghg_sort!$A$86:$B$512,2,0),0)</f>
        <v>Transportation</v>
      </c>
      <c r="E341" s="33" t="s">
        <v>86</v>
      </c>
      <c r="F341" s="13">
        <f>IFERROR(VLOOKUP($E341,ghg_sort!$A$3:$B$21,2,0),0)</f>
        <v>3.6666666666666701</v>
      </c>
      <c r="G341" s="13">
        <f t="shared" si="56"/>
        <v>5.0582154333333378</v>
      </c>
      <c r="H341" s="13">
        <f t="shared" si="57"/>
        <v>2.9112845666666693</v>
      </c>
      <c r="I341" s="13">
        <f t="shared" si="58"/>
        <v>2.303771800000002</v>
      </c>
      <c r="J341" s="13">
        <f t="shared" si="59"/>
        <v>0.97162120000000085</v>
      </c>
      <c r="K341" s="13">
        <f t="shared" si="60"/>
        <v>1.0378382666666677</v>
      </c>
      <c r="L341" s="13">
        <f t="shared" si="61"/>
        <v>0.90882953333333416</v>
      </c>
      <c r="M341" s="13">
        <f t="shared" si="62"/>
        <v>0.84575846666666743</v>
      </c>
      <c r="N341" s="13">
        <f t="shared" si="63"/>
        <v>0.7175237666666674</v>
      </c>
      <c r="O341" s="13">
        <f t="shared" si="64"/>
        <v>0.53294486666666718</v>
      </c>
      <c r="P341" s="13">
        <f t="shared" si="65"/>
        <v>0.38822483333333002</v>
      </c>
      <c r="Q341" s="13">
        <f t="shared" si="66"/>
        <v>0.29843953333333362</v>
      </c>
      <c r="R341" s="13" t="s">
        <v>239</v>
      </c>
      <c r="T341" s="14">
        <v>1.3795132999999999</v>
      </c>
      <c r="U341" s="14">
        <v>0.79398670000000005</v>
      </c>
      <c r="V341" s="14">
        <v>0.62830140000000001</v>
      </c>
      <c r="W341" s="14">
        <v>0.26498759999999999</v>
      </c>
      <c r="X341" s="14">
        <v>0.28304679999999999</v>
      </c>
      <c r="Y341" s="14">
        <v>0.24786259999999999</v>
      </c>
      <c r="Z341" s="14">
        <v>0.23066139999999999</v>
      </c>
      <c r="AA341" s="14">
        <v>0.19568830000000001</v>
      </c>
      <c r="AB341" s="14">
        <v>0.14534859999999999</v>
      </c>
      <c r="AC341" s="14">
        <v>0.105879499999999</v>
      </c>
      <c r="AD341" s="14">
        <v>8.1392599999999996E-2</v>
      </c>
      <c r="AE341" s="13" t="s">
        <v>93</v>
      </c>
    </row>
    <row r="342" spans="1:31">
      <c r="A342" s="13" t="s">
        <v>260</v>
      </c>
      <c r="B342" s="13" t="s">
        <v>1</v>
      </c>
      <c r="C342" s="13" t="s">
        <v>155</v>
      </c>
      <c r="D342" s="13" t="str">
        <f>IFERROR(VLOOKUP(C342,ghg_sort!$A$86:$B$512,2,0),0)</f>
        <v>Transportation</v>
      </c>
      <c r="E342" s="33" t="s">
        <v>87</v>
      </c>
      <c r="F342" s="13">
        <f>IFERROR(VLOOKUP($E342,ghg_sort!$A$3:$B$21,2,0),0)</f>
        <v>298</v>
      </c>
      <c r="G342" s="13">
        <f t="shared" si="56"/>
        <v>0.108491668</v>
      </c>
      <c r="H342" s="13">
        <f t="shared" si="57"/>
        <v>7.2712596000000004E-2</v>
      </c>
      <c r="I342" s="13">
        <f t="shared" si="58"/>
        <v>5.47746946E-2</v>
      </c>
      <c r="J342" s="13">
        <f t="shared" si="59"/>
        <v>2.5916613000000002E-2</v>
      </c>
      <c r="K342" s="13">
        <f t="shared" si="60"/>
        <v>2.7639023200000001E-2</v>
      </c>
      <c r="L342" s="13">
        <f t="shared" si="61"/>
        <v>2.5486241399999998E-2</v>
      </c>
      <c r="M342" s="13">
        <f t="shared" si="62"/>
        <v>2.4517175200000001E-2</v>
      </c>
      <c r="N342" s="13">
        <f t="shared" si="63"/>
        <v>2.1440980799999999E-2</v>
      </c>
      <c r="O342" s="13">
        <f t="shared" si="64"/>
        <v>1.6610251799999972E-2</v>
      </c>
      <c r="P342" s="13">
        <f t="shared" si="65"/>
        <v>1.26100786E-2</v>
      </c>
      <c r="Q342" s="13">
        <f t="shared" si="66"/>
        <v>9.9985228199999995E-3</v>
      </c>
      <c r="R342" s="13" t="s">
        <v>239</v>
      </c>
      <c r="T342" s="14">
        <v>3.6406600000000002E-4</v>
      </c>
      <c r="U342" s="14">
        <v>2.44002E-4</v>
      </c>
      <c r="V342" s="14">
        <v>1.8380769999999999E-4</v>
      </c>
      <c r="W342" s="14">
        <v>8.6968500000000006E-5</v>
      </c>
      <c r="X342" s="14">
        <v>9.2748400000000001E-5</v>
      </c>
      <c r="Y342" s="14">
        <v>8.5524299999999997E-5</v>
      </c>
      <c r="Z342" s="14">
        <v>8.2272400000000002E-5</v>
      </c>
      <c r="AA342" s="14">
        <v>7.19496E-5</v>
      </c>
      <c r="AB342" s="14">
        <v>5.5739099999999901E-5</v>
      </c>
      <c r="AC342" s="14">
        <v>4.2315699999999999E-5</v>
      </c>
      <c r="AD342" s="14">
        <v>3.3552089999999999E-5</v>
      </c>
      <c r="AE342" s="13" t="s">
        <v>93</v>
      </c>
    </row>
    <row r="343" spans="1:31">
      <c r="A343" s="13" t="s">
        <v>260</v>
      </c>
      <c r="B343" s="13" t="s">
        <v>1</v>
      </c>
      <c r="C343" s="13" t="s">
        <v>155</v>
      </c>
      <c r="D343" s="13" t="str">
        <f>IFERROR(VLOOKUP(C343,ghg_sort!$A$86:$B$512,2,0),0)</f>
        <v>Transportation</v>
      </c>
      <c r="E343" s="33" t="s">
        <v>88</v>
      </c>
      <c r="F343" s="13">
        <f>IFERROR(VLOOKUP($E343,ghg_sort!$A$3:$B$21,2,0),0)</f>
        <v>0</v>
      </c>
      <c r="G343" s="13">
        <f t="shared" si="56"/>
        <v>0</v>
      </c>
      <c r="H343" s="13">
        <f t="shared" si="57"/>
        <v>0</v>
      </c>
      <c r="I343" s="13">
        <f t="shared" si="58"/>
        <v>0</v>
      </c>
      <c r="J343" s="13">
        <f t="shared" si="59"/>
        <v>0</v>
      </c>
      <c r="K343" s="13">
        <f t="shared" si="60"/>
        <v>0</v>
      </c>
      <c r="L343" s="13">
        <f t="shared" si="61"/>
        <v>0</v>
      </c>
      <c r="M343" s="13">
        <f t="shared" si="62"/>
        <v>0</v>
      </c>
      <c r="N343" s="13">
        <f t="shared" si="63"/>
        <v>0</v>
      </c>
      <c r="O343" s="13">
        <f t="shared" si="64"/>
        <v>0</v>
      </c>
      <c r="P343" s="13">
        <f t="shared" si="65"/>
        <v>0</v>
      </c>
      <c r="Q343" s="13">
        <f t="shared" si="66"/>
        <v>0</v>
      </c>
      <c r="R343" s="13" t="s">
        <v>239</v>
      </c>
      <c r="T343" s="14">
        <v>1E-4</v>
      </c>
      <c r="U343" s="14">
        <v>6.0000000000000002E-5</v>
      </c>
      <c r="V343" s="14">
        <v>4.0000000000000003E-5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3" t="s">
        <v>93</v>
      </c>
    </row>
    <row r="344" spans="1:31">
      <c r="A344" s="13" t="s">
        <v>260</v>
      </c>
      <c r="B344" s="13" t="s">
        <v>1</v>
      </c>
      <c r="C344" s="13" t="s">
        <v>155</v>
      </c>
      <c r="D344" s="13" t="str">
        <f>IFERROR(VLOOKUP(C344,ghg_sort!$A$86:$B$512,2,0),0)</f>
        <v>Transportation</v>
      </c>
      <c r="E344" s="33" t="s">
        <v>89</v>
      </c>
      <c r="F344" s="13">
        <f>IFERROR(VLOOKUP($E344,ghg_sort!$A$3:$B$21,2,0),0)</f>
        <v>0</v>
      </c>
      <c r="G344" s="13">
        <f t="shared" si="56"/>
        <v>0</v>
      </c>
      <c r="H344" s="13">
        <f t="shared" si="57"/>
        <v>0</v>
      </c>
      <c r="I344" s="13">
        <f t="shared" si="58"/>
        <v>0</v>
      </c>
      <c r="J344" s="13">
        <f t="shared" si="59"/>
        <v>0</v>
      </c>
      <c r="K344" s="13">
        <f t="shared" si="60"/>
        <v>0</v>
      </c>
      <c r="L344" s="13">
        <f t="shared" si="61"/>
        <v>0</v>
      </c>
      <c r="M344" s="13">
        <f t="shared" si="62"/>
        <v>0</v>
      </c>
      <c r="N344" s="13">
        <f t="shared" si="63"/>
        <v>0</v>
      </c>
      <c r="O344" s="13">
        <f t="shared" si="64"/>
        <v>0</v>
      </c>
      <c r="P344" s="13">
        <f t="shared" si="65"/>
        <v>0</v>
      </c>
      <c r="Q344" s="13">
        <f t="shared" si="66"/>
        <v>0</v>
      </c>
      <c r="R344" s="13" t="s">
        <v>239</v>
      </c>
      <c r="T344" s="14">
        <v>5.9898199999999999E-3</v>
      </c>
      <c r="U344" s="14">
        <v>3.4819489999999998E-3</v>
      </c>
      <c r="V344" s="14">
        <v>2.580138E-3</v>
      </c>
      <c r="W344" s="14">
        <v>9.6523099999999999E-4</v>
      </c>
      <c r="X344" s="14">
        <v>6.4648400000000001E-4</v>
      </c>
      <c r="Y344" s="14">
        <v>3.8784300000000002E-4</v>
      </c>
      <c r="Z344" s="14">
        <v>2.8174E-4</v>
      </c>
      <c r="AA344" s="14">
        <v>2.002048E-4</v>
      </c>
      <c r="AB344" s="14">
        <v>1.269013E-4</v>
      </c>
      <c r="AC344" s="14">
        <v>7.8557099999999994E-5</v>
      </c>
      <c r="AD344" s="14">
        <v>5.1988399999999998E-5</v>
      </c>
      <c r="AE344" s="13" t="s">
        <v>93</v>
      </c>
    </row>
    <row r="345" spans="1:31">
      <c r="A345" s="13" t="s">
        <v>260</v>
      </c>
      <c r="B345" s="13" t="s">
        <v>1</v>
      </c>
      <c r="C345" s="13" t="s">
        <v>155</v>
      </c>
      <c r="D345" s="13" t="str">
        <f>IFERROR(VLOOKUP(C345,ghg_sort!$A$86:$B$512,2,0),0)</f>
        <v>Transportation</v>
      </c>
      <c r="E345" s="33" t="s">
        <v>90</v>
      </c>
      <c r="F345" s="13">
        <f>IFERROR(VLOOKUP($E345,ghg_sort!$A$3:$B$21,2,0),0)</f>
        <v>0</v>
      </c>
      <c r="G345" s="13">
        <f t="shared" si="56"/>
        <v>0</v>
      </c>
      <c r="H345" s="13">
        <f t="shared" si="57"/>
        <v>0</v>
      </c>
      <c r="I345" s="13">
        <f t="shared" si="58"/>
        <v>0</v>
      </c>
      <c r="J345" s="13">
        <f t="shared" si="59"/>
        <v>0</v>
      </c>
      <c r="K345" s="13">
        <f t="shared" si="60"/>
        <v>0</v>
      </c>
      <c r="L345" s="13">
        <f t="shared" si="61"/>
        <v>0</v>
      </c>
      <c r="M345" s="13">
        <f t="shared" si="62"/>
        <v>0</v>
      </c>
      <c r="N345" s="13">
        <f t="shared" si="63"/>
        <v>0</v>
      </c>
      <c r="O345" s="13">
        <f t="shared" si="64"/>
        <v>0</v>
      </c>
      <c r="P345" s="13">
        <f t="shared" si="65"/>
        <v>0</v>
      </c>
      <c r="Q345" s="13">
        <f t="shared" si="66"/>
        <v>0</v>
      </c>
      <c r="R345" s="13" t="s">
        <v>239</v>
      </c>
      <c r="T345" s="13">
        <v>0.15348989999999901</v>
      </c>
      <c r="U345" s="13">
        <v>8.3688860000000004E-2</v>
      </c>
      <c r="V345" s="13">
        <v>6.349457E-2</v>
      </c>
      <c r="W345" s="13">
        <v>2.1012679999999999E-2</v>
      </c>
      <c r="X345" s="14">
        <v>1.4095379999999999E-2</v>
      </c>
      <c r="Y345" s="14">
        <v>8.0202829999999996E-3</v>
      </c>
      <c r="Z345" s="14">
        <v>5.6127299999999998E-3</v>
      </c>
      <c r="AA345" s="14">
        <v>3.8443119999999999E-3</v>
      </c>
      <c r="AB345" s="14">
        <v>2.304609E-3</v>
      </c>
      <c r="AC345" s="14">
        <v>1.3423549999999999E-3</v>
      </c>
      <c r="AD345" s="14">
        <v>8.44735E-4</v>
      </c>
      <c r="AE345" s="13" t="s">
        <v>93</v>
      </c>
    </row>
    <row r="346" spans="1:31">
      <c r="A346" s="13" t="s">
        <v>260</v>
      </c>
      <c r="B346" s="13" t="s">
        <v>1</v>
      </c>
      <c r="C346" s="13" t="s">
        <v>155</v>
      </c>
      <c r="D346" s="13" t="str">
        <f>IFERROR(VLOOKUP(C346,ghg_sort!$A$86:$B$512,2,0),0)</f>
        <v>Transportation</v>
      </c>
      <c r="E346" s="12" t="s">
        <v>91</v>
      </c>
      <c r="F346" s="13">
        <f>IFERROR(VLOOKUP($E346,ghg_sort!$A$3:$B$21,2,0),0)</f>
        <v>0</v>
      </c>
      <c r="G346" s="13">
        <f t="shared" si="56"/>
        <v>0</v>
      </c>
      <c r="H346" s="13">
        <f t="shared" si="57"/>
        <v>0</v>
      </c>
      <c r="I346" s="13">
        <f t="shared" si="58"/>
        <v>0</v>
      </c>
      <c r="J346" s="13">
        <f t="shared" si="59"/>
        <v>0</v>
      </c>
      <c r="K346" s="13">
        <f t="shared" si="60"/>
        <v>0</v>
      </c>
      <c r="L346" s="13">
        <f t="shared" si="61"/>
        <v>0</v>
      </c>
      <c r="M346" s="13">
        <f t="shared" si="62"/>
        <v>0</v>
      </c>
      <c r="N346" s="13">
        <f t="shared" si="63"/>
        <v>0</v>
      </c>
      <c r="O346" s="13">
        <f t="shared" si="64"/>
        <v>0</v>
      </c>
      <c r="P346" s="13">
        <f t="shared" si="65"/>
        <v>0</v>
      </c>
      <c r="Q346" s="13">
        <f t="shared" si="66"/>
        <v>0</v>
      </c>
      <c r="R346" s="13" t="s">
        <v>239</v>
      </c>
      <c r="T346" s="14">
        <v>8.9038810000000002E-4</v>
      </c>
      <c r="U346" s="14">
        <v>4.9367829999999999E-4</v>
      </c>
      <c r="V346" s="14">
        <v>3.8025869999999999E-4</v>
      </c>
      <c r="W346" s="14">
        <v>1.2348430000000001E-4</v>
      </c>
      <c r="X346" s="14">
        <v>8.2775700000000001E-5</v>
      </c>
      <c r="Y346" s="14">
        <v>4.8261299999999998E-5</v>
      </c>
      <c r="Z346" s="14">
        <v>3.4374020000000001E-5</v>
      </c>
      <c r="AA346" s="14">
        <v>2.5544979999999999E-5</v>
      </c>
      <c r="AB346" s="14">
        <v>1.7779300000000001E-5</v>
      </c>
      <c r="AC346" s="14">
        <v>1.242029E-5</v>
      </c>
      <c r="AD346" s="14">
        <v>9.2306699999999992E-6</v>
      </c>
      <c r="AE346" s="13" t="s">
        <v>94</v>
      </c>
    </row>
    <row r="347" spans="1:31">
      <c r="A347" s="13" t="s">
        <v>260</v>
      </c>
      <c r="B347" s="13" t="s">
        <v>1</v>
      </c>
      <c r="C347" s="13" t="s">
        <v>155</v>
      </c>
      <c r="D347" s="13" t="str">
        <f>IFERROR(VLOOKUP(C347,ghg_sort!$A$86:$B$512,2,0),0)</f>
        <v>Transportation</v>
      </c>
      <c r="E347" s="33" t="s">
        <v>92</v>
      </c>
      <c r="F347" s="13">
        <f>IFERROR(VLOOKUP($E347,ghg_sort!$A$3:$B$21,2,0),0)</f>
        <v>0</v>
      </c>
      <c r="G347" s="13">
        <f t="shared" si="56"/>
        <v>0</v>
      </c>
      <c r="H347" s="13">
        <f t="shared" si="57"/>
        <v>0</v>
      </c>
      <c r="I347" s="13">
        <f t="shared" si="58"/>
        <v>0</v>
      </c>
      <c r="J347" s="13">
        <f t="shared" si="59"/>
        <v>0</v>
      </c>
      <c r="K347" s="13">
        <f t="shared" si="60"/>
        <v>0</v>
      </c>
      <c r="L347" s="13">
        <f t="shared" si="61"/>
        <v>0</v>
      </c>
      <c r="M347" s="13">
        <f t="shared" si="62"/>
        <v>0</v>
      </c>
      <c r="N347" s="13">
        <f t="shared" si="63"/>
        <v>0</v>
      </c>
      <c r="O347" s="13">
        <f t="shared" si="64"/>
        <v>0</v>
      </c>
      <c r="P347" s="13">
        <f t="shared" si="65"/>
        <v>0</v>
      </c>
      <c r="Q347" s="13">
        <f t="shared" si="66"/>
        <v>0</v>
      </c>
      <c r="R347" s="13" t="s">
        <v>239</v>
      </c>
      <c r="T347" s="14">
        <v>7.4487845999999996E-2</v>
      </c>
      <c r="U347" s="14">
        <v>3.5209010999999998E-2</v>
      </c>
      <c r="V347" s="14">
        <v>2.2833782899999999E-2</v>
      </c>
      <c r="W347" s="14">
        <v>2.9555256999999999E-3</v>
      </c>
      <c r="X347" s="14">
        <v>1.9836733000000001E-3</v>
      </c>
      <c r="Y347" s="14">
        <v>1.1065649000000001E-3</v>
      </c>
      <c r="Z347" s="14">
        <v>7.6295270000000003E-4</v>
      </c>
      <c r="AA347" s="14">
        <v>5.1455179999999997E-4</v>
      </c>
      <c r="AB347" s="14">
        <v>3.008412E-4</v>
      </c>
      <c r="AC347" s="14">
        <v>1.7008575999999999E-4</v>
      </c>
      <c r="AD347" s="14">
        <v>1.0420494000000001E-4</v>
      </c>
      <c r="AE347" s="13" t="s">
        <v>93</v>
      </c>
    </row>
    <row r="348" spans="1:31">
      <c r="A348" s="13" t="s">
        <v>260</v>
      </c>
      <c r="B348" s="13" t="s">
        <v>1</v>
      </c>
      <c r="C348" s="13" t="s">
        <v>156</v>
      </c>
      <c r="D348" s="13" t="str">
        <f>IFERROR(VLOOKUP(C348,ghg_sort!$A$86:$B$512,2,0),0)</f>
        <v>Transportation</v>
      </c>
      <c r="E348" s="33" t="s">
        <v>83</v>
      </c>
      <c r="F348" s="13">
        <f>IFERROR(VLOOKUP($E348,ghg_sort!$A$3:$B$21,2,0),0)</f>
        <v>0</v>
      </c>
      <c r="G348" s="13">
        <f t="shared" si="56"/>
        <v>0</v>
      </c>
      <c r="H348" s="13">
        <f t="shared" si="57"/>
        <v>0</v>
      </c>
      <c r="I348" s="13">
        <f t="shared" si="58"/>
        <v>0</v>
      </c>
      <c r="J348" s="13">
        <f t="shared" si="59"/>
        <v>0</v>
      </c>
      <c r="K348" s="13">
        <f t="shared" si="60"/>
        <v>0</v>
      </c>
      <c r="L348" s="13">
        <f t="shared" si="61"/>
        <v>0</v>
      </c>
      <c r="M348" s="13">
        <f t="shared" si="62"/>
        <v>0</v>
      </c>
      <c r="N348" s="13">
        <f t="shared" si="63"/>
        <v>0</v>
      </c>
      <c r="O348" s="13">
        <f t="shared" si="64"/>
        <v>0</v>
      </c>
      <c r="P348" s="13">
        <f t="shared" si="65"/>
        <v>0</v>
      </c>
      <c r="Q348" s="13">
        <f t="shared" si="66"/>
        <v>0</v>
      </c>
      <c r="R348" s="13" t="s">
        <v>239</v>
      </c>
      <c r="T348" s="14">
        <v>8.3585099999999996E-3</v>
      </c>
      <c r="U348" s="14">
        <v>6.2117700000000001E-3</v>
      </c>
      <c r="V348" s="14">
        <v>2.5944900000000001E-3</v>
      </c>
      <c r="W348" s="13">
        <v>2.5369400000000001E-3</v>
      </c>
      <c r="X348" s="13">
        <v>2.7604190000000001E-3</v>
      </c>
      <c r="Y348" s="13">
        <v>2.8579699999999901E-3</v>
      </c>
      <c r="Z348" s="13">
        <v>2.781848E-3</v>
      </c>
      <c r="AA348" s="13">
        <v>2.5311399999999999E-3</v>
      </c>
      <c r="AB348" s="13">
        <v>2.1087227999999898E-3</v>
      </c>
      <c r="AC348" s="14">
        <v>1.6122699E-3</v>
      </c>
      <c r="AD348" s="14">
        <v>1.1478753999999999E-3</v>
      </c>
      <c r="AE348" s="13" t="s">
        <v>93</v>
      </c>
    </row>
    <row r="349" spans="1:31">
      <c r="A349" s="13" t="s">
        <v>260</v>
      </c>
      <c r="B349" s="13" t="s">
        <v>1</v>
      </c>
      <c r="C349" s="13" t="s">
        <v>156</v>
      </c>
      <c r="D349" s="13" t="str">
        <f>IFERROR(VLOOKUP(C349,ghg_sort!$A$86:$B$512,2,0),0)</f>
        <v>Transportation</v>
      </c>
      <c r="E349" s="33" t="s">
        <v>84</v>
      </c>
      <c r="F349" s="13">
        <f>IFERROR(VLOOKUP($E349,ghg_sort!$A$3:$B$21,2,0),0)</f>
        <v>25</v>
      </c>
      <c r="G349" s="13">
        <f t="shared" si="56"/>
        <v>3.4374250000000002E-2</v>
      </c>
      <c r="H349" s="13">
        <f t="shared" si="57"/>
        <v>0.15647149999999999</v>
      </c>
      <c r="I349" s="13">
        <f t="shared" si="58"/>
        <v>0.1905635</v>
      </c>
      <c r="J349" s="13">
        <f t="shared" si="59"/>
        <v>0.21602700000000002</v>
      </c>
      <c r="K349" s="13">
        <f t="shared" si="60"/>
        <v>0.23505725000000002</v>
      </c>
      <c r="L349" s="13">
        <f t="shared" si="61"/>
        <v>0.24336350000000001</v>
      </c>
      <c r="M349" s="13">
        <f t="shared" si="62"/>
        <v>0.23688160000000003</v>
      </c>
      <c r="N349" s="13">
        <f t="shared" si="63"/>
        <v>0.21553297500000002</v>
      </c>
      <c r="O349" s="13">
        <f t="shared" si="64"/>
        <v>0.17956322499999999</v>
      </c>
      <c r="P349" s="13">
        <f t="shared" si="65"/>
        <v>0.13728892499999976</v>
      </c>
      <c r="Q349" s="13">
        <f t="shared" si="66"/>
        <v>9.7744645000000005E-2</v>
      </c>
      <c r="R349" s="13" t="s">
        <v>239</v>
      </c>
      <c r="T349" s="14">
        <v>1.3749700000000001E-3</v>
      </c>
      <c r="U349" s="13">
        <v>6.2588599999999998E-3</v>
      </c>
      <c r="V349" s="13">
        <v>7.6225399999999997E-3</v>
      </c>
      <c r="W349" s="14">
        <v>8.6410800000000006E-3</v>
      </c>
      <c r="X349" s="14">
        <v>9.4022900000000006E-3</v>
      </c>
      <c r="Y349" s="14">
        <v>9.7345399999999999E-3</v>
      </c>
      <c r="Z349" s="14">
        <v>9.4752640000000006E-3</v>
      </c>
      <c r="AA349" s="14">
        <v>8.6213190000000006E-3</v>
      </c>
      <c r="AB349" s="14">
        <v>7.182529E-3</v>
      </c>
      <c r="AC349" s="14">
        <v>5.4915569999999898E-3</v>
      </c>
      <c r="AD349" s="14">
        <v>3.9097858000000001E-3</v>
      </c>
      <c r="AE349" s="13" t="s">
        <v>93</v>
      </c>
    </row>
    <row r="350" spans="1:31">
      <c r="A350" s="13" t="s">
        <v>260</v>
      </c>
      <c r="B350" s="13" t="s">
        <v>1</v>
      </c>
      <c r="C350" s="13" t="s">
        <v>156</v>
      </c>
      <c r="D350" s="13" t="str">
        <f>IFERROR(VLOOKUP(C350,ghg_sort!$A$86:$B$512,2,0),0)</f>
        <v>Transportation</v>
      </c>
      <c r="E350" s="33" t="s">
        <v>85</v>
      </c>
      <c r="F350" s="13">
        <f>IFERROR(VLOOKUP($E350,ghg_sort!$A$3:$B$21,2,0),0)</f>
        <v>0</v>
      </c>
      <c r="G350" s="13">
        <f t="shared" si="56"/>
        <v>0</v>
      </c>
      <c r="H350" s="13">
        <f t="shared" si="57"/>
        <v>0</v>
      </c>
      <c r="I350" s="13">
        <f t="shared" si="58"/>
        <v>0</v>
      </c>
      <c r="J350" s="13">
        <f t="shared" si="59"/>
        <v>0</v>
      </c>
      <c r="K350" s="13">
        <f t="shared" si="60"/>
        <v>0</v>
      </c>
      <c r="L350" s="13">
        <f t="shared" si="61"/>
        <v>0</v>
      </c>
      <c r="M350" s="13">
        <f t="shared" si="62"/>
        <v>0</v>
      </c>
      <c r="N350" s="13">
        <f t="shared" si="63"/>
        <v>0</v>
      </c>
      <c r="O350" s="13">
        <f t="shared" si="64"/>
        <v>0</v>
      </c>
      <c r="P350" s="13">
        <f t="shared" si="65"/>
        <v>0</v>
      </c>
      <c r="Q350" s="13">
        <f t="shared" si="66"/>
        <v>0</v>
      </c>
      <c r="R350" s="13" t="s">
        <v>239</v>
      </c>
      <c r="T350" s="14">
        <v>5.4547600000000002E-2</v>
      </c>
      <c r="U350" s="14">
        <v>0.137154</v>
      </c>
      <c r="V350" s="14">
        <v>0.126696</v>
      </c>
      <c r="W350" s="13">
        <v>9.7487900000000002E-2</v>
      </c>
      <c r="X350" s="13">
        <v>0.1060758</v>
      </c>
      <c r="Y350" s="13">
        <v>0.10982409999999999</v>
      </c>
      <c r="Z350" s="13">
        <v>0.10689904</v>
      </c>
      <c r="AA350" s="13">
        <v>9.7264929999999999E-2</v>
      </c>
      <c r="AB350" s="13">
        <v>8.1032590000000002E-2</v>
      </c>
      <c r="AC350" s="13">
        <v>6.195527E-2</v>
      </c>
      <c r="AD350" s="14">
        <v>4.4109756999999999E-2</v>
      </c>
      <c r="AE350" s="13" t="s">
        <v>93</v>
      </c>
    </row>
    <row r="351" spans="1:31">
      <c r="A351" s="13" t="s">
        <v>260</v>
      </c>
      <c r="B351" s="13" t="s">
        <v>1</v>
      </c>
      <c r="C351" s="13" t="s">
        <v>156</v>
      </c>
      <c r="D351" s="13" t="str">
        <f>IFERROR(VLOOKUP(C351,ghg_sort!$A$86:$B$512,2,0),0)</f>
        <v>Transportation</v>
      </c>
      <c r="E351" s="33" t="s">
        <v>86</v>
      </c>
      <c r="F351" s="13">
        <f>IFERROR(VLOOKUP($E351,ghg_sort!$A$3:$B$21,2,0),0)</f>
        <v>3.6666666666666701</v>
      </c>
      <c r="G351" s="13">
        <f t="shared" si="56"/>
        <v>9.4148633333333418</v>
      </c>
      <c r="H351" s="13">
        <f t="shared" si="57"/>
        <v>22.870320000000021</v>
      </c>
      <c r="I351" s="13">
        <f t="shared" si="58"/>
        <v>23.911616666666689</v>
      </c>
      <c r="J351" s="13">
        <f t="shared" si="59"/>
        <v>26.788043333333359</v>
      </c>
      <c r="K351" s="13">
        <f t="shared" si="60"/>
        <v>29.302201133333359</v>
      </c>
      <c r="L351" s="13">
        <f t="shared" si="61"/>
        <v>30.546062433333358</v>
      </c>
      <c r="M351" s="13">
        <f t="shared" si="62"/>
        <v>29.963356866666697</v>
      </c>
      <c r="N351" s="13">
        <f t="shared" si="63"/>
        <v>27.514299266666693</v>
      </c>
      <c r="O351" s="13">
        <f t="shared" si="64"/>
        <v>23.146636333333316</v>
      </c>
      <c r="P351" s="13">
        <f t="shared" si="65"/>
        <v>17.89215963333335</v>
      </c>
      <c r="Q351" s="13">
        <f t="shared" si="66"/>
        <v>12.899888136666643</v>
      </c>
      <c r="R351" s="13" t="s">
        <v>239</v>
      </c>
      <c r="T351" s="14">
        <v>2.5676899999999998</v>
      </c>
      <c r="U351" s="14">
        <v>6.2373599999999998</v>
      </c>
      <c r="V351" s="14">
        <v>6.52135</v>
      </c>
      <c r="W351" s="14">
        <v>7.3058300000000003</v>
      </c>
      <c r="X351" s="14">
        <v>7.9915094</v>
      </c>
      <c r="Y351" s="14">
        <v>8.3307442999999992</v>
      </c>
      <c r="Z351" s="14">
        <v>8.1718246000000008</v>
      </c>
      <c r="AA351" s="14">
        <v>7.5038998000000001</v>
      </c>
      <c r="AB351" s="14">
        <v>6.3127189999999898</v>
      </c>
      <c r="AC351" s="14">
        <v>4.8796799000000002</v>
      </c>
      <c r="AD351" s="14">
        <v>3.5181513099999902</v>
      </c>
      <c r="AE351" s="13" t="s">
        <v>93</v>
      </c>
    </row>
    <row r="352" spans="1:31">
      <c r="A352" s="13" t="s">
        <v>260</v>
      </c>
      <c r="B352" s="13" t="s">
        <v>1</v>
      </c>
      <c r="C352" s="13" t="s">
        <v>156</v>
      </c>
      <c r="D352" s="13" t="str">
        <f>IFERROR(VLOOKUP(C352,ghg_sort!$A$86:$B$512,2,0),0)</f>
        <v>Transportation</v>
      </c>
      <c r="E352" s="33" t="s">
        <v>87</v>
      </c>
      <c r="F352" s="13">
        <f>IFERROR(VLOOKUP($E352,ghg_sort!$A$3:$B$21,2,0),0)</f>
        <v>298</v>
      </c>
      <c r="G352" s="13">
        <f t="shared" si="56"/>
        <v>8.3103260000000012E-2</v>
      </c>
      <c r="H352" s="13">
        <f t="shared" si="57"/>
        <v>0.38637785999999996</v>
      </c>
      <c r="I352" s="13">
        <f t="shared" si="58"/>
        <v>0.35287669999999999</v>
      </c>
      <c r="J352" s="13">
        <f t="shared" si="59"/>
        <v>0.33027042000000001</v>
      </c>
      <c r="K352" s="13">
        <f t="shared" si="60"/>
        <v>0.359362968</v>
      </c>
      <c r="L352" s="13">
        <f t="shared" si="61"/>
        <v>0.37206223799999999</v>
      </c>
      <c r="M352" s="13">
        <f t="shared" si="62"/>
        <v>0.36215254600000002</v>
      </c>
      <c r="N352" s="13">
        <f t="shared" si="63"/>
        <v>0.32951406620000001</v>
      </c>
      <c r="O352" s="13">
        <f t="shared" si="64"/>
        <v>0.2745222786</v>
      </c>
      <c r="P352" s="13">
        <f t="shared" si="65"/>
        <v>0.20989194919999971</v>
      </c>
      <c r="Q352" s="13">
        <f t="shared" si="66"/>
        <v>0.149435229</v>
      </c>
      <c r="R352" s="13" t="s">
        <v>239</v>
      </c>
      <c r="T352" s="14">
        <v>2.7887000000000002E-4</v>
      </c>
      <c r="U352" s="13">
        <v>1.2965699999999999E-3</v>
      </c>
      <c r="V352" s="13">
        <v>1.1841499999999999E-3</v>
      </c>
      <c r="W352" s="13">
        <v>1.1082900000000001E-3</v>
      </c>
      <c r="X352" s="13">
        <v>1.205916E-3</v>
      </c>
      <c r="Y352" s="14">
        <v>1.248531E-3</v>
      </c>
      <c r="Z352" s="14">
        <v>1.2152770000000001E-3</v>
      </c>
      <c r="AA352" s="14">
        <v>1.1057519E-3</v>
      </c>
      <c r="AB352" s="14">
        <v>9.2121569999999999E-4</v>
      </c>
      <c r="AC352" s="14">
        <v>7.04335399999999E-4</v>
      </c>
      <c r="AD352" s="14">
        <v>5.0146049999999997E-4</v>
      </c>
      <c r="AE352" s="13" t="s">
        <v>93</v>
      </c>
    </row>
    <row r="353" spans="1:31">
      <c r="A353" s="13" t="s">
        <v>260</v>
      </c>
      <c r="B353" s="13" t="s">
        <v>1</v>
      </c>
      <c r="C353" s="13" t="s">
        <v>156</v>
      </c>
      <c r="D353" s="13" t="str">
        <f>IFERROR(VLOOKUP(C353,ghg_sort!$A$86:$B$512,2,0),0)</f>
        <v>Transportation</v>
      </c>
      <c r="E353" s="33" t="s">
        <v>88</v>
      </c>
      <c r="F353" s="13">
        <f>IFERROR(VLOOKUP($E353,ghg_sort!$A$3:$B$21,2,0),0)</f>
        <v>0</v>
      </c>
      <c r="G353" s="13">
        <f t="shared" si="56"/>
        <v>0</v>
      </c>
      <c r="H353" s="13">
        <f t="shared" si="57"/>
        <v>0</v>
      </c>
      <c r="I353" s="13">
        <f t="shared" si="58"/>
        <v>0</v>
      </c>
      <c r="J353" s="13">
        <f t="shared" si="59"/>
        <v>0</v>
      </c>
      <c r="K353" s="13">
        <f t="shared" si="60"/>
        <v>0</v>
      </c>
      <c r="L353" s="13">
        <f t="shared" si="61"/>
        <v>0</v>
      </c>
      <c r="M353" s="13">
        <f t="shared" si="62"/>
        <v>0</v>
      </c>
      <c r="N353" s="13">
        <f t="shared" si="63"/>
        <v>0</v>
      </c>
      <c r="O353" s="13">
        <f t="shared" si="64"/>
        <v>0</v>
      </c>
      <c r="P353" s="13">
        <f t="shared" si="65"/>
        <v>0</v>
      </c>
      <c r="Q353" s="13">
        <f t="shared" si="66"/>
        <v>0</v>
      </c>
      <c r="R353" s="13" t="s">
        <v>239</v>
      </c>
      <c r="T353" s="14">
        <v>1.56162E-4</v>
      </c>
      <c r="U353" s="14">
        <v>9.7272800000000001E-5</v>
      </c>
      <c r="V353" s="14">
        <v>6.1751600000000003E-4</v>
      </c>
      <c r="W353" s="13">
        <v>1.2352699999999999E-3</v>
      </c>
      <c r="X353" s="13">
        <v>1.344083E-3</v>
      </c>
      <c r="Y353" s="13">
        <v>1.3915850000000001E-3</v>
      </c>
      <c r="Z353" s="13">
        <v>1.3545199999999999E-3</v>
      </c>
      <c r="AA353" s="14">
        <v>1.2324441000000001E-3</v>
      </c>
      <c r="AB353" s="14">
        <v>1.0267659999999999E-3</v>
      </c>
      <c r="AC353" s="14">
        <v>7.8503600000000002E-4</v>
      </c>
      <c r="AD353" s="14">
        <v>5.5891581000000001E-4</v>
      </c>
      <c r="AE353" s="13" t="s">
        <v>93</v>
      </c>
    </row>
    <row r="354" spans="1:31">
      <c r="A354" s="13" t="s">
        <v>260</v>
      </c>
      <c r="B354" s="13" t="s">
        <v>1</v>
      </c>
      <c r="C354" s="13" t="s">
        <v>156</v>
      </c>
      <c r="D354" s="13" t="str">
        <f>IFERROR(VLOOKUP(C354,ghg_sort!$A$86:$B$512,2,0),0)</f>
        <v>Transportation</v>
      </c>
      <c r="E354" s="33" t="s">
        <v>89</v>
      </c>
      <c r="F354" s="13">
        <f>IFERROR(VLOOKUP($E354,ghg_sort!$A$3:$B$21,2,0),0)</f>
        <v>0</v>
      </c>
      <c r="G354" s="13">
        <f t="shared" si="56"/>
        <v>0</v>
      </c>
      <c r="H354" s="13">
        <f t="shared" si="57"/>
        <v>0</v>
      </c>
      <c r="I354" s="13">
        <f t="shared" si="58"/>
        <v>0</v>
      </c>
      <c r="J354" s="13">
        <f t="shared" si="59"/>
        <v>0</v>
      </c>
      <c r="K354" s="13">
        <f t="shared" si="60"/>
        <v>0</v>
      </c>
      <c r="L354" s="13">
        <f t="shared" si="61"/>
        <v>0</v>
      </c>
      <c r="M354" s="13">
        <f t="shared" si="62"/>
        <v>0</v>
      </c>
      <c r="N354" s="13">
        <f t="shared" si="63"/>
        <v>0</v>
      </c>
      <c r="O354" s="13">
        <f t="shared" si="64"/>
        <v>0</v>
      </c>
      <c r="P354" s="13">
        <f t="shared" si="65"/>
        <v>0</v>
      </c>
      <c r="Q354" s="13">
        <f t="shared" si="66"/>
        <v>0</v>
      </c>
      <c r="R354" s="13" t="s">
        <v>239</v>
      </c>
      <c r="T354" s="13">
        <v>6.6216599999999997E-3</v>
      </c>
      <c r="U354" s="13">
        <v>1.71995E-2</v>
      </c>
      <c r="V354" s="14">
        <v>1.25778E-2</v>
      </c>
      <c r="W354" s="14">
        <v>1.0696199999999999E-2</v>
      </c>
      <c r="X354" s="14">
        <v>1.1638409999999899E-2</v>
      </c>
      <c r="Y354" s="14">
        <v>1.204966E-2</v>
      </c>
      <c r="Z354" s="14">
        <v>1.1728730999999999E-2</v>
      </c>
      <c r="AA354" s="14">
        <v>1.0671699999999999E-2</v>
      </c>
      <c r="AB354" s="14">
        <v>8.8907269999999993E-3</v>
      </c>
      <c r="AC354" s="14">
        <v>6.7975989999999997E-3</v>
      </c>
      <c r="AD354" s="14">
        <v>4.83963839999999E-3</v>
      </c>
      <c r="AE354" s="13" t="s">
        <v>93</v>
      </c>
    </row>
    <row r="355" spans="1:31">
      <c r="A355" s="13" t="s">
        <v>260</v>
      </c>
      <c r="B355" s="13" t="s">
        <v>1</v>
      </c>
      <c r="C355" s="13" t="s">
        <v>156</v>
      </c>
      <c r="D355" s="13" t="str">
        <f>IFERROR(VLOOKUP(C355,ghg_sort!$A$86:$B$512,2,0),0)</f>
        <v>Transportation</v>
      </c>
      <c r="E355" s="33" t="s">
        <v>90</v>
      </c>
      <c r="F355" s="13">
        <f>IFERROR(VLOOKUP($E355,ghg_sort!$A$3:$B$21,2,0),0)</f>
        <v>0</v>
      </c>
      <c r="G355" s="13">
        <f t="shared" si="56"/>
        <v>0</v>
      </c>
      <c r="H355" s="13">
        <f t="shared" si="57"/>
        <v>0</v>
      </c>
      <c r="I355" s="13">
        <f t="shared" si="58"/>
        <v>0</v>
      </c>
      <c r="J355" s="13">
        <f t="shared" si="59"/>
        <v>0</v>
      </c>
      <c r="K355" s="13">
        <f t="shared" si="60"/>
        <v>0</v>
      </c>
      <c r="L355" s="13">
        <f t="shared" si="61"/>
        <v>0</v>
      </c>
      <c r="M355" s="13">
        <f t="shared" si="62"/>
        <v>0</v>
      </c>
      <c r="N355" s="13">
        <f t="shared" si="63"/>
        <v>0</v>
      </c>
      <c r="O355" s="13">
        <f t="shared" si="64"/>
        <v>0</v>
      </c>
      <c r="P355" s="13">
        <f t="shared" si="65"/>
        <v>0</v>
      </c>
      <c r="Q355" s="13">
        <f t="shared" si="66"/>
        <v>0</v>
      </c>
      <c r="R355" s="13" t="s">
        <v>239</v>
      </c>
      <c r="T355" s="14">
        <v>0.13123399999999999</v>
      </c>
      <c r="U355" s="14">
        <v>0.246724</v>
      </c>
      <c r="V355" s="14">
        <v>0.14915600000000001</v>
      </c>
      <c r="W355" s="14">
        <v>0.14507800000000001</v>
      </c>
      <c r="X355" s="14">
        <v>0.15785859999999999</v>
      </c>
      <c r="Y355" s="14">
        <v>0.16343669999999999</v>
      </c>
      <c r="Z355" s="14">
        <v>0.1590829</v>
      </c>
      <c r="AA355" s="14">
        <v>0.14474609999999999</v>
      </c>
      <c r="AB355" s="14">
        <v>0.12058989000000001</v>
      </c>
      <c r="AC355" s="14">
        <v>9.2199589999999998E-2</v>
      </c>
      <c r="AD355" s="14">
        <v>6.564267E-2</v>
      </c>
      <c r="AE355" s="13" t="s">
        <v>93</v>
      </c>
    </row>
    <row r="356" spans="1:31">
      <c r="A356" s="13" t="s">
        <v>260</v>
      </c>
      <c r="B356" s="13" t="s">
        <v>1</v>
      </c>
      <c r="C356" s="13" t="s">
        <v>156</v>
      </c>
      <c r="D356" s="13" t="str">
        <f>IFERROR(VLOOKUP(C356,ghg_sort!$A$86:$B$512,2,0),0)</f>
        <v>Transportation</v>
      </c>
      <c r="E356" s="12" t="s">
        <v>91</v>
      </c>
      <c r="F356" s="13">
        <f>IFERROR(VLOOKUP($E356,ghg_sort!$A$3:$B$21,2,0),0)</f>
        <v>0</v>
      </c>
      <c r="G356" s="13">
        <f t="shared" si="56"/>
        <v>0</v>
      </c>
      <c r="H356" s="13">
        <f t="shared" si="57"/>
        <v>0</v>
      </c>
      <c r="I356" s="13">
        <f t="shared" si="58"/>
        <v>0</v>
      </c>
      <c r="J356" s="13">
        <f t="shared" si="59"/>
        <v>0</v>
      </c>
      <c r="K356" s="13">
        <f t="shared" si="60"/>
        <v>0</v>
      </c>
      <c r="L356" s="13">
        <f t="shared" si="61"/>
        <v>0</v>
      </c>
      <c r="M356" s="13">
        <f t="shared" si="62"/>
        <v>0</v>
      </c>
      <c r="N356" s="13">
        <f t="shared" si="63"/>
        <v>0</v>
      </c>
      <c r="O356" s="13">
        <f t="shared" si="64"/>
        <v>0</v>
      </c>
      <c r="P356" s="13">
        <f t="shared" si="65"/>
        <v>0</v>
      </c>
      <c r="Q356" s="13">
        <f t="shared" si="66"/>
        <v>0</v>
      </c>
      <c r="R356" s="13" t="s">
        <v>239</v>
      </c>
      <c r="T356" s="14">
        <v>2.98124E-3</v>
      </c>
      <c r="U356" s="14">
        <v>4.0281900000000001E-3</v>
      </c>
      <c r="V356" s="14">
        <v>1.5020599999999999E-3</v>
      </c>
      <c r="W356" s="14">
        <v>1.3772400000000001E-3</v>
      </c>
      <c r="X356" s="14">
        <v>1.4985619999999999E-3</v>
      </c>
      <c r="Y356" s="14">
        <v>1.5515149999999901E-3</v>
      </c>
      <c r="Z356" s="14">
        <v>1.5101979999999999E-3</v>
      </c>
      <c r="AA356" s="14">
        <v>1.3740902E-3</v>
      </c>
      <c r="AB356" s="14">
        <v>1.1447724E-3</v>
      </c>
      <c r="AC356" s="14">
        <v>8.7526049999999897E-4</v>
      </c>
      <c r="AD356" s="14">
        <v>6.2315210000000001E-4</v>
      </c>
      <c r="AE356" s="13" t="s">
        <v>94</v>
      </c>
    </row>
    <row r="357" spans="1:31">
      <c r="A357" s="13" t="s">
        <v>260</v>
      </c>
      <c r="B357" s="13" t="s">
        <v>1</v>
      </c>
      <c r="C357" s="13" t="s">
        <v>156</v>
      </c>
      <c r="D357" s="13" t="str">
        <f>IFERROR(VLOOKUP(C357,ghg_sort!$A$86:$B$512,2,0),0)</f>
        <v>Transportation</v>
      </c>
      <c r="E357" s="33" t="s">
        <v>92</v>
      </c>
      <c r="F357" s="13">
        <f>IFERROR(VLOOKUP($E357,ghg_sort!$A$3:$B$21,2,0),0)</f>
        <v>0</v>
      </c>
      <c r="G357" s="13">
        <f t="shared" si="56"/>
        <v>0</v>
      </c>
      <c r="H357" s="13">
        <f t="shared" si="57"/>
        <v>0</v>
      </c>
      <c r="I357" s="13">
        <f t="shared" si="58"/>
        <v>0</v>
      </c>
      <c r="J357" s="13">
        <f t="shared" si="59"/>
        <v>0</v>
      </c>
      <c r="K357" s="13">
        <f t="shared" si="60"/>
        <v>0</v>
      </c>
      <c r="L357" s="13">
        <f t="shared" si="61"/>
        <v>0</v>
      </c>
      <c r="M357" s="13">
        <f t="shared" si="62"/>
        <v>0</v>
      </c>
      <c r="N357" s="13">
        <f t="shared" si="63"/>
        <v>0</v>
      </c>
      <c r="O357" s="13">
        <f t="shared" si="64"/>
        <v>0</v>
      </c>
      <c r="P357" s="13">
        <f t="shared" si="65"/>
        <v>0</v>
      </c>
      <c r="Q357" s="13">
        <f t="shared" si="66"/>
        <v>0</v>
      </c>
      <c r="R357" s="13" t="s">
        <v>239</v>
      </c>
      <c r="T357" s="14">
        <v>5.3683699999999999E-3</v>
      </c>
      <c r="U357" s="13">
        <v>2.0508000000000002E-3</v>
      </c>
      <c r="V357" s="14">
        <v>2.8205100000000001E-4</v>
      </c>
      <c r="W357" s="14">
        <v>6.2947599999999993E-5</v>
      </c>
      <c r="X357" s="14">
        <v>6.8492799999999996E-5</v>
      </c>
      <c r="Y357" s="14">
        <v>7.0913049999999994E-5</v>
      </c>
      <c r="Z357" s="14">
        <v>6.9024300000000003E-5</v>
      </c>
      <c r="AA357" s="14">
        <v>6.2803609999999895E-5</v>
      </c>
      <c r="AB357" s="14">
        <v>5.2322509999999898E-5</v>
      </c>
      <c r="AC357" s="14">
        <v>4.0004330000000001E-5</v>
      </c>
      <c r="AD357" s="14">
        <v>2.8481609E-5</v>
      </c>
      <c r="AE357" s="13" t="s">
        <v>93</v>
      </c>
    </row>
    <row r="358" spans="1:31">
      <c r="A358" s="13" t="s">
        <v>260</v>
      </c>
      <c r="B358" s="13" t="s">
        <v>1</v>
      </c>
      <c r="C358" s="13" t="s">
        <v>157</v>
      </c>
      <c r="D358" s="13" t="str">
        <f>IFERROR(VLOOKUP(C358,ghg_sort!$A$86:$B$512,2,0),0)</f>
        <v>Transportation</v>
      </c>
      <c r="E358" s="33" t="s">
        <v>83</v>
      </c>
      <c r="F358" s="13">
        <f>IFERROR(VLOOKUP($E358,ghg_sort!$A$3:$B$21,2,0),0)</f>
        <v>0</v>
      </c>
      <c r="G358" s="13">
        <f t="shared" si="56"/>
        <v>0</v>
      </c>
      <c r="H358" s="13">
        <f t="shared" si="57"/>
        <v>0</v>
      </c>
      <c r="I358" s="13">
        <f t="shared" si="58"/>
        <v>0</v>
      </c>
      <c r="J358" s="13">
        <f t="shared" si="59"/>
        <v>0</v>
      </c>
      <c r="K358" s="13">
        <f t="shared" si="60"/>
        <v>0</v>
      </c>
      <c r="L358" s="13">
        <f t="shared" si="61"/>
        <v>0</v>
      </c>
      <c r="M358" s="13">
        <f t="shared" si="62"/>
        <v>0</v>
      </c>
      <c r="N358" s="13">
        <f t="shared" si="63"/>
        <v>0</v>
      </c>
      <c r="O358" s="13">
        <f t="shared" si="64"/>
        <v>0</v>
      </c>
      <c r="P358" s="13">
        <f t="shared" si="65"/>
        <v>0</v>
      </c>
      <c r="Q358" s="13">
        <f t="shared" si="66"/>
        <v>0</v>
      </c>
      <c r="R358" s="13" t="s">
        <v>239</v>
      </c>
      <c r="T358" s="14">
        <v>4.4623199999999899E-4</v>
      </c>
      <c r="U358" s="14">
        <v>3.9022710000000002E-4</v>
      </c>
      <c r="V358" s="14">
        <v>2.5604300000000001E-4</v>
      </c>
      <c r="W358" s="14">
        <v>1.9460189999999901E-4</v>
      </c>
      <c r="X358" s="14">
        <v>1.4605750000000001E-4</v>
      </c>
      <c r="Y358" s="14">
        <v>1.161246E-4</v>
      </c>
      <c r="Z358" s="14">
        <v>1.008018E-4</v>
      </c>
      <c r="AA358" s="14">
        <v>9.0225499999999897E-5</v>
      </c>
      <c r="AB358" s="14">
        <v>7.9275200000000003E-5</v>
      </c>
      <c r="AC358" s="14">
        <v>6.8801199999999994E-5</v>
      </c>
      <c r="AD358" s="14">
        <v>5.9999600000000001E-5</v>
      </c>
      <c r="AE358" s="13" t="s">
        <v>93</v>
      </c>
    </row>
    <row r="359" spans="1:31">
      <c r="A359" s="13" t="s">
        <v>260</v>
      </c>
      <c r="B359" s="13" t="s">
        <v>1</v>
      </c>
      <c r="C359" s="13" t="s">
        <v>157</v>
      </c>
      <c r="D359" s="13" t="str">
        <f>IFERROR(VLOOKUP(C359,ghg_sort!$A$86:$B$512,2,0),0)</f>
        <v>Transportation</v>
      </c>
      <c r="E359" s="33" t="s">
        <v>84</v>
      </c>
      <c r="F359" s="13">
        <f>IFERROR(VLOOKUP($E359,ghg_sort!$A$3:$B$21,2,0),0)</f>
        <v>25</v>
      </c>
      <c r="G359" s="13">
        <f t="shared" si="56"/>
        <v>8.3063750000000002E-4</v>
      </c>
      <c r="H359" s="13">
        <f t="shared" si="57"/>
        <v>8.3063750000000002E-4</v>
      </c>
      <c r="I359" s="13">
        <f t="shared" si="58"/>
        <v>4.9838249999999997E-4</v>
      </c>
      <c r="J359" s="13">
        <f t="shared" si="59"/>
        <v>3.32255E-4</v>
      </c>
      <c r="K359" s="13">
        <f t="shared" si="60"/>
        <v>3.4225E-4</v>
      </c>
      <c r="L359" s="13">
        <f t="shared" si="61"/>
        <v>3.4224750000000001E-4</v>
      </c>
      <c r="M359" s="13">
        <f t="shared" si="62"/>
        <v>3.3869499999999997E-4</v>
      </c>
      <c r="N359" s="13">
        <f t="shared" si="63"/>
        <v>3.316425E-4</v>
      </c>
      <c r="O359" s="13">
        <f t="shared" si="64"/>
        <v>3.1843749999999998E-4</v>
      </c>
      <c r="P359" s="13">
        <f t="shared" si="65"/>
        <v>3.0124999999999998E-4</v>
      </c>
      <c r="Q359" s="13">
        <f t="shared" si="66"/>
        <v>2.818025E-4</v>
      </c>
      <c r="R359" s="13" t="s">
        <v>239</v>
      </c>
      <c r="T359" s="14">
        <v>3.3225500000000002E-5</v>
      </c>
      <c r="U359" s="14">
        <v>3.3225500000000002E-5</v>
      </c>
      <c r="V359" s="14">
        <v>1.9935299999999999E-5</v>
      </c>
      <c r="W359" s="14">
        <v>1.32902E-5</v>
      </c>
      <c r="X359" s="14">
        <v>1.3689999999999999E-5</v>
      </c>
      <c r="Y359" s="14">
        <v>1.3689900000000001E-5</v>
      </c>
      <c r="Z359" s="14">
        <v>1.3547799999999999E-5</v>
      </c>
      <c r="AA359" s="14">
        <v>1.3265700000000001E-5</v>
      </c>
      <c r="AB359" s="14">
        <v>1.27375E-5</v>
      </c>
      <c r="AC359" s="14">
        <v>1.205E-5</v>
      </c>
      <c r="AD359" s="14">
        <v>1.12721E-5</v>
      </c>
      <c r="AE359" s="13" t="s">
        <v>93</v>
      </c>
    </row>
    <row r="360" spans="1:31">
      <c r="A360" s="13" t="s">
        <v>260</v>
      </c>
      <c r="B360" s="13" t="s">
        <v>1</v>
      </c>
      <c r="C360" s="13" t="s">
        <v>157</v>
      </c>
      <c r="D360" s="13" t="str">
        <f>IFERROR(VLOOKUP(C360,ghg_sort!$A$86:$B$512,2,0),0)</f>
        <v>Transportation</v>
      </c>
      <c r="E360" s="33" t="s">
        <v>85</v>
      </c>
      <c r="F360" s="13">
        <f>IFERROR(VLOOKUP($E360,ghg_sort!$A$3:$B$21,2,0),0)</f>
        <v>0</v>
      </c>
      <c r="G360" s="13">
        <f t="shared" si="56"/>
        <v>0</v>
      </c>
      <c r="H360" s="13">
        <f t="shared" si="57"/>
        <v>0</v>
      </c>
      <c r="I360" s="13">
        <f t="shared" si="58"/>
        <v>0</v>
      </c>
      <c r="J360" s="13">
        <f t="shared" si="59"/>
        <v>0</v>
      </c>
      <c r="K360" s="13">
        <f t="shared" si="60"/>
        <v>0</v>
      </c>
      <c r="L360" s="13">
        <f t="shared" si="61"/>
        <v>0</v>
      </c>
      <c r="M360" s="13">
        <f t="shared" si="62"/>
        <v>0</v>
      </c>
      <c r="N360" s="13">
        <f t="shared" si="63"/>
        <v>0</v>
      </c>
      <c r="O360" s="13">
        <f t="shared" si="64"/>
        <v>0</v>
      </c>
      <c r="P360" s="13">
        <f t="shared" si="65"/>
        <v>0</v>
      </c>
      <c r="Q360" s="13">
        <f t="shared" si="66"/>
        <v>0</v>
      </c>
      <c r="R360" s="13" t="s">
        <v>239</v>
      </c>
      <c r="T360" s="14">
        <v>1.0818029999999999E-2</v>
      </c>
      <c r="U360" s="14">
        <v>8.2368700000000003E-3</v>
      </c>
      <c r="V360" s="14">
        <v>3.82133E-3</v>
      </c>
      <c r="W360" s="14">
        <v>5.6683699999999998E-3</v>
      </c>
      <c r="X360" s="14">
        <v>5.5251240000000002E-3</v>
      </c>
      <c r="Y360" s="14">
        <v>5.2336589999999999E-3</v>
      </c>
      <c r="Z360" s="14">
        <v>5.0471409999999998E-3</v>
      </c>
      <c r="AA360" s="14">
        <v>4.8217870000000001E-3</v>
      </c>
      <c r="AB360" s="14">
        <v>4.4297859999999998E-3</v>
      </c>
      <c r="AC360" s="14">
        <v>4.0166079999999996E-3</v>
      </c>
      <c r="AD360" s="14">
        <v>3.6495339999999999E-3</v>
      </c>
      <c r="AE360" s="13" t="s">
        <v>93</v>
      </c>
    </row>
    <row r="361" spans="1:31">
      <c r="A361" s="13" t="s">
        <v>260</v>
      </c>
      <c r="B361" s="13" t="s">
        <v>1</v>
      </c>
      <c r="C361" s="13" t="s">
        <v>157</v>
      </c>
      <c r="D361" s="13" t="str">
        <f>IFERROR(VLOOKUP(C361,ghg_sort!$A$86:$B$512,2,0),0)</f>
        <v>Transportation</v>
      </c>
      <c r="E361" s="33" t="s">
        <v>86</v>
      </c>
      <c r="F361" s="13">
        <f>IFERROR(VLOOKUP($E361,ghg_sort!$A$3:$B$21,2,0),0)</f>
        <v>3.6666666666666701</v>
      </c>
      <c r="G361" s="13">
        <f t="shared" si="56"/>
        <v>6.3019835999999687</v>
      </c>
      <c r="H361" s="13">
        <f t="shared" si="57"/>
        <v>1.4662779999999975</v>
      </c>
      <c r="I361" s="13">
        <f t="shared" si="58"/>
        <v>1.6585066666666681</v>
      </c>
      <c r="J361" s="13">
        <f t="shared" si="59"/>
        <v>2.0509243333333353</v>
      </c>
      <c r="K361" s="13">
        <f t="shared" si="60"/>
        <v>2.2071830000000023</v>
      </c>
      <c r="L361" s="13">
        <f t="shared" si="61"/>
        <v>2.2129653333333352</v>
      </c>
      <c r="M361" s="13">
        <f t="shared" si="62"/>
        <v>2.1947750000000021</v>
      </c>
      <c r="N361" s="13">
        <f t="shared" si="63"/>
        <v>2.1360349999999984</v>
      </c>
      <c r="O361" s="13">
        <f t="shared" si="64"/>
        <v>2.0024290000000016</v>
      </c>
      <c r="P361" s="13">
        <f t="shared" si="65"/>
        <v>1.8512670000000016</v>
      </c>
      <c r="Q361" s="13">
        <f t="shared" si="66"/>
        <v>1.7071706666666682</v>
      </c>
      <c r="R361" s="13" t="s">
        <v>239</v>
      </c>
      <c r="T361" s="13">
        <v>1.7187227999999899</v>
      </c>
      <c r="U361" s="13">
        <v>0.39989399999999897</v>
      </c>
      <c r="V361" s="13">
        <v>0.45232</v>
      </c>
      <c r="W361" s="14">
        <v>0.55934300000000003</v>
      </c>
      <c r="X361" s="14">
        <v>0.60195900000000002</v>
      </c>
      <c r="Y361" s="14">
        <v>0.60353599999999996</v>
      </c>
      <c r="Z361" s="14">
        <v>0.59857499999999997</v>
      </c>
      <c r="AA361" s="14">
        <v>0.58255499999999905</v>
      </c>
      <c r="AB361" s="14">
        <v>0.54611699999999996</v>
      </c>
      <c r="AC361" s="14">
        <v>0.50489099999999998</v>
      </c>
      <c r="AD361" s="14">
        <v>0.46559200000000001</v>
      </c>
      <c r="AE361" s="13" t="s">
        <v>93</v>
      </c>
    </row>
    <row r="362" spans="1:31">
      <c r="A362" s="13" t="s">
        <v>260</v>
      </c>
      <c r="B362" s="13" t="s">
        <v>1</v>
      </c>
      <c r="C362" s="13" t="s">
        <v>157</v>
      </c>
      <c r="D362" s="13" t="str">
        <f>IFERROR(VLOOKUP(C362,ghg_sort!$A$86:$B$512,2,0),0)</f>
        <v>Transportation</v>
      </c>
      <c r="E362" s="33" t="s">
        <v>87</v>
      </c>
      <c r="F362" s="13">
        <f>IFERROR(VLOOKUP($E362,ghg_sort!$A$3:$B$21,2,0),0)</f>
        <v>298</v>
      </c>
      <c r="G362" s="13">
        <f t="shared" si="56"/>
        <v>0.115008332</v>
      </c>
      <c r="H362" s="13">
        <f t="shared" si="57"/>
        <v>9.1187404E-2</v>
      </c>
      <c r="I362" s="13">
        <f t="shared" si="58"/>
        <v>5.2505216E-2</v>
      </c>
      <c r="J362" s="13">
        <f t="shared" si="59"/>
        <v>5.7523387000000002E-2</v>
      </c>
      <c r="K362" s="13">
        <f t="shared" si="60"/>
        <v>6.1222669600000001E-2</v>
      </c>
      <c r="L362" s="13">
        <f t="shared" si="61"/>
        <v>6.1342882799999998E-2</v>
      </c>
      <c r="M362" s="13">
        <f t="shared" si="62"/>
        <v>6.0805558999999704E-2</v>
      </c>
      <c r="N362" s="13">
        <f t="shared" si="63"/>
        <v>5.9268087599999998E-2</v>
      </c>
      <c r="O362" s="13">
        <f t="shared" si="64"/>
        <v>5.5897230799999996E-2</v>
      </c>
      <c r="P362" s="13">
        <f t="shared" si="65"/>
        <v>5.1983268999999999E-2</v>
      </c>
      <c r="Q362" s="13">
        <f t="shared" si="66"/>
        <v>4.8115616400000005E-2</v>
      </c>
      <c r="R362" s="13" t="s">
        <v>239</v>
      </c>
      <c r="T362" s="14">
        <v>3.8593399999999999E-4</v>
      </c>
      <c r="U362" s="14">
        <v>3.0599799999999998E-4</v>
      </c>
      <c r="V362" s="14">
        <v>1.7619200000000001E-4</v>
      </c>
      <c r="W362" s="14">
        <v>1.9303150000000001E-4</v>
      </c>
      <c r="X362" s="14">
        <v>2.054452E-4</v>
      </c>
      <c r="Y362" s="14">
        <v>2.058486E-4</v>
      </c>
      <c r="Z362" s="14">
        <v>2.0404549999999901E-4</v>
      </c>
      <c r="AA362" s="14">
        <v>1.9888619999999999E-4</v>
      </c>
      <c r="AB362" s="14">
        <v>1.8757459999999999E-4</v>
      </c>
      <c r="AC362" s="14">
        <v>1.744405E-4</v>
      </c>
      <c r="AD362" s="14">
        <v>1.6146180000000001E-4</v>
      </c>
      <c r="AE362" s="13" t="s">
        <v>93</v>
      </c>
    </row>
    <row r="363" spans="1:31">
      <c r="A363" s="13" t="s">
        <v>260</v>
      </c>
      <c r="B363" s="13" t="s">
        <v>1</v>
      </c>
      <c r="C363" s="13" t="s">
        <v>157</v>
      </c>
      <c r="D363" s="13" t="str">
        <f>IFERROR(VLOOKUP(C363,ghg_sort!$A$86:$B$512,2,0),0)</f>
        <v>Transportation</v>
      </c>
      <c r="E363" s="33" t="s">
        <v>88</v>
      </c>
      <c r="F363" s="13">
        <f>IFERROR(VLOOKUP($E363,ghg_sort!$A$3:$B$21,2,0),0)</f>
        <v>0</v>
      </c>
      <c r="G363" s="13">
        <f t="shared" si="56"/>
        <v>0</v>
      </c>
      <c r="H363" s="13">
        <f t="shared" si="57"/>
        <v>0</v>
      </c>
      <c r="I363" s="13">
        <f t="shared" si="58"/>
        <v>0</v>
      </c>
      <c r="J363" s="13">
        <f t="shared" si="59"/>
        <v>0</v>
      </c>
      <c r="K363" s="13">
        <f t="shared" si="60"/>
        <v>0</v>
      </c>
      <c r="L363" s="13">
        <f t="shared" si="61"/>
        <v>0</v>
      </c>
      <c r="M363" s="13">
        <f t="shared" si="62"/>
        <v>0</v>
      </c>
      <c r="N363" s="13">
        <f t="shared" si="63"/>
        <v>0</v>
      </c>
      <c r="O363" s="13">
        <f t="shared" si="64"/>
        <v>0</v>
      </c>
      <c r="P363" s="13">
        <f t="shared" si="65"/>
        <v>0</v>
      </c>
      <c r="Q363" s="13">
        <f t="shared" si="66"/>
        <v>0</v>
      </c>
      <c r="R363" s="13" t="s">
        <v>239</v>
      </c>
      <c r="T363" s="14">
        <v>2.9999999999999997E-4</v>
      </c>
      <c r="U363" s="14">
        <v>1.9000000000000001E-4</v>
      </c>
      <c r="V363" s="14">
        <v>5.0000000000000002E-5</v>
      </c>
      <c r="W363" s="14">
        <v>1.9000000000000001E-4</v>
      </c>
      <c r="X363" s="14">
        <v>2.0826800000000001E-4</v>
      </c>
      <c r="Y363" s="14">
        <v>2.0903600000000001E-4</v>
      </c>
      <c r="Z363" s="14">
        <v>2.0750099999999999E-4</v>
      </c>
      <c r="AA363" s="14">
        <v>2.01449E-4</v>
      </c>
      <c r="AB363" s="14">
        <v>1.86983E-4</v>
      </c>
      <c r="AC363" s="14">
        <v>1.7117200000000001E-4</v>
      </c>
      <c r="AD363" s="14">
        <v>1.5685800000000001E-4</v>
      </c>
      <c r="AE363" s="13" t="s">
        <v>93</v>
      </c>
    </row>
    <row r="364" spans="1:31">
      <c r="A364" s="13" t="s">
        <v>260</v>
      </c>
      <c r="B364" s="13" t="s">
        <v>1</v>
      </c>
      <c r="C364" s="13" t="s">
        <v>157</v>
      </c>
      <c r="D364" s="13" t="str">
        <f>IFERROR(VLOOKUP(C364,ghg_sort!$A$86:$B$512,2,0),0)</f>
        <v>Transportation</v>
      </c>
      <c r="E364" s="33" t="s">
        <v>89</v>
      </c>
      <c r="F364" s="13">
        <f>IFERROR(VLOOKUP($E364,ghg_sort!$A$3:$B$21,2,0),0)</f>
        <v>0</v>
      </c>
      <c r="G364" s="13">
        <f t="shared" si="56"/>
        <v>0</v>
      </c>
      <c r="H364" s="13">
        <f t="shared" si="57"/>
        <v>0</v>
      </c>
      <c r="I364" s="13">
        <f t="shared" si="58"/>
        <v>0</v>
      </c>
      <c r="J364" s="13">
        <f t="shared" si="59"/>
        <v>0</v>
      </c>
      <c r="K364" s="13">
        <f t="shared" si="60"/>
        <v>0</v>
      </c>
      <c r="L364" s="13">
        <f t="shared" si="61"/>
        <v>0</v>
      </c>
      <c r="M364" s="13">
        <f t="shared" si="62"/>
        <v>0</v>
      </c>
      <c r="N364" s="13">
        <f t="shared" si="63"/>
        <v>0</v>
      </c>
      <c r="O364" s="13">
        <f t="shared" si="64"/>
        <v>0</v>
      </c>
      <c r="P364" s="13">
        <f t="shared" si="65"/>
        <v>0</v>
      </c>
      <c r="Q364" s="13">
        <f t="shared" si="66"/>
        <v>0</v>
      </c>
      <c r="R364" s="13" t="s">
        <v>239</v>
      </c>
      <c r="T364" s="14">
        <v>2.5301799999999999E-3</v>
      </c>
      <c r="U364" s="14">
        <v>1.8180500000000001E-3</v>
      </c>
      <c r="V364" s="14">
        <v>1.1198599999999901E-3</v>
      </c>
      <c r="W364" s="14">
        <v>7.7476900000000002E-4</v>
      </c>
      <c r="X364" s="14">
        <v>5.8592699999999998E-4</v>
      </c>
      <c r="Y364" s="14">
        <v>4.6877699999999997E-4</v>
      </c>
      <c r="Z364" s="14">
        <v>4.0867699999999998E-4</v>
      </c>
      <c r="AA364" s="14">
        <v>3.66857E-4</v>
      </c>
      <c r="AB364" s="14">
        <v>3.2300599999999998E-4</v>
      </c>
      <c r="AC364" s="14">
        <v>2.8092999999999998E-4</v>
      </c>
      <c r="AD364" s="14">
        <v>2.4550240000000001E-4</v>
      </c>
      <c r="AE364" s="13" t="s">
        <v>93</v>
      </c>
    </row>
    <row r="365" spans="1:31">
      <c r="A365" s="13" t="s">
        <v>260</v>
      </c>
      <c r="B365" s="13" t="s">
        <v>1</v>
      </c>
      <c r="C365" s="13" t="s">
        <v>157</v>
      </c>
      <c r="D365" s="13" t="str">
        <f>IFERROR(VLOOKUP(C365,ghg_sort!$A$86:$B$512,2,0),0)</f>
        <v>Transportation</v>
      </c>
      <c r="E365" s="33" t="s">
        <v>90</v>
      </c>
      <c r="F365" s="13">
        <f>IFERROR(VLOOKUP($E365,ghg_sort!$A$3:$B$21,2,0),0)</f>
        <v>0</v>
      </c>
      <c r="G365" s="13">
        <f t="shared" si="56"/>
        <v>0</v>
      </c>
      <c r="H365" s="13">
        <f t="shared" si="57"/>
        <v>0</v>
      </c>
      <c r="I365" s="13">
        <f t="shared" si="58"/>
        <v>0</v>
      </c>
      <c r="J365" s="13">
        <f t="shared" si="59"/>
        <v>0</v>
      </c>
      <c r="K365" s="13">
        <f t="shared" si="60"/>
        <v>0</v>
      </c>
      <c r="L365" s="13">
        <f t="shared" si="61"/>
        <v>0</v>
      </c>
      <c r="M365" s="13">
        <f t="shared" si="62"/>
        <v>0</v>
      </c>
      <c r="N365" s="13">
        <f t="shared" si="63"/>
        <v>0</v>
      </c>
      <c r="O365" s="13">
        <f t="shared" si="64"/>
        <v>0</v>
      </c>
      <c r="P365" s="13">
        <f t="shared" si="65"/>
        <v>0</v>
      </c>
      <c r="Q365" s="13">
        <f t="shared" si="66"/>
        <v>0</v>
      </c>
      <c r="R365" s="13" t="s">
        <v>239</v>
      </c>
      <c r="T365" s="13">
        <v>3.05300999999999E-2</v>
      </c>
      <c r="U365" s="13">
        <v>2.2611139999999998E-2</v>
      </c>
      <c r="V365" s="13">
        <v>1.00154299999999E-2</v>
      </c>
      <c r="W365" s="13">
        <v>1.6447320000000001E-2</v>
      </c>
      <c r="X365" s="13">
        <v>1.114152E-2</v>
      </c>
      <c r="Y365" s="13">
        <v>7.6846499999999899E-3</v>
      </c>
      <c r="Z365" s="13">
        <v>5.9661100000000002E-3</v>
      </c>
      <c r="AA365" s="14">
        <v>4.8729899999999998E-3</v>
      </c>
      <c r="AB365" s="14">
        <v>3.904074E-3</v>
      </c>
      <c r="AC365" s="14">
        <v>3.0720740000000002E-3</v>
      </c>
      <c r="AD365" s="14">
        <v>2.4426059999999999E-3</v>
      </c>
      <c r="AE365" s="13" t="s">
        <v>93</v>
      </c>
    </row>
    <row r="366" spans="1:31">
      <c r="A366" s="13" t="s">
        <v>260</v>
      </c>
      <c r="B366" s="13" t="s">
        <v>1</v>
      </c>
      <c r="C366" s="13" t="s">
        <v>157</v>
      </c>
      <c r="D366" s="13" t="str">
        <f>IFERROR(VLOOKUP(C366,ghg_sort!$A$86:$B$512,2,0),0)</f>
        <v>Transportation</v>
      </c>
      <c r="E366" s="12" t="s">
        <v>91</v>
      </c>
      <c r="F366" s="13">
        <f>IFERROR(VLOOKUP($E366,ghg_sort!$A$3:$B$21,2,0),0)</f>
        <v>0</v>
      </c>
      <c r="G366" s="13">
        <f t="shared" si="56"/>
        <v>0</v>
      </c>
      <c r="H366" s="13">
        <f t="shared" si="57"/>
        <v>0</v>
      </c>
      <c r="I366" s="13">
        <f t="shared" si="58"/>
        <v>0</v>
      </c>
      <c r="J366" s="13">
        <f t="shared" si="59"/>
        <v>0</v>
      </c>
      <c r="K366" s="13">
        <f t="shared" si="60"/>
        <v>0</v>
      </c>
      <c r="L366" s="13">
        <f t="shared" si="61"/>
        <v>0</v>
      </c>
      <c r="M366" s="13">
        <f t="shared" si="62"/>
        <v>0</v>
      </c>
      <c r="N366" s="13">
        <f t="shared" si="63"/>
        <v>0</v>
      </c>
      <c r="O366" s="13">
        <f t="shared" si="64"/>
        <v>0</v>
      </c>
      <c r="P366" s="13">
        <f t="shared" si="65"/>
        <v>0</v>
      </c>
      <c r="Q366" s="13">
        <f t="shared" si="66"/>
        <v>0</v>
      </c>
      <c r="R366" s="13" t="s">
        <v>239</v>
      </c>
      <c r="T366" s="14">
        <v>1.59612E-4</v>
      </c>
      <c r="U366" s="14">
        <v>1.26322E-4</v>
      </c>
      <c r="V366" s="14">
        <v>8.9741300000000001E-5</v>
      </c>
      <c r="W366" s="14">
        <v>6.6515700000000004E-5</v>
      </c>
      <c r="X366" s="14">
        <v>5.1964099999999999E-5</v>
      </c>
      <c r="Y366" s="14">
        <v>4.2664999999999999E-5</v>
      </c>
      <c r="Z366" s="14">
        <v>3.7844800000000001E-5</v>
      </c>
      <c r="AA366" s="14">
        <v>3.4362700000000002E-5</v>
      </c>
      <c r="AB366" s="14">
        <v>3.1102200000000002E-5</v>
      </c>
      <c r="AC366" s="14">
        <v>2.8821499999999998E-5</v>
      </c>
      <c r="AD366" s="14">
        <v>2.66174E-5</v>
      </c>
      <c r="AE366" s="13" t="s">
        <v>94</v>
      </c>
    </row>
    <row r="367" spans="1:31">
      <c r="A367" s="13" t="s">
        <v>260</v>
      </c>
      <c r="B367" s="13" t="s">
        <v>1</v>
      </c>
      <c r="C367" s="13" t="s">
        <v>157</v>
      </c>
      <c r="D367" s="13" t="str">
        <f>IFERROR(VLOOKUP(C367,ghg_sort!$A$86:$B$512,2,0),0)</f>
        <v>Transportation</v>
      </c>
      <c r="E367" s="33" t="s">
        <v>92</v>
      </c>
      <c r="F367" s="13">
        <f>IFERROR(VLOOKUP($E367,ghg_sort!$A$3:$B$21,2,0),0)</f>
        <v>0</v>
      </c>
      <c r="G367" s="13">
        <f t="shared" si="56"/>
        <v>0</v>
      </c>
      <c r="H367" s="13">
        <f t="shared" si="57"/>
        <v>0</v>
      </c>
      <c r="I367" s="13">
        <f t="shared" si="58"/>
        <v>0</v>
      </c>
      <c r="J367" s="13">
        <f t="shared" si="59"/>
        <v>0</v>
      </c>
      <c r="K367" s="13">
        <f t="shared" si="60"/>
        <v>0</v>
      </c>
      <c r="L367" s="13">
        <f t="shared" si="61"/>
        <v>0</v>
      </c>
      <c r="M367" s="13">
        <f t="shared" si="62"/>
        <v>0</v>
      </c>
      <c r="N367" s="13">
        <f t="shared" si="63"/>
        <v>0</v>
      </c>
      <c r="O367" s="13">
        <f t="shared" si="64"/>
        <v>0</v>
      </c>
      <c r="P367" s="13">
        <f t="shared" si="65"/>
        <v>0</v>
      </c>
      <c r="Q367" s="13">
        <f t="shared" si="66"/>
        <v>0</v>
      </c>
      <c r="R367" s="13" t="s">
        <v>239</v>
      </c>
      <c r="T367" s="14">
        <v>2.4357720000000001E-3</v>
      </c>
      <c r="U367" s="14">
        <v>1.6381060000000001E-3</v>
      </c>
      <c r="V367" s="14">
        <v>5.4672E-4</v>
      </c>
      <c r="W367" s="14">
        <v>1.4693729999999999E-3</v>
      </c>
      <c r="X367" s="14">
        <v>1.0056602999999999E-3</v>
      </c>
      <c r="Y367" s="14">
        <v>6.9404790000000003E-4</v>
      </c>
      <c r="Z367" s="14">
        <v>5.3910350000000004E-4</v>
      </c>
      <c r="AA367" s="14">
        <v>4.3971799999999899E-4</v>
      </c>
      <c r="AB367" s="14">
        <v>3.5033409999999998E-4</v>
      </c>
      <c r="AC367" s="14">
        <v>2.741563E-4</v>
      </c>
      <c r="AD367" s="14">
        <v>2.1721459999999901E-4</v>
      </c>
      <c r="AE367" s="13" t="s">
        <v>93</v>
      </c>
    </row>
    <row r="368" spans="1:31">
      <c r="A368" s="13" t="s">
        <v>260</v>
      </c>
      <c r="B368" s="13" t="s">
        <v>1</v>
      </c>
      <c r="C368" s="13" t="s">
        <v>158</v>
      </c>
      <c r="D368" s="13" t="str">
        <f>IFERROR(VLOOKUP(C368,ghg_sort!$A$86:$B$512,2,0),0)</f>
        <v>Transportation</v>
      </c>
      <c r="E368" s="33" t="s">
        <v>83</v>
      </c>
      <c r="F368" s="13">
        <f>IFERROR(VLOOKUP($E368,ghg_sort!$A$3:$B$21,2,0),0)</f>
        <v>0</v>
      </c>
      <c r="G368" s="13">
        <f t="shared" si="56"/>
        <v>0</v>
      </c>
      <c r="H368" s="13">
        <f t="shared" si="57"/>
        <v>0</v>
      </c>
      <c r="I368" s="13">
        <f t="shared" si="58"/>
        <v>0</v>
      </c>
      <c r="J368" s="13">
        <f t="shared" si="59"/>
        <v>0</v>
      </c>
      <c r="K368" s="13">
        <f t="shared" si="60"/>
        <v>0</v>
      </c>
      <c r="L368" s="13">
        <f t="shared" si="61"/>
        <v>0</v>
      </c>
      <c r="M368" s="13">
        <f t="shared" si="62"/>
        <v>0</v>
      </c>
      <c r="N368" s="13">
        <f t="shared" si="63"/>
        <v>0</v>
      </c>
      <c r="O368" s="13">
        <f t="shared" si="64"/>
        <v>0</v>
      </c>
      <c r="P368" s="13">
        <f t="shared" si="65"/>
        <v>0</v>
      </c>
      <c r="Q368" s="13">
        <f t="shared" si="66"/>
        <v>0</v>
      </c>
      <c r="R368" s="13" t="s">
        <v>239</v>
      </c>
      <c r="T368" s="14">
        <v>1.3596E-2</v>
      </c>
      <c r="U368" s="14">
        <v>6.58947E-3</v>
      </c>
      <c r="V368" s="14">
        <v>2.8546700000000001E-3</v>
      </c>
      <c r="W368" s="14">
        <v>3.4372199999999999E-3</v>
      </c>
      <c r="X368" s="14">
        <v>2.1278999999999998E-3</v>
      </c>
      <c r="Y368" s="14">
        <v>1.15675E-3</v>
      </c>
      <c r="Z368" s="14">
        <v>6.8198100000000002E-4</v>
      </c>
      <c r="AA368" s="14">
        <v>4.3170300000000002E-4</v>
      </c>
      <c r="AB368" s="14">
        <v>3.0893499999999998E-4</v>
      </c>
      <c r="AC368" s="14">
        <v>2.22403E-4</v>
      </c>
      <c r="AD368" s="14">
        <v>1.62802E-4</v>
      </c>
      <c r="AE368" s="13" t="s">
        <v>93</v>
      </c>
    </row>
    <row r="369" spans="1:31">
      <c r="A369" s="13" t="s">
        <v>260</v>
      </c>
      <c r="B369" s="13" t="s">
        <v>1</v>
      </c>
      <c r="C369" s="13" t="s">
        <v>158</v>
      </c>
      <c r="D369" s="13" t="str">
        <f>IFERROR(VLOOKUP(C369,ghg_sort!$A$86:$B$512,2,0),0)</f>
        <v>Transportation</v>
      </c>
      <c r="E369" s="33" t="s">
        <v>84</v>
      </c>
      <c r="F369" s="13">
        <f>IFERROR(VLOOKUP($E369,ghg_sort!$A$3:$B$21,2,0),0)</f>
        <v>25</v>
      </c>
      <c r="G369" s="13">
        <f t="shared" si="56"/>
        <v>8.7402000000000001E-3</v>
      </c>
      <c r="H369" s="13">
        <f t="shared" si="57"/>
        <v>2.4050393E-2</v>
      </c>
      <c r="I369" s="13">
        <f t="shared" si="58"/>
        <v>4.4712339749999996E-2</v>
      </c>
      <c r="J369" s="13">
        <f t="shared" si="59"/>
        <v>4.8090152999999997E-2</v>
      </c>
      <c r="K369" s="13">
        <f t="shared" si="60"/>
        <v>4.7528418749999995E-2</v>
      </c>
      <c r="L369" s="13">
        <f t="shared" si="61"/>
        <v>3.7602570750000001E-2</v>
      </c>
      <c r="M369" s="13">
        <f t="shared" si="62"/>
        <v>2.8351941250000002E-2</v>
      </c>
      <c r="N369" s="13">
        <f t="shared" si="63"/>
        <v>2.13927465E-2</v>
      </c>
      <c r="O369" s="13">
        <f t="shared" si="64"/>
        <v>1.789253E-2</v>
      </c>
      <c r="P369" s="13">
        <f t="shared" si="65"/>
        <v>1.5118137999999998E-2</v>
      </c>
      <c r="Q369" s="13">
        <f t="shared" si="66"/>
        <v>1.28321415E-2</v>
      </c>
      <c r="R369" s="13" t="s">
        <v>239</v>
      </c>
      <c r="T369" s="14">
        <v>3.49608E-4</v>
      </c>
      <c r="U369" s="14">
        <v>9.6201572000000003E-4</v>
      </c>
      <c r="V369" s="14">
        <v>1.78849359E-3</v>
      </c>
      <c r="W369" s="14">
        <v>1.92360612E-3</v>
      </c>
      <c r="X369" s="14">
        <v>1.9011367499999999E-3</v>
      </c>
      <c r="Y369" s="14">
        <v>1.5041028299999999E-3</v>
      </c>
      <c r="Z369" s="14">
        <v>1.13407765E-3</v>
      </c>
      <c r="AA369" s="14">
        <v>8.5570985999999999E-4</v>
      </c>
      <c r="AB369" s="14">
        <v>7.1570119999999997E-4</v>
      </c>
      <c r="AC369" s="14">
        <v>6.0472551999999995E-4</v>
      </c>
      <c r="AD369" s="14">
        <v>5.1328566000000001E-4</v>
      </c>
      <c r="AE369" s="13" t="s">
        <v>93</v>
      </c>
    </row>
    <row r="370" spans="1:31">
      <c r="A370" s="13" t="s">
        <v>260</v>
      </c>
      <c r="B370" s="13" t="s">
        <v>1</v>
      </c>
      <c r="C370" s="13" t="s">
        <v>158</v>
      </c>
      <c r="D370" s="13" t="str">
        <f>IFERROR(VLOOKUP(C370,ghg_sort!$A$86:$B$512,2,0),0)</f>
        <v>Transportation</v>
      </c>
      <c r="E370" s="33" t="s">
        <v>85</v>
      </c>
      <c r="F370" s="13">
        <f>IFERROR(VLOOKUP($E370,ghg_sort!$A$3:$B$21,2,0),0)</f>
        <v>0</v>
      </c>
      <c r="G370" s="13">
        <f t="shared" si="56"/>
        <v>0</v>
      </c>
      <c r="H370" s="13">
        <f t="shared" si="57"/>
        <v>0</v>
      </c>
      <c r="I370" s="13">
        <f t="shared" si="58"/>
        <v>0</v>
      </c>
      <c r="J370" s="13">
        <f t="shared" si="59"/>
        <v>0</v>
      </c>
      <c r="K370" s="13">
        <f t="shared" si="60"/>
        <v>0</v>
      </c>
      <c r="L370" s="13">
        <f t="shared" si="61"/>
        <v>0</v>
      </c>
      <c r="M370" s="13">
        <f t="shared" si="62"/>
        <v>0</v>
      </c>
      <c r="N370" s="13">
        <f t="shared" si="63"/>
        <v>0</v>
      </c>
      <c r="O370" s="13">
        <f t="shared" si="64"/>
        <v>0</v>
      </c>
      <c r="P370" s="13">
        <f t="shared" si="65"/>
        <v>0</v>
      </c>
      <c r="Q370" s="13">
        <f t="shared" si="66"/>
        <v>0</v>
      </c>
      <c r="R370" s="13" t="s">
        <v>239</v>
      </c>
      <c r="T370" s="14">
        <v>1.2928200000000001E-2</v>
      </c>
      <c r="U370" s="14">
        <v>2.2478156020000001E-2</v>
      </c>
      <c r="V370" s="14">
        <v>3.446382119E-2</v>
      </c>
      <c r="W370" s="14">
        <v>2.9757809289999999E-2</v>
      </c>
      <c r="X370" s="14">
        <v>1.8424398589999998E-2</v>
      </c>
      <c r="Y370" s="14">
        <v>1.166733759E-2</v>
      </c>
      <c r="Z370" s="14">
        <v>8.7894478199999904E-3</v>
      </c>
      <c r="AA370" s="14">
        <v>6.6264905999999998E-3</v>
      </c>
      <c r="AB370" s="14">
        <v>5.53721279E-3</v>
      </c>
      <c r="AC370" s="14">
        <v>4.6738763999999997E-3</v>
      </c>
      <c r="AD370" s="14">
        <v>3.9630958000000001E-3</v>
      </c>
      <c r="AE370" s="13" t="s">
        <v>93</v>
      </c>
    </row>
    <row r="371" spans="1:31">
      <c r="A371" s="13" t="s">
        <v>260</v>
      </c>
      <c r="B371" s="13" t="s">
        <v>1</v>
      </c>
      <c r="C371" s="13" t="s">
        <v>158</v>
      </c>
      <c r="D371" s="13" t="str">
        <f>IFERROR(VLOOKUP(C371,ghg_sort!$A$86:$B$512,2,0),0)</f>
        <v>Transportation</v>
      </c>
      <c r="E371" s="33" t="s">
        <v>86</v>
      </c>
      <c r="F371" s="13">
        <f>IFERROR(VLOOKUP($E371,ghg_sort!$A$3:$B$21,2,0),0)</f>
        <v>3.6666666666666701</v>
      </c>
      <c r="G371" s="13">
        <f t="shared" si="56"/>
        <v>6.1170266666666722</v>
      </c>
      <c r="H371" s="13">
        <f t="shared" si="57"/>
        <v>15.555030333333349</v>
      </c>
      <c r="I371" s="13">
        <f t="shared" si="58"/>
        <v>17.734607000000018</v>
      </c>
      <c r="J371" s="13">
        <f t="shared" si="59"/>
        <v>19.906241666666688</v>
      </c>
      <c r="K371" s="13">
        <f t="shared" si="60"/>
        <v>20.403192333333351</v>
      </c>
      <c r="L371" s="13">
        <f t="shared" si="61"/>
        <v>16.752277666666682</v>
      </c>
      <c r="M371" s="13">
        <f t="shared" si="62"/>
        <v>13.071465000000011</v>
      </c>
      <c r="N371" s="13">
        <f t="shared" si="63"/>
        <v>10.185083333333344</v>
      </c>
      <c r="O371" s="13">
        <f t="shared" si="64"/>
        <v>8.8138563333333426</v>
      </c>
      <c r="P371" s="13">
        <f t="shared" si="65"/>
        <v>7.7229496666666746</v>
      </c>
      <c r="Q371" s="13">
        <f t="shared" si="66"/>
        <v>6.790248666666673</v>
      </c>
      <c r="R371" s="13" t="s">
        <v>239</v>
      </c>
      <c r="T371" s="14">
        <v>1.66828</v>
      </c>
      <c r="U371" s="14">
        <v>4.2422810000000002</v>
      </c>
      <c r="V371" s="14">
        <v>4.8367110000000002</v>
      </c>
      <c r="W371" s="14">
        <v>5.4289750000000003</v>
      </c>
      <c r="X371" s="14">
        <v>5.5645069999999999</v>
      </c>
      <c r="Y371" s="14">
        <v>4.5688029999999999</v>
      </c>
      <c r="Z371" s="14">
        <v>3.5649449999999998</v>
      </c>
      <c r="AA371" s="14">
        <v>2.7777500000000002</v>
      </c>
      <c r="AB371" s="14">
        <v>2.4037790000000001</v>
      </c>
      <c r="AC371" s="14">
        <v>2.1062590000000001</v>
      </c>
      <c r="AD371" s="14">
        <v>1.8518859999999999</v>
      </c>
      <c r="AE371" s="13" t="s">
        <v>93</v>
      </c>
    </row>
    <row r="372" spans="1:31">
      <c r="A372" s="13" t="s">
        <v>260</v>
      </c>
      <c r="B372" s="13" t="s">
        <v>1</v>
      </c>
      <c r="C372" s="13" t="s">
        <v>158</v>
      </c>
      <c r="D372" s="13" t="str">
        <f>IFERROR(VLOOKUP(C372,ghg_sort!$A$86:$B$512,2,0),0)</f>
        <v>Transportation</v>
      </c>
      <c r="E372" s="33" t="s">
        <v>87</v>
      </c>
      <c r="F372" s="13">
        <f>IFERROR(VLOOKUP($E372,ghg_sort!$A$3:$B$21,2,0),0)</f>
        <v>298</v>
      </c>
      <c r="G372" s="13">
        <f t="shared" si="56"/>
        <v>2.23695488E-2</v>
      </c>
      <c r="H372" s="13">
        <f t="shared" si="57"/>
        <v>0.117911746</v>
      </c>
      <c r="I372" s="13">
        <f t="shared" si="58"/>
        <v>0.15359188199999999</v>
      </c>
      <c r="J372" s="13">
        <f t="shared" si="59"/>
        <v>0.172607858</v>
      </c>
      <c r="K372" s="13">
        <f t="shared" si="60"/>
        <v>0.17043603399999999</v>
      </c>
      <c r="L372" s="13">
        <f t="shared" si="61"/>
        <v>0.134712688</v>
      </c>
      <c r="M372" s="13">
        <f t="shared" si="62"/>
        <v>0.10147764200000001</v>
      </c>
      <c r="N372" s="13">
        <f t="shared" si="63"/>
        <v>7.6500473999999999E-2</v>
      </c>
      <c r="O372" s="13">
        <f t="shared" si="64"/>
        <v>6.3921000000000006E-2</v>
      </c>
      <c r="P372" s="13">
        <f t="shared" si="65"/>
        <v>5.3950515999999997E-2</v>
      </c>
      <c r="Q372" s="13">
        <f t="shared" si="66"/>
        <v>4.5742702000000003E-2</v>
      </c>
      <c r="R372" s="13" t="s">
        <v>239</v>
      </c>
      <c r="T372" s="14">
        <v>7.5065600000000002E-5</v>
      </c>
      <c r="U372" s="14">
        <v>3.9567699999999999E-4</v>
      </c>
      <c r="V372" s="14">
        <v>5.1540899999999998E-4</v>
      </c>
      <c r="W372" s="14">
        <v>5.7922099999999999E-4</v>
      </c>
      <c r="X372" s="14">
        <v>5.7193299999999995E-4</v>
      </c>
      <c r="Y372" s="14">
        <v>4.52056E-4</v>
      </c>
      <c r="Z372" s="14">
        <v>3.4052900000000001E-4</v>
      </c>
      <c r="AA372" s="14">
        <v>2.5671299999999999E-4</v>
      </c>
      <c r="AB372" s="14">
        <v>2.1450000000000001E-4</v>
      </c>
      <c r="AC372" s="14">
        <v>1.8104199999999999E-4</v>
      </c>
      <c r="AD372" s="14">
        <v>1.53499E-4</v>
      </c>
      <c r="AE372" s="13" t="s">
        <v>93</v>
      </c>
    </row>
    <row r="373" spans="1:31">
      <c r="A373" s="13" t="s">
        <v>260</v>
      </c>
      <c r="B373" s="13" t="s">
        <v>1</v>
      </c>
      <c r="C373" s="13" t="s">
        <v>158</v>
      </c>
      <c r="D373" s="13" t="str">
        <f>IFERROR(VLOOKUP(C373,ghg_sort!$A$86:$B$512,2,0),0)</f>
        <v>Transportation</v>
      </c>
      <c r="E373" s="33" t="s">
        <v>88</v>
      </c>
      <c r="F373" s="13">
        <f>IFERROR(VLOOKUP($E373,ghg_sort!$A$3:$B$21,2,0),0)</f>
        <v>0</v>
      </c>
      <c r="G373" s="13">
        <f t="shared" si="56"/>
        <v>0</v>
      </c>
      <c r="H373" s="13">
        <f t="shared" si="57"/>
        <v>0</v>
      </c>
      <c r="I373" s="13">
        <f t="shared" si="58"/>
        <v>0</v>
      </c>
      <c r="J373" s="13">
        <f t="shared" si="59"/>
        <v>0</v>
      </c>
      <c r="K373" s="13">
        <f t="shared" si="60"/>
        <v>0</v>
      </c>
      <c r="L373" s="13">
        <f t="shared" si="61"/>
        <v>0</v>
      </c>
      <c r="M373" s="13">
        <f t="shared" si="62"/>
        <v>0</v>
      </c>
      <c r="N373" s="13">
        <f t="shared" si="63"/>
        <v>0</v>
      </c>
      <c r="O373" s="13">
        <f t="shared" si="64"/>
        <v>0</v>
      </c>
      <c r="P373" s="13">
        <f t="shared" si="65"/>
        <v>0</v>
      </c>
      <c r="Q373" s="13">
        <f t="shared" si="66"/>
        <v>0</v>
      </c>
      <c r="R373" s="13" t="s">
        <v>239</v>
      </c>
      <c r="T373" s="14">
        <v>1.26878E-4</v>
      </c>
      <c r="U373" s="14">
        <v>6.5081375399999995E-5</v>
      </c>
      <c r="V373" s="14">
        <v>1.19339090999999E-4</v>
      </c>
      <c r="W373" s="14">
        <v>1.5566700100000001E-4</v>
      </c>
      <c r="X373" s="14">
        <v>1.5375361799999999E-4</v>
      </c>
      <c r="Y373" s="14">
        <v>1.21563693999999E-4</v>
      </c>
      <c r="Z373" s="14">
        <v>9.1599557999999995E-5</v>
      </c>
      <c r="AA373" s="14">
        <v>6.9073646999999997E-5</v>
      </c>
      <c r="AB373" s="14">
        <v>5.7733221999999998E-5</v>
      </c>
      <c r="AC373" s="14">
        <v>4.8745024000000001E-5</v>
      </c>
      <c r="AD373" s="14">
        <v>4.1343364999999999E-5</v>
      </c>
      <c r="AE373" s="13" t="s">
        <v>93</v>
      </c>
    </row>
    <row r="374" spans="1:31">
      <c r="A374" s="13" t="s">
        <v>260</v>
      </c>
      <c r="B374" s="13" t="s">
        <v>1</v>
      </c>
      <c r="C374" s="13" t="s">
        <v>158</v>
      </c>
      <c r="D374" s="13" t="str">
        <f>IFERROR(VLOOKUP(C374,ghg_sort!$A$86:$B$512,2,0),0)</f>
        <v>Transportation</v>
      </c>
      <c r="E374" s="33" t="s">
        <v>89</v>
      </c>
      <c r="F374" s="13">
        <f>IFERROR(VLOOKUP($E374,ghg_sort!$A$3:$B$21,2,0),0)</f>
        <v>0</v>
      </c>
      <c r="G374" s="13">
        <f t="shared" si="56"/>
        <v>0</v>
      </c>
      <c r="H374" s="13">
        <f t="shared" si="57"/>
        <v>0</v>
      </c>
      <c r="I374" s="13">
        <f t="shared" si="58"/>
        <v>0</v>
      </c>
      <c r="J374" s="13">
        <f t="shared" si="59"/>
        <v>0</v>
      </c>
      <c r="K374" s="13">
        <f t="shared" si="60"/>
        <v>0</v>
      </c>
      <c r="L374" s="13">
        <f t="shared" si="61"/>
        <v>0</v>
      </c>
      <c r="M374" s="13">
        <f t="shared" si="62"/>
        <v>0</v>
      </c>
      <c r="N374" s="13">
        <f t="shared" si="63"/>
        <v>0</v>
      </c>
      <c r="O374" s="13">
        <f t="shared" si="64"/>
        <v>0</v>
      </c>
      <c r="P374" s="13">
        <f t="shared" si="65"/>
        <v>0</v>
      </c>
      <c r="Q374" s="13">
        <f t="shared" si="66"/>
        <v>0</v>
      </c>
      <c r="R374" s="13" t="s">
        <v>239</v>
      </c>
      <c r="T374" s="14">
        <v>1.7490100000000001E-3</v>
      </c>
      <c r="U374" s="14">
        <v>3.4698759799999999E-3</v>
      </c>
      <c r="V374" s="14">
        <v>3.56922199E-3</v>
      </c>
      <c r="W374" s="14">
        <v>3.39847146E-3</v>
      </c>
      <c r="X374" s="14">
        <v>2.10493947E-3</v>
      </c>
      <c r="Y374" s="14">
        <v>1.1451394299999999E-3</v>
      </c>
      <c r="Z374" s="14">
        <v>7.7540159999999999E-4</v>
      </c>
      <c r="AA374" s="14">
        <v>5.8475239999999896E-4</v>
      </c>
      <c r="AB374" s="14">
        <v>4.8878145000000003E-4</v>
      </c>
      <c r="AC374" s="14">
        <v>4.1271603999999999E-4</v>
      </c>
      <c r="AD374" s="14">
        <v>3.5007372E-4</v>
      </c>
      <c r="AE374" s="13" t="s">
        <v>93</v>
      </c>
    </row>
    <row r="375" spans="1:31">
      <c r="A375" s="13" t="s">
        <v>260</v>
      </c>
      <c r="B375" s="13" t="s">
        <v>1</v>
      </c>
      <c r="C375" s="13" t="s">
        <v>158</v>
      </c>
      <c r="D375" s="13" t="str">
        <f>IFERROR(VLOOKUP(C375,ghg_sort!$A$86:$B$512,2,0),0)</f>
        <v>Transportation</v>
      </c>
      <c r="E375" s="33" t="s">
        <v>90</v>
      </c>
      <c r="F375" s="13">
        <f>IFERROR(VLOOKUP($E375,ghg_sort!$A$3:$B$21,2,0),0)</f>
        <v>0</v>
      </c>
      <c r="G375" s="13">
        <f t="shared" si="56"/>
        <v>0</v>
      </c>
      <c r="H375" s="13">
        <f t="shared" si="57"/>
        <v>0</v>
      </c>
      <c r="I375" s="13">
        <f t="shared" si="58"/>
        <v>0</v>
      </c>
      <c r="J375" s="13">
        <f t="shared" si="59"/>
        <v>0</v>
      </c>
      <c r="K375" s="13">
        <f t="shared" si="60"/>
        <v>0</v>
      </c>
      <c r="L375" s="13">
        <f t="shared" si="61"/>
        <v>0</v>
      </c>
      <c r="M375" s="13">
        <f t="shared" si="62"/>
        <v>0</v>
      </c>
      <c r="N375" s="13">
        <f t="shared" si="63"/>
        <v>0</v>
      </c>
      <c r="O375" s="13">
        <f t="shared" si="64"/>
        <v>0</v>
      </c>
      <c r="P375" s="13">
        <f t="shared" si="65"/>
        <v>0</v>
      </c>
      <c r="Q375" s="13">
        <f t="shared" si="66"/>
        <v>0</v>
      </c>
      <c r="R375" s="13" t="s">
        <v>239</v>
      </c>
      <c r="T375" s="14">
        <v>3.53254E-2</v>
      </c>
      <c r="U375" s="14">
        <v>7.5293695980000006E-2</v>
      </c>
      <c r="V375" s="14">
        <v>6.4922787639999993E-2</v>
      </c>
      <c r="W375" s="14">
        <v>7.5823528809999999E-2</v>
      </c>
      <c r="X375" s="14">
        <v>4.6941623269999899E-2</v>
      </c>
      <c r="Y375" s="14">
        <v>2.5519089349999999E-2</v>
      </c>
      <c r="Z375" s="14">
        <v>1.5045761519999999E-2</v>
      </c>
      <c r="AA375" s="14">
        <v>9.5246472999999995E-3</v>
      </c>
      <c r="AB375" s="14">
        <v>6.8164362300000003E-3</v>
      </c>
      <c r="AC375" s="14">
        <v>4.90756707999999E-3</v>
      </c>
      <c r="AD375" s="14">
        <v>3.59275446E-3</v>
      </c>
      <c r="AE375" s="13" t="s">
        <v>93</v>
      </c>
    </row>
    <row r="376" spans="1:31">
      <c r="A376" s="13" t="s">
        <v>260</v>
      </c>
      <c r="B376" s="13" t="s">
        <v>1</v>
      </c>
      <c r="C376" s="13" t="s">
        <v>158</v>
      </c>
      <c r="D376" s="13" t="str">
        <f>IFERROR(VLOOKUP(C376,ghg_sort!$A$86:$B$512,2,0),0)</f>
        <v>Transportation</v>
      </c>
      <c r="E376" s="12" t="s">
        <v>91</v>
      </c>
      <c r="F376" s="13">
        <f>IFERROR(VLOOKUP($E376,ghg_sort!$A$3:$B$21,2,0),0)</f>
        <v>0</v>
      </c>
      <c r="G376" s="13">
        <f t="shared" si="56"/>
        <v>0</v>
      </c>
      <c r="H376" s="13">
        <f t="shared" si="57"/>
        <v>0</v>
      </c>
      <c r="I376" s="13">
        <f t="shared" si="58"/>
        <v>0</v>
      </c>
      <c r="J376" s="13">
        <f t="shared" si="59"/>
        <v>0</v>
      </c>
      <c r="K376" s="13">
        <f t="shared" si="60"/>
        <v>0</v>
      </c>
      <c r="L376" s="13">
        <f t="shared" si="61"/>
        <v>0</v>
      </c>
      <c r="M376" s="13">
        <f t="shared" si="62"/>
        <v>0</v>
      </c>
      <c r="N376" s="13">
        <f t="shared" si="63"/>
        <v>0</v>
      </c>
      <c r="O376" s="13">
        <f t="shared" si="64"/>
        <v>0</v>
      </c>
      <c r="P376" s="13">
        <f t="shared" si="65"/>
        <v>0</v>
      </c>
      <c r="Q376" s="13">
        <f t="shared" si="66"/>
        <v>0</v>
      </c>
      <c r="R376" s="13" t="s">
        <v>239</v>
      </c>
      <c r="T376" s="14">
        <v>3.1101100000000001E-3</v>
      </c>
      <c r="U376" s="14">
        <v>2.2842600000000002E-3</v>
      </c>
      <c r="V376" s="14">
        <v>7.0732300000000004E-4</v>
      </c>
      <c r="W376" s="14">
        <v>7.76186E-4</v>
      </c>
      <c r="X376" s="14">
        <v>4.8051799999999998E-4</v>
      </c>
      <c r="Y376" s="14">
        <v>2.6121599999999999E-4</v>
      </c>
      <c r="Z376" s="14">
        <v>1.54003E-4</v>
      </c>
      <c r="AA376" s="14">
        <v>1.1521100000000001E-4</v>
      </c>
      <c r="AB376" s="14">
        <v>9.6265899999999996E-5</v>
      </c>
      <c r="AC376" s="14">
        <v>8.1250500000000004E-5</v>
      </c>
      <c r="AD376" s="14">
        <v>6.8889100000000004E-5</v>
      </c>
      <c r="AE376" s="13" t="s">
        <v>94</v>
      </c>
    </row>
    <row r="377" spans="1:31">
      <c r="A377" s="13" t="s">
        <v>260</v>
      </c>
      <c r="B377" s="13" t="s">
        <v>1</v>
      </c>
      <c r="C377" s="13" t="s">
        <v>158</v>
      </c>
      <c r="D377" s="13" t="str">
        <f>IFERROR(VLOOKUP(C377,ghg_sort!$A$86:$B$512,2,0),0)</f>
        <v>Transportation</v>
      </c>
      <c r="E377" s="33" t="s">
        <v>92</v>
      </c>
      <c r="F377" s="13">
        <f>IFERROR(VLOOKUP($E377,ghg_sort!$A$3:$B$21,2,0),0)</f>
        <v>0</v>
      </c>
      <c r="G377" s="13">
        <f t="shared" si="56"/>
        <v>0</v>
      </c>
      <c r="H377" s="13">
        <f t="shared" si="57"/>
        <v>0</v>
      </c>
      <c r="I377" s="13">
        <f t="shared" si="58"/>
        <v>0</v>
      </c>
      <c r="J377" s="13">
        <f t="shared" si="59"/>
        <v>0</v>
      </c>
      <c r="K377" s="13">
        <f t="shared" si="60"/>
        <v>0</v>
      </c>
      <c r="L377" s="13">
        <f t="shared" si="61"/>
        <v>0</v>
      </c>
      <c r="M377" s="13">
        <f t="shared" si="62"/>
        <v>0</v>
      </c>
      <c r="N377" s="13">
        <f t="shared" si="63"/>
        <v>0</v>
      </c>
      <c r="O377" s="13">
        <f t="shared" si="64"/>
        <v>0</v>
      </c>
      <c r="P377" s="13">
        <f t="shared" si="65"/>
        <v>0</v>
      </c>
      <c r="Q377" s="13">
        <f t="shared" si="66"/>
        <v>0</v>
      </c>
      <c r="R377" s="13" t="s">
        <v>239</v>
      </c>
      <c r="T377" s="14">
        <v>5.6112899999999997E-3</v>
      </c>
      <c r="U377" s="14">
        <v>1.6175572578999999E-3</v>
      </c>
      <c r="V377" s="14">
        <v>2.3538852599999999E-4</v>
      </c>
      <c r="W377" s="14">
        <v>4.10469339999999E-5</v>
      </c>
      <c r="X377" s="14">
        <v>2.5548719E-5</v>
      </c>
      <c r="Y377" s="14">
        <v>1.4005573E-5</v>
      </c>
      <c r="Z377" s="14">
        <v>8.3372140000000004E-6</v>
      </c>
      <c r="AA377" s="14">
        <v>5.3331069999999998E-6</v>
      </c>
      <c r="AB377" s="14">
        <v>3.8659199999999901E-6</v>
      </c>
      <c r="AC377" s="14">
        <v>2.8306929999999999E-6</v>
      </c>
      <c r="AD377" s="14">
        <v>2.1138610000000002E-6</v>
      </c>
      <c r="AE377" s="13" t="s">
        <v>93</v>
      </c>
    </row>
    <row r="378" spans="1:31">
      <c r="A378" s="13" t="s">
        <v>260</v>
      </c>
      <c r="B378" s="13" t="s">
        <v>1</v>
      </c>
      <c r="C378" s="13" t="s">
        <v>159</v>
      </c>
      <c r="D378" s="13" t="str">
        <f>IFERROR(VLOOKUP(C378,ghg_sort!$A$86:$B$512,2,0),0)</f>
        <v>Transportation</v>
      </c>
      <c r="E378" s="33" t="s">
        <v>83</v>
      </c>
      <c r="F378" s="13">
        <f>IFERROR(VLOOKUP($E378,ghg_sort!$A$3:$B$21,2,0),0)</f>
        <v>0</v>
      </c>
      <c r="G378" s="13">
        <f t="shared" si="56"/>
        <v>0</v>
      </c>
      <c r="H378" s="13">
        <f t="shared" si="57"/>
        <v>0</v>
      </c>
      <c r="I378" s="13">
        <f t="shared" si="58"/>
        <v>0</v>
      </c>
      <c r="J378" s="13">
        <f t="shared" si="59"/>
        <v>0</v>
      </c>
      <c r="K378" s="13">
        <f t="shared" si="60"/>
        <v>0</v>
      </c>
      <c r="L378" s="13">
        <f t="shared" si="61"/>
        <v>0</v>
      </c>
      <c r="M378" s="13">
        <f t="shared" si="62"/>
        <v>0</v>
      </c>
      <c r="N378" s="13">
        <f t="shared" si="63"/>
        <v>0</v>
      </c>
      <c r="O378" s="13">
        <f t="shared" si="64"/>
        <v>0</v>
      </c>
      <c r="P378" s="13">
        <f t="shared" si="65"/>
        <v>0</v>
      </c>
      <c r="Q378" s="13">
        <f t="shared" si="66"/>
        <v>0</v>
      </c>
      <c r="R378" s="13" t="s">
        <v>239</v>
      </c>
      <c r="T378" s="14">
        <v>5.64699E-4</v>
      </c>
      <c r="U378" s="14">
        <v>2.7579500000000001E-4</v>
      </c>
      <c r="V378" s="14">
        <v>1.2041599999999999E-4</v>
      </c>
      <c r="W378" s="14">
        <v>1.47651E-4</v>
      </c>
      <c r="X378" s="14">
        <v>1.5664699999999999E-4</v>
      </c>
      <c r="Y378" s="14">
        <v>1.0227599999999999E-4</v>
      </c>
      <c r="Z378" s="14">
        <v>7.1367900000000005E-5</v>
      </c>
      <c r="AA378" s="14">
        <v>5.1991599999999999E-5</v>
      </c>
      <c r="AB378" s="14">
        <v>4.5287600000000003E-5</v>
      </c>
      <c r="AC378" s="14">
        <v>3.8468299999999999E-5</v>
      </c>
      <c r="AD378" s="14">
        <v>3.2671800000000001E-5</v>
      </c>
      <c r="AE378" s="13" t="s">
        <v>93</v>
      </c>
    </row>
    <row r="379" spans="1:31">
      <c r="A379" s="13" t="s">
        <v>260</v>
      </c>
      <c r="B379" s="13" t="s">
        <v>1</v>
      </c>
      <c r="C379" s="13" t="s">
        <v>159</v>
      </c>
      <c r="D379" s="13" t="str">
        <f>IFERROR(VLOOKUP(C379,ghg_sort!$A$86:$B$512,2,0),0)</f>
        <v>Transportation</v>
      </c>
      <c r="E379" s="33" t="s">
        <v>84</v>
      </c>
      <c r="F379" s="13">
        <f>IFERROR(VLOOKUP($E379,ghg_sort!$A$3:$B$21,2,0),0)</f>
        <v>25</v>
      </c>
      <c r="G379" s="13">
        <f t="shared" si="56"/>
        <v>2.4597899999999999E-3</v>
      </c>
      <c r="H379" s="13">
        <f t="shared" si="57"/>
        <v>5.8006500000000001E-3</v>
      </c>
      <c r="I379" s="13">
        <f t="shared" si="58"/>
        <v>6.7903750000000004E-3</v>
      </c>
      <c r="J379" s="13">
        <f t="shared" si="59"/>
        <v>6.3303750000000001E-3</v>
      </c>
      <c r="K379" s="13">
        <f t="shared" si="60"/>
        <v>6.7160499999999995E-3</v>
      </c>
      <c r="L379" s="13">
        <f t="shared" si="61"/>
        <v>4.3849750000000002E-3</v>
      </c>
      <c r="M379" s="13">
        <f t="shared" si="62"/>
        <v>3.059825E-3</v>
      </c>
      <c r="N379" s="13">
        <f t="shared" si="63"/>
        <v>2.2290825E-3</v>
      </c>
      <c r="O379" s="13">
        <f t="shared" si="64"/>
        <v>1.941655E-3</v>
      </c>
      <c r="P379" s="13">
        <f t="shared" si="65"/>
        <v>1.6492875000000001E-3</v>
      </c>
      <c r="Q379" s="13">
        <f t="shared" si="66"/>
        <v>1.4007675E-3</v>
      </c>
      <c r="R379" s="13" t="s">
        <v>239</v>
      </c>
      <c r="T379" s="14">
        <v>9.8391600000000002E-5</v>
      </c>
      <c r="U379" s="14">
        <v>2.32026E-4</v>
      </c>
      <c r="V379" s="14">
        <v>2.7161500000000001E-4</v>
      </c>
      <c r="W379" s="14">
        <v>2.5321499999999999E-4</v>
      </c>
      <c r="X379" s="14">
        <v>2.6864199999999998E-4</v>
      </c>
      <c r="Y379" s="14">
        <v>1.7539899999999999E-4</v>
      </c>
      <c r="Z379" s="14">
        <v>1.2239299999999999E-4</v>
      </c>
      <c r="AA379" s="14">
        <v>8.9163299999999994E-5</v>
      </c>
      <c r="AB379" s="14">
        <v>7.7666199999999998E-5</v>
      </c>
      <c r="AC379" s="14">
        <v>6.5971500000000004E-5</v>
      </c>
      <c r="AD379" s="14">
        <v>5.6030699999999999E-5</v>
      </c>
      <c r="AE379" s="13" t="s">
        <v>93</v>
      </c>
    </row>
    <row r="380" spans="1:31">
      <c r="A380" s="13" t="s">
        <v>260</v>
      </c>
      <c r="B380" s="13" t="s">
        <v>1</v>
      </c>
      <c r="C380" s="13" t="s">
        <v>159</v>
      </c>
      <c r="D380" s="13" t="str">
        <f>IFERROR(VLOOKUP(C380,ghg_sort!$A$86:$B$512,2,0),0)</f>
        <v>Transportation</v>
      </c>
      <c r="E380" s="33" t="s">
        <v>85</v>
      </c>
      <c r="F380" s="13">
        <f>IFERROR(VLOOKUP($E380,ghg_sort!$A$3:$B$21,2,0),0)</f>
        <v>0</v>
      </c>
      <c r="G380" s="13">
        <f t="shared" si="56"/>
        <v>0</v>
      </c>
      <c r="H380" s="13">
        <f t="shared" si="57"/>
        <v>0</v>
      </c>
      <c r="I380" s="13">
        <f t="shared" si="58"/>
        <v>0</v>
      </c>
      <c r="J380" s="13">
        <f t="shared" si="59"/>
        <v>0</v>
      </c>
      <c r="K380" s="13">
        <f t="shared" si="60"/>
        <v>0</v>
      </c>
      <c r="L380" s="13">
        <f t="shared" si="61"/>
        <v>0</v>
      </c>
      <c r="M380" s="13">
        <f t="shared" si="62"/>
        <v>0</v>
      </c>
      <c r="N380" s="13">
        <f t="shared" si="63"/>
        <v>0</v>
      </c>
      <c r="O380" s="13">
        <f t="shared" si="64"/>
        <v>0</v>
      </c>
      <c r="P380" s="13">
        <f t="shared" si="65"/>
        <v>0</v>
      </c>
      <c r="Q380" s="13">
        <f t="shared" si="66"/>
        <v>0</v>
      </c>
      <c r="R380" s="13" t="s">
        <v>239</v>
      </c>
      <c r="T380" s="14">
        <v>6.4334500000000003E-3</v>
      </c>
      <c r="U380" s="14">
        <v>6.3982199999999996E-3</v>
      </c>
      <c r="V380" s="14">
        <v>6.0953500000000002E-3</v>
      </c>
      <c r="W380" s="14">
        <v>4.9874100000000003E-3</v>
      </c>
      <c r="X380" s="14">
        <v>5.2912799999999998E-3</v>
      </c>
      <c r="Y380" s="14">
        <v>3.4547100000000002E-3</v>
      </c>
      <c r="Z380" s="14">
        <v>2.4106900000000001E-3</v>
      </c>
      <c r="AA380" s="14">
        <v>1.7561899999999999E-3</v>
      </c>
      <c r="AB380" s="14">
        <v>1.5297399999999999E-3</v>
      </c>
      <c r="AC380" s="14">
        <v>1.2994E-3</v>
      </c>
      <c r="AD380" s="14">
        <v>1.1035999999999999E-3</v>
      </c>
      <c r="AE380" s="13" t="s">
        <v>93</v>
      </c>
    </row>
    <row r="381" spans="1:31">
      <c r="A381" s="13" t="s">
        <v>260</v>
      </c>
      <c r="B381" s="13" t="s">
        <v>1</v>
      </c>
      <c r="C381" s="13" t="s">
        <v>159</v>
      </c>
      <c r="D381" s="13" t="str">
        <f>IFERROR(VLOOKUP(C381,ghg_sort!$A$86:$B$512,2,0),0)</f>
        <v>Transportation</v>
      </c>
      <c r="E381" s="33" t="s">
        <v>86</v>
      </c>
      <c r="F381" s="13">
        <f>IFERROR(VLOOKUP($E381,ghg_sort!$A$3:$B$21,2,0),0)</f>
        <v>3.6666666666666701</v>
      </c>
      <c r="G381" s="13">
        <f t="shared" si="56"/>
        <v>0.48860166666666716</v>
      </c>
      <c r="H381" s="13">
        <f t="shared" si="57"/>
        <v>1.1868266666666678</v>
      </c>
      <c r="I381" s="13">
        <f t="shared" si="58"/>
        <v>1.2408513333333344</v>
      </c>
      <c r="J381" s="13">
        <f t="shared" si="59"/>
        <v>1.3900920000000012</v>
      </c>
      <c r="K381" s="13">
        <f t="shared" si="60"/>
        <v>1.4747883333333347</v>
      </c>
      <c r="L381" s="13">
        <f t="shared" si="61"/>
        <v>0.96289966666666749</v>
      </c>
      <c r="M381" s="13">
        <f t="shared" si="62"/>
        <v>0.67190933333333391</v>
      </c>
      <c r="N381" s="13">
        <f t="shared" si="63"/>
        <v>0.48948533333333383</v>
      </c>
      <c r="O381" s="13">
        <f t="shared" si="64"/>
        <v>0.42637100000000039</v>
      </c>
      <c r="P381" s="13">
        <f t="shared" si="65"/>
        <v>0.36216913333333367</v>
      </c>
      <c r="Q381" s="13">
        <f t="shared" si="66"/>
        <v>0.30759630000000032</v>
      </c>
      <c r="R381" s="13" t="s">
        <v>239</v>
      </c>
      <c r="T381" s="13">
        <v>0.13325500000000001</v>
      </c>
      <c r="U381" s="13">
        <v>0.32368000000000002</v>
      </c>
      <c r="V381" s="14">
        <v>0.33841399999999999</v>
      </c>
      <c r="W381" s="14">
        <v>0.37911600000000001</v>
      </c>
      <c r="X381" s="14">
        <v>0.40221499999999999</v>
      </c>
      <c r="Y381" s="14">
        <v>0.26260899999999998</v>
      </c>
      <c r="Z381" s="14">
        <v>0.18324799999999999</v>
      </c>
      <c r="AA381" s="14">
        <v>0.133496</v>
      </c>
      <c r="AB381" s="14">
        <v>0.116283</v>
      </c>
      <c r="AC381" s="14">
        <v>9.8773399999999997E-2</v>
      </c>
      <c r="AD381" s="14">
        <v>8.3889900000000003E-2</v>
      </c>
      <c r="AE381" s="13" t="s">
        <v>93</v>
      </c>
    </row>
    <row r="382" spans="1:31">
      <c r="A382" s="13" t="s">
        <v>260</v>
      </c>
      <c r="B382" s="13" t="s">
        <v>1</v>
      </c>
      <c r="C382" s="13" t="s">
        <v>159</v>
      </c>
      <c r="D382" s="13" t="str">
        <f>IFERROR(VLOOKUP(C382,ghg_sort!$A$86:$B$512,2,0),0)</f>
        <v>Transportation</v>
      </c>
      <c r="E382" s="33" t="s">
        <v>87</v>
      </c>
      <c r="F382" s="13">
        <f>IFERROR(VLOOKUP($E382,ghg_sort!$A$3:$B$21,2,0),0)</f>
        <v>298</v>
      </c>
      <c r="G382" s="13">
        <f t="shared" si="56"/>
        <v>1.9076618999999998E-3</v>
      </c>
      <c r="H382" s="13">
        <f t="shared" si="57"/>
        <v>6.7630206E-3</v>
      </c>
      <c r="I382" s="13">
        <f t="shared" si="58"/>
        <v>7.3956150000000003E-3</v>
      </c>
      <c r="J382" s="13">
        <f t="shared" si="59"/>
        <v>8.4140002000000005E-3</v>
      </c>
      <c r="K382" s="13">
        <f t="shared" si="60"/>
        <v>8.9266495999999994E-3</v>
      </c>
      <c r="L382" s="13">
        <f t="shared" si="61"/>
        <v>5.8282840000000004E-3</v>
      </c>
      <c r="M382" s="13">
        <f t="shared" si="62"/>
        <v>4.0669549999999997E-3</v>
      </c>
      <c r="N382" s="13">
        <f t="shared" si="63"/>
        <v>2.96278454E-3</v>
      </c>
      <c r="O382" s="13">
        <f t="shared" si="64"/>
        <v>2.5807515200000001E-3</v>
      </c>
      <c r="P382" s="13">
        <f t="shared" si="65"/>
        <v>2.1921505799999998E-3</v>
      </c>
      <c r="Q382" s="13">
        <f t="shared" si="66"/>
        <v>1.8618294999999999E-3</v>
      </c>
      <c r="R382" s="13" t="s">
        <v>239</v>
      </c>
      <c r="T382" s="14">
        <v>6.4015499999999997E-6</v>
      </c>
      <c r="U382" s="14">
        <v>2.2694700000000001E-5</v>
      </c>
      <c r="V382" s="14">
        <v>2.4817500000000001E-5</v>
      </c>
      <c r="W382" s="14">
        <v>2.82349E-5</v>
      </c>
      <c r="X382" s="14">
        <v>2.9955200000000001E-5</v>
      </c>
      <c r="Y382" s="14">
        <v>1.9558000000000001E-5</v>
      </c>
      <c r="Z382" s="14">
        <v>1.3647499999999999E-5</v>
      </c>
      <c r="AA382" s="14">
        <v>9.9422299999999998E-6</v>
      </c>
      <c r="AB382" s="14">
        <v>8.6602399999999999E-6</v>
      </c>
      <c r="AC382" s="14">
        <v>7.3562099999999998E-6</v>
      </c>
      <c r="AD382" s="14">
        <v>6.2477499999999996E-6</v>
      </c>
      <c r="AE382" s="13" t="s">
        <v>93</v>
      </c>
    </row>
    <row r="383" spans="1:31">
      <c r="A383" s="13" t="s">
        <v>260</v>
      </c>
      <c r="B383" s="13" t="s">
        <v>1</v>
      </c>
      <c r="C383" s="13" t="s">
        <v>159</v>
      </c>
      <c r="D383" s="13" t="str">
        <f>IFERROR(VLOOKUP(C383,ghg_sort!$A$86:$B$512,2,0),0)</f>
        <v>Transportation</v>
      </c>
      <c r="E383" s="33" t="s">
        <v>88</v>
      </c>
      <c r="F383" s="13">
        <f>IFERROR(VLOOKUP($E383,ghg_sort!$A$3:$B$21,2,0),0)</f>
        <v>0</v>
      </c>
      <c r="G383" s="13">
        <f t="shared" si="56"/>
        <v>0</v>
      </c>
      <c r="H383" s="13">
        <f t="shared" si="57"/>
        <v>0</v>
      </c>
      <c r="I383" s="13">
        <f t="shared" si="58"/>
        <v>0</v>
      </c>
      <c r="J383" s="13">
        <f t="shared" si="59"/>
        <v>0</v>
      </c>
      <c r="K383" s="13">
        <f t="shared" si="60"/>
        <v>0</v>
      </c>
      <c r="L383" s="13">
        <f t="shared" si="61"/>
        <v>0</v>
      </c>
      <c r="M383" s="13">
        <f t="shared" si="62"/>
        <v>0</v>
      </c>
      <c r="N383" s="13">
        <f t="shared" si="63"/>
        <v>0</v>
      </c>
      <c r="O383" s="13">
        <f t="shared" si="64"/>
        <v>0</v>
      </c>
      <c r="P383" s="13">
        <f t="shared" si="65"/>
        <v>0</v>
      </c>
      <c r="Q383" s="13">
        <f t="shared" si="66"/>
        <v>0</v>
      </c>
      <c r="R383" s="13" t="s">
        <v>239</v>
      </c>
      <c r="T383" s="14">
        <v>1.3857E-5</v>
      </c>
      <c r="U383" s="14">
        <v>8.3866800000000001E-5</v>
      </c>
      <c r="V383" s="14">
        <v>9.2505500000000004E-5</v>
      </c>
      <c r="W383" s="14">
        <v>9.1538800000000005E-5</v>
      </c>
      <c r="X383" s="14">
        <v>9.7115999999999996E-5</v>
      </c>
      <c r="Y383" s="14">
        <v>6.3407700000000006E-5</v>
      </c>
      <c r="Z383" s="14">
        <v>4.4245800000000002E-5</v>
      </c>
      <c r="AA383" s="14">
        <v>3.2233100000000001E-5</v>
      </c>
      <c r="AB383" s="14">
        <v>2.8076799999999999E-5</v>
      </c>
      <c r="AC383" s="14">
        <v>2.3849099999999998E-5</v>
      </c>
      <c r="AD383" s="14">
        <v>2.0255499999999999E-5</v>
      </c>
      <c r="AE383" s="13" t="s">
        <v>93</v>
      </c>
    </row>
    <row r="384" spans="1:31">
      <c r="A384" s="13" t="s">
        <v>260</v>
      </c>
      <c r="B384" s="13" t="s">
        <v>1</v>
      </c>
      <c r="C384" s="13" t="s">
        <v>159</v>
      </c>
      <c r="D384" s="13" t="str">
        <f>IFERROR(VLOOKUP(C384,ghg_sort!$A$86:$B$512,2,0),0)</f>
        <v>Transportation</v>
      </c>
      <c r="E384" s="33" t="s">
        <v>89</v>
      </c>
      <c r="F384" s="13">
        <f>IFERROR(VLOOKUP($E384,ghg_sort!$A$3:$B$21,2,0),0)</f>
        <v>0</v>
      </c>
      <c r="G384" s="13">
        <f t="shared" si="56"/>
        <v>0</v>
      </c>
      <c r="H384" s="13">
        <f t="shared" si="57"/>
        <v>0</v>
      </c>
      <c r="I384" s="13">
        <f t="shared" si="58"/>
        <v>0</v>
      </c>
      <c r="J384" s="13">
        <f t="shared" si="59"/>
        <v>0</v>
      </c>
      <c r="K384" s="13">
        <f t="shared" si="60"/>
        <v>0</v>
      </c>
      <c r="L384" s="13">
        <f t="shared" si="61"/>
        <v>0</v>
      </c>
      <c r="M384" s="13">
        <f t="shared" si="62"/>
        <v>0</v>
      </c>
      <c r="N384" s="13">
        <f t="shared" si="63"/>
        <v>0</v>
      </c>
      <c r="O384" s="13">
        <f t="shared" si="64"/>
        <v>0</v>
      </c>
      <c r="P384" s="13">
        <f t="shared" si="65"/>
        <v>0</v>
      </c>
      <c r="Q384" s="13">
        <f t="shared" si="66"/>
        <v>0</v>
      </c>
      <c r="R384" s="13" t="s">
        <v>239</v>
      </c>
      <c r="T384" s="14">
        <v>1.1725500000000001E-3</v>
      </c>
      <c r="U384" s="14">
        <v>1.16171E-3</v>
      </c>
      <c r="V384" s="14">
        <v>6.8313399999999995E-4</v>
      </c>
      <c r="W384" s="14">
        <v>6.0138800000000001E-4</v>
      </c>
      <c r="X384" s="14">
        <v>6.3802900000000003E-4</v>
      </c>
      <c r="Y384" s="14">
        <v>4.1657400000000001E-4</v>
      </c>
      <c r="Z384" s="14">
        <v>2.9068399999999998E-4</v>
      </c>
      <c r="AA384" s="14">
        <v>2.11764E-4</v>
      </c>
      <c r="AB384" s="14">
        <v>1.84458E-4</v>
      </c>
      <c r="AC384" s="14">
        <v>1.5668299999999999E-4</v>
      </c>
      <c r="AD384" s="14">
        <v>1.3307400000000001E-4</v>
      </c>
      <c r="AE384" s="13" t="s">
        <v>93</v>
      </c>
    </row>
    <row r="385" spans="1:31">
      <c r="A385" s="13" t="s">
        <v>260</v>
      </c>
      <c r="B385" s="13" t="s">
        <v>1</v>
      </c>
      <c r="C385" s="13" t="s">
        <v>159</v>
      </c>
      <c r="D385" s="13" t="str">
        <f>IFERROR(VLOOKUP(C385,ghg_sort!$A$86:$B$512,2,0),0)</f>
        <v>Transportation</v>
      </c>
      <c r="E385" s="33" t="s">
        <v>90</v>
      </c>
      <c r="F385" s="13">
        <f>IFERROR(VLOOKUP($E385,ghg_sort!$A$3:$B$21,2,0),0)</f>
        <v>0</v>
      </c>
      <c r="G385" s="13">
        <f t="shared" si="56"/>
        <v>0</v>
      </c>
      <c r="H385" s="13">
        <f t="shared" si="57"/>
        <v>0</v>
      </c>
      <c r="I385" s="13">
        <f t="shared" si="58"/>
        <v>0</v>
      </c>
      <c r="J385" s="13">
        <f t="shared" si="59"/>
        <v>0</v>
      </c>
      <c r="K385" s="13">
        <f t="shared" si="60"/>
        <v>0</v>
      </c>
      <c r="L385" s="13">
        <f t="shared" si="61"/>
        <v>0</v>
      </c>
      <c r="M385" s="13">
        <f t="shared" si="62"/>
        <v>0</v>
      </c>
      <c r="N385" s="13">
        <f t="shared" si="63"/>
        <v>0</v>
      </c>
      <c r="O385" s="13">
        <f t="shared" si="64"/>
        <v>0</v>
      </c>
      <c r="P385" s="13">
        <f t="shared" si="65"/>
        <v>0</v>
      </c>
      <c r="Q385" s="13">
        <f t="shared" si="66"/>
        <v>0</v>
      </c>
      <c r="R385" s="13" t="s">
        <v>239</v>
      </c>
      <c r="T385" s="13">
        <v>3.0125299999999998E-3</v>
      </c>
      <c r="U385" s="14">
        <v>4.31855E-3</v>
      </c>
      <c r="V385" s="14">
        <v>3.1260099999999998E-3</v>
      </c>
      <c r="W385" s="14">
        <v>3.6960399999999998E-3</v>
      </c>
      <c r="X385" s="14">
        <v>3.9212199999999996E-3</v>
      </c>
      <c r="Y385" s="14">
        <v>2.5601999999999999E-3</v>
      </c>
      <c r="Z385" s="14">
        <v>1.7864999999999999E-3</v>
      </c>
      <c r="AA385" s="14">
        <v>1.3014700000000001E-3</v>
      </c>
      <c r="AB385" s="14">
        <v>1.1336499999999999E-3</v>
      </c>
      <c r="AC385" s="14">
        <v>9.6294900000000005E-4</v>
      </c>
      <c r="AD385" s="14">
        <v>8.1784900000000005E-4</v>
      </c>
      <c r="AE385" s="13" t="s">
        <v>93</v>
      </c>
    </row>
    <row r="386" spans="1:31">
      <c r="A386" s="13" t="s">
        <v>260</v>
      </c>
      <c r="B386" s="13" t="s">
        <v>1</v>
      </c>
      <c r="C386" s="13" t="s">
        <v>159</v>
      </c>
      <c r="D386" s="13" t="str">
        <f>IFERROR(VLOOKUP(C386,ghg_sort!$A$86:$B$512,2,0),0)</f>
        <v>Transportation</v>
      </c>
      <c r="E386" s="12" t="s">
        <v>91</v>
      </c>
      <c r="F386" s="13">
        <f>IFERROR(VLOOKUP($E386,ghg_sort!$A$3:$B$21,2,0),0)</f>
        <v>0</v>
      </c>
      <c r="G386" s="13">
        <f t="shared" si="56"/>
        <v>0</v>
      </c>
      <c r="H386" s="13">
        <f t="shared" si="57"/>
        <v>0</v>
      </c>
      <c r="I386" s="13">
        <f t="shared" si="58"/>
        <v>0</v>
      </c>
      <c r="J386" s="13">
        <f t="shared" si="59"/>
        <v>0</v>
      </c>
      <c r="K386" s="13">
        <f t="shared" si="60"/>
        <v>0</v>
      </c>
      <c r="L386" s="13">
        <f t="shared" si="61"/>
        <v>0</v>
      </c>
      <c r="M386" s="13">
        <f t="shared" si="62"/>
        <v>0</v>
      </c>
      <c r="N386" s="13">
        <f t="shared" si="63"/>
        <v>0</v>
      </c>
      <c r="O386" s="13">
        <f t="shared" si="64"/>
        <v>0</v>
      </c>
      <c r="P386" s="13">
        <f t="shared" si="65"/>
        <v>0</v>
      </c>
      <c r="Q386" s="13">
        <f t="shared" si="66"/>
        <v>0</v>
      </c>
      <c r="R386" s="13" t="s">
        <v>239</v>
      </c>
      <c r="T386" s="14">
        <v>1.59617E-4</v>
      </c>
      <c r="U386" s="14">
        <v>1.1979799999999999E-4</v>
      </c>
      <c r="V386" s="14">
        <v>3.7629999999999997E-5</v>
      </c>
      <c r="W386" s="14">
        <v>4.4078E-5</v>
      </c>
      <c r="X386" s="14">
        <v>4.67635E-5</v>
      </c>
      <c r="Y386" s="14">
        <v>3.0532199999999999E-5</v>
      </c>
      <c r="Z386" s="14">
        <v>2.1305300000000001E-5</v>
      </c>
      <c r="AA386" s="14">
        <v>1.5520999999999999E-5</v>
      </c>
      <c r="AB386" s="14">
        <v>1.35196E-5</v>
      </c>
      <c r="AC386" s="14">
        <v>1.14839E-5</v>
      </c>
      <c r="AD386" s="14">
        <v>9.7534599999999996E-6</v>
      </c>
      <c r="AE386" s="13" t="s">
        <v>94</v>
      </c>
    </row>
    <row r="387" spans="1:31">
      <c r="A387" s="13" t="s">
        <v>260</v>
      </c>
      <c r="B387" s="13" t="s">
        <v>1</v>
      </c>
      <c r="C387" s="13" t="s">
        <v>159</v>
      </c>
      <c r="D387" s="13" t="str">
        <f>IFERROR(VLOOKUP(C387,ghg_sort!$A$86:$B$512,2,0),0)</f>
        <v>Transportation</v>
      </c>
      <c r="E387" s="33" t="s">
        <v>92</v>
      </c>
      <c r="F387" s="13">
        <f>IFERROR(VLOOKUP($E387,ghg_sort!$A$3:$B$21,2,0),0)</f>
        <v>0</v>
      </c>
      <c r="G387" s="13">
        <f t="shared" si="56"/>
        <v>0</v>
      </c>
      <c r="H387" s="13">
        <f t="shared" si="57"/>
        <v>0</v>
      </c>
      <c r="I387" s="13">
        <f t="shared" si="58"/>
        <v>0</v>
      </c>
      <c r="J387" s="13">
        <f t="shared" si="59"/>
        <v>0</v>
      </c>
      <c r="K387" s="13">
        <f t="shared" si="60"/>
        <v>0</v>
      </c>
      <c r="L387" s="13">
        <f t="shared" si="61"/>
        <v>0</v>
      </c>
      <c r="M387" s="13">
        <f t="shared" si="62"/>
        <v>0</v>
      </c>
      <c r="N387" s="13">
        <f t="shared" si="63"/>
        <v>0</v>
      </c>
      <c r="O387" s="13">
        <f t="shared" si="64"/>
        <v>0</v>
      </c>
      <c r="P387" s="13">
        <f t="shared" si="65"/>
        <v>0</v>
      </c>
      <c r="Q387" s="13">
        <f t="shared" si="66"/>
        <v>0</v>
      </c>
      <c r="R387" s="13" t="s">
        <v>239</v>
      </c>
      <c r="T387" s="14">
        <v>2.4656899999999998E-4</v>
      </c>
      <c r="U387" s="14">
        <v>7.9672799999999994E-5</v>
      </c>
      <c r="V387" s="14">
        <v>1.0964E-5</v>
      </c>
      <c r="W387" s="14">
        <v>2.5864899999999999E-6</v>
      </c>
      <c r="X387" s="14">
        <v>2.74408E-6</v>
      </c>
      <c r="Y387" s="14">
        <v>1.7916299999999999E-6</v>
      </c>
      <c r="Z387" s="14">
        <v>1.2501900000000001E-6</v>
      </c>
      <c r="AA387" s="14">
        <v>9.1076900000000002E-7</v>
      </c>
      <c r="AB387" s="14">
        <v>7.9332999999999997E-7</v>
      </c>
      <c r="AC387" s="14">
        <v>6.7387300000000002E-7</v>
      </c>
      <c r="AD387" s="14">
        <v>5.7233200000000005E-7</v>
      </c>
      <c r="AE387" s="13" t="s">
        <v>93</v>
      </c>
    </row>
    <row r="388" spans="1:31">
      <c r="A388" s="13" t="s">
        <v>260</v>
      </c>
      <c r="B388" s="13" t="s">
        <v>1</v>
      </c>
      <c r="C388" s="13" t="s">
        <v>160</v>
      </c>
      <c r="D388" s="13" t="str">
        <f>IFERROR(VLOOKUP(C388,ghg_sort!$A$86:$B$512,2,0),0)</f>
        <v>Transportation</v>
      </c>
      <c r="E388" s="33" t="s">
        <v>83</v>
      </c>
      <c r="F388" s="13">
        <f>IFERROR(VLOOKUP($E388,ghg_sort!$A$3:$B$21,2,0),0)</f>
        <v>0</v>
      </c>
      <c r="G388" s="13">
        <f t="shared" ref="G388:G418" si="67">T388*$F388</f>
        <v>0</v>
      </c>
      <c r="H388" s="13">
        <f t="shared" ref="H388:H418" si="68">U388*$F388</f>
        <v>0</v>
      </c>
      <c r="I388" s="13">
        <f t="shared" ref="I388:I418" si="69">V388*$F388</f>
        <v>0</v>
      </c>
      <c r="J388" s="13">
        <f t="shared" ref="J388:J418" si="70">W388*$F388</f>
        <v>0</v>
      </c>
      <c r="K388" s="13">
        <f t="shared" ref="K388:K418" si="71">X388*$F388</f>
        <v>0</v>
      </c>
      <c r="L388" s="13">
        <f t="shared" ref="L388:L418" si="72">Y388*$F388</f>
        <v>0</v>
      </c>
      <c r="M388" s="13">
        <f t="shared" ref="M388:M418" si="73">Z388*$F388</f>
        <v>0</v>
      </c>
      <c r="N388" s="13">
        <f t="shared" ref="N388:N418" si="74">AA388*$F388</f>
        <v>0</v>
      </c>
      <c r="O388" s="13">
        <f t="shared" ref="O388:O418" si="75">AB388*$F388</f>
        <v>0</v>
      </c>
      <c r="P388" s="13">
        <f t="shared" ref="P388:P418" si="76">AC388*$F388</f>
        <v>0</v>
      </c>
      <c r="Q388" s="13">
        <f t="shared" ref="Q388:Q418" si="77">AD388*$F388</f>
        <v>0</v>
      </c>
      <c r="R388" s="13" t="s">
        <v>239</v>
      </c>
      <c r="T388" s="14">
        <v>1.4639919999999999E-3</v>
      </c>
      <c r="U388" s="14">
        <v>8.5176499999999999E-4</v>
      </c>
      <c r="V388" s="14">
        <v>4.3218299999999999E-4</v>
      </c>
      <c r="W388" s="14">
        <v>7.0001700000000004E-4</v>
      </c>
      <c r="X388" s="14">
        <v>6.896971E-4</v>
      </c>
      <c r="Y388" s="14">
        <v>5.8563509999999997E-4</v>
      </c>
      <c r="Z388" s="14">
        <v>3.9805299999999999E-4</v>
      </c>
      <c r="AA388" s="14">
        <v>2.3984700000000001E-4</v>
      </c>
      <c r="AB388" s="14">
        <v>1.08963139999999E-4</v>
      </c>
      <c r="AC388" s="14">
        <v>5.7426780000000002E-5</v>
      </c>
      <c r="AD388" s="14">
        <v>2.85795E-5</v>
      </c>
      <c r="AE388" s="13" t="s">
        <v>93</v>
      </c>
    </row>
    <row r="389" spans="1:31">
      <c r="A389" s="13" t="s">
        <v>260</v>
      </c>
      <c r="B389" s="13" t="s">
        <v>1</v>
      </c>
      <c r="C389" s="13" t="s">
        <v>160</v>
      </c>
      <c r="D389" s="13" t="str">
        <f>IFERROR(VLOOKUP(C389,ghg_sort!$A$86:$B$512,2,0),0)</f>
        <v>Transportation</v>
      </c>
      <c r="E389" s="33" t="s">
        <v>84</v>
      </c>
      <c r="F389" s="13">
        <f>IFERROR(VLOOKUP($E389,ghg_sort!$A$3:$B$21,2,0),0)</f>
        <v>25</v>
      </c>
      <c r="G389" s="13">
        <f t="shared" si="67"/>
        <v>0.14242574999999999</v>
      </c>
      <c r="H389" s="13">
        <f t="shared" si="68"/>
        <v>0.32672488032000002</v>
      </c>
      <c r="I389" s="13">
        <f t="shared" si="69"/>
        <v>0.33807386150500002</v>
      </c>
      <c r="J389" s="13">
        <f t="shared" si="70"/>
        <v>0.29794970318249997</v>
      </c>
      <c r="K389" s="13">
        <f t="shared" si="71"/>
        <v>0.29356656978000001</v>
      </c>
      <c r="L389" s="13">
        <f t="shared" si="72"/>
        <v>0.24928559712249976</v>
      </c>
      <c r="M389" s="13">
        <f t="shared" si="73"/>
        <v>0.16944876709250001</v>
      </c>
      <c r="N389" s="13">
        <f t="shared" si="74"/>
        <v>0.10211069921949999</v>
      </c>
      <c r="O389" s="13">
        <f t="shared" si="75"/>
        <v>4.6398802767499754E-2</v>
      </c>
      <c r="P389" s="13">
        <f t="shared" si="76"/>
        <v>2.4457916687500001E-2</v>
      </c>
      <c r="Q389" s="13">
        <f t="shared" si="77"/>
        <v>1.2175000307499999E-2</v>
      </c>
      <c r="R389" s="13" t="s">
        <v>239</v>
      </c>
      <c r="T389" s="14">
        <v>5.6970299999999996E-3</v>
      </c>
      <c r="U389" s="14">
        <v>1.30689952128E-2</v>
      </c>
      <c r="V389" s="14">
        <v>1.35229544602E-2</v>
      </c>
      <c r="W389" s="14">
        <v>1.19179881273E-2</v>
      </c>
      <c r="X389" s="14">
        <v>1.1742662791200001E-2</v>
      </c>
      <c r="Y389" s="14">
        <v>9.9714238848999902E-3</v>
      </c>
      <c r="Z389" s="14">
        <v>6.7779506836999999E-3</v>
      </c>
      <c r="AA389" s="14">
        <v>4.0844279687799996E-3</v>
      </c>
      <c r="AB389" s="14">
        <v>1.8559521106999901E-3</v>
      </c>
      <c r="AC389" s="14">
        <v>9.7831666750000006E-4</v>
      </c>
      <c r="AD389" s="14">
        <v>4.8700001230000001E-4</v>
      </c>
      <c r="AE389" s="13" t="s">
        <v>93</v>
      </c>
    </row>
    <row r="390" spans="1:31">
      <c r="A390" s="13" t="s">
        <v>260</v>
      </c>
      <c r="B390" s="13" t="s">
        <v>1</v>
      </c>
      <c r="C390" s="13" t="s">
        <v>160</v>
      </c>
      <c r="D390" s="13" t="str">
        <f>IFERROR(VLOOKUP(C390,ghg_sort!$A$86:$B$512,2,0),0)</f>
        <v>Transportation</v>
      </c>
      <c r="E390" s="33" t="s">
        <v>85</v>
      </c>
      <c r="F390" s="13">
        <f>IFERROR(VLOOKUP($E390,ghg_sort!$A$3:$B$21,2,0),0)</f>
        <v>0</v>
      </c>
      <c r="G390" s="13">
        <f t="shared" si="67"/>
        <v>0</v>
      </c>
      <c r="H390" s="13">
        <f t="shared" si="68"/>
        <v>0</v>
      </c>
      <c r="I390" s="13">
        <f t="shared" si="69"/>
        <v>0</v>
      </c>
      <c r="J390" s="13">
        <f t="shared" si="70"/>
        <v>0</v>
      </c>
      <c r="K390" s="13">
        <f t="shared" si="71"/>
        <v>0</v>
      </c>
      <c r="L390" s="13">
        <f t="shared" si="72"/>
        <v>0</v>
      </c>
      <c r="M390" s="13">
        <f t="shared" si="73"/>
        <v>0</v>
      </c>
      <c r="N390" s="13">
        <f t="shared" si="74"/>
        <v>0</v>
      </c>
      <c r="O390" s="13">
        <f t="shared" si="75"/>
        <v>0</v>
      </c>
      <c r="P390" s="13">
        <f t="shared" si="76"/>
        <v>0</v>
      </c>
      <c r="Q390" s="13">
        <f t="shared" si="77"/>
        <v>0</v>
      </c>
      <c r="R390" s="13" t="s">
        <v>239</v>
      </c>
      <c r="T390" s="14">
        <v>0.39927099999999999</v>
      </c>
      <c r="U390" s="13">
        <v>0.37116001555542</v>
      </c>
      <c r="V390" s="13">
        <v>0.31842803930769997</v>
      </c>
      <c r="W390" s="13">
        <v>0.25635004183870003</v>
      </c>
      <c r="X390" s="13">
        <v>0.25257094247929901</v>
      </c>
      <c r="Y390" s="13">
        <v>0.21446327601599999</v>
      </c>
      <c r="Z390" s="13">
        <v>0.14576970570016001</v>
      </c>
      <c r="AA390" s="13">
        <v>8.7833899076129998E-2</v>
      </c>
      <c r="AB390" s="14">
        <v>3.9903387218100002E-2</v>
      </c>
      <c r="AC390" s="14">
        <v>2.1030339291399899E-2</v>
      </c>
      <c r="AD390" s="14">
        <v>1.04662076376299E-2</v>
      </c>
      <c r="AE390" s="13" t="s">
        <v>93</v>
      </c>
    </row>
    <row r="391" spans="1:31">
      <c r="A391" s="13" t="s">
        <v>260</v>
      </c>
      <c r="B391" s="13" t="s">
        <v>1</v>
      </c>
      <c r="C391" s="13" t="s">
        <v>160</v>
      </c>
      <c r="D391" s="13" t="str">
        <f>IFERROR(VLOOKUP(C391,ghg_sort!$A$86:$B$512,2,0),0)</f>
        <v>Transportation</v>
      </c>
      <c r="E391" s="33" t="s">
        <v>86</v>
      </c>
      <c r="F391" s="13">
        <f>IFERROR(VLOOKUP($E391,ghg_sort!$A$3:$B$21,2,0),0)</f>
        <v>3.6666666666666701</v>
      </c>
      <c r="G391" s="13">
        <f t="shared" si="67"/>
        <v>16.483280000000015</v>
      </c>
      <c r="H391" s="13">
        <f t="shared" si="68"/>
        <v>40.047390496666338</v>
      </c>
      <c r="I391" s="13">
        <f t="shared" si="69"/>
        <v>41.890320266666706</v>
      </c>
      <c r="J391" s="13">
        <f t="shared" si="70"/>
        <v>46.929138300000041</v>
      </c>
      <c r="K391" s="13">
        <f t="shared" si="71"/>
        <v>46.960749916666707</v>
      </c>
      <c r="L391" s="13">
        <f t="shared" si="72"/>
        <v>41.050905866666703</v>
      </c>
      <c r="M391" s="13">
        <f t="shared" si="73"/>
        <v>29.626759249999989</v>
      </c>
      <c r="N391" s="13">
        <f t="shared" si="74"/>
        <v>19.449488978333353</v>
      </c>
      <c r="O391" s="13">
        <f t="shared" si="75"/>
        <v>10.345625070000009</v>
      </c>
      <c r="P391" s="13">
        <f t="shared" si="76"/>
        <v>6.1565018533333395</v>
      </c>
      <c r="Q391" s="13">
        <f t="shared" si="77"/>
        <v>3.4698452433333329</v>
      </c>
      <c r="R391" s="13" t="s">
        <v>239</v>
      </c>
      <c r="T391" s="14">
        <v>4.4954400000000003</v>
      </c>
      <c r="U391" s="14">
        <v>10.9220155899999</v>
      </c>
      <c r="V391" s="14">
        <v>11.424632799999999</v>
      </c>
      <c r="W391" s="14">
        <v>12.7988559</v>
      </c>
      <c r="X391" s="14">
        <v>12.80747725</v>
      </c>
      <c r="Y391" s="14">
        <v>11.1957016</v>
      </c>
      <c r="Z391" s="14">
        <v>8.0800252499999896</v>
      </c>
      <c r="AA391" s="14">
        <v>5.3044060850000001</v>
      </c>
      <c r="AB391" s="14">
        <v>2.82153411</v>
      </c>
      <c r="AC391" s="14">
        <v>1.6790459600000001</v>
      </c>
      <c r="AD391" s="14">
        <v>0.94632142999999902</v>
      </c>
      <c r="AE391" s="13" t="s">
        <v>93</v>
      </c>
    </row>
    <row r="392" spans="1:31">
      <c r="A392" s="13" t="s">
        <v>260</v>
      </c>
      <c r="B392" s="13" t="s">
        <v>1</v>
      </c>
      <c r="C392" s="13" t="s">
        <v>160</v>
      </c>
      <c r="D392" s="13" t="str">
        <f>IFERROR(VLOOKUP(C392,ghg_sort!$A$86:$B$512,2,0),0)</f>
        <v>Transportation</v>
      </c>
      <c r="E392" s="33" t="s">
        <v>87</v>
      </c>
      <c r="F392" s="13">
        <f>IFERROR(VLOOKUP($E392,ghg_sort!$A$3:$B$21,2,0),0)</f>
        <v>298</v>
      </c>
      <c r="G392" s="13">
        <f t="shared" si="67"/>
        <v>6.8439275999999993E-2</v>
      </c>
      <c r="H392" s="13">
        <f t="shared" si="68"/>
        <v>0.13858579399999998</v>
      </c>
      <c r="I392" s="13">
        <f t="shared" si="69"/>
        <v>8.5116249999999699E-2</v>
      </c>
      <c r="J392" s="13">
        <f t="shared" si="70"/>
        <v>0.102588586</v>
      </c>
      <c r="K392" s="13">
        <f t="shared" si="71"/>
        <v>0.10107599759999999</v>
      </c>
      <c r="L392" s="13">
        <f t="shared" si="72"/>
        <v>8.5825668799999699E-2</v>
      </c>
      <c r="M392" s="13">
        <f t="shared" si="73"/>
        <v>5.8335287999999999E-2</v>
      </c>
      <c r="N392" s="13">
        <f t="shared" si="74"/>
        <v>3.5149982079999996E-2</v>
      </c>
      <c r="O392" s="13">
        <f t="shared" si="75"/>
        <v>1.596873826E-2</v>
      </c>
      <c r="P392" s="13">
        <f t="shared" si="76"/>
        <v>8.4159875620000001E-3</v>
      </c>
      <c r="Q392" s="13">
        <f t="shared" si="77"/>
        <v>4.1883718219999999E-3</v>
      </c>
      <c r="R392" s="13" t="s">
        <v>239</v>
      </c>
      <c r="T392" s="14">
        <v>2.29662E-4</v>
      </c>
      <c r="U392" s="14">
        <v>4.6505299999999999E-4</v>
      </c>
      <c r="V392" s="14">
        <v>2.8562499999999899E-4</v>
      </c>
      <c r="W392" s="14">
        <v>3.4425699999999999E-4</v>
      </c>
      <c r="X392" s="14">
        <v>3.3918119999999999E-4</v>
      </c>
      <c r="Y392" s="14">
        <v>2.8800559999999899E-4</v>
      </c>
      <c r="Z392" s="14">
        <v>1.95756E-4</v>
      </c>
      <c r="AA392" s="14">
        <v>1.1795296E-4</v>
      </c>
      <c r="AB392" s="14">
        <v>5.3586369999999997E-5</v>
      </c>
      <c r="AC392" s="14">
        <v>2.8241568999999999E-5</v>
      </c>
      <c r="AD392" s="14">
        <v>1.4054939E-5</v>
      </c>
      <c r="AE392" s="13" t="s">
        <v>93</v>
      </c>
    </row>
    <row r="393" spans="1:31">
      <c r="A393" s="13" t="s">
        <v>260</v>
      </c>
      <c r="B393" s="13" t="s">
        <v>1</v>
      </c>
      <c r="C393" s="13" t="s">
        <v>160</v>
      </c>
      <c r="D393" s="13" t="str">
        <f>IFERROR(VLOOKUP(C393,ghg_sort!$A$86:$B$512,2,0),0)</f>
        <v>Transportation</v>
      </c>
      <c r="E393" s="33" t="s">
        <v>88</v>
      </c>
      <c r="F393" s="13">
        <f>IFERROR(VLOOKUP($E393,ghg_sort!$A$3:$B$21,2,0),0)</f>
        <v>0</v>
      </c>
      <c r="G393" s="13">
        <f t="shared" si="67"/>
        <v>0</v>
      </c>
      <c r="H393" s="13">
        <f t="shared" si="68"/>
        <v>0</v>
      </c>
      <c r="I393" s="13">
        <f t="shared" si="69"/>
        <v>0</v>
      </c>
      <c r="J393" s="13">
        <f t="shared" si="70"/>
        <v>0</v>
      </c>
      <c r="K393" s="13">
        <f t="shared" si="71"/>
        <v>0</v>
      </c>
      <c r="L393" s="13">
        <f t="shared" si="72"/>
        <v>0</v>
      </c>
      <c r="M393" s="13">
        <f t="shared" si="73"/>
        <v>0</v>
      </c>
      <c r="N393" s="13">
        <f t="shared" si="74"/>
        <v>0</v>
      </c>
      <c r="O393" s="13">
        <f t="shared" si="75"/>
        <v>0</v>
      </c>
      <c r="P393" s="13">
        <f t="shared" si="76"/>
        <v>0</v>
      </c>
      <c r="Q393" s="13">
        <f t="shared" si="77"/>
        <v>0</v>
      </c>
      <c r="R393" s="13" t="s">
        <v>239</v>
      </c>
      <c r="T393" s="14">
        <v>5.9310399999999903E-4</v>
      </c>
      <c r="U393" s="14">
        <v>5.4838205446389897E-3</v>
      </c>
      <c r="V393" s="14">
        <v>5.9207818850679998E-3</v>
      </c>
      <c r="W393" s="14">
        <v>5.7576720049639998E-3</v>
      </c>
      <c r="X393" s="14">
        <v>5.6728016199069997E-3</v>
      </c>
      <c r="Y393" s="14">
        <v>4.8168908112929997E-3</v>
      </c>
      <c r="Z393" s="14">
        <v>3.2740296298829998E-3</v>
      </c>
      <c r="AA393" s="14">
        <v>1.9727820540179999E-3</v>
      </c>
      <c r="AB393" s="14">
        <v>8.9624963126199895E-4</v>
      </c>
      <c r="AC393" s="14">
        <v>4.7235392799399898E-4</v>
      </c>
      <c r="AD393" s="14">
        <v>2.3507884452300001E-4</v>
      </c>
      <c r="AE393" s="13" t="s">
        <v>93</v>
      </c>
    </row>
    <row r="394" spans="1:31">
      <c r="A394" s="13" t="s">
        <v>260</v>
      </c>
      <c r="B394" s="13" t="s">
        <v>1</v>
      </c>
      <c r="C394" s="13" t="s">
        <v>160</v>
      </c>
      <c r="D394" s="13" t="str">
        <f>IFERROR(VLOOKUP(C394,ghg_sort!$A$86:$B$512,2,0),0)</f>
        <v>Transportation</v>
      </c>
      <c r="E394" s="33" t="s">
        <v>89</v>
      </c>
      <c r="F394" s="13">
        <f>IFERROR(VLOOKUP($E394,ghg_sort!$A$3:$B$21,2,0),0)</f>
        <v>0</v>
      </c>
      <c r="G394" s="13">
        <f t="shared" si="67"/>
        <v>0</v>
      </c>
      <c r="H394" s="13">
        <f t="shared" si="68"/>
        <v>0</v>
      </c>
      <c r="I394" s="13">
        <f t="shared" si="69"/>
        <v>0</v>
      </c>
      <c r="J394" s="13">
        <f t="shared" si="70"/>
        <v>0</v>
      </c>
      <c r="K394" s="13">
        <f t="shared" si="71"/>
        <v>0</v>
      </c>
      <c r="L394" s="13">
        <f t="shared" si="72"/>
        <v>0</v>
      </c>
      <c r="M394" s="13">
        <f t="shared" si="73"/>
        <v>0</v>
      </c>
      <c r="N394" s="13">
        <f t="shared" si="74"/>
        <v>0</v>
      </c>
      <c r="O394" s="13">
        <f t="shared" si="75"/>
        <v>0</v>
      </c>
      <c r="P394" s="13">
        <f t="shared" si="76"/>
        <v>0</v>
      </c>
      <c r="Q394" s="13">
        <f t="shared" si="77"/>
        <v>0</v>
      </c>
      <c r="R394" s="13" t="s">
        <v>239</v>
      </c>
      <c r="T394" s="13">
        <v>7.4406799999999995E-2</v>
      </c>
      <c r="U394" s="13">
        <v>6.903950936514E-2</v>
      </c>
      <c r="V394" s="14">
        <v>3.6481420748990002E-2</v>
      </c>
      <c r="W394" s="14">
        <v>3.1425520607319998E-2</v>
      </c>
      <c r="X394" s="14">
        <v>3.0962369431E-2</v>
      </c>
      <c r="Y394" s="14">
        <v>2.6290834458000002E-2</v>
      </c>
      <c r="Z394" s="14">
        <v>1.7869843705610001E-2</v>
      </c>
      <c r="AA394" s="14">
        <v>1.076760959253E-2</v>
      </c>
      <c r="AB394" s="14">
        <v>4.8918502737399904E-3</v>
      </c>
      <c r="AC394" s="14">
        <v>2.5781940822799999E-3</v>
      </c>
      <c r="AD394" s="14">
        <v>1.2831180061E-3</v>
      </c>
      <c r="AE394" s="13" t="s">
        <v>93</v>
      </c>
    </row>
    <row r="395" spans="1:31">
      <c r="A395" s="13" t="s">
        <v>260</v>
      </c>
      <c r="B395" s="13" t="s">
        <v>1</v>
      </c>
      <c r="C395" s="13" t="s">
        <v>160</v>
      </c>
      <c r="D395" s="13" t="str">
        <f>IFERROR(VLOOKUP(C395,ghg_sort!$A$86:$B$512,2,0),0)</f>
        <v>Transportation</v>
      </c>
      <c r="E395" s="33" t="s">
        <v>90</v>
      </c>
      <c r="F395" s="13">
        <f>IFERROR(VLOOKUP($E395,ghg_sort!$A$3:$B$21,2,0),0)</f>
        <v>0</v>
      </c>
      <c r="G395" s="13">
        <f t="shared" si="67"/>
        <v>0</v>
      </c>
      <c r="H395" s="13">
        <f t="shared" si="68"/>
        <v>0</v>
      </c>
      <c r="I395" s="13">
        <f t="shared" si="69"/>
        <v>0</v>
      </c>
      <c r="J395" s="13">
        <f t="shared" si="70"/>
        <v>0</v>
      </c>
      <c r="K395" s="13">
        <f t="shared" si="71"/>
        <v>0</v>
      </c>
      <c r="L395" s="13">
        <f t="shared" si="72"/>
        <v>0</v>
      </c>
      <c r="M395" s="13">
        <f t="shared" si="73"/>
        <v>0</v>
      </c>
      <c r="N395" s="13">
        <f t="shared" si="74"/>
        <v>0</v>
      </c>
      <c r="O395" s="13">
        <f t="shared" si="75"/>
        <v>0</v>
      </c>
      <c r="P395" s="13">
        <f t="shared" si="76"/>
        <v>0</v>
      </c>
      <c r="Q395" s="13">
        <f t="shared" si="77"/>
        <v>0</v>
      </c>
      <c r="R395" s="13" t="s">
        <v>239</v>
      </c>
      <c r="T395" s="13">
        <v>0.1080778</v>
      </c>
      <c r="U395" s="13">
        <v>8.8494509365139903E-2</v>
      </c>
      <c r="V395" s="13">
        <v>3.5977424054499899E-2</v>
      </c>
      <c r="W395" s="13">
        <v>4.5064223262999997E-2</v>
      </c>
      <c r="X395" s="13">
        <v>4.4400074821639997E-2</v>
      </c>
      <c r="Y395" s="13">
        <v>3.770103467159E-2</v>
      </c>
      <c r="Z395" s="13">
        <v>2.5625328977129901E-2</v>
      </c>
      <c r="AA395" s="13">
        <v>1.5440682173859899E-2</v>
      </c>
      <c r="AB395" s="13">
        <v>7.0148606595500001E-3</v>
      </c>
      <c r="AC395" s="13">
        <v>3.6970879465100001E-3</v>
      </c>
      <c r="AD395" s="13">
        <v>1.83996328178E-3</v>
      </c>
      <c r="AE395" s="13" t="s">
        <v>93</v>
      </c>
    </row>
    <row r="396" spans="1:31">
      <c r="A396" s="13" t="s">
        <v>260</v>
      </c>
      <c r="B396" s="13" t="s">
        <v>1</v>
      </c>
      <c r="C396" s="13" t="s">
        <v>160</v>
      </c>
      <c r="D396" s="13" t="str">
        <f>IFERROR(VLOOKUP(C396,ghg_sort!$A$86:$B$512,2,0),0)</f>
        <v>Transportation</v>
      </c>
      <c r="E396" s="12" t="s">
        <v>91</v>
      </c>
      <c r="F396" s="13">
        <f>IFERROR(VLOOKUP($E396,ghg_sort!$A$3:$B$21,2,0),0)</f>
        <v>0</v>
      </c>
      <c r="G396" s="13">
        <f t="shared" si="67"/>
        <v>0</v>
      </c>
      <c r="H396" s="13">
        <f t="shared" si="68"/>
        <v>0</v>
      </c>
      <c r="I396" s="13">
        <f t="shared" si="69"/>
        <v>0</v>
      </c>
      <c r="J396" s="13">
        <f t="shared" si="70"/>
        <v>0</v>
      </c>
      <c r="K396" s="13">
        <f t="shared" si="71"/>
        <v>0</v>
      </c>
      <c r="L396" s="13">
        <f t="shared" si="72"/>
        <v>0</v>
      </c>
      <c r="M396" s="13">
        <f t="shared" si="73"/>
        <v>0</v>
      </c>
      <c r="N396" s="13">
        <f t="shared" si="74"/>
        <v>0</v>
      </c>
      <c r="O396" s="13">
        <f t="shared" si="75"/>
        <v>0</v>
      </c>
      <c r="P396" s="13">
        <f t="shared" si="76"/>
        <v>0</v>
      </c>
      <c r="Q396" s="13">
        <f t="shared" si="77"/>
        <v>0</v>
      </c>
      <c r="R396" s="13" t="s">
        <v>239</v>
      </c>
      <c r="T396" s="14">
        <v>2.3890399999999998E-3</v>
      </c>
      <c r="U396" s="13">
        <v>1.9277439999999999E-3</v>
      </c>
      <c r="V396" s="14">
        <v>6.3298399999999996E-4</v>
      </c>
      <c r="W396" s="14">
        <v>8.8249599999999997E-4</v>
      </c>
      <c r="X396" s="14">
        <v>8.6948579999999998E-4</v>
      </c>
      <c r="Y396" s="14">
        <v>7.38297699999999E-4</v>
      </c>
      <c r="Z396" s="14">
        <v>5.0181579999999905E-4</v>
      </c>
      <c r="AA396" s="14">
        <v>3.0237009999999997E-4</v>
      </c>
      <c r="AB396" s="14">
        <v>1.3736750000000001E-4</v>
      </c>
      <c r="AC396" s="14">
        <v>7.2396639999999993E-5</v>
      </c>
      <c r="AD396" s="14">
        <v>3.6029557999999902E-5</v>
      </c>
      <c r="AE396" s="13" t="s">
        <v>94</v>
      </c>
    </row>
    <row r="397" spans="1:31">
      <c r="A397" s="13" t="s">
        <v>260</v>
      </c>
      <c r="B397" s="13" t="s">
        <v>1</v>
      </c>
      <c r="C397" s="13" t="s">
        <v>160</v>
      </c>
      <c r="D397" s="13" t="str">
        <f>IFERROR(VLOOKUP(C397,ghg_sort!$A$86:$B$512,2,0),0)</f>
        <v>Transportation</v>
      </c>
      <c r="E397" s="33" t="s">
        <v>92</v>
      </c>
      <c r="F397" s="13">
        <f>IFERROR(VLOOKUP($E397,ghg_sort!$A$3:$B$21,2,0),0)</f>
        <v>0</v>
      </c>
      <c r="G397" s="13">
        <f t="shared" si="67"/>
        <v>0</v>
      </c>
      <c r="H397" s="13">
        <f t="shared" si="68"/>
        <v>0</v>
      </c>
      <c r="I397" s="13">
        <f t="shared" si="69"/>
        <v>0</v>
      </c>
      <c r="J397" s="13">
        <f t="shared" si="70"/>
        <v>0</v>
      </c>
      <c r="K397" s="13">
        <f t="shared" si="71"/>
        <v>0</v>
      </c>
      <c r="L397" s="13">
        <f t="shared" si="72"/>
        <v>0</v>
      </c>
      <c r="M397" s="13">
        <f t="shared" si="73"/>
        <v>0</v>
      </c>
      <c r="N397" s="13">
        <f t="shared" si="74"/>
        <v>0</v>
      </c>
      <c r="O397" s="13">
        <f t="shared" si="75"/>
        <v>0</v>
      </c>
      <c r="P397" s="13">
        <f t="shared" si="76"/>
        <v>0</v>
      </c>
      <c r="Q397" s="13">
        <f t="shared" si="77"/>
        <v>0</v>
      </c>
      <c r="R397" s="13" t="s">
        <v>239</v>
      </c>
      <c r="T397" s="14">
        <v>1.5157879999999999E-3</v>
      </c>
      <c r="U397" s="14">
        <v>1.017048770465E-3</v>
      </c>
      <c r="V397" s="14">
        <v>1.0595614262E-4</v>
      </c>
      <c r="W397" s="14">
        <v>6.4469475089999997E-5</v>
      </c>
      <c r="X397" s="14">
        <v>6.3532373169999893E-5</v>
      </c>
      <c r="Y397" s="14">
        <v>5.3964453255E-5</v>
      </c>
      <c r="Z397" s="14">
        <v>3.6694778572999899E-5</v>
      </c>
      <c r="AA397" s="14">
        <v>2.2123352643000001E-5</v>
      </c>
      <c r="AB397" s="14">
        <v>1.006441816E-5</v>
      </c>
      <c r="AC397" s="14">
        <v>5.3105136100000003E-6</v>
      </c>
      <c r="AD397" s="14">
        <v>2.6472056390000001E-6</v>
      </c>
      <c r="AE397" s="13" t="s">
        <v>93</v>
      </c>
    </row>
    <row r="398" spans="1:31">
      <c r="A398" s="13" t="s">
        <v>260</v>
      </c>
      <c r="B398" s="13" t="s">
        <v>1</v>
      </c>
      <c r="C398" s="13" t="s">
        <v>161</v>
      </c>
      <c r="D398" s="13" t="str">
        <f>IFERROR(VLOOKUP(C398,ghg_sort!$A$86:$B$512,2,0),0)</f>
        <v>International</v>
      </c>
      <c r="E398" s="33" t="s">
        <v>83</v>
      </c>
      <c r="F398" s="13">
        <f>IFERROR(VLOOKUP($E398,ghg_sort!$A$3:$B$21,2,0),0)</f>
        <v>0</v>
      </c>
      <c r="G398" s="13">
        <f t="shared" si="67"/>
        <v>0</v>
      </c>
      <c r="H398" s="13">
        <f t="shared" si="68"/>
        <v>0</v>
      </c>
      <c r="I398" s="13">
        <f t="shared" si="69"/>
        <v>0</v>
      </c>
      <c r="J398" s="13">
        <f t="shared" si="70"/>
        <v>0</v>
      </c>
      <c r="K398" s="13">
        <f t="shared" si="71"/>
        <v>0</v>
      </c>
      <c r="L398" s="13">
        <f t="shared" si="72"/>
        <v>0</v>
      </c>
      <c r="M398" s="13">
        <f t="shared" si="73"/>
        <v>0</v>
      </c>
      <c r="N398" s="13">
        <f t="shared" si="74"/>
        <v>0</v>
      </c>
      <c r="O398" s="13">
        <f t="shared" si="75"/>
        <v>0</v>
      </c>
      <c r="P398" s="13">
        <f t="shared" si="76"/>
        <v>0</v>
      </c>
      <c r="Q398" s="13">
        <f t="shared" si="77"/>
        <v>0</v>
      </c>
      <c r="R398" s="13" t="s">
        <v>239</v>
      </c>
      <c r="T398" s="14">
        <v>1.2791199999999999E-3</v>
      </c>
      <c r="U398" s="13">
        <v>9.1301100000000003E-3</v>
      </c>
      <c r="V398" s="13">
        <v>6.6608099999999996E-3</v>
      </c>
      <c r="W398" s="13">
        <v>7.1941499999999999E-3</v>
      </c>
      <c r="X398" s="13">
        <v>4.6997100000000002E-3</v>
      </c>
      <c r="Y398" s="13">
        <v>3.0762200000000002E-3</v>
      </c>
      <c r="Z398" s="13">
        <v>2.32702E-3</v>
      </c>
      <c r="AA398" s="13">
        <v>1.8743900000000001E-3</v>
      </c>
      <c r="AB398" s="14">
        <v>1.49106E-3</v>
      </c>
      <c r="AC398" s="14">
        <v>1.1711499999999999E-3</v>
      </c>
      <c r="AD398" s="14">
        <v>9.4193200000000003E-4</v>
      </c>
      <c r="AE398" s="13" t="s">
        <v>93</v>
      </c>
    </row>
    <row r="399" spans="1:31">
      <c r="A399" s="13" t="s">
        <v>260</v>
      </c>
      <c r="B399" s="13" t="s">
        <v>1</v>
      </c>
      <c r="C399" s="13" t="s">
        <v>161</v>
      </c>
      <c r="D399" s="13" t="str">
        <f>IFERROR(VLOOKUP(C399,ghg_sort!$A$86:$B$512,2,0),0)</f>
        <v>International</v>
      </c>
      <c r="E399" s="33" t="s">
        <v>84</v>
      </c>
      <c r="F399" s="13">
        <f>IFERROR(VLOOKUP($E399,ghg_sort!$A$3:$B$21,2,0),0)</f>
        <v>25</v>
      </c>
      <c r="G399" s="13">
        <f t="shared" si="67"/>
        <v>5.0000000000000001E-3</v>
      </c>
      <c r="H399" s="13">
        <f t="shared" si="68"/>
        <v>0.03</v>
      </c>
      <c r="I399" s="13">
        <f t="shared" si="69"/>
        <v>2.6249999999999999E-2</v>
      </c>
      <c r="J399" s="13">
        <f t="shared" si="70"/>
        <v>2.6499999999999999E-2</v>
      </c>
      <c r="K399" s="13">
        <f t="shared" si="71"/>
        <v>2.7611750000000001E-2</v>
      </c>
      <c r="L399" s="13">
        <f t="shared" si="72"/>
        <v>2.627825E-2</v>
      </c>
      <c r="M399" s="13">
        <f t="shared" si="73"/>
        <v>2.5398750000000001E-2</v>
      </c>
      <c r="N399" s="13">
        <f t="shared" si="74"/>
        <v>2.4364275000000001E-2</v>
      </c>
      <c r="O399" s="13">
        <f t="shared" si="75"/>
        <v>2.2630000000000001E-2</v>
      </c>
      <c r="P399" s="13">
        <f t="shared" si="76"/>
        <v>2.0839224999999999E-2</v>
      </c>
      <c r="Q399" s="13">
        <f t="shared" si="77"/>
        <v>1.9413050000000001E-2</v>
      </c>
      <c r="R399" s="13" t="s">
        <v>239</v>
      </c>
      <c r="T399" s="14">
        <v>2.0000000000000001E-4</v>
      </c>
      <c r="U399" s="13">
        <v>1.1999999999999999E-3</v>
      </c>
      <c r="V399" s="13">
        <v>1.0499999999999999E-3</v>
      </c>
      <c r="W399" s="13">
        <v>1.06E-3</v>
      </c>
      <c r="X399" s="13">
        <v>1.10447E-3</v>
      </c>
      <c r="Y399" s="13">
        <v>1.0511299999999999E-3</v>
      </c>
      <c r="Z399" s="13">
        <v>1.0159500000000001E-3</v>
      </c>
      <c r="AA399" s="14">
        <v>9.7457100000000003E-4</v>
      </c>
      <c r="AB399" s="14">
        <v>9.0519999999999999E-4</v>
      </c>
      <c r="AC399" s="14">
        <v>8.3356900000000004E-4</v>
      </c>
      <c r="AD399" s="14">
        <v>7.7652199999999998E-4</v>
      </c>
      <c r="AE399" s="13" t="s">
        <v>93</v>
      </c>
    </row>
    <row r="400" spans="1:31">
      <c r="A400" s="13" t="s">
        <v>260</v>
      </c>
      <c r="B400" s="13" t="s">
        <v>1</v>
      </c>
      <c r="C400" s="13" t="s">
        <v>161</v>
      </c>
      <c r="D400" s="13" t="str">
        <f>IFERROR(VLOOKUP(C400,ghg_sort!$A$86:$B$512,2,0),0)</f>
        <v>International</v>
      </c>
      <c r="E400" s="33" t="s">
        <v>85</v>
      </c>
      <c r="F400" s="13">
        <f>IFERROR(VLOOKUP($E400,ghg_sort!$A$3:$B$21,2,0),0)</f>
        <v>0</v>
      </c>
      <c r="G400" s="13">
        <f t="shared" si="67"/>
        <v>0</v>
      </c>
      <c r="H400" s="13">
        <f t="shared" si="68"/>
        <v>0</v>
      </c>
      <c r="I400" s="13">
        <f t="shared" si="69"/>
        <v>0</v>
      </c>
      <c r="J400" s="13">
        <f t="shared" si="70"/>
        <v>0</v>
      </c>
      <c r="K400" s="13">
        <f t="shared" si="71"/>
        <v>0</v>
      </c>
      <c r="L400" s="13">
        <f t="shared" si="72"/>
        <v>0</v>
      </c>
      <c r="M400" s="13">
        <f t="shared" si="73"/>
        <v>0</v>
      </c>
      <c r="N400" s="13">
        <f t="shared" si="74"/>
        <v>0</v>
      </c>
      <c r="O400" s="13">
        <f t="shared" si="75"/>
        <v>0</v>
      </c>
      <c r="P400" s="13">
        <f t="shared" si="76"/>
        <v>0</v>
      </c>
      <c r="Q400" s="13">
        <f t="shared" si="77"/>
        <v>0</v>
      </c>
      <c r="R400" s="13" t="s">
        <v>239</v>
      </c>
      <c r="T400" s="14">
        <v>5.2763999999999997E-3</v>
      </c>
      <c r="U400" s="14">
        <v>3.7694400000000003E-2</v>
      </c>
      <c r="V400" s="14">
        <v>2.75024E-2</v>
      </c>
      <c r="W400" s="14">
        <v>2.9696400000000001E-2</v>
      </c>
      <c r="X400" s="14">
        <v>1.9399699999999999E-2</v>
      </c>
      <c r="Y400" s="14">
        <v>1.26982E-2</v>
      </c>
      <c r="Z400" s="14">
        <v>9.6056100000000005E-3</v>
      </c>
      <c r="AA400" s="14">
        <v>7.7372099999999996E-3</v>
      </c>
      <c r="AB400" s="14">
        <v>6.1548899999999997E-3</v>
      </c>
      <c r="AC400" s="14">
        <v>4.8343300000000004E-3</v>
      </c>
      <c r="AD400" s="14">
        <v>3.8881599999999999E-3</v>
      </c>
      <c r="AE400" s="13" t="s">
        <v>93</v>
      </c>
    </row>
    <row r="401" spans="1:31">
      <c r="A401" s="13" t="s">
        <v>260</v>
      </c>
      <c r="B401" s="13" t="s">
        <v>1</v>
      </c>
      <c r="C401" s="13" t="s">
        <v>161</v>
      </c>
      <c r="D401" s="13" t="str">
        <f>IFERROR(VLOOKUP(C401,ghg_sort!$A$86:$B$512,2,0),0)</f>
        <v>International</v>
      </c>
      <c r="E401" s="33" t="s">
        <v>86</v>
      </c>
      <c r="F401" s="13">
        <f>IFERROR(VLOOKUP($E401,ghg_sort!$A$3:$B$21,2,0),0)</f>
        <v>3.6666666666666701</v>
      </c>
      <c r="G401" s="13">
        <f t="shared" si="67"/>
        <v>4.7456566666666715</v>
      </c>
      <c r="H401" s="13">
        <f t="shared" si="68"/>
        <v>29.917910000000028</v>
      </c>
      <c r="I401" s="13">
        <f t="shared" si="69"/>
        <v>25.764713333333358</v>
      </c>
      <c r="J401" s="13">
        <f t="shared" si="70"/>
        <v>24.240223333333358</v>
      </c>
      <c r="K401" s="13">
        <f t="shared" si="71"/>
        <v>25.257210000000022</v>
      </c>
      <c r="L401" s="13">
        <f t="shared" si="72"/>
        <v>24.037456666666689</v>
      </c>
      <c r="M401" s="13">
        <f t="shared" si="73"/>
        <v>23.232843333333353</v>
      </c>
      <c r="N401" s="13">
        <f t="shared" si="74"/>
        <v>22.286660000000019</v>
      </c>
      <c r="O401" s="13">
        <f t="shared" si="75"/>
        <v>20.700276666666685</v>
      </c>
      <c r="P401" s="13">
        <f t="shared" si="76"/>
        <v>19.062193333333351</v>
      </c>
      <c r="Q401" s="13">
        <f t="shared" si="77"/>
        <v>17.757630000000017</v>
      </c>
      <c r="R401" s="13" t="s">
        <v>239</v>
      </c>
      <c r="T401" s="13">
        <v>1.29427</v>
      </c>
      <c r="U401" s="13">
        <v>8.1594300000000004</v>
      </c>
      <c r="V401" s="14">
        <v>7.0267400000000002</v>
      </c>
      <c r="W401" s="14">
        <v>6.61097</v>
      </c>
      <c r="X401" s="14">
        <v>6.8883299999999998</v>
      </c>
      <c r="Y401" s="14">
        <v>6.5556700000000001</v>
      </c>
      <c r="Z401" s="14">
        <v>6.3362299999999996</v>
      </c>
      <c r="AA401" s="14">
        <v>6.0781799999999997</v>
      </c>
      <c r="AB401" s="14">
        <v>5.6455299999999999</v>
      </c>
      <c r="AC401" s="14">
        <v>5.1987800000000002</v>
      </c>
      <c r="AD401" s="14">
        <v>4.8429900000000004</v>
      </c>
      <c r="AE401" s="13" t="s">
        <v>93</v>
      </c>
    </row>
    <row r="402" spans="1:31">
      <c r="A402" s="13" t="s">
        <v>260</v>
      </c>
      <c r="B402" s="13" t="s">
        <v>1</v>
      </c>
      <c r="C402" s="13" t="s">
        <v>161</v>
      </c>
      <c r="D402" s="13" t="str">
        <f>IFERROR(VLOOKUP(C402,ghg_sort!$A$86:$B$512,2,0),0)</f>
        <v>International</v>
      </c>
      <c r="E402" s="33" t="s">
        <v>87</v>
      </c>
      <c r="F402" s="13">
        <f>IFERROR(VLOOKUP($E402,ghg_sort!$A$3:$B$21,2,0),0)</f>
        <v>298</v>
      </c>
      <c r="G402" s="13">
        <f t="shared" si="67"/>
        <v>8.7508295999999999E-2</v>
      </c>
      <c r="H402" s="13">
        <f t="shared" si="68"/>
        <v>0.63040410000000002</v>
      </c>
      <c r="I402" s="13">
        <f t="shared" si="69"/>
        <v>0.45830909999999997</v>
      </c>
      <c r="J402" s="13">
        <f t="shared" si="70"/>
        <v>0.49671236000000002</v>
      </c>
      <c r="K402" s="13">
        <f t="shared" si="71"/>
        <v>0.51755150000000005</v>
      </c>
      <c r="L402" s="13">
        <f t="shared" si="72"/>
        <v>0.49255823999999998</v>
      </c>
      <c r="M402" s="13">
        <f t="shared" si="73"/>
        <v>0.47606990000000005</v>
      </c>
      <c r="N402" s="13">
        <f t="shared" si="74"/>
        <v>0.45668202000000002</v>
      </c>
      <c r="O402" s="13">
        <f t="shared" si="75"/>
        <v>0.42417320000000003</v>
      </c>
      <c r="P402" s="13">
        <f t="shared" si="76"/>
        <v>0.39060945999999996</v>
      </c>
      <c r="Q402" s="13">
        <f t="shared" si="77"/>
        <v>0.36387587999999998</v>
      </c>
      <c r="R402" s="13" t="s">
        <v>239</v>
      </c>
      <c r="T402" s="14">
        <v>2.9365199999999999E-4</v>
      </c>
      <c r="U402" s="13">
        <v>2.1154500000000001E-3</v>
      </c>
      <c r="V402" s="14">
        <v>1.53795E-3</v>
      </c>
      <c r="W402" s="14">
        <v>1.6668200000000001E-3</v>
      </c>
      <c r="X402" s="14">
        <v>1.73675E-3</v>
      </c>
      <c r="Y402" s="14">
        <v>1.65288E-3</v>
      </c>
      <c r="Z402" s="14">
        <v>1.5975500000000001E-3</v>
      </c>
      <c r="AA402" s="14">
        <v>1.5324900000000001E-3</v>
      </c>
      <c r="AB402" s="14">
        <v>1.4234E-3</v>
      </c>
      <c r="AC402" s="14">
        <v>1.3107699999999999E-3</v>
      </c>
      <c r="AD402" s="14">
        <v>1.2210599999999999E-3</v>
      </c>
      <c r="AE402" s="13" t="s">
        <v>93</v>
      </c>
    </row>
    <row r="403" spans="1:31">
      <c r="A403" s="13" t="s">
        <v>260</v>
      </c>
      <c r="B403" s="13" t="s">
        <v>1</v>
      </c>
      <c r="C403" s="13" t="s">
        <v>161</v>
      </c>
      <c r="D403" s="13" t="str">
        <f>IFERROR(VLOOKUP(C403,ghg_sort!$A$86:$B$512,2,0),0)</f>
        <v>International</v>
      </c>
      <c r="E403" s="33" t="s">
        <v>88</v>
      </c>
      <c r="F403" s="13">
        <f>IFERROR(VLOOKUP($E403,ghg_sort!$A$3:$B$21,2,0),0)</f>
        <v>0</v>
      </c>
      <c r="G403" s="13">
        <f t="shared" si="67"/>
        <v>0</v>
      </c>
      <c r="H403" s="13">
        <f t="shared" si="68"/>
        <v>0</v>
      </c>
      <c r="I403" s="13">
        <f t="shared" si="69"/>
        <v>0</v>
      </c>
      <c r="J403" s="13">
        <f t="shared" si="70"/>
        <v>0</v>
      </c>
      <c r="K403" s="13">
        <f t="shared" si="71"/>
        <v>0</v>
      </c>
      <c r="L403" s="13">
        <f t="shared" si="72"/>
        <v>0</v>
      </c>
      <c r="M403" s="13">
        <f t="shared" si="73"/>
        <v>0</v>
      </c>
      <c r="N403" s="13">
        <f t="shared" si="74"/>
        <v>0</v>
      </c>
      <c r="O403" s="13">
        <f t="shared" si="75"/>
        <v>0</v>
      </c>
      <c r="P403" s="13">
        <f t="shared" si="76"/>
        <v>0</v>
      </c>
      <c r="Q403" s="13">
        <f t="shared" si="77"/>
        <v>0</v>
      </c>
      <c r="R403" s="13" t="s">
        <v>239</v>
      </c>
      <c r="T403" s="14">
        <v>1.2909900000000001E-4</v>
      </c>
      <c r="U403" s="14">
        <v>8.9857399999999997E-4</v>
      </c>
      <c r="V403" s="14">
        <v>6.9240199999999995E-4</v>
      </c>
      <c r="W403" s="14">
        <v>7.2372799999999998E-4</v>
      </c>
      <c r="X403" s="14">
        <v>7.5409100000000003E-4</v>
      </c>
      <c r="Y403" s="14">
        <v>7.1767399999999996E-4</v>
      </c>
      <c r="Z403" s="14">
        <v>6.9365200000000001E-4</v>
      </c>
      <c r="AA403" s="14">
        <v>6.6540100000000003E-4</v>
      </c>
      <c r="AB403" s="14">
        <v>6.1803699999999999E-4</v>
      </c>
      <c r="AC403" s="14">
        <v>5.6913000000000005E-4</v>
      </c>
      <c r="AD403" s="14">
        <v>5.3018E-4</v>
      </c>
      <c r="AE403" s="13" t="s">
        <v>93</v>
      </c>
    </row>
    <row r="404" spans="1:31">
      <c r="A404" s="13" t="s">
        <v>260</v>
      </c>
      <c r="B404" s="13" t="s">
        <v>1</v>
      </c>
      <c r="C404" s="13" t="s">
        <v>161</v>
      </c>
      <c r="D404" s="13" t="str">
        <f>IFERROR(VLOOKUP(C404,ghg_sort!$A$86:$B$512,2,0),0)</f>
        <v>International</v>
      </c>
      <c r="E404" s="33" t="s">
        <v>89</v>
      </c>
      <c r="F404" s="13">
        <f>IFERROR(VLOOKUP($E404,ghg_sort!$A$3:$B$21,2,0),0)</f>
        <v>0</v>
      </c>
      <c r="G404" s="13">
        <f t="shared" si="67"/>
        <v>0</v>
      </c>
      <c r="H404" s="13">
        <f t="shared" si="68"/>
        <v>0</v>
      </c>
      <c r="I404" s="13">
        <f t="shared" si="69"/>
        <v>0</v>
      </c>
      <c r="J404" s="13">
        <f t="shared" si="70"/>
        <v>0</v>
      </c>
      <c r="K404" s="13">
        <f t="shared" si="71"/>
        <v>0</v>
      </c>
      <c r="L404" s="13">
        <f t="shared" si="72"/>
        <v>0</v>
      </c>
      <c r="M404" s="13">
        <f t="shared" si="73"/>
        <v>0</v>
      </c>
      <c r="N404" s="13">
        <f t="shared" si="74"/>
        <v>0</v>
      </c>
      <c r="O404" s="13">
        <f t="shared" si="75"/>
        <v>0</v>
      </c>
      <c r="P404" s="13">
        <f t="shared" si="76"/>
        <v>0</v>
      </c>
      <c r="Q404" s="13">
        <f t="shared" si="77"/>
        <v>0</v>
      </c>
      <c r="R404" s="13" t="s">
        <v>239</v>
      </c>
      <c r="T404" s="14">
        <v>5.8632399999999996E-3</v>
      </c>
      <c r="U404" s="13">
        <v>4.19104E-2</v>
      </c>
      <c r="V404" s="13">
        <v>3.0576300000000001E-2</v>
      </c>
      <c r="W404" s="13">
        <v>3.3026899999999998E-2</v>
      </c>
      <c r="X404" s="13">
        <v>2.1575400000000002E-2</v>
      </c>
      <c r="Y404" s="13">
        <v>1.4122300000000001E-2</v>
      </c>
      <c r="Z404" s="14">
        <v>1.06829E-2</v>
      </c>
      <c r="AA404" s="14">
        <v>8.60497E-3</v>
      </c>
      <c r="AB404" s="14">
        <v>6.8451800000000002E-3</v>
      </c>
      <c r="AC404" s="14">
        <v>5.3765200000000001E-3</v>
      </c>
      <c r="AD404" s="13">
        <v>4.3242200000000001E-3</v>
      </c>
      <c r="AE404" s="13" t="s">
        <v>93</v>
      </c>
    </row>
    <row r="405" spans="1:31">
      <c r="A405" s="13" t="s">
        <v>260</v>
      </c>
      <c r="B405" s="13" t="s">
        <v>1</v>
      </c>
      <c r="C405" s="13" t="s">
        <v>161</v>
      </c>
      <c r="D405" s="13" t="str">
        <f>IFERROR(VLOOKUP(C405,ghg_sort!$A$86:$B$512,2,0),0)</f>
        <v>International</v>
      </c>
      <c r="E405" s="33" t="s">
        <v>90</v>
      </c>
      <c r="F405" s="13">
        <f>IFERROR(VLOOKUP($E405,ghg_sort!$A$3:$B$21,2,0),0)</f>
        <v>0</v>
      </c>
      <c r="G405" s="13">
        <f t="shared" si="67"/>
        <v>0</v>
      </c>
      <c r="H405" s="13">
        <f t="shared" si="68"/>
        <v>0</v>
      </c>
      <c r="I405" s="13">
        <f t="shared" si="69"/>
        <v>0</v>
      </c>
      <c r="J405" s="13">
        <f t="shared" si="70"/>
        <v>0</v>
      </c>
      <c r="K405" s="13">
        <f t="shared" si="71"/>
        <v>0</v>
      </c>
      <c r="L405" s="13">
        <f t="shared" si="72"/>
        <v>0</v>
      </c>
      <c r="M405" s="13">
        <f t="shared" si="73"/>
        <v>0</v>
      </c>
      <c r="N405" s="13">
        <f t="shared" si="74"/>
        <v>0</v>
      </c>
      <c r="O405" s="13">
        <f t="shared" si="75"/>
        <v>0</v>
      </c>
      <c r="P405" s="13">
        <f t="shared" si="76"/>
        <v>0</v>
      </c>
      <c r="Q405" s="13">
        <f t="shared" si="77"/>
        <v>0</v>
      </c>
      <c r="R405" s="13" t="s">
        <v>239</v>
      </c>
      <c r="T405" s="14">
        <v>0.174238</v>
      </c>
      <c r="U405" s="14">
        <v>1.2442299999999999</v>
      </c>
      <c r="V405" s="14">
        <v>0.91170099999999998</v>
      </c>
      <c r="W405" s="14">
        <v>0.98137200000000002</v>
      </c>
      <c r="X405" s="14">
        <v>0.64109899999999997</v>
      </c>
      <c r="Y405" s="14">
        <v>0.41963400000000001</v>
      </c>
      <c r="Z405" s="14">
        <v>0.31743500000000002</v>
      </c>
      <c r="AA405" s="14">
        <v>0.25568999999999997</v>
      </c>
      <c r="AB405" s="14">
        <v>0.203399</v>
      </c>
      <c r="AC405" s="14">
        <v>0.15975900000000001</v>
      </c>
      <c r="AD405" s="14">
        <v>0.12849099999999999</v>
      </c>
      <c r="AE405" s="13" t="s">
        <v>93</v>
      </c>
    </row>
    <row r="406" spans="1:31">
      <c r="A406" s="13" t="s">
        <v>260</v>
      </c>
      <c r="B406" s="13" t="s">
        <v>1</v>
      </c>
      <c r="C406" s="13" t="s">
        <v>161</v>
      </c>
      <c r="D406" s="13" t="str">
        <f>IFERROR(VLOOKUP(C406,ghg_sort!$A$86:$B$512,2,0),0)</f>
        <v>International</v>
      </c>
      <c r="E406" s="12" t="s">
        <v>91</v>
      </c>
      <c r="F406" s="13">
        <f>IFERROR(VLOOKUP($E406,ghg_sort!$A$3:$B$21,2,0),0)</f>
        <v>0</v>
      </c>
      <c r="G406" s="13">
        <f t="shared" si="67"/>
        <v>0</v>
      </c>
      <c r="H406" s="13">
        <f t="shared" si="68"/>
        <v>0</v>
      </c>
      <c r="I406" s="13">
        <f t="shared" si="69"/>
        <v>0</v>
      </c>
      <c r="J406" s="13">
        <f t="shared" si="70"/>
        <v>0</v>
      </c>
      <c r="K406" s="13">
        <f t="shared" si="71"/>
        <v>0</v>
      </c>
      <c r="L406" s="13">
        <f t="shared" si="72"/>
        <v>0</v>
      </c>
      <c r="M406" s="13">
        <f t="shared" si="73"/>
        <v>0</v>
      </c>
      <c r="N406" s="13">
        <f t="shared" si="74"/>
        <v>0</v>
      </c>
      <c r="O406" s="13">
        <f t="shared" si="75"/>
        <v>0</v>
      </c>
      <c r="P406" s="13">
        <f t="shared" si="76"/>
        <v>0</v>
      </c>
      <c r="Q406" s="13">
        <f t="shared" si="77"/>
        <v>0</v>
      </c>
      <c r="R406" s="13" t="s">
        <v>239</v>
      </c>
      <c r="T406" s="14">
        <v>9.6293300000000002E-4</v>
      </c>
      <c r="U406" s="13">
        <v>6.9301600000000003E-3</v>
      </c>
      <c r="V406" s="13">
        <v>5.0590399999999999E-3</v>
      </c>
      <c r="W406" s="13">
        <v>5.4614099999999999E-3</v>
      </c>
      <c r="X406" s="13">
        <v>3.5677600000000001E-3</v>
      </c>
      <c r="Y406" s="13">
        <v>2.3352999999999998E-3</v>
      </c>
      <c r="Z406" s="13">
        <v>1.76655E-3</v>
      </c>
      <c r="AA406" s="13">
        <v>1.4229399999999999E-3</v>
      </c>
      <c r="AB406" s="13">
        <v>1.13193E-3</v>
      </c>
      <c r="AC406" s="14">
        <v>9.5464900000000001E-4</v>
      </c>
      <c r="AD406" s="14">
        <v>8.8931600000000002E-4</v>
      </c>
      <c r="AE406" s="13" t="s">
        <v>94</v>
      </c>
    </row>
    <row r="407" spans="1:31">
      <c r="A407" s="13" t="s">
        <v>260</v>
      </c>
      <c r="B407" s="13" t="s">
        <v>1</v>
      </c>
      <c r="C407" s="13" t="s">
        <v>161</v>
      </c>
      <c r="D407" s="13" t="str">
        <f>IFERROR(VLOOKUP(C407,ghg_sort!$A$86:$B$512,2,0),0)</f>
        <v>International</v>
      </c>
      <c r="E407" s="33" t="s">
        <v>92</v>
      </c>
      <c r="F407" s="13">
        <f>IFERROR(VLOOKUP($E407,ghg_sort!$A$3:$B$21,2,0),0)</f>
        <v>0</v>
      </c>
      <c r="G407" s="13">
        <f t="shared" si="67"/>
        <v>0</v>
      </c>
      <c r="H407" s="13">
        <f t="shared" si="68"/>
        <v>0</v>
      </c>
      <c r="I407" s="13">
        <f t="shared" si="69"/>
        <v>0</v>
      </c>
      <c r="J407" s="13">
        <f t="shared" si="70"/>
        <v>0</v>
      </c>
      <c r="K407" s="13">
        <f t="shared" si="71"/>
        <v>0</v>
      </c>
      <c r="L407" s="13">
        <f t="shared" si="72"/>
        <v>0</v>
      </c>
      <c r="M407" s="13">
        <f t="shared" si="73"/>
        <v>0</v>
      </c>
      <c r="N407" s="13">
        <f t="shared" si="74"/>
        <v>0</v>
      </c>
      <c r="O407" s="13">
        <f t="shared" si="75"/>
        <v>0</v>
      </c>
      <c r="P407" s="13">
        <f t="shared" si="76"/>
        <v>0</v>
      </c>
      <c r="Q407" s="13">
        <f t="shared" si="77"/>
        <v>0</v>
      </c>
      <c r="R407" s="13" t="s">
        <v>239</v>
      </c>
      <c r="T407" s="14">
        <v>8.7604000000000001E-2</v>
      </c>
      <c r="U407" s="13">
        <v>0.60352499999999998</v>
      </c>
      <c r="V407" s="14">
        <v>0.419985</v>
      </c>
      <c r="W407" s="13">
        <v>0.40111799999999997</v>
      </c>
      <c r="X407" s="13">
        <v>0.26203700000000002</v>
      </c>
      <c r="Y407" s="14">
        <v>0.171518</v>
      </c>
      <c r="Z407" s="14">
        <v>0.129746</v>
      </c>
      <c r="AA407" s="14">
        <v>0.104509</v>
      </c>
      <c r="AB407" s="14">
        <v>8.3135799999999996E-2</v>
      </c>
      <c r="AC407" s="14">
        <v>6.5298700000000001E-2</v>
      </c>
      <c r="AD407" s="14">
        <v>5.25184E-2</v>
      </c>
      <c r="AE407" s="13" t="s">
        <v>93</v>
      </c>
    </row>
    <row r="408" spans="1:31">
      <c r="A408" s="13" t="s">
        <v>260</v>
      </c>
      <c r="B408" s="13" t="s">
        <v>1</v>
      </c>
      <c r="C408" s="13" t="s">
        <v>232</v>
      </c>
      <c r="D408" s="13" t="str">
        <f>IFERROR(VLOOKUP(C408,ghg_sort!$A$86:$B$512,2,0),0)</f>
        <v>Industry</v>
      </c>
      <c r="E408" s="33" t="s">
        <v>83</v>
      </c>
      <c r="F408" s="13">
        <f>IFERROR(VLOOKUP($E408,ghg_sort!$A$3:$B$21,2,0),0)</f>
        <v>0</v>
      </c>
      <c r="G408" s="13">
        <f t="shared" si="67"/>
        <v>0</v>
      </c>
      <c r="H408" s="13">
        <f t="shared" si="68"/>
        <v>0</v>
      </c>
      <c r="I408" s="13">
        <f t="shared" si="69"/>
        <v>0</v>
      </c>
      <c r="J408" s="13">
        <f t="shared" si="70"/>
        <v>0</v>
      </c>
      <c r="K408" s="13">
        <f t="shared" si="71"/>
        <v>0</v>
      </c>
      <c r="L408" s="13">
        <f t="shared" si="72"/>
        <v>0</v>
      </c>
      <c r="M408" s="13">
        <f t="shared" si="73"/>
        <v>0</v>
      </c>
      <c r="N408" s="13">
        <f t="shared" si="74"/>
        <v>0</v>
      </c>
      <c r="O408" s="13">
        <f t="shared" si="75"/>
        <v>0</v>
      </c>
      <c r="P408" s="13">
        <f t="shared" si="76"/>
        <v>0</v>
      </c>
      <c r="Q408" s="13">
        <f t="shared" si="77"/>
        <v>0</v>
      </c>
      <c r="R408" s="13" t="s">
        <v>239</v>
      </c>
      <c r="T408" s="14">
        <v>5.64733E-5</v>
      </c>
      <c r="U408" s="14">
        <v>1.02577E-4</v>
      </c>
      <c r="V408" s="14">
        <v>1.0935200000000001E-4</v>
      </c>
      <c r="W408" s="14">
        <v>1.1340099999999999E-4</v>
      </c>
      <c r="X408" s="14">
        <v>8.0579000000000002E-5</v>
      </c>
      <c r="Y408" s="14">
        <v>8.0781300000000005E-5</v>
      </c>
      <c r="Z408" s="14">
        <v>8.0812500000000006E-5</v>
      </c>
      <c r="AA408" s="14">
        <v>8.0345600000000005E-5</v>
      </c>
      <c r="AB408" s="14">
        <v>7.91473E-5</v>
      </c>
      <c r="AC408" s="14">
        <v>7.7139900000000003E-5</v>
      </c>
      <c r="AD408" s="14">
        <v>7.4292100000000007E-5</v>
      </c>
      <c r="AE408" s="13" t="s">
        <v>93</v>
      </c>
    </row>
    <row r="409" spans="1:31">
      <c r="A409" s="13" t="s">
        <v>260</v>
      </c>
      <c r="B409" s="13" t="s">
        <v>1</v>
      </c>
      <c r="C409" s="13" t="s">
        <v>232</v>
      </c>
      <c r="D409" s="13" t="str">
        <f>IFERROR(VLOOKUP(C409,ghg_sort!$A$86:$B$512,2,0),0)</f>
        <v>Industry</v>
      </c>
      <c r="E409" s="33" t="s">
        <v>84</v>
      </c>
      <c r="F409" s="13">
        <f>IFERROR(VLOOKUP($E409,ghg_sort!$A$3:$B$21,2,0),0)</f>
        <v>25</v>
      </c>
      <c r="G409" s="13">
        <f t="shared" si="67"/>
        <v>7.4664999999999999</v>
      </c>
      <c r="H409" s="13">
        <f t="shared" si="68"/>
        <v>13.139249999999999</v>
      </c>
      <c r="I409" s="13">
        <f t="shared" si="69"/>
        <v>12.846250000000001</v>
      </c>
      <c r="J409" s="13">
        <f t="shared" si="70"/>
        <v>12.86225</v>
      </c>
      <c r="K409" s="13">
        <f t="shared" si="71"/>
        <v>13.037902800000001</v>
      </c>
      <c r="L409" s="13">
        <f t="shared" si="72"/>
        <v>12.533564199999999</v>
      </c>
      <c r="M409" s="13">
        <f t="shared" si="73"/>
        <v>11.496909575</v>
      </c>
      <c r="N409" s="13">
        <f t="shared" si="74"/>
        <v>10.79413175</v>
      </c>
      <c r="O409" s="13">
        <f t="shared" si="75"/>
        <v>10.450402474999999</v>
      </c>
      <c r="P409" s="13">
        <f t="shared" si="76"/>
        <v>9.9649230249999992</v>
      </c>
      <c r="Q409" s="13">
        <f t="shared" si="77"/>
        <v>9.4017365500000007</v>
      </c>
      <c r="R409" s="13" t="s">
        <v>239</v>
      </c>
      <c r="T409" s="13">
        <v>0.29865999999999998</v>
      </c>
      <c r="U409" s="14">
        <v>0.52556999999999998</v>
      </c>
      <c r="V409" s="13">
        <v>0.51385000000000003</v>
      </c>
      <c r="W409" s="13">
        <v>0.51449</v>
      </c>
      <c r="X409" s="14">
        <v>0.52151611200000003</v>
      </c>
      <c r="Y409" s="14">
        <v>0.50134256799999999</v>
      </c>
      <c r="Z409" s="14">
        <v>0.459876383</v>
      </c>
      <c r="AA409" s="14">
        <v>0.43176526999999998</v>
      </c>
      <c r="AB409" s="14">
        <v>0.41801609899999997</v>
      </c>
      <c r="AC409" s="14">
        <v>0.39859692099999999</v>
      </c>
      <c r="AD409" s="14">
        <v>0.37606946200000002</v>
      </c>
      <c r="AE409" s="13" t="s">
        <v>93</v>
      </c>
    </row>
    <row r="410" spans="1:31">
      <c r="A410" s="13" t="s">
        <v>260</v>
      </c>
      <c r="B410" s="13" t="s">
        <v>1</v>
      </c>
      <c r="C410" s="13" t="s">
        <v>232</v>
      </c>
      <c r="D410" s="13" t="str">
        <f>IFERROR(VLOOKUP(C410,ghg_sort!$A$86:$B$512,2,0),0)</f>
        <v>Industry</v>
      </c>
      <c r="E410" s="33" t="s">
        <v>85</v>
      </c>
      <c r="F410" s="13">
        <f>IFERROR(VLOOKUP($E410,ghg_sort!$A$3:$B$21,2,0),0)</f>
        <v>0</v>
      </c>
      <c r="G410" s="13">
        <f t="shared" si="67"/>
        <v>0</v>
      </c>
      <c r="H410" s="13">
        <f t="shared" si="68"/>
        <v>0</v>
      </c>
      <c r="I410" s="13">
        <f t="shared" si="69"/>
        <v>0</v>
      </c>
      <c r="J410" s="13">
        <f t="shared" si="70"/>
        <v>0</v>
      </c>
      <c r="K410" s="13">
        <f t="shared" si="71"/>
        <v>0</v>
      </c>
      <c r="L410" s="13">
        <f t="shared" si="72"/>
        <v>0</v>
      </c>
      <c r="M410" s="13">
        <f t="shared" si="73"/>
        <v>0</v>
      </c>
      <c r="N410" s="13">
        <f t="shared" si="74"/>
        <v>0</v>
      </c>
      <c r="O410" s="13">
        <f t="shared" si="75"/>
        <v>0</v>
      </c>
      <c r="P410" s="13">
        <f t="shared" si="76"/>
        <v>0</v>
      </c>
      <c r="Q410" s="13">
        <f t="shared" si="77"/>
        <v>0</v>
      </c>
      <c r="R410" s="13" t="s">
        <v>239</v>
      </c>
      <c r="T410" s="14">
        <v>9.7000000000000005E-4</v>
      </c>
      <c r="U410" s="13">
        <v>1.6900000000000001E-3</v>
      </c>
      <c r="V410" s="14">
        <v>7.6999999999999996E-4</v>
      </c>
      <c r="W410" s="13">
        <v>1.81E-3</v>
      </c>
      <c r="X410" s="13">
        <v>1.15194E-3</v>
      </c>
      <c r="Y410" s="14">
        <v>7.9425600000000002E-4</v>
      </c>
      <c r="Z410" s="14">
        <v>6.21866E-4</v>
      </c>
      <c r="AA410" s="14">
        <v>5.1915700000000002E-4</v>
      </c>
      <c r="AB410" s="14">
        <v>4.3800300000000001E-4</v>
      </c>
      <c r="AC410" s="14">
        <v>3.6411499999999998E-4</v>
      </c>
      <c r="AD410" s="14">
        <v>3.3879400000000001E-4</v>
      </c>
      <c r="AE410" s="13" t="s">
        <v>93</v>
      </c>
    </row>
    <row r="411" spans="1:31">
      <c r="A411" s="13" t="s">
        <v>260</v>
      </c>
      <c r="B411" s="13" t="s">
        <v>1</v>
      </c>
      <c r="C411" s="13" t="s">
        <v>232</v>
      </c>
      <c r="D411" s="13" t="str">
        <f>IFERROR(VLOOKUP(C411,ghg_sort!$A$86:$B$512,2,0),0)</f>
        <v>Industry</v>
      </c>
      <c r="E411" s="33" t="s">
        <v>233</v>
      </c>
      <c r="F411" s="13">
        <f>IFERROR(VLOOKUP($E411,ghg_sort!$A$3:$B$21,2,0),0)</f>
        <v>3.22</v>
      </c>
      <c r="G411" s="13">
        <f t="shared" si="67"/>
        <v>0</v>
      </c>
      <c r="H411" s="13">
        <f t="shared" si="68"/>
        <v>8.6730378000000011E-2</v>
      </c>
      <c r="I411" s="13">
        <f t="shared" si="69"/>
        <v>0.15535759399999999</v>
      </c>
      <c r="J411" s="13">
        <f t="shared" si="70"/>
        <v>0.22366635200000001</v>
      </c>
      <c r="K411" s="13">
        <f t="shared" si="71"/>
        <v>0.14631583400000001</v>
      </c>
      <c r="L411" s="13">
        <f t="shared" si="72"/>
        <v>0.14661207400000001</v>
      </c>
      <c r="M411" s="13">
        <f t="shared" si="73"/>
        <v>0.16760583000000001</v>
      </c>
      <c r="N411" s="13">
        <f t="shared" si="74"/>
        <v>0.16644598600000002</v>
      </c>
      <c r="O411" s="13">
        <f t="shared" si="75"/>
        <v>0.163963688</v>
      </c>
      <c r="P411" s="13">
        <f t="shared" si="76"/>
        <v>0.159644702</v>
      </c>
      <c r="Q411" s="13">
        <f t="shared" si="77"/>
        <v>0.15375113600000001</v>
      </c>
      <c r="R411" s="13" t="s">
        <v>239</v>
      </c>
      <c r="T411" s="14">
        <v>0</v>
      </c>
      <c r="U411" s="13">
        <v>2.6934900000000001E-2</v>
      </c>
      <c r="V411" s="13">
        <v>4.8247699999999998E-2</v>
      </c>
      <c r="W411" s="13">
        <v>6.9461599999999998E-2</v>
      </c>
      <c r="X411" s="13">
        <v>4.54397E-2</v>
      </c>
      <c r="Y411" s="13">
        <v>4.5531700000000001E-2</v>
      </c>
      <c r="Z411" s="13">
        <v>5.2051500000000001E-2</v>
      </c>
      <c r="AA411" s="13">
        <v>5.1691300000000003E-2</v>
      </c>
      <c r="AB411" s="13">
        <v>5.0920399999999998E-2</v>
      </c>
      <c r="AC411" s="13">
        <v>4.9579100000000001E-2</v>
      </c>
      <c r="AD411" s="13">
        <v>4.7748800000000001E-2</v>
      </c>
      <c r="AE411" s="13" t="s">
        <v>93</v>
      </c>
    </row>
    <row r="412" spans="1:31">
      <c r="A412" s="13" t="s">
        <v>260</v>
      </c>
      <c r="B412" s="13" t="s">
        <v>1</v>
      </c>
      <c r="C412" s="13" t="s">
        <v>232</v>
      </c>
      <c r="D412" s="13" t="str">
        <f>IFERROR(VLOOKUP(C412,ghg_sort!$A$86:$B$512,2,0),0)</f>
        <v>Industry</v>
      </c>
      <c r="E412" s="33" t="s">
        <v>234</v>
      </c>
      <c r="F412" s="13">
        <f>IFERROR(VLOOKUP($E412,ghg_sort!$A$3:$B$21,2,0),0)</f>
        <v>9.81</v>
      </c>
      <c r="G412" s="13">
        <f t="shared" si="67"/>
        <v>0</v>
      </c>
      <c r="H412" s="13">
        <f t="shared" si="68"/>
        <v>7.1124265800000001E-3</v>
      </c>
      <c r="I412" s="13">
        <f t="shared" si="69"/>
        <v>1.0498563900000001E-2</v>
      </c>
      <c r="J412" s="13">
        <f t="shared" si="70"/>
        <v>1.5114659400000001E-2</v>
      </c>
      <c r="K412" s="13">
        <f t="shared" si="71"/>
        <v>7.1920151100000008E-3</v>
      </c>
      <c r="L412" s="13">
        <f t="shared" si="72"/>
        <v>7.2065927700000008E-3</v>
      </c>
      <c r="M412" s="13">
        <f t="shared" si="73"/>
        <v>7.6713218999999999E-3</v>
      </c>
      <c r="N412" s="13">
        <f t="shared" si="74"/>
        <v>7.6182399900000001E-3</v>
      </c>
      <c r="O412" s="13">
        <f t="shared" si="75"/>
        <v>7.5046205700000004E-3</v>
      </c>
      <c r="P412" s="13">
        <f t="shared" si="76"/>
        <v>7.3069490699999998E-3</v>
      </c>
      <c r="Q412" s="13">
        <f t="shared" si="77"/>
        <v>7.0371936900000005E-3</v>
      </c>
      <c r="R412" s="13" t="s">
        <v>239</v>
      </c>
      <c r="T412" s="13">
        <v>0</v>
      </c>
      <c r="U412" s="14">
        <v>7.2501800000000002E-4</v>
      </c>
      <c r="V412" s="13">
        <v>1.0701899999999999E-3</v>
      </c>
      <c r="W412" s="13">
        <v>1.5407400000000001E-3</v>
      </c>
      <c r="X412" s="14">
        <v>7.3313100000000004E-4</v>
      </c>
      <c r="Y412" s="14">
        <v>7.3461700000000002E-4</v>
      </c>
      <c r="Z412" s="14">
        <v>7.8198999999999999E-4</v>
      </c>
      <c r="AA412" s="14">
        <v>7.7657900000000001E-4</v>
      </c>
      <c r="AB412" s="14">
        <v>7.6499700000000001E-4</v>
      </c>
      <c r="AC412" s="14">
        <v>7.4484699999999998E-4</v>
      </c>
      <c r="AD412" s="14">
        <v>7.1734900000000005E-4</v>
      </c>
      <c r="AE412" s="13" t="s">
        <v>93</v>
      </c>
    </row>
    <row r="413" spans="1:31">
      <c r="A413" s="13" t="s">
        <v>260</v>
      </c>
      <c r="B413" s="13" t="s">
        <v>1</v>
      </c>
      <c r="C413" s="13" t="s">
        <v>232</v>
      </c>
      <c r="D413" s="13" t="str">
        <f>IFERROR(VLOOKUP(C413,ghg_sort!$A$86:$B$512,2,0),0)</f>
        <v>Industry</v>
      </c>
      <c r="E413" s="33" t="s">
        <v>87</v>
      </c>
      <c r="F413" s="13">
        <f>IFERROR(VLOOKUP($E413,ghg_sort!$A$3:$B$21,2,0),0)</f>
        <v>298</v>
      </c>
      <c r="G413" s="13">
        <f t="shared" si="67"/>
        <v>0.66156000000000004</v>
      </c>
      <c r="H413" s="13">
        <f t="shared" si="68"/>
        <v>0.78969999999999996</v>
      </c>
      <c r="I413" s="13">
        <f t="shared" si="69"/>
        <v>0.93572</v>
      </c>
      <c r="J413" s="13">
        <f t="shared" si="70"/>
        <v>0.99234</v>
      </c>
      <c r="K413" s="13">
        <f t="shared" si="71"/>
        <v>1.0065229524000001</v>
      </c>
      <c r="L413" s="13">
        <f t="shared" si="72"/>
        <v>0.98470991860000001</v>
      </c>
      <c r="M413" s="13">
        <f t="shared" si="73"/>
        <v>0.91073311720000005</v>
      </c>
      <c r="N413" s="13">
        <f t="shared" si="74"/>
        <v>0.86341512759999994</v>
      </c>
      <c r="O413" s="13">
        <f t="shared" si="75"/>
        <v>0.8384803351999971</v>
      </c>
      <c r="P413" s="13">
        <f t="shared" si="76"/>
        <v>0.80169771840000004</v>
      </c>
      <c r="Q413" s="13">
        <f t="shared" si="77"/>
        <v>0.75665054840000001</v>
      </c>
      <c r="R413" s="13" t="s">
        <v>239</v>
      </c>
      <c r="T413" s="14">
        <v>2.2200000000000002E-3</v>
      </c>
      <c r="U413" s="14">
        <v>2.65E-3</v>
      </c>
      <c r="V413" s="14">
        <v>3.14E-3</v>
      </c>
      <c r="W413" s="14">
        <v>3.3300000000000001E-3</v>
      </c>
      <c r="X413" s="14">
        <v>3.3775938000000002E-3</v>
      </c>
      <c r="Y413" s="14">
        <v>3.3043957000000001E-3</v>
      </c>
      <c r="Z413" s="14">
        <v>3.0561514000000001E-3</v>
      </c>
      <c r="AA413" s="14">
        <v>2.8973661999999998E-3</v>
      </c>
      <c r="AB413" s="14">
        <v>2.8136923999999902E-3</v>
      </c>
      <c r="AC413" s="14">
        <v>2.6902608000000001E-3</v>
      </c>
      <c r="AD413" s="14">
        <v>2.5390958000000002E-3</v>
      </c>
      <c r="AE413" s="13" t="s">
        <v>93</v>
      </c>
    </row>
    <row r="414" spans="1:31">
      <c r="A414" s="13" t="s">
        <v>260</v>
      </c>
      <c r="B414" s="13" t="s">
        <v>1</v>
      </c>
      <c r="C414" s="13" t="s">
        <v>232</v>
      </c>
      <c r="D414" s="13" t="str">
        <f>IFERROR(VLOOKUP(C414,ghg_sort!$A$86:$B$512,2,0),0)</f>
        <v>Industry</v>
      </c>
      <c r="E414" s="33" t="s">
        <v>88</v>
      </c>
      <c r="F414" s="13">
        <f>IFERROR(VLOOKUP($E414,ghg_sort!$A$3:$B$21,2,0),0)</f>
        <v>0</v>
      </c>
      <c r="G414" s="13">
        <f t="shared" si="67"/>
        <v>0</v>
      </c>
      <c r="H414" s="13">
        <f t="shared" si="68"/>
        <v>0</v>
      </c>
      <c r="I414" s="13">
        <f t="shared" si="69"/>
        <v>0</v>
      </c>
      <c r="J414" s="13">
        <f t="shared" si="70"/>
        <v>0</v>
      </c>
      <c r="K414" s="13">
        <f t="shared" si="71"/>
        <v>0</v>
      </c>
      <c r="L414" s="13">
        <f t="shared" si="72"/>
        <v>0</v>
      </c>
      <c r="M414" s="13">
        <f t="shared" si="73"/>
        <v>0</v>
      </c>
      <c r="N414" s="13">
        <f t="shared" si="74"/>
        <v>0</v>
      </c>
      <c r="O414" s="13">
        <f t="shared" si="75"/>
        <v>0</v>
      </c>
      <c r="P414" s="13">
        <f t="shared" si="76"/>
        <v>0</v>
      </c>
      <c r="Q414" s="13">
        <f t="shared" si="77"/>
        <v>0</v>
      </c>
      <c r="R414" s="13" t="s">
        <v>239</v>
      </c>
      <c r="T414" s="14">
        <v>7.016E-2</v>
      </c>
      <c r="U414" s="14">
        <v>3.5299999999999998E-2</v>
      </c>
      <c r="V414" s="14">
        <v>3.1359999999999999E-2</v>
      </c>
      <c r="W414" s="14">
        <v>2.5649999999999999E-2</v>
      </c>
      <c r="X414" s="14">
        <v>2.6037219E-2</v>
      </c>
      <c r="Y414" s="14">
        <v>2.6102528999999999E-2</v>
      </c>
      <c r="Z414" s="14">
        <v>2.6112606999999999E-2</v>
      </c>
      <c r="AA414" s="14">
        <v>2.5961730999999998E-2</v>
      </c>
      <c r="AB414" s="14">
        <v>2.5574612E-2</v>
      </c>
      <c r="AC414" s="14">
        <v>2.4925954E-2</v>
      </c>
      <c r="AD414" s="14">
        <v>2.4005678999999999E-2</v>
      </c>
      <c r="AE414" s="13" t="s">
        <v>93</v>
      </c>
    </row>
    <row r="415" spans="1:31">
      <c r="A415" s="13" t="s">
        <v>260</v>
      </c>
      <c r="B415" s="13" t="s">
        <v>1</v>
      </c>
      <c r="C415" s="13" t="s">
        <v>232</v>
      </c>
      <c r="D415" s="13" t="str">
        <f>IFERROR(VLOOKUP(C415,ghg_sort!$A$86:$B$512,2,0),0)</f>
        <v>Industry</v>
      </c>
      <c r="E415" s="33" t="s">
        <v>89</v>
      </c>
      <c r="F415" s="13">
        <f>IFERROR(VLOOKUP($E415,ghg_sort!$A$3:$B$21,2,0),0)</f>
        <v>0</v>
      </c>
      <c r="G415" s="13">
        <f t="shared" si="67"/>
        <v>0</v>
      </c>
      <c r="H415" s="13">
        <f t="shared" si="68"/>
        <v>0</v>
      </c>
      <c r="I415" s="13">
        <f t="shared" si="69"/>
        <v>0</v>
      </c>
      <c r="J415" s="13">
        <f t="shared" si="70"/>
        <v>0</v>
      </c>
      <c r="K415" s="13">
        <f t="shared" si="71"/>
        <v>0</v>
      </c>
      <c r="L415" s="13">
        <f t="shared" si="72"/>
        <v>0</v>
      </c>
      <c r="M415" s="13">
        <f t="shared" si="73"/>
        <v>0</v>
      </c>
      <c r="N415" s="13">
        <f t="shared" si="74"/>
        <v>0</v>
      </c>
      <c r="O415" s="13">
        <f t="shared" si="75"/>
        <v>0</v>
      </c>
      <c r="P415" s="13">
        <f t="shared" si="76"/>
        <v>0</v>
      </c>
      <c r="Q415" s="13">
        <f t="shared" si="77"/>
        <v>0</v>
      </c>
      <c r="R415" s="13" t="s">
        <v>239</v>
      </c>
      <c r="T415" s="14">
        <v>1.5599999999999999E-2</v>
      </c>
      <c r="U415" s="13">
        <v>2.496E-2</v>
      </c>
      <c r="V415" s="14">
        <v>2.6759999999999999E-2</v>
      </c>
      <c r="W415" s="13">
        <v>3.6659999999999998E-2</v>
      </c>
      <c r="X415" s="13">
        <v>2.3357942699999999E-2</v>
      </c>
      <c r="Y415" s="14">
        <v>1.6127532100000001E-2</v>
      </c>
      <c r="Z415" s="14">
        <v>1.4971215499999999E-2</v>
      </c>
      <c r="AA415" s="14">
        <v>1.4884703799999999E-2</v>
      </c>
      <c r="AB415" s="14">
        <v>1.4662794200000001E-2</v>
      </c>
      <c r="AC415" s="14">
        <v>1.42908849E-2</v>
      </c>
      <c r="AD415" s="14">
        <v>1.3763294599999899E-2</v>
      </c>
      <c r="AE415" s="13" t="s">
        <v>93</v>
      </c>
    </row>
    <row r="416" spans="1:31">
      <c r="A416" s="13" t="s">
        <v>260</v>
      </c>
      <c r="B416" s="13" t="s">
        <v>1</v>
      </c>
      <c r="C416" s="13" t="s">
        <v>232</v>
      </c>
      <c r="D416" s="13" t="str">
        <f>IFERROR(VLOOKUP(C416,ghg_sort!$A$86:$B$512,2,0),0)</f>
        <v>Industry</v>
      </c>
      <c r="E416" s="33" t="s">
        <v>90</v>
      </c>
      <c r="F416" s="13">
        <f>IFERROR(VLOOKUP($E416,ghg_sort!$A$3:$B$21,2,0),0)</f>
        <v>0</v>
      </c>
      <c r="G416" s="13">
        <f t="shared" si="67"/>
        <v>0</v>
      </c>
      <c r="H416" s="13">
        <f t="shared" si="68"/>
        <v>0</v>
      </c>
      <c r="I416" s="13">
        <f t="shared" si="69"/>
        <v>0</v>
      </c>
      <c r="J416" s="13">
        <f t="shared" si="70"/>
        <v>0</v>
      </c>
      <c r="K416" s="13">
        <f t="shared" si="71"/>
        <v>0</v>
      </c>
      <c r="L416" s="13">
        <f t="shared" si="72"/>
        <v>0</v>
      </c>
      <c r="M416" s="13">
        <f t="shared" si="73"/>
        <v>0</v>
      </c>
      <c r="N416" s="13">
        <f t="shared" si="74"/>
        <v>0</v>
      </c>
      <c r="O416" s="13">
        <f t="shared" si="75"/>
        <v>0</v>
      </c>
      <c r="P416" s="13">
        <f t="shared" si="76"/>
        <v>0</v>
      </c>
      <c r="Q416" s="13">
        <f t="shared" si="77"/>
        <v>0</v>
      </c>
      <c r="R416" s="13" t="s">
        <v>239</v>
      </c>
      <c r="T416" s="13">
        <v>4.3400000000000001E-3</v>
      </c>
      <c r="U416" s="13">
        <v>7.8899999999999994E-3</v>
      </c>
      <c r="V416" s="13">
        <v>4.8700000000000002E-3</v>
      </c>
      <c r="W416" s="13">
        <v>8.6499999999999997E-3</v>
      </c>
      <c r="X416" s="13">
        <v>5.5051099999999997E-3</v>
      </c>
      <c r="Y416" s="13">
        <v>3.7957500000000001E-3</v>
      </c>
      <c r="Z416" s="13">
        <v>2.9719E-3</v>
      </c>
      <c r="AA416" s="13">
        <v>2.4810499999999998E-3</v>
      </c>
      <c r="AB416" s="13">
        <v>2.0932199999999998E-3</v>
      </c>
      <c r="AC416" s="13">
        <v>1.74011E-3</v>
      </c>
      <c r="AD416" s="13">
        <v>1.6191000000000001E-3</v>
      </c>
      <c r="AE416" s="13" t="s">
        <v>131</v>
      </c>
    </row>
    <row r="417" spans="1:31">
      <c r="A417" s="13" t="s">
        <v>260</v>
      </c>
      <c r="B417" s="13" t="s">
        <v>1</v>
      </c>
      <c r="C417" s="13" t="s">
        <v>232</v>
      </c>
      <c r="D417" s="13" t="str">
        <f>IFERROR(VLOOKUP(C417,ghg_sort!$A$86:$B$512,2,0),0)</f>
        <v>Industry</v>
      </c>
      <c r="E417" s="33" t="s">
        <v>91</v>
      </c>
      <c r="F417" s="13">
        <f>IFERROR(VLOOKUP($E417,ghg_sort!$A$3:$B$21,2,0),0)</f>
        <v>0</v>
      </c>
      <c r="G417" s="13">
        <f t="shared" si="67"/>
        <v>0</v>
      </c>
      <c r="H417" s="13">
        <f t="shared" si="68"/>
        <v>0</v>
      </c>
      <c r="I417" s="13">
        <f t="shared" si="69"/>
        <v>0</v>
      </c>
      <c r="J417" s="13">
        <f t="shared" si="70"/>
        <v>0</v>
      </c>
      <c r="K417" s="13">
        <f t="shared" si="71"/>
        <v>0</v>
      </c>
      <c r="L417" s="13">
        <f t="shared" si="72"/>
        <v>0</v>
      </c>
      <c r="M417" s="13">
        <f t="shared" si="73"/>
        <v>0</v>
      </c>
      <c r="N417" s="13">
        <f t="shared" si="74"/>
        <v>0</v>
      </c>
      <c r="O417" s="13">
        <f t="shared" si="75"/>
        <v>0</v>
      </c>
      <c r="P417" s="13">
        <f t="shared" si="76"/>
        <v>0</v>
      </c>
      <c r="Q417" s="13">
        <f t="shared" si="77"/>
        <v>0</v>
      </c>
      <c r="R417" s="13" t="s">
        <v>239</v>
      </c>
      <c r="T417" s="14">
        <v>3.5E-4</v>
      </c>
      <c r="U417" s="14">
        <v>6.4000000000000005E-4</v>
      </c>
      <c r="V417" s="14">
        <v>6.8000000000000005E-4</v>
      </c>
      <c r="W417" s="14">
        <v>7.1000000000000002E-4</v>
      </c>
      <c r="X417" s="14">
        <v>5.0450199999999999E-4</v>
      </c>
      <c r="Y417" s="14">
        <v>5.0576899999999999E-4</v>
      </c>
      <c r="Z417" s="14">
        <v>5.0596400000000002E-4</v>
      </c>
      <c r="AA417" s="14">
        <v>5.0304099999999997E-4</v>
      </c>
      <c r="AB417" s="14">
        <v>4.9553900000000003E-4</v>
      </c>
      <c r="AC417" s="14">
        <v>4.8296999999999999E-4</v>
      </c>
      <c r="AD417" s="14">
        <v>4.6514000000000001E-4</v>
      </c>
      <c r="AE417" s="13" t="s">
        <v>131</v>
      </c>
    </row>
    <row r="418" spans="1:31">
      <c r="A418" s="13" t="s">
        <v>260</v>
      </c>
      <c r="B418" s="13" t="s">
        <v>1</v>
      </c>
      <c r="C418" s="13" t="s">
        <v>232</v>
      </c>
      <c r="D418" s="13" t="str">
        <f>IFERROR(VLOOKUP(C418,ghg_sort!$A$86:$B$512,2,0),0)</f>
        <v>Industry</v>
      </c>
      <c r="E418" s="33" t="s">
        <v>92</v>
      </c>
      <c r="F418" s="13">
        <f>IFERROR(VLOOKUP($E418,ghg_sort!$A$3:$B$21,2,0),0)</f>
        <v>0</v>
      </c>
      <c r="G418" s="13">
        <f t="shared" si="67"/>
        <v>0</v>
      </c>
      <c r="H418" s="13">
        <f t="shared" si="68"/>
        <v>0</v>
      </c>
      <c r="I418" s="13">
        <f t="shared" si="69"/>
        <v>0</v>
      </c>
      <c r="J418" s="13">
        <f t="shared" si="70"/>
        <v>0</v>
      </c>
      <c r="K418" s="13">
        <f t="shared" si="71"/>
        <v>0</v>
      </c>
      <c r="L418" s="13">
        <f t="shared" si="72"/>
        <v>0</v>
      </c>
      <c r="M418" s="13">
        <f t="shared" si="73"/>
        <v>0</v>
      </c>
      <c r="N418" s="13">
        <f t="shared" si="74"/>
        <v>0</v>
      </c>
      <c r="O418" s="13">
        <f t="shared" si="75"/>
        <v>0</v>
      </c>
      <c r="P418" s="13">
        <f t="shared" si="76"/>
        <v>0</v>
      </c>
      <c r="Q418" s="13">
        <f t="shared" si="77"/>
        <v>0</v>
      </c>
      <c r="R418" s="13" t="s">
        <v>239</v>
      </c>
      <c r="T418" s="14">
        <v>7.1199700000000002E-4</v>
      </c>
      <c r="U418" s="13">
        <v>1.2539000000000001E-3</v>
      </c>
      <c r="V418" s="13">
        <v>1.17347E-3</v>
      </c>
      <c r="W418" s="13">
        <v>5.8689099999999998E-3</v>
      </c>
      <c r="X418" s="13">
        <v>3.7351400000000001E-3</v>
      </c>
      <c r="Y418" s="13">
        <v>2.9862299999999999E-3</v>
      </c>
      <c r="Z418" s="13">
        <v>2.98738E-3</v>
      </c>
      <c r="AA418" s="13">
        <v>2.9701200000000001E-3</v>
      </c>
      <c r="AB418" s="13">
        <v>2.9258299999999999E-3</v>
      </c>
      <c r="AC418" s="13">
        <v>2.85162E-3</v>
      </c>
      <c r="AD418" s="13">
        <v>2.7463399999999999E-3</v>
      </c>
      <c r="AE418" s="13" t="s">
        <v>93</v>
      </c>
    </row>
    <row r="419" spans="1:31">
      <c r="E419" s="33"/>
    </row>
    <row r="420" spans="1:31">
      <c r="E420" s="33"/>
    </row>
    <row r="421" spans="1:31">
      <c r="E421" s="33"/>
    </row>
    <row r="422" spans="1:31">
      <c r="E422" s="33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</row>
    <row r="423" spans="1:31">
      <c r="E423" s="33"/>
      <c r="T423" s="14"/>
    </row>
    <row r="425" spans="1:31">
      <c r="E425" s="13">
        <f>COUNTIF(E3:E423,"CO2")</f>
        <v>43</v>
      </c>
    </row>
    <row r="428" spans="1:31">
      <c r="K428" s="36"/>
      <c r="L428" s="36"/>
      <c r="M428" s="36"/>
      <c r="N428" s="36"/>
      <c r="O428" s="36"/>
      <c r="P428" s="36"/>
      <c r="Q428" s="36"/>
    </row>
    <row r="429" spans="1:31">
      <c r="A429" s="13" t="s">
        <v>240</v>
      </c>
      <c r="B429" s="13" t="s">
        <v>241</v>
      </c>
      <c r="C429" s="13" t="s">
        <v>242</v>
      </c>
      <c r="G429" s="13">
        <v>1990</v>
      </c>
      <c r="H429" s="13">
        <v>2005</v>
      </c>
      <c r="I429" s="13">
        <v>2010</v>
      </c>
      <c r="J429" s="13">
        <v>2015</v>
      </c>
      <c r="K429" s="13">
        <v>2020</v>
      </c>
      <c r="L429" s="13">
        <v>2025</v>
      </c>
      <c r="M429" s="13">
        <v>2030</v>
      </c>
      <c r="N429" s="13">
        <v>2035</v>
      </c>
      <c r="O429" s="13">
        <v>2040</v>
      </c>
      <c r="P429" s="13">
        <v>2045</v>
      </c>
      <c r="Q429" s="13">
        <v>2050</v>
      </c>
      <c r="R429" s="13" t="s">
        <v>243</v>
      </c>
      <c r="T429" s="13">
        <v>1990</v>
      </c>
      <c r="U429" s="13">
        <v>2005</v>
      </c>
      <c r="V429" s="13">
        <v>2010</v>
      </c>
      <c r="W429" s="13">
        <v>2015</v>
      </c>
      <c r="X429" s="13">
        <v>2020</v>
      </c>
      <c r="Y429" s="13">
        <v>2025</v>
      </c>
      <c r="Z429" s="13">
        <v>2030</v>
      </c>
      <c r="AA429" s="13">
        <v>2035</v>
      </c>
      <c r="AB429" s="13">
        <v>2040</v>
      </c>
      <c r="AC429" s="13">
        <v>2045</v>
      </c>
      <c r="AD429" s="13">
        <v>2050</v>
      </c>
      <c r="AE429" s="13" t="s">
        <v>243</v>
      </c>
    </row>
    <row r="430" spans="1:31">
      <c r="A430" s="13" t="s">
        <v>260</v>
      </c>
      <c r="B430" s="13" t="s">
        <v>1</v>
      </c>
      <c r="C430" s="13" t="s">
        <v>140</v>
      </c>
      <c r="D430" s="13" t="str">
        <f>IFERROR(VLOOKUP(C430,ghg_sort!$A$86:$B$512,2,0),0)</f>
        <v>Industry</v>
      </c>
      <c r="E430" s="13" t="s">
        <v>86</v>
      </c>
      <c r="F430" s="13">
        <f>IFERROR(VLOOKUP($E430,ghg_sort!$A$3:$B$21,2,0),0)</f>
        <v>3.6666666666666701</v>
      </c>
      <c r="G430" s="13">
        <f>T430*$F430</f>
        <v>0</v>
      </c>
      <c r="H430" s="13">
        <f t="shared" ref="H430:Q445" si="78">U430*$F430</f>
        <v>0</v>
      </c>
      <c r="I430" s="13">
        <f t="shared" si="78"/>
        <v>0</v>
      </c>
      <c r="J430" s="13">
        <f t="shared" si="78"/>
        <v>0</v>
      </c>
      <c r="K430" s="13">
        <f t="shared" si="78"/>
        <v>6.588520828967373E-2</v>
      </c>
      <c r="L430" s="13">
        <f t="shared" si="78"/>
        <v>0.78341914290681136</v>
      </c>
      <c r="M430" s="13">
        <f t="shared" si="78"/>
        <v>1.6909223628869199</v>
      </c>
      <c r="N430" s="13">
        <f t="shared" si="78"/>
        <v>-1.6801565788880855</v>
      </c>
      <c r="O430" s="13">
        <f t="shared" si="78"/>
        <v>-10.843217421458483</v>
      </c>
      <c r="P430" s="13">
        <f t="shared" si="78"/>
        <v>-13.728030854752733</v>
      </c>
      <c r="Q430" s="13">
        <f t="shared" si="78"/>
        <v>-12.106110692998787</v>
      </c>
      <c r="R430" s="13" t="s">
        <v>239</v>
      </c>
      <c r="T430" s="13">
        <v>0</v>
      </c>
      <c r="U430" s="13">
        <v>0</v>
      </c>
      <c r="V430" s="13">
        <v>0</v>
      </c>
      <c r="W430" s="13">
        <v>0</v>
      </c>
      <c r="X430" s="13">
        <v>1.7968693169910999E-2</v>
      </c>
      <c r="Y430" s="13">
        <v>0.21365976624731201</v>
      </c>
      <c r="Z430" s="13">
        <v>0.46116064442370502</v>
      </c>
      <c r="AA430" s="13">
        <v>-0.45822452151493198</v>
      </c>
      <c r="AB430" s="13">
        <v>-2.9572411149432201</v>
      </c>
      <c r="AC430" s="13">
        <v>-3.7440084149325599</v>
      </c>
      <c r="AD430" s="13">
        <v>-3.3016665526360298</v>
      </c>
      <c r="AE430" s="13" t="s">
        <v>244</v>
      </c>
    </row>
    <row r="431" spans="1:31">
      <c r="A431" s="13" t="s">
        <v>260</v>
      </c>
      <c r="B431" s="13" t="s">
        <v>1</v>
      </c>
      <c r="C431" s="13" t="s">
        <v>141</v>
      </c>
      <c r="D431" s="13" t="str">
        <f>IFERROR(VLOOKUP(C431,ghg_sort!$A$86:$B$512,2,0),0)</f>
        <v>Industry</v>
      </c>
      <c r="E431" s="13" t="s">
        <v>86</v>
      </c>
      <c r="F431" s="13">
        <f>IFERROR(VLOOKUP($E431,ghg_sort!$A$3:$B$21,2,0),0)</f>
        <v>3.6666666666666701</v>
      </c>
      <c r="G431" s="13">
        <f t="shared" ref="G431:Q467" si="79">T431*$F431</f>
        <v>0</v>
      </c>
      <c r="H431" s="13">
        <f t="shared" si="78"/>
        <v>0</v>
      </c>
      <c r="I431" s="13">
        <f t="shared" si="78"/>
        <v>0</v>
      </c>
      <c r="J431" s="13">
        <f t="shared" si="78"/>
        <v>0</v>
      </c>
      <c r="K431" s="13">
        <f t="shared" si="78"/>
        <v>4.5858522773067442E-2</v>
      </c>
      <c r="L431" s="13">
        <f t="shared" si="78"/>
        <v>0.99467235548209187</v>
      </c>
      <c r="M431" s="13">
        <f t="shared" si="78"/>
        <v>3.2904285928334325</v>
      </c>
      <c r="N431" s="13">
        <f t="shared" si="78"/>
        <v>5.1089171936683879</v>
      </c>
      <c r="O431" s="13">
        <f t="shared" si="78"/>
        <v>4.5578510792049443</v>
      </c>
      <c r="P431" s="13">
        <f t="shared" si="78"/>
        <v>3.4242871619584019</v>
      </c>
      <c r="Q431" s="13">
        <f t="shared" si="78"/>
        <v>2.4332243102793512</v>
      </c>
      <c r="R431" s="13" t="s">
        <v>239</v>
      </c>
      <c r="T431" s="13">
        <v>0</v>
      </c>
      <c r="U431" s="13">
        <v>0</v>
      </c>
      <c r="V431" s="13">
        <v>0</v>
      </c>
      <c r="W431" s="13">
        <v>0</v>
      </c>
      <c r="X431" s="13">
        <v>1.2506869847200199E-2</v>
      </c>
      <c r="Y431" s="13">
        <v>0.27127427876784299</v>
      </c>
      <c r="Z431" s="13">
        <v>0.89738961622729896</v>
      </c>
      <c r="AA431" s="13">
        <v>1.3933410528186501</v>
      </c>
      <c r="AB431" s="13">
        <v>1.2430502943286199</v>
      </c>
      <c r="AC431" s="13">
        <v>0.93389649871592695</v>
      </c>
      <c r="AD431" s="13">
        <v>0.66360663007618603</v>
      </c>
      <c r="AE431" s="13" t="s">
        <v>244</v>
      </c>
    </row>
    <row r="432" spans="1:31">
      <c r="A432" s="13" t="s">
        <v>260</v>
      </c>
      <c r="B432" s="13" t="s">
        <v>1</v>
      </c>
      <c r="C432" s="13" t="s">
        <v>63</v>
      </c>
      <c r="D432" s="13" t="str">
        <f>IFERROR(VLOOKUP(C432,ghg_sort!$A$86:$B$512,2,0),0)</f>
        <v>Agriculture</v>
      </c>
      <c r="E432" s="13" t="s">
        <v>86</v>
      </c>
      <c r="F432" s="13">
        <f>IFERROR(VLOOKUP($E432,ghg_sort!$A$3:$B$21,2,0),0)</f>
        <v>3.6666666666666701</v>
      </c>
      <c r="G432" s="13">
        <f t="shared" si="79"/>
        <v>2.1263130613577585</v>
      </c>
      <c r="H432" s="13">
        <f t="shared" si="78"/>
        <v>0.80629536474832475</v>
      </c>
      <c r="I432" s="13">
        <f t="shared" si="78"/>
        <v>0.64856045232603954</v>
      </c>
      <c r="J432" s="13">
        <f t="shared" si="78"/>
        <v>0.33665395423484695</v>
      </c>
      <c r="K432" s="13">
        <f t="shared" si="78"/>
        <v>0.35035607904150479</v>
      </c>
      <c r="L432" s="13">
        <f t="shared" si="78"/>
        <v>0.35776572932885436</v>
      </c>
      <c r="M432" s="13">
        <f t="shared" si="78"/>
        <v>0.34929759914465969</v>
      </c>
      <c r="N432" s="13">
        <f t="shared" si="78"/>
        <v>0.30264057070264516</v>
      </c>
      <c r="O432" s="13">
        <f t="shared" si="78"/>
        <v>0.22752295850809784</v>
      </c>
      <c r="P432" s="13">
        <f t="shared" si="78"/>
        <v>0.17423665709778477</v>
      </c>
      <c r="Q432" s="13">
        <f t="shared" si="78"/>
        <v>0.13358578089304995</v>
      </c>
      <c r="R432" s="13" t="s">
        <v>239</v>
      </c>
      <c r="T432" s="13">
        <v>0.57990356218847905</v>
      </c>
      <c r="U432" s="13">
        <v>0.219898735840452</v>
      </c>
      <c r="V432" s="13">
        <v>0.17688012336164699</v>
      </c>
      <c r="W432" s="13">
        <v>9.1814714791321805E-2</v>
      </c>
      <c r="X432" s="13">
        <v>9.5551657920410302E-2</v>
      </c>
      <c r="Y432" s="13">
        <v>9.7572471635142002E-2</v>
      </c>
      <c r="Z432" s="13">
        <v>9.5262981584907105E-2</v>
      </c>
      <c r="AA432" s="13">
        <v>8.2538337464357694E-2</v>
      </c>
      <c r="AB432" s="13">
        <v>6.2051715956753899E-2</v>
      </c>
      <c r="AC432" s="13">
        <v>4.7519088299395801E-2</v>
      </c>
      <c r="AD432" s="13">
        <v>3.6432485698104498E-2</v>
      </c>
      <c r="AE432" s="13" t="s">
        <v>244</v>
      </c>
    </row>
    <row r="433" spans="1:31">
      <c r="A433" s="13" t="s">
        <v>260</v>
      </c>
      <c r="B433" s="13" t="s">
        <v>1</v>
      </c>
      <c r="C433" s="13" t="s">
        <v>64</v>
      </c>
      <c r="D433" s="13" t="str">
        <f>IFERROR(VLOOKUP(C433,ghg_sort!$A$86:$B$512,2,0),0)</f>
        <v>Industry</v>
      </c>
      <c r="E433" s="13" t="s">
        <v>86</v>
      </c>
      <c r="F433" s="13">
        <f>IFERROR(VLOOKUP($E433,ghg_sort!$A$3:$B$21,2,0),0)</f>
        <v>3.6666666666666701</v>
      </c>
      <c r="G433" s="13">
        <f t="shared" si="79"/>
        <v>4.605773333333337</v>
      </c>
      <c r="H433" s="13">
        <f t="shared" si="78"/>
        <v>4.307647964289087</v>
      </c>
      <c r="I433" s="13">
        <f t="shared" si="78"/>
        <v>3.7690731631676604</v>
      </c>
      <c r="J433" s="13">
        <f t="shared" si="78"/>
        <v>1.397150924697995</v>
      </c>
      <c r="K433" s="13">
        <f t="shared" si="78"/>
        <v>1.4235508302340285</v>
      </c>
      <c r="L433" s="13">
        <f t="shared" si="78"/>
        <v>1.421938181783861</v>
      </c>
      <c r="M433" s="13">
        <f t="shared" si="78"/>
        <v>1.4412505360564973</v>
      </c>
      <c r="N433" s="13">
        <f t="shared" si="78"/>
        <v>1.3819999384963066</v>
      </c>
      <c r="O433" s="13">
        <f t="shared" si="78"/>
        <v>1.1798295870306745</v>
      </c>
      <c r="P433" s="13">
        <f t="shared" si="78"/>
        <v>0.86289469877826686</v>
      </c>
      <c r="Q433" s="13">
        <f t="shared" si="78"/>
        <v>0.56546986320381754</v>
      </c>
      <c r="R433" s="13" t="s">
        <v>239</v>
      </c>
      <c r="T433" s="13">
        <v>1.2561199999999999</v>
      </c>
      <c r="U433" s="13">
        <v>1.1748130811697499</v>
      </c>
      <c r="V433" s="13">
        <v>1.02792904450027</v>
      </c>
      <c r="W433" s="13">
        <v>0.38104116128127102</v>
      </c>
      <c r="X433" s="13">
        <v>0.38824113551837103</v>
      </c>
      <c r="Y433" s="13">
        <v>0.387801322304689</v>
      </c>
      <c r="Z433" s="13">
        <v>0.39306832801540798</v>
      </c>
      <c r="AA433" s="13">
        <v>0.37690907413535601</v>
      </c>
      <c r="AB433" s="13">
        <v>0.32177170555382001</v>
      </c>
      <c r="AC433" s="13">
        <v>0.23533491784861801</v>
      </c>
      <c r="AD433" s="13">
        <v>0.15421905360104099</v>
      </c>
      <c r="AE433" s="13" t="s">
        <v>244</v>
      </c>
    </row>
    <row r="434" spans="1:31">
      <c r="A434" s="13" t="s">
        <v>260</v>
      </c>
      <c r="B434" s="13" t="s">
        <v>1</v>
      </c>
      <c r="C434" s="13" t="s">
        <v>189</v>
      </c>
      <c r="D434" s="13" t="str">
        <f>IFERROR(VLOOKUP(C434,ghg_sort!$A$86:$B$512,2,0),0)</f>
        <v>DAC</v>
      </c>
      <c r="E434" s="13" t="s">
        <v>86</v>
      </c>
      <c r="F434" s="13">
        <f>IFERROR(VLOOKUP($E434,ghg_sort!$A$3:$B$21,2,0),0)</f>
        <v>3.6666666666666701</v>
      </c>
      <c r="G434" s="13">
        <f t="shared" si="79"/>
        <v>0</v>
      </c>
      <c r="H434" s="13">
        <f t="shared" si="78"/>
        <v>0</v>
      </c>
      <c r="I434" s="13">
        <f t="shared" si="78"/>
        <v>0</v>
      </c>
      <c r="J434" s="13">
        <f t="shared" si="78"/>
        <v>0</v>
      </c>
      <c r="K434" s="13">
        <f t="shared" si="78"/>
        <v>0</v>
      </c>
      <c r="L434" s="13">
        <f t="shared" si="78"/>
        <v>0</v>
      </c>
      <c r="M434" s="13">
        <f t="shared" si="78"/>
        <v>0</v>
      </c>
      <c r="N434" s="13">
        <f t="shared" si="78"/>
        <v>0</v>
      </c>
      <c r="O434" s="13">
        <f t="shared" si="78"/>
        <v>-4.0376966666666702E-4</v>
      </c>
      <c r="P434" s="13">
        <f t="shared" si="78"/>
        <v>-0.17651993333333349</v>
      </c>
      <c r="Q434" s="13">
        <f t="shared" si="78"/>
        <v>-51.098666666666716</v>
      </c>
      <c r="R434" s="13" t="s">
        <v>239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4">
        <v>0</v>
      </c>
      <c r="Z434" s="14">
        <v>0</v>
      </c>
      <c r="AA434" s="14">
        <v>0</v>
      </c>
      <c r="AB434" s="14">
        <v>-1.1011899999999999E-4</v>
      </c>
      <c r="AC434" s="13">
        <v>-4.8141799999999998E-2</v>
      </c>
      <c r="AD434" s="13">
        <v>-13.936</v>
      </c>
      <c r="AE434" s="13" t="s">
        <v>244</v>
      </c>
    </row>
    <row r="435" spans="1:31">
      <c r="A435" s="13" t="s">
        <v>260</v>
      </c>
      <c r="B435" s="13" t="s">
        <v>1</v>
      </c>
      <c r="C435" s="13" t="s">
        <v>142</v>
      </c>
      <c r="D435" s="13" t="str">
        <f>IFERROR(VLOOKUP(C435,ghg_sort!$A$86:$B$512,2,0),0)</f>
        <v>Electricity</v>
      </c>
      <c r="E435" s="13" t="s">
        <v>86</v>
      </c>
      <c r="F435" s="13">
        <f>IFERROR(VLOOKUP($E435,ghg_sort!$A$3:$B$21,2,0),0)</f>
        <v>3.6666666666666701</v>
      </c>
      <c r="G435" s="13">
        <f t="shared" si="79"/>
        <v>0</v>
      </c>
      <c r="H435" s="13">
        <f t="shared" si="78"/>
        <v>0</v>
      </c>
      <c r="I435" s="13">
        <f t="shared" si="78"/>
        <v>0</v>
      </c>
      <c r="J435" s="13">
        <f t="shared" si="78"/>
        <v>0</v>
      </c>
      <c r="K435" s="13">
        <f t="shared" si="78"/>
        <v>0.10301242404115016</v>
      </c>
      <c r="L435" s="13">
        <f t="shared" si="78"/>
        <v>0.32331151024734606</v>
      </c>
      <c r="M435" s="13">
        <f t="shared" si="78"/>
        <v>1.508857572765042</v>
      </c>
      <c r="N435" s="13">
        <f t="shared" si="78"/>
        <v>3.3604367671096673</v>
      </c>
      <c r="O435" s="13">
        <f t="shared" si="78"/>
        <v>5.6699445526636421</v>
      </c>
      <c r="P435" s="13">
        <f t="shared" si="78"/>
        <v>7.8729082477221803</v>
      </c>
      <c r="Q435" s="13">
        <f t="shared" si="78"/>
        <v>8.757653143631746</v>
      </c>
      <c r="R435" s="13" t="s">
        <v>239</v>
      </c>
      <c r="T435" s="13">
        <v>0</v>
      </c>
      <c r="U435" s="13">
        <v>0</v>
      </c>
      <c r="V435" s="13">
        <v>0</v>
      </c>
      <c r="W435" s="13">
        <v>0</v>
      </c>
      <c r="X435" s="13">
        <v>2.8094297465768199E-2</v>
      </c>
      <c r="Y435" s="13">
        <v>8.8175866431094305E-2</v>
      </c>
      <c r="Z435" s="13">
        <v>0.411506610754102</v>
      </c>
      <c r="AA435" s="13">
        <v>0.91648275466627205</v>
      </c>
      <c r="AB435" s="13">
        <v>1.54634851436281</v>
      </c>
      <c r="AC435" s="13">
        <v>2.1471567948333199</v>
      </c>
      <c r="AD435" s="13">
        <v>2.3884508573541101</v>
      </c>
      <c r="AE435" s="13" t="s">
        <v>244</v>
      </c>
    </row>
    <row r="436" spans="1:31">
      <c r="A436" s="13" t="s">
        <v>260</v>
      </c>
      <c r="B436" s="13" t="s">
        <v>1</v>
      </c>
      <c r="C436" s="13" t="s">
        <v>61</v>
      </c>
      <c r="D436" s="13" t="str">
        <f>IFERROR(VLOOKUP(C436,ghg_sort!$A$86:$B$512,2,0),0)</f>
        <v>Industry</v>
      </c>
      <c r="E436" s="13" t="s">
        <v>86</v>
      </c>
      <c r="F436" s="13">
        <f>IFERROR(VLOOKUP($E436,ghg_sort!$A$3:$B$21,2,0),0)</f>
        <v>3.6666666666666701</v>
      </c>
      <c r="G436" s="13">
        <f t="shared" si="79"/>
        <v>16.756666666666682</v>
      </c>
      <c r="H436" s="13">
        <f t="shared" si="78"/>
        <v>25.626333333333356</v>
      </c>
      <c r="I436" s="13">
        <f t="shared" si="78"/>
        <v>24.99566666666669</v>
      </c>
      <c r="J436" s="13">
        <f t="shared" si="78"/>
        <v>24.99566666666669</v>
      </c>
      <c r="K436" s="13">
        <f t="shared" si="78"/>
        <v>23.17139000000002</v>
      </c>
      <c r="L436" s="13">
        <f t="shared" si="78"/>
        <v>17.772113333333351</v>
      </c>
      <c r="M436" s="13">
        <f t="shared" si="78"/>
        <v>15.37363666666668</v>
      </c>
      <c r="N436" s="13">
        <f t="shared" si="78"/>
        <v>13.171325566666679</v>
      </c>
      <c r="O436" s="13">
        <f t="shared" si="78"/>
        <v>6.9115944333333399</v>
      </c>
      <c r="P436" s="13">
        <f t="shared" si="78"/>
        <v>3.7359266266666697</v>
      </c>
      <c r="Q436" s="13">
        <f t="shared" si="78"/>
        <v>2.6451797899999989</v>
      </c>
      <c r="R436" s="13" t="s">
        <v>239</v>
      </c>
      <c r="T436" s="13">
        <v>4.57</v>
      </c>
      <c r="U436" s="13">
        <v>6.9889999999999999</v>
      </c>
      <c r="V436" s="13">
        <v>6.8170000000000002</v>
      </c>
      <c r="W436" s="13">
        <v>6.8170000000000002</v>
      </c>
      <c r="X436" s="13">
        <v>6.3194699999999999</v>
      </c>
      <c r="Y436" s="13">
        <v>4.84694</v>
      </c>
      <c r="Z436" s="13">
        <v>4.1928099999999997</v>
      </c>
      <c r="AA436" s="13">
        <v>3.5921797</v>
      </c>
      <c r="AB436" s="13">
        <v>1.8849803000000001</v>
      </c>
      <c r="AC436" s="13">
        <v>1.0188890799999999</v>
      </c>
      <c r="AD436" s="13">
        <v>0.72141266999999898</v>
      </c>
      <c r="AE436" s="13" t="s">
        <v>244</v>
      </c>
    </row>
    <row r="437" spans="1:31">
      <c r="A437" s="13" t="s">
        <v>260</v>
      </c>
      <c r="B437" s="13" t="s">
        <v>1</v>
      </c>
      <c r="C437" s="13" t="s">
        <v>56</v>
      </c>
      <c r="D437" s="13" t="str">
        <f>IFERROR(VLOOKUP(C437,ghg_sort!$A$86:$B$512,2,0),0)</f>
        <v>Industry</v>
      </c>
      <c r="E437" s="13" t="s">
        <v>86</v>
      </c>
      <c r="F437" s="13">
        <f>IFERROR(VLOOKUP($E437,ghg_sort!$A$3:$B$21,2,0),0)</f>
        <v>3.6666666666666701</v>
      </c>
      <c r="G437" s="13">
        <f t="shared" si="79"/>
        <v>7.0924510108533836</v>
      </c>
      <c r="H437" s="13">
        <f t="shared" si="78"/>
        <v>5.6013318845318683</v>
      </c>
      <c r="I437" s="13">
        <f t="shared" si="78"/>
        <v>6.9047962688915536</v>
      </c>
      <c r="J437" s="13">
        <f t="shared" si="78"/>
        <v>4.8798783215262711</v>
      </c>
      <c r="K437" s="13">
        <f t="shared" si="78"/>
        <v>4.9777065550966642</v>
      </c>
      <c r="L437" s="13">
        <f t="shared" si="78"/>
        <v>4.9998966605091582</v>
      </c>
      <c r="M437" s="13">
        <f t="shared" si="78"/>
        <v>5.1350874037629151</v>
      </c>
      <c r="N437" s="13">
        <f t="shared" si="78"/>
        <v>4.5165218310049973</v>
      </c>
      <c r="O437" s="13">
        <f t="shared" si="78"/>
        <v>2.468114832568332</v>
      </c>
      <c r="P437" s="13">
        <f t="shared" si="78"/>
        <v>0.9960163982291792</v>
      </c>
      <c r="Q437" s="13">
        <f t="shared" si="78"/>
        <v>-8.5057339343959842E-2</v>
      </c>
      <c r="R437" s="13" t="s">
        <v>239</v>
      </c>
      <c r="T437" s="13">
        <v>1.9343048211418301</v>
      </c>
      <c r="U437" s="13">
        <v>1.52763596850869</v>
      </c>
      <c r="V437" s="13">
        <v>1.8831262551522401</v>
      </c>
      <c r="W437" s="13">
        <v>1.3308759058708</v>
      </c>
      <c r="X437" s="13">
        <v>1.3575563332081799</v>
      </c>
      <c r="Y437" s="13">
        <v>1.36360818013886</v>
      </c>
      <c r="Z437" s="13">
        <v>1.40047838284443</v>
      </c>
      <c r="AA437" s="13">
        <v>1.2317786811831799</v>
      </c>
      <c r="AB437" s="13">
        <v>0.67312222706408997</v>
      </c>
      <c r="AC437" s="13">
        <v>0.27164083588068499</v>
      </c>
      <c r="AD437" s="13">
        <v>-2.31974561847163E-2</v>
      </c>
      <c r="AE437" s="13" t="s">
        <v>244</v>
      </c>
    </row>
    <row r="438" spans="1:31">
      <c r="A438" s="13" t="s">
        <v>260</v>
      </c>
      <c r="B438" s="13" t="s">
        <v>1</v>
      </c>
      <c r="C438" s="13" t="s">
        <v>20</v>
      </c>
      <c r="D438" s="13" t="str">
        <f>IFERROR(VLOOKUP(C438,ghg_sort!$A$86:$B$512,2,0),0)</f>
        <v>Industry</v>
      </c>
      <c r="E438" s="13" t="s">
        <v>86</v>
      </c>
      <c r="F438" s="13">
        <f>IFERROR(VLOOKUP($E438,ghg_sort!$A$3:$B$21,2,0),0)</f>
        <v>3.6666666666666701</v>
      </c>
      <c r="G438" s="13">
        <f t="shared" si="79"/>
        <v>0</v>
      </c>
      <c r="H438" s="13">
        <f t="shared" si="78"/>
        <v>-9.0781814142504927E-3</v>
      </c>
      <c r="I438" s="13">
        <f t="shared" si="78"/>
        <v>1.3520113031458343</v>
      </c>
      <c r="J438" s="13">
        <f t="shared" si="78"/>
        <v>1.8078110866473367</v>
      </c>
      <c r="K438" s="13">
        <f t="shared" si="78"/>
        <v>1.0353504717567963</v>
      </c>
      <c r="L438" s="13">
        <f t="shared" si="78"/>
        <v>-1.1084027391899818</v>
      </c>
      <c r="M438" s="13">
        <f t="shared" si="78"/>
        <v>-1.1671182776730558</v>
      </c>
      <c r="N438" s="13">
        <f t="shared" si="78"/>
        <v>-1.1931294677715465</v>
      </c>
      <c r="O438" s="13">
        <f t="shared" si="78"/>
        <v>-2.6730339088146016</v>
      </c>
      <c r="P438" s="13">
        <f t="shared" si="78"/>
        <v>-8.8451105697535617</v>
      </c>
      <c r="Q438" s="13">
        <f t="shared" si="78"/>
        <v>-13.912188121754463</v>
      </c>
      <c r="R438" s="13" t="s">
        <v>239</v>
      </c>
      <c r="T438" s="13">
        <v>0</v>
      </c>
      <c r="U438" s="13">
        <v>-2.4758676584319501E-3</v>
      </c>
      <c r="V438" s="13">
        <v>0.36873035540340898</v>
      </c>
      <c r="W438" s="13">
        <v>0.493039387267455</v>
      </c>
      <c r="X438" s="13">
        <v>0.28236831047912597</v>
      </c>
      <c r="Y438" s="13">
        <v>-0.30229165614272202</v>
      </c>
      <c r="Z438" s="13">
        <v>-0.31830498481992398</v>
      </c>
      <c r="AA438" s="13">
        <v>-0.32539894575587602</v>
      </c>
      <c r="AB438" s="13">
        <v>-0.72900924785852705</v>
      </c>
      <c r="AC438" s="13">
        <v>-2.4123028826600601</v>
      </c>
      <c r="AD438" s="13">
        <v>-3.7942331241148501</v>
      </c>
      <c r="AE438" s="13" t="s">
        <v>244</v>
      </c>
    </row>
    <row r="439" spans="1:31">
      <c r="A439" s="13" t="s">
        <v>260</v>
      </c>
      <c r="B439" s="13" t="s">
        <v>1</v>
      </c>
      <c r="C439" s="13" t="s">
        <v>143</v>
      </c>
      <c r="D439" s="13" t="str">
        <f>IFERROR(VLOOKUP(C439,ghg_sort!$A$86:$B$512,2,0),0)</f>
        <v>Building</v>
      </c>
      <c r="E439" s="13" t="s">
        <v>86</v>
      </c>
      <c r="F439" s="13">
        <f>IFERROR(VLOOKUP($E439,ghg_sort!$A$3:$B$21,2,0),0)</f>
        <v>3.6666666666666701</v>
      </c>
      <c r="G439" s="13">
        <f t="shared" si="79"/>
        <v>2.207646056141737E-2</v>
      </c>
      <c r="H439" s="13">
        <f t="shared" si="78"/>
        <v>0.48726633484955478</v>
      </c>
      <c r="I439" s="13">
        <f t="shared" si="78"/>
        <v>0.56189045903865653</v>
      </c>
      <c r="J439" s="13">
        <f t="shared" si="78"/>
        <v>0.58534261678130761</v>
      </c>
      <c r="K439" s="13">
        <f t="shared" si="78"/>
        <v>0.60241803961352247</v>
      </c>
      <c r="L439" s="13">
        <f t="shared" si="78"/>
        <v>0.50205960837116748</v>
      </c>
      <c r="M439" s="13">
        <f t="shared" si="78"/>
        <v>0.41503306987685806</v>
      </c>
      <c r="N439" s="13">
        <f t="shared" si="78"/>
        <v>0.30327412166214412</v>
      </c>
      <c r="O439" s="13">
        <f t="shared" si="78"/>
        <v>0.18685301881074673</v>
      </c>
      <c r="P439" s="13">
        <f t="shared" si="78"/>
        <v>0.10335500237809424</v>
      </c>
      <c r="Q439" s="13">
        <f t="shared" si="78"/>
        <v>5.5493252871974187E-2</v>
      </c>
      <c r="R439" s="13" t="s">
        <v>239</v>
      </c>
      <c r="T439" s="13">
        <v>6.0208528803865503E-3</v>
      </c>
      <c r="U439" s="13">
        <v>0.132890818595333</v>
      </c>
      <c r="V439" s="13">
        <v>0.15324285246508801</v>
      </c>
      <c r="W439" s="13">
        <v>0.15963889548581101</v>
      </c>
      <c r="X439" s="13">
        <v>0.16429582898550599</v>
      </c>
      <c r="Y439" s="13">
        <v>0.13692534773759099</v>
      </c>
      <c r="Z439" s="13">
        <v>0.113190837239143</v>
      </c>
      <c r="AA439" s="13">
        <v>8.2711124089675597E-2</v>
      </c>
      <c r="AB439" s="13">
        <v>5.09599142211127E-2</v>
      </c>
      <c r="AC439" s="13">
        <v>2.8187727921298401E-2</v>
      </c>
      <c r="AD439" s="13">
        <v>1.51345235105384E-2</v>
      </c>
      <c r="AE439" s="13" t="s">
        <v>244</v>
      </c>
    </row>
    <row r="440" spans="1:31">
      <c r="A440" s="13" t="s">
        <v>260</v>
      </c>
      <c r="B440" s="13" t="s">
        <v>1</v>
      </c>
      <c r="C440" s="13" t="s">
        <v>144</v>
      </c>
      <c r="D440" s="13" t="str">
        <f>IFERROR(VLOOKUP(C440,ghg_sort!$A$86:$B$512,2,0),0)</f>
        <v>Building</v>
      </c>
      <c r="E440" s="13" t="s">
        <v>86</v>
      </c>
      <c r="F440" s="13">
        <f>IFERROR(VLOOKUP($E440,ghg_sort!$A$3:$B$21,2,0),0)</f>
        <v>3.6666666666666701</v>
      </c>
      <c r="G440" s="13">
        <f t="shared" si="79"/>
        <v>11.381111018598761</v>
      </c>
      <c r="H440" s="13">
        <f t="shared" si="78"/>
        <v>13.759372321297656</v>
      </c>
      <c r="I440" s="13">
        <f t="shared" si="78"/>
        <v>10.705193534171116</v>
      </c>
      <c r="J440" s="13">
        <f t="shared" si="78"/>
        <v>9.8225620356521244</v>
      </c>
      <c r="K440" s="13">
        <f t="shared" si="78"/>
        <v>10.457687626830337</v>
      </c>
      <c r="L440" s="13">
        <f t="shared" si="78"/>
        <v>9.8835454136733318</v>
      </c>
      <c r="M440" s="13">
        <f t="shared" si="78"/>
        <v>9.4992294033929685</v>
      </c>
      <c r="N440" s="13">
        <f t="shared" si="78"/>
        <v>8.6059795081209849</v>
      </c>
      <c r="O440" s="13">
        <f t="shared" si="78"/>
        <v>7.4146483967011569</v>
      </c>
      <c r="P440" s="13">
        <f t="shared" si="78"/>
        <v>5.2890355240975682</v>
      </c>
      <c r="Q440" s="13">
        <f t="shared" si="78"/>
        <v>3.2418219216119986</v>
      </c>
      <c r="R440" s="13" t="s">
        <v>239</v>
      </c>
      <c r="T440" s="13">
        <v>3.1039393687087502</v>
      </c>
      <c r="U440" s="13">
        <v>3.7525560876266302</v>
      </c>
      <c r="V440" s="13">
        <v>2.9195982365921198</v>
      </c>
      <c r="W440" s="13">
        <v>2.6788805551778498</v>
      </c>
      <c r="X440" s="13">
        <v>2.85209662549918</v>
      </c>
      <c r="Y440" s="13">
        <v>2.69551238554727</v>
      </c>
      <c r="Z440" s="13">
        <v>2.5906989281980799</v>
      </c>
      <c r="AA440" s="13">
        <v>2.34708532039663</v>
      </c>
      <c r="AB440" s="13">
        <v>2.02217683546395</v>
      </c>
      <c r="AC440" s="13">
        <v>1.4424642338447899</v>
      </c>
      <c r="AD440" s="13">
        <v>0.884133251348726</v>
      </c>
      <c r="AE440" s="13" t="s">
        <v>244</v>
      </c>
    </row>
    <row r="441" spans="1:31">
      <c r="A441" s="13" t="s">
        <v>260</v>
      </c>
      <c r="B441" s="13" t="s">
        <v>1</v>
      </c>
      <c r="C441" s="13" t="s">
        <v>145</v>
      </c>
      <c r="D441" s="13" t="str">
        <f>IFERROR(VLOOKUP(C441,ghg_sort!$A$86:$B$512,2,0),0)</f>
        <v>Building</v>
      </c>
      <c r="E441" s="13" t="s">
        <v>86</v>
      </c>
      <c r="F441" s="13">
        <f>IFERROR(VLOOKUP($E441,ghg_sort!$A$3:$B$21,2,0),0)</f>
        <v>3.6666666666666701</v>
      </c>
      <c r="G441" s="13">
        <f t="shared" si="79"/>
        <v>13.451076053389015</v>
      </c>
      <c r="H441" s="13">
        <f t="shared" si="78"/>
        <v>13.952049618316419</v>
      </c>
      <c r="I441" s="13">
        <f t="shared" si="78"/>
        <v>9.9927326965679484</v>
      </c>
      <c r="J441" s="13">
        <f t="shared" si="78"/>
        <v>8.8396075974692288</v>
      </c>
      <c r="K441" s="13">
        <f t="shared" si="78"/>
        <v>10.094058086085573</v>
      </c>
      <c r="L441" s="13">
        <f t="shared" si="78"/>
        <v>8.4538582813348118</v>
      </c>
      <c r="M441" s="13">
        <f t="shared" si="78"/>
        <v>7.0592071096251896</v>
      </c>
      <c r="N441" s="13">
        <f t="shared" si="78"/>
        <v>5.1499144816828917</v>
      </c>
      <c r="O441" s="13">
        <f t="shared" si="78"/>
        <v>2.940584750060693</v>
      </c>
      <c r="P441" s="13">
        <f t="shared" si="78"/>
        <v>1.4614424890761204</v>
      </c>
      <c r="Q441" s="13">
        <f t="shared" si="78"/>
        <v>0.71492041709931409</v>
      </c>
      <c r="R441" s="13" t="s">
        <v>239</v>
      </c>
      <c r="T441" s="13">
        <v>3.6684752872879098</v>
      </c>
      <c r="U441" s="13">
        <v>3.80510444135902</v>
      </c>
      <c r="V441" s="13">
        <v>2.7252907354276199</v>
      </c>
      <c r="W441" s="13">
        <v>2.4108020720370602</v>
      </c>
      <c r="X441" s="13">
        <v>2.7529249325687899</v>
      </c>
      <c r="Y441" s="13">
        <v>2.3055977130913101</v>
      </c>
      <c r="Z441" s="13">
        <v>1.9252383026250499</v>
      </c>
      <c r="AA441" s="13">
        <v>1.40452213136806</v>
      </c>
      <c r="AB441" s="13">
        <v>0.80197765910746099</v>
      </c>
      <c r="AC441" s="13">
        <v>0.39857522429348702</v>
      </c>
      <c r="AD441" s="13">
        <v>0.19497829557254001</v>
      </c>
      <c r="AE441" s="13" t="s">
        <v>244</v>
      </c>
    </row>
    <row r="442" spans="1:31">
      <c r="A442" s="13" t="s">
        <v>260</v>
      </c>
      <c r="B442" s="13" t="s">
        <v>1</v>
      </c>
      <c r="C442" s="13" t="s">
        <v>67</v>
      </c>
      <c r="D442" s="13" t="str">
        <f>IFERROR(VLOOKUP(C442,ghg_sort!$A$86:$B$512,2,0),0)</f>
        <v>Industry</v>
      </c>
      <c r="E442" s="13" t="s">
        <v>86</v>
      </c>
      <c r="F442" s="13">
        <f>IFERROR(VLOOKUP($E442,ghg_sort!$A$3:$B$21,2,0),0)</f>
        <v>3.6666666666666701</v>
      </c>
      <c r="G442" s="13">
        <f t="shared" si="79"/>
        <v>1.5342506666666682</v>
      </c>
      <c r="H442" s="13">
        <f t="shared" si="78"/>
        <v>1.8108255676316134</v>
      </c>
      <c r="I442" s="13">
        <f t="shared" si="78"/>
        <v>2.4469682030574904</v>
      </c>
      <c r="J442" s="13">
        <f t="shared" si="78"/>
        <v>2.4809548613421719</v>
      </c>
      <c r="K442" s="13">
        <f t="shared" si="78"/>
        <v>2.5357114333440252</v>
      </c>
      <c r="L442" s="13">
        <f t="shared" si="78"/>
        <v>2.3612384010826108</v>
      </c>
      <c r="M442" s="13">
        <f t="shared" si="78"/>
        <v>2.0855453071189389</v>
      </c>
      <c r="N442" s="13">
        <f t="shared" si="78"/>
        <v>1.760360304082675</v>
      </c>
      <c r="O442" s="13">
        <f t="shared" si="78"/>
        <v>1.504007718009142</v>
      </c>
      <c r="P442" s="13">
        <f t="shared" si="78"/>
        <v>1.2197308737550725</v>
      </c>
      <c r="Q442" s="13">
        <f t="shared" si="78"/>
        <v>0.94486835982161044</v>
      </c>
      <c r="R442" s="13" t="s">
        <v>239</v>
      </c>
      <c r="T442" s="13">
        <v>0.41843200000000003</v>
      </c>
      <c r="U442" s="14">
        <v>0.49386151844498499</v>
      </c>
      <c r="V442" s="13">
        <v>0.66735496447022402</v>
      </c>
      <c r="W442" s="13">
        <v>0.67662405309331897</v>
      </c>
      <c r="X442" s="13">
        <v>0.69155766363927895</v>
      </c>
      <c r="Y442" s="13">
        <v>0.64397410938616595</v>
      </c>
      <c r="Z442" s="13">
        <v>0.56878508375971004</v>
      </c>
      <c r="AA442" s="13">
        <v>0.48009826474981998</v>
      </c>
      <c r="AB442" s="13">
        <v>0.41018392309340201</v>
      </c>
      <c r="AC442" s="13">
        <v>0.33265387466047402</v>
      </c>
      <c r="AD442" s="13">
        <v>0.25769137086043897</v>
      </c>
      <c r="AE442" s="13" t="s">
        <v>244</v>
      </c>
    </row>
    <row r="443" spans="1:31">
      <c r="A443" s="13" t="s">
        <v>260</v>
      </c>
      <c r="B443" s="13" t="s">
        <v>1</v>
      </c>
      <c r="C443" s="13" t="s">
        <v>21</v>
      </c>
      <c r="D443" s="13" t="str">
        <f>IFERROR(VLOOKUP(C443,ghg_sort!$A$86:$B$512,2,0),0)</f>
        <v>Industry</v>
      </c>
      <c r="E443" s="13" t="s">
        <v>86</v>
      </c>
      <c r="F443" s="13">
        <f>IFERROR(VLOOKUP($E443,ghg_sort!$A$3:$B$21,2,0),0)</f>
        <v>3.6666666666666701</v>
      </c>
      <c r="G443" s="13">
        <f t="shared" si="79"/>
        <v>0</v>
      </c>
      <c r="H443" s="13">
        <f t="shared" si="78"/>
        <v>-3.8838125108142473E-4</v>
      </c>
      <c r="I443" s="13">
        <f t="shared" si="78"/>
        <v>-1.2364429049532938E-2</v>
      </c>
      <c r="J443" s="13">
        <f t="shared" si="78"/>
        <v>-1.3288318792502687E-2</v>
      </c>
      <c r="K443" s="13">
        <f t="shared" si="78"/>
        <v>-3.2330381280484391E-2</v>
      </c>
      <c r="L443" s="13">
        <f t="shared" si="78"/>
        <v>-3.1721719439727743E-2</v>
      </c>
      <c r="M443" s="13">
        <f t="shared" si="78"/>
        <v>-3.1767865519950297E-2</v>
      </c>
      <c r="N443" s="13">
        <f t="shared" si="78"/>
        <v>-3.2989177472752228E-2</v>
      </c>
      <c r="O443" s="13">
        <f t="shared" si="78"/>
        <v>-7.4628737734930936E-2</v>
      </c>
      <c r="P443" s="13">
        <f t="shared" si="78"/>
        <v>-0.24773545922557139</v>
      </c>
      <c r="Q443" s="13">
        <f t="shared" si="78"/>
        <v>-0.39471010136320805</v>
      </c>
      <c r="R443" s="13" t="s">
        <v>239</v>
      </c>
      <c r="T443" s="13">
        <v>0</v>
      </c>
      <c r="U443" s="14">
        <v>-1.05922159385843E-4</v>
      </c>
      <c r="V443" s="14">
        <v>-3.37211701350898E-3</v>
      </c>
      <c r="W443" s="13">
        <v>-3.6240869434098202E-3</v>
      </c>
      <c r="X443" s="14">
        <v>-8.8173767128593705E-3</v>
      </c>
      <c r="Y443" s="14">
        <v>-8.6513780290166497E-3</v>
      </c>
      <c r="Z443" s="14">
        <v>-8.6639633236228007E-3</v>
      </c>
      <c r="AA443" s="13">
        <v>-8.9970484016596904E-3</v>
      </c>
      <c r="AB443" s="14">
        <v>-2.0353292109526602E-2</v>
      </c>
      <c r="AC443" s="13">
        <v>-6.7564216152428497E-2</v>
      </c>
      <c r="AD443" s="14">
        <v>-0.107648209462693</v>
      </c>
      <c r="AE443" s="13" t="s">
        <v>244</v>
      </c>
    </row>
    <row r="444" spans="1:31">
      <c r="A444" s="13" t="s">
        <v>260</v>
      </c>
      <c r="B444" s="13" t="s">
        <v>1</v>
      </c>
      <c r="C444" s="13" t="s">
        <v>3</v>
      </c>
      <c r="D444" s="13">
        <f>IFERROR(VLOOKUP(C444,ghg_sort!$A$86:$B$512,2,0),0)</f>
        <v>0</v>
      </c>
      <c r="E444" s="13" t="s">
        <v>86</v>
      </c>
      <c r="F444" s="13">
        <f>IFERROR(VLOOKUP($E444,ghg_sort!$A$3:$B$21,2,0),0)</f>
        <v>3.6666666666666701</v>
      </c>
      <c r="G444" s="13">
        <f t="shared" si="79"/>
        <v>0</v>
      </c>
      <c r="H444" s="13">
        <f t="shared" si="78"/>
        <v>0</v>
      </c>
      <c r="I444" s="13">
        <f t="shared" si="78"/>
        <v>-3.6666732639900037E-6</v>
      </c>
      <c r="J444" s="13">
        <f t="shared" si="78"/>
        <v>0</v>
      </c>
      <c r="K444" s="13">
        <f t="shared" si="78"/>
        <v>-2.1999986072203353E-5</v>
      </c>
      <c r="L444" s="13">
        <f t="shared" si="78"/>
        <v>0</v>
      </c>
      <c r="M444" s="13">
        <f t="shared" si="78"/>
        <v>0</v>
      </c>
      <c r="N444" s="13">
        <f t="shared" si="78"/>
        <v>-2.200003061124002E-5</v>
      </c>
      <c r="O444" s="13">
        <f t="shared" si="78"/>
        <v>-3.299999352943336E-5</v>
      </c>
      <c r="P444" s="13">
        <f t="shared" si="78"/>
        <v>0</v>
      </c>
      <c r="Q444" s="13">
        <f t="shared" si="78"/>
        <v>0</v>
      </c>
      <c r="R444" s="13" t="s">
        <v>239</v>
      </c>
      <c r="T444" s="13">
        <v>0</v>
      </c>
      <c r="U444" s="14">
        <v>0</v>
      </c>
      <c r="V444" s="14">
        <v>-1.00000179927E-6</v>
      </c>
      <c r="W444" s="13">
        <v>0</v>
      </c>
      <c r="X444" s="14">
        <v>-5.9999962015099996E-6</v>
      </c>
      <c r="Y444" s="14">
        <v>0</v>
      </c>
      <c r="Z444" s="14">
        <v>0</v>
      </c>
      <c r="AA444" s="14">
        <v>-6.0000083485199998E-6</v>
      </c>
      <c r="AB444" s="14">
        <v>-8.9999982352999994E-6</v>
      </c>
      <c r="AC444" s="14">
        <v>0</v>
      </c>
      <c r="AD444" s="14">
        <v>0</v>
      </c>
      <c r="AE444" s="13" t="s">
        <v>244</v>
      </c>
    </row>
    <row r="445" spans="1:31">
      <c r="A445" s="13" t="s">
        <v>260</v>
      </c>
      <c r="B445" s="13" t="s">
        <v>1</v>
      </c>
      <c r="C445" s="13" t="s">
        <v>162</v>
      </c>
      <c r="D445" s="13">
        <f>IFERROR(VLOOKUP(C445,ghg_sort!$A$86:$B$512,2,0),0)</f>
        <v>0</v>
      </c>
      <c r="E445" s="13" t="s">
        <v>86</v>
      </c>
      <c r="F445" s="13">
        <f>IFERROR(VLOOKUP($E445,ghg_sort!$A$3:$B$21,2,0),0)</f>
        <v>3.6666666666666701</v>
      </c>
      <c r="G445" s="13">
        <f t="shared" si="79"/>
        <v>0</v>
      </c>
      <c r="H445" s="13">
        <f t="shared" si="78"/>
        <v>-8.0244658360866348E-8</v>
      </c>
      <c r="I445" s="13">
        <f t="shared" si="78"/>
        <v>0</v>
      </c>
      <c r="J445" s="13">
        <f t="shared" si="78"/>
        <v>0</v>
      </c>
      <c r="K445" s="13">
        <f t="shared" si="78"/>
        <v>-1.8511553049974253E-8</v>
      </c>
      <c r="L445" s="13">
        <f t="shared" si="78"/>
        <v>0</v>
      </c>
      <c r="M445" s="13">
        <f t="shared" si="78"/>
        <v>-2.822393554031516E-6</v>
      </c>
      <c r="N445" s="13">
        <f t="shared" si="78"/>
        <v>-2.3413190681444797E-6</v>
      </c>
      <c r="O445" s="13">
        <f t="shared" si="78"/>
        <v>-2.7486593810843447E-7</v>
      </c>
      <c r="P445" s="13">
        <f t="shared" si="78"/>
        <v>0</v>
      </c>
      <c r="Q445" s="13">
        <f t="shared" si="78"/>
        <v>0</v>
      </c>
      <c r="R445" s="13" t="s">
        <v>239</v>
      </c>
      <c r="T445" s="14">
        <v>0</v>
      </c>
      <c r="U445" s="14">
        <v>-2.1884906825690801E-8</v>
      </c>
      <c r="V445" s="14">
        <v>0</v>
      </c>
      <c r="W445" s="14">
        <v>0</v>
      </c>
      <c r="X445" s="14">
        <v>-5.0486053772657004E-9</v>
      </c>
      <c r="Y445" s="14">
        <v>0</v>
      </c>
      <c r="Z445" s="14">
        <v>-7.6974369655404904E-7</v>
      </c>
      <c r="AA445" s="14">
        <v>-6.3854156403940303E-7</v>
      </c>
      <c r="AB445" s="14">
        <v>-7.4963437665936606E-8</v>
      </c>
      <c r="AC445" s="14">
        <v>0</v>
      </c>
      <c r="AD445" s="14">
        <v>0</v>
      </c>
      <c r="AE445" s="13" t="s">
        <v>244</v>
      </c>
    </row>
    <row r="446" spans="1:31">
      <c r="A446" s="13" t="s">
        <v>260</v>
      </c>
      <c r="B446" s="13" t="s">
        <v>1</v>
      </c>
      <c r="C446" s="13" t="s">
        <v>146</v>
      </c>
      <c r="D446" s="13" t="str">
        <f>IFERROR(VLOOKUP(C446,ghg_sort!$A$86:$B$512,2,0),0)</f>
        <v>Electricity</v>
      </c>
      <c r="E446" s="13" t="s">
        <v>86</v>
      </c>
      <c r="F446" s="13">
        <f>IFERROR(VLOOKUP($E446,ghg_sort!$A$3:$B$21,2,0),0)</f>
        <v>3.6666666666666701</v>
      </c>
      <c r="G446" s="13">
        <f t="shared" si="79"/>
        <v>2.1896434690780268E-4</v>
      </c>
      <c r="H446" s="13">
        <f t="shared" si="79"/>
        <v>4.4037520141186777E-4</v>
      </c>
      <c r="I446" s="13">
        <f t="shared" si="79"/>
        <v>4.1622197831397008E-4</v>
      </c>
      <c r="J446" s="13">
        <f t="shared" si="79"/>
        <v>4.0291476431084669E-4</v>
      </c>
      <c r="K446" s="13">
        <f t="shared" si="79"/>
        <v>8.0421797334253914E-4</v>
      </c>
      <c r="L446" s="13">
        <f t="shared" si="79"/>
        <v>8.4374521187508651E-4</v>
      </c>
      <c r="M446" s="13">
        <f t="shared" si="79"/>
        <v>8.2308188624544002E-4</v>
      </c>
      <c r="N446" s="13">
        <f t="shared" si="79"/>
        <v>7.6005010440854438E-4</v>
      </c>
      <c r="O446" s="13">
        <f t="shared" si="79"/>
        <v>6.3312545516015827E-4</v>
      </c>
      <c r="P446" s="13">
        <f t="shared" si="79"/>
        <v>5.1492786633259451E-4</v>
      </c>
      <c r="Q446" s="13">
        <f t="shared" si="79"/>
        <v>4.4171767005125873E-4</v>
      </c>
      <c r="R446" s="13" t="s">
        <v>239</v>
      </c>
      <c r="T446" s="14">
        <v>5.97175491566734E-5</v>
      </c>
      <c r="U446" s="14">
        <v>1.2010232765778201E-4</v>
      </c>
      <c r="V446" s="14">
        <v>1.13515084994719E-4</v>
      </c>
      <c r="W446" s="14">
        <v>1.0988584481204899E-4</v>
      </c>
      <c r="X446" s="14">
        <v>2.1933217454796501E-4</v>
      </c>
      <c r="Y446" s="14">
        <v>2.3011233051138701E-4</v>
      </c>
      <c r="Z446" s="14">
        <v>2.2447687806693799E-4</v>
      </c>
      <c r="AA446" s="14">
        <v>2.0728639211142099E-4</v>
      </c>
      <c r="AB446" s="14">
        <v>1.72670578680043E-4</v>
      </c>
      <c r="AC446" s="14">
        <v>1.40434872636162E-4</v>
      </c>
      <c r="AD446" s="14">
        <v>1.20468455468525E-4</v>
      </c>
      <c r="AE446" s="13" t="s">
        <v>244</v>
      </c>
    </row>
    <row r="447" spans="1:31">
      <c r="A447" s="13" t="s">
        <v>260</v>
      </c>
      <c r="B447" s="13" t="s">
        <v>1</v>
      </c>
      <c r="C447" s="13" t="s">
        <v>132</v>
      </c>
      <c r="D447" s="13" t="str">
        <f>IFERROR(VLOOKUP(C447,ghg_sort!$A$86:$B$512,2,0),0)</f>
        <v>Electricity</v>
      </c>
      <c r="E447" s="13" t="s">
        <v>86</v>
      </c>
      <c r="F447" s="13">
        <f>IFERROR(VLOOKUP($E447,ghg_sort!$A$3:$B$21,2,0),0)</f>
        <v>3.6666666666666701</v>
      </c>
      <c r="G447" s="13">
        <f t="shared" si="79"/>
        <v>0</v>
      </c>
      <c r="H447" s="13">
        <f t="shared" si="79"/>
        <v>0</v>
      </c>
      <c r="I447" s="13">
        <f t="shared" si="79"/>
        <v>0</v>
      </c>
      <c r="J447" s="13">
        <f t="shared" si="79"/>
        <v>0</v>
      </c>
      <c r="K447" s="13">
        <f t="shared" si="79"/>
        <v>0</v>
      </c>
      <c r="L447" s="13">
        <f t="shared" si="79"/>
        <v>-6.0095650589667791E-3</v>
      </c>
      <c r="M447" s="13">
        <f t="shared" si="79"/>
        <v>-0.14390462850910313</v>
      </c>
      <c r="N447" s="13">
        <f t="shared" si="79"/>
        <v>-1.826103171447707</v>
      </c>
      <c r="O447" s="13">
        <f t="shared" si="79"/>
        <v>-7.6046924806331306</v>
      </c>
      <c r="P447" s="13">
        <f t="shared" si="79"/>
        <v>-14.283761626282256</v>
      </c>
      <c r="Q447" s="13">
        <f t="shared" si="79"/>
        <v>-18.040893951218177</v>
      </c>
      <c r="R447" s="13" t="s">
        <v>239</v>
      </c>
      <c r="T447" s="13">
        <v>0</v>
      </c>
      <c r="U447" s="14">
        <v>0</v>
      </c>
      <c r="V447" s="14">
        <v>0</v>
      </c>
      <c r="W447" s="14">
        <v>0</v>
      </c>
      <c r="X447" s="13">
        <v>0</v>
      </c>
      <c r="Y447" s="13">
        <v>-1.6389722888091201E-3</v>
      </c>
      <c r="Z447" s="14">
        <v>-3.9246716866118997E-2</v>
      </c>
      <c r="AA447" s="14">
        <v>-0.49802813766755599</v>
      </c>
      <c r="AB447" s="14">
        <v>-2.07400704017267</v>
      </c>
      <c r="AC447" s="13">
        <v>-3.8955713526224298</v>
      </c>
      <c r="AD447" s="14">
        <v>-4.9202438048776802</v>
      </c>
      <c r="AE447" s="13" t="s">
        <v>244</v>
      </c>
    </row>
    <row r="448" spans="1:31">
      <c r="A448" s="13" t="s">
        <v>260</v>
      </c>
      <c r="B448" s="13" t="s">
        <v>1</v>
      </c>
      <c r="C448" s="13" t="s">
        <v>133</v>
      </c>
      <c r="D448" s="13" t="str">
        <f>IFERROR(VLOOKUP(C448,ghg_sort!$A$86:$B$512,2,0),0)</f>
        <v>Electricity</v>
      </c>
      <c r="E448" s="13" t="s">
        <v>86</v>
      </c>
      <c r="F448" s="13">
        <f>IFERROR(VLOOKUP($E448,ghg_sort!$A$3:$B$21,2,0),0)</f>
        <v>3.6666666666666701</v>
      </c>
      <c r="G448" s="13">
        <f t="shared" si="79"/>
        <v>0</v>
      </c>
      <c r="H448" s="13">
        <f t="shared" si="79"/>
        <v>0</v>
      </c>
      <c r="I448" s="13">
        <f t="shared" si="79"/>
        <v>0</v>
      </c>
      <c r="J448" s="13">
        <f t="shared" si="79"/>
        <v>0</v>
      </c>
      <c r="K448" s="13">
        <f t="shared" si="79"/>
        <v>0</v>
      </c>
      <c r="L448" s="13">
        <f t="shared" si="79"/>
        <v>-2.7640192666722923E-3</v>
      </c>
      <c r="M448" s="13">
        <f t="shared" si="79"/>
        <v>-8.572835139167391E-2</v>
      </c>
      <c r="N448" s="13">
        <f t="shared" si="79"/>
        <v>-1.6679272272755929</v>
      </c>
      <c r="O448" s="13">
        <f t="shared" si="79"/>
        <v>-6.9131134740264732</v>
      </c>
      <c r="P448" s="13">
        <f t="shared" si="79"/>
        <v>-10.762867639514001</v>
      </c>
      <c r="Q448" s="13">
        <f t="shared" si="79"/>
        <v>-9.3981996701179487</v>
      </c>
      <c r="R448" s="13" t="s">
        <v>239</v>
      </c>
      <c r="T448" s="14">
        <v>0</v>
      </c>
      <c r="U448" s="14">
        <v>0</v>
      </c>
      <c r="V448" s="14">
        <v>0</v>
      </c>
      <c r="W448" s="14">
        <v>0</v>
      </c>
      <c r="X448" s="13">
        <v>0</v>
      </c>
      <c r="Y448" s="14">
        <v>-7.5382343636516995E-4</v>
      </c>
      <c r="Z448" s="13">
        <v>-2.3380459470456499E-2</v>
      </c>
      <c r="AA448" s="13">
        <v>-0.45488924380243401</v>
      </c>
      <c r="AB448" s="13">
        <v>-1.8853945838254</v>
      </c>
      <c r="AC448" s="13">
        <v>-2.93532753804927</v>
      </c>
      <c r="AD448" s="13">
        <v>-2.5631453645776201</v>
      </c>
      <c r="AE448" s="13" t="s">
        <v>244</v>
      </c>
    </row>
    <row r="449" spans="1:31">
      <c r="A449" s="13" t="s">
        <v>260</v>
      </c>
      <c r="B449" s="13" t="s">
        <v>1</v>
      </c>
      <c r="C449" s="13" t="s">
        <v>136</v>
      </c>
      <c r="D449" s="13" t="str">
        <f>IFERROR(VLOOKUP(C449,ghg_sort!$A$86:$B$512,2,0),0)</f>
        <v>Electricity</v>
      </c>
      <c r="E449" s="13" t="s">
        <v>86</v>
      </c>
      <c r="F449" s="13">
        <f>IFERROR(VLOOKUP($E449,ghg_sort!$A$3:$B$21,2,0),0)</f>
        <v>3.6666666666666701</v>
      </c>
      <c r="G449" s="13">
        <f t="shared" si="79"/>
        <v>0</v>
      </c>
      <c r="H449" s="13">
        <f t="shared" si="79"/>
        <v>0</v>
      </c>
      <c r="I449" s="13">
        <f t="shared" si="79"/>
        <v>0</v>
      </c>
      <c r="J449" s="13">
        <f t="shared" si="79"/>
        <v>0</v>
      </c>
      <c r="K449" s="13">
        <f t="shared" si="79"/>
        <v>0</v>
      </c>
      <c r="L449" s="13">
        <f t="shared" si="79"/>
        <v>0</v>
      </c>
      <c r="M449" s="13">
        <f t="shared" si="79"/>
        <v>0.25144168619851404</v>
      </c>
      <c r="N449" s="13">
        <f t="shared" si="79"/>
        <v>0.60263798423726023</v>
      </c>
      <c r="O449" s="13">
        <f t="shared" si="79"/>
        <v>1.3174364429332712</v>
      </c>
      <c r="P449" s="13">
        <f t="shared" si="79"/>
        <v>2.5502181500432508</v>
      </c>
      <c r="Q449" s="13">
        <f t="shared" si="79"/>
        <v>3.3426814533926397</v>
      </c>
      <c r="R449" s="13" t="s">
        <v>239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4">
        <v>0</v>
      </c>
      <c r="Z449" s="13">
        <v>6.8575005326867403E-2</v>
      </c>
      <c r="AA449" s="13">
        <v>0.164355813882889</v>
      </c>
      <c r="AB449" s="13">
        <v>0.35930084807271001</v>
      </c>
      <c r="AC449" s="13">
        <v>0.69551404092088598</v>
      </c>
      <c r="AD449" s="13">
        <v>0.91164039637980998</v>
      </c>
      <c r="AE449" s="13" t="s">
        <v>244</v>
      </c>
    </row>
    <row r="450" spans="1:31">
      <c r="A450" s="13" t="s">
        <v>260</v>
      </c>
      <c r="B450" s="13" t="s">
        <v>1</v>
      </c>
      <c r="C450" s="13" t="s">
        <v>59</v>
      </c>
      <c r="D450" s="13" t="str">
        <f>IFERROR(VLOOKUP(C450,ghg_sort!$A$86:$B$512,2,0),0)</f>
        <v>Electricity</v>
      </c>
      <c r="E450" s="13" t="s">
        <v>86</v>
      </c>
      <c r="F450" s="13">
        <f>IFERROR(VLOOKUP($E450,ghg_sort!$A$3:$B$21,2,0),0)</f>
        <v>3.6666666666666701</v>
      </c>
      <c r="G450" s="13">
        <f t="shared" si="79"/>
        <v>34.424549247056277</v>
      </c>
      <c r="H450" s="13">
        <f t="shared" si="79"/>
        <v>173.72254661881294</v>
      </c>
      <c r="I450" s="13">
        <f t="shared" si="79"/>
        <v>246.00203742154505</v>
      </c>
      <c r="J450" s="13">
        <f t="shared" si="79"/>
        <v>253.59974962847127</v>
      </c>
      <c r="K450" s="13">
        <f t="shared" si="79"/>
        <v>238.84534855751664</v>
      </c>
      <c r="L450" s="13">
        <f t="shared" si="79"/>
        <v>206.48668120789151</v>
      </c>
      <c r="M450" s="13">
        <f t="shared" si="79"/>
        <v>126.50030654137996</v>
      </c>
      <c r="N450" s="13">
        <f t="shared" si="79"/>
        <v>69.520615540587272</v>
      </c>
      <c r="O450" s="13">
        <f t="shared" si="79"/>
        <v>39.233137913263107</v>
      </c>
      <c r="P450" s="13">
        <f t="shared" si="79"/>
        <v>15.187158747280609</v>
      </c>
      <c r="Q450" s="13">
        <f t="shared" si="79"/>
        <v>4.2147094808438439</v>
      </c>
      <c r="R450" s="13" t="s">
        <v>239</v>
      </c>
      <c r="T450" s="13">
        <v>9.3885134310153404</v>
      </c>
      <c r="U450" s="13">
        <v>47.378876350585301</v>
      </c>
      <c r="V450" s="13">
        <v>67.091464751330406</v>
      </c>
      <c r="W450" s="13">
        <v>69.163568080492098</v>
      </c>
      <c r="X450" s="13">
        <v>65.139640515686295</v>
      </c>
      <c r="Y450" s="13">
        <v>56.314549420333996</v>
      </c>
      <c r="Z450" s="13">
        <v>34.500083602194501</v>
      </c>
      <c r="AA450" s="13">
        <v>18.960167874705601</v>
      </c>
      <c r="AB450" s="13">
        <v>10.699946703617201</v>
      </c>
      <c r="AC450" s="13">
        <v>4.1419523856219804</v>
      </c>
      <c r="AD450" s="13">
        <v>1.1494662220483201</v>
      </c>
      <c r="AE450" s="13" t="s">
        <v>244</v>
      </c>
    </row>
    <row r="451" spans="1:31">
      <c r="A451" s="13" t="s">
        <v>260</v>
      </c>
      <c r="B451" s="13" t="s">
        <v>1</v>
      </c>
      <c r="C451" s="13" t="s">
        <v>163</v>
      </c>
      <c r="D451" s="13" t="str">
        <f>IFERROR(VLOOKUP(C451,ghg_sort!$A$86:$B$512,2,0),0)</f>
        <v>Industry</v>
      </c>
      <c r="E451" s="13" t="s">
        <v>86</v>
      </c>
      <c r="F451" s="13">
        <f>IFERROR(VLOOKUP($E451,ghg_sort!$A$3:$B$21,2,0),0)</f>
        <v>3.6666666666666701</v>
      </c>
      <c r="G451" s="13">
        <f t="shared" si="79"/>
        <v>0</v>
      </c>
      <c r="H451" s="13">
        <f t="shared" si="79"/>
        <v>-6.2894747411195391E-7</v>
      </c>
      <c r="I451" s="13">
        <f t="shared" si="79"/>
        <v>-2.6730592860294609E-7</v>
      </c>
      <c r="J451" s="13">
        <f t="shared" si="79"/>
        <v>-1.3251332841245228E-6</v>
      </c>
      <c r="K451" s="13">
        <f t="shared" si="79"/>
        <v>-3.7023239560702304E-7</v>
      </c>
      <c r="L451" s="13">
        <f t="shared" si="79"/>
        <v>0</v>
      </c>
      <c r="M451" s="13">
        <f t="shared" si="79"/>
        <v>0</v>
      </c>
      <c r="N451" s="13">
        <f t="shared" si="79"/>
        <v>0</v>
      </c>
      <c r="O451" s="13">
        <f t="shared" si="79"/>
        <v>-2.0942166629052299E-6</v>
      </c>
      <c r="P451" s="13">
        <f t="shared" si="79"/>
        <v>0</v>
      </c>
      <c r="Q451" s="13">
        <f t="shared" si="79"/>
        <v>-2.3006555766006877E-7</v>
      </c>
      <c r="R451" s="13" t="s">
        <v>239</v>
      </c>
      <c r="T451" s="13">
        <v>0</v>
      </c>
      <c r="U451" s="14">
        <v>-1.7153112930326E-7</v>
      </c>
      <c r="V451" s="14">
        <v>-7.2901616891712502E-8</v>
      </c>
      <c r="W451" s="14">
        <v>-3.61399986579415E-7</v>
      </c>
      <c r="X451" s="14">
        <v>-1.00972471529188E-7</v>
      </c>
      <c r="Y451" s="14">
        <v>0</v>
      </c>
      <c r="Z451" s="14">
        <v>0</v>
      </c>
      <c r="AA451" s="14">
        <v>0</v>
      </c>
      <c r="AB451" s="14">
        <v>-5.7114999897415303E-7</v>
      </c>
      <c r="AC451" s="14">
        <v>0</v>
      </c>
      <c r="AD451" s="14">
        <v>-6.2745152089109606E-8</v>
      </c>
      <c r="AE451" s="13" t="s">
        <v>244</v>
      </c>
    </row>
    <row r="452" spans="1:31">
      <c r="A452" s="13" t="s">
        <v>260</v>
      </c>
      <c r="B452" s="13" t="s">
        <v>1</v>
      </c>
      <c r="C452" s="13" t="s">
        <v>147</v>
      </c>
      <c r="D452" s="13" t="s">
        <v>245</v>
      </c>
      <c r="E452" s="13" t="s">
        <v>86</v>
      </c>
      <c r="F452" s="13">
        <f>IFERROR(VLOOKUP($E452,ghg_sort!$A$3:$B$21,2,0),0)</f>
        <v>3.6666666666666701</v>
      </c>
      <c r="G452" s="13">
        <f t="shared" si="79"/>
        <v>3.6727754664187806E-7</v>
      </c>
      <c r="H452" s="13">
        <f t="shared" si="79"/>
        <v>4.3128216513828639E-7</v>
      </c>
      <c r="I452" s="13">
        <f t="shared" si="79"/>
        <v>-1.8090575256331691E-6</v>
      </c>
      <c r="J452" s="13">
        <f t="shared" si="79"/>
        <v>5.5974148889063212E-7</v>
      </c>
      <c r="K452" s="13">
        <f t="shared" si="79"/>
        <v>4.3152938720604571E-2</v>
      </c>
      <c r="L452" s="13">
        <f t="shared" si="79"/>
        <v>2.9115013207357907E-2</v>
      </c>
      <c r="M452" s="13">
        <f t="shared" si="79"/>
        <v>1.4369038216740546E-2</v>
      </c>
      <c r="N452" s="13">
        <f t="shared" si="79"/>
        <v>5.9010393275940017E-3</v>
      </c>
      <c r="O452" s="13">
        <f t="shared" si="79"/>
        <v>3.4047229571986248E-3</v>
      </c>
      <c r="P452" s="13">
        <f t="shared" si="79"/>
        <v>9.5166095318424248E-4</v>
      </c>
      <c r="Q452" s="13">
        <f t="shared" si="79"/>
        <v>4.8923530070041409E-4</v>
      </c>
      <c r="R452" s="13" t="s">
        <v>239</v>
      </c>
      <c r="T452" s="14">
        <v>1.0016660362960301E-7</v>
      </c>
      <c r="U452" s="14">
        <v>1.1762240867407799E-7</v>
      </c>
      <c r="V452" s="14">
        <v>-4.9337932517268204E-7</v>
      </c>
      <c r="W452" s="14">
        <v>1.5265676969744499E-7</v>
      </c>
      <c r="X452" s="13">
        <v>1.17689832874376E-2</v>
      </c>
      <c r="Y452" s="13">
        <v>7.9404581474612403E-3</v>
      </c>
      <c r="Z452" s="13">
        <v>3.9188286045655999E-3</v>
      </c>
      <c r="AA452" s="13">
        <v>1.6093743620710899E-3</v>
      </c>
      <c r="AB452" s="14">
        <v>9.28560806508715E-4</v>
      </c>
      <c r="AC452" s="14">
        <v>2.5954389632297498E-4</v>
      </c>
      <c r="AD452" s="14">
        <v>1.33427809281931E-4</v>
      </c>
      <c r="AE452" s="13" t="s">
        <v>244</v>
      </c>
    </row>
    <row r="453" spans="1:31">
      <c r="A453" s="13" t="s">
        <v>260</v>
      </c>
      <c r="B453" s="13" t="s">
        <v>1</v>
      </c>
      <c r="C453" s="13" t="s">
        <v>32</v>
      </c>
      <c r="D453" s="13" t="str">
        <f>IFERROR(VLOOKUP(C453,ghg_sort!$A$86:$B$512,2,0),0)</f>
        <v>Industry</v>
      </c>
      <c r="E453" s="13" t="s">
        <v>86</v>
      </c>
      <c r="F453" s="13">
        <f>IFERROR(VLOOKUP($E453,ghg_sort!$A$3:$B$21,2,0),0)</f>
        <v>3.6666666666666701</v>
      </c>
      <c r="G453" s="13">
        <f t="shared" si="79"/>
        <v>27.038264000000026</v>
      </c>
      <c r="H453" s="13">
        <f t="shared" si="79"/>
        <v>3.7567432863257402</v>
      </c>
      <c r="I453" s="13">
        <f t="shared" si="79"/>
        <v>4.3146747983677471</v>
      </c>
      <c r="J453" s="13">
        <f t="shared" si="79"/>
        <v>89.060708206792015</v>
      </c>
      <c r="K453" s="13">
        <f t="shared" si="79"/>
        <v>99.8003501359415</v>
      </c>
      <c r="L453" s="13">
        <f t="shared" si="79"/>
        <v>99.009920350043359</v>
      </c>
      <c r="M453" s="13">
        <f t="shared" si="79"/>
        <v>84.909895034128354</v>
      </c>
      <c r="N453" s="13">
        <f t="shared" si="79"/>
        <v>64.448597308976161</v>
      </c>
      <c r="O453" s="13">
        <f t="shared" si="79"/>
        <v>46.511210432800709</v>
      </c>
      <c r="P453" s="13">
        <f t="shared" si="79"/>
        <v>28.572115960747432</v>
      </c>
      <c r="Q453" s="13">
        <f t="shared" si="79"/>
        <v>15.374534697286983</v>
      </c>
      <c r="R453" s="13" t="s">
        <v>239</v>
      </c>
      <c r="T453" s="13">
        <v>7.374072</v>
      </c>
      <c r="U453" s="13">
        <v>1.02456635081611</v>
      </c>
      <c r="V453" s="13">
        <v>1.1767294904639301</v>
      </c>
      <c r="W453" s="13">
        <v>24.289284056397801</v>
      </c>
      <c r="X453" s="13">
        <v>27.2182773098022</v>
      </c>
      <c r="Y453" s="13">
        <v>27.0027055500118</v>
      </c>
      <c r="Z453" s="13">
        <v>23.157244100216801</v>
      </c>
      <c r="AA453" s="13">
        <v>17.576890175175301</v>
      </c>
      <c r="AB453" s="13">
        <v>12.684875572581999</v>
      </c>
      <c r="AC453" s="13">
        <v>7.79239526202202</v>
      </c>
      <c r="AD453" s="13">
        <v>4.1930549174419003</v>
      </c>
      <c r="AE453" s="13" t="s">
        <v>244</v>
      </c>
    </row>
    <row r="454" spans="1:31">
      <c r="A454" s="13" t="s">
        <v>260</v>
      </c>
      <c r="B454" s="13" t="s">
        <v>1</v>
      </c>
      <c r="C454" s="13" t="s">
        <v>66</v>
      </c>
      <c r="D454" s="13" t="str">
        <f>IFERROR(VLOOKUP(C454,ghg_sort!$A$86:$B$512,2,0),0)</f>
        <v>Industry</v>
      </c>
      <c r="E454" s="13" t="s">
        <v>86</v>
      </c>
      <c r="F454" s="13">
        <f>IFERROR(VLOOKUP($E454,ghg_sort!$A$3:$B$21,2,0),0)</f>
        <v>3.6666666666666701</v>
      </c>
      <c r="G454" s="13">
        <f t="shared" si="79"/>
        <v>0.33994510000000033</v>
      </c>
      <c r="H454" s="13">
        <f t="shared" si="79"/>
        <v>0.17747164048703556</v>
      </c>
      <c r="I454" s="13">
        <f t="shared" si="79"/>
        <v>0.25489086142046985</v>
      </c>
      <c r="J454" s="13">
        <f t="shared" si="79"/>
        <v>0.19181033255708591</v>
      </c>
      <c r="K454" s="13">
        <f t="shared" si="79"/>
        <v>0.19543282214163199</v>
      </c>
      <c r="L454" s="13">
        <f t="shared" si="79"/>
        <v>0.19764380659373038</v>
      </c>
      <c r="M454" s="13">
        <f t="shared" si="79"/>
        <v>0.20678817633864849</v>
      </c>
      <c r="N454" s="13">
        <f t="shared" si="79"/>
        <v>0.20435298745049413</v>
      </c>
      <c r="O454" s="13">
        <f t="shared" si="79"/>
        <v>0.17570470019064541</v>
      </c>
      <c r="P454" s="13">
        <f t="shared" si="79"/>
        <v>0.12644330392686826</v>
      </c>
      <c r="Q454" s="13">
        <f t="shared" si="79"/>
        <v>8.0396561065653141E-2</v>
      </c>
      <c r="R454" s="13" t="s">
        <v>239</v>
      </c>
      <c r="T454" s="13">
        <v>9.2712299999999997E-2</v>
      </c>
      <c r="U454" s="14">
        <v>4.8401356496464203E-2</v>
      </c>
      <c r="V454" s="14">
        <v>6.9515689478309897E-2</v>
      </c>
      <c r="W454" s="14">
        <v>5.2311908879205199E-2</v>
      </c>
      <c r="X454" s="14">
        <v>5.3299860584081399E-2</v>
      </c>
      <c r="Y454" s="14">
        <v>5.3902856343744601E-2</v>
      </c>
      <c r="Z454" s="14">
        <v>5.6396775365085902E-2</v>
      </c>
      <c r="AA454" s="14">
        <v>5.5732632941043803E-2</v>
      </c>
      <c r="AB454" s="13">
        <v>4.7919463688357797E-2</v>
      </c>
      <c r="AC454" s="13">
        <v>3.44845374346004E-2</v>
      </c>
      <c r="AD454" s="14">
        <v>2.1926334836087202E-2</v>
      </c>
      <c r="AE454" s="13" t="s">
        <v>244</v>
      </c>
    </row>
    <row r="455" spans="1:31">
      <c r="A455" s="13" t="s">
        <v>260</v>
      </c>
      <c r="B455" s="13" t="s">
        <v>1</v>
      </c>
      <c r="C455" s="13" t="s">
        <v>68</v>
      </c>
      <c r="D455" s="13" t="s">
        <v>245</v>
      </c>
      <c r="E455" s="13" t="s">
        <v>86</v>
      </c>
      <c r="F455" s="13">
        <f>IFERROR(VLOOKUP($E455,ghg_sort!$A$3:$B$21,2,0),0)</f>
        <v>3.6666666666666701</v>
      </c>
      <c r="G455" s="13">
        <f t="shared" si="79"/>
        <v>43.655256701498971</v>
      </c>
      <c r="H455" s="13">
        <f t="shared" si="79"/>
        <v>101.45922687273496</v>
      </c>
      <c r="I455" s="13">
        <f t="shared" si="79"/>
        <v>118.21389745262471</v>
      </c>
      <c r="J455" s="13">
        <f t="shared" si="79"/>
        <v>56.092826799839919</v>
      </c>
      <c r="K455" s="13">
        <f t="shared" si="79"/>
        <v>63.524595431999593</v>
      </c>
      <c r="L455" s="13">
        <f t="shared" si="79"/>
        <v>62.908563681742592</v>
      </c>
      <c r="M455" s="13">
        <f t="shared" si="79"/>
        <v>60.720853356753395</v>
      </c>
      <c r="N455" s="13">
        <f t="shared" si="79"/>
        <v>52.065328051396413</v>
      </c>
      <c r="O455" s="13">
        <f t="shared" si="79"/>
        <v>39.156765591949906</v>
      </c>
      <c r="P455" s="13">
        <f t="shared" si="79"/>
        <v>29.578090151103034</v>
      </c>
      <c r="Q455" s="13">
        <f t="shared" si="79"/>
        <v>22.832534417889629</v>
      </c>
      <c r="R455" s="13" t="s">
        <v>239</v>
      </c>
      <c r="T455" s="14">
        <v>11.9059791004088</v>
      </c>
      <c r="U455" s="14">
        <v>27.670698238018598</v>
      </c>
      <c r="V455" s="14">
        <v>32.240153850715799</v>
      </c>
      <c r="W455" s="14">
        <v>15.298043672683599</v>
      </c>
      <c r="X455" s="13">
        <v>17.3248896632726</v>
      </c>
      <c r="Y455" s="14">
        <v>17.1568810041116</v>
      </c>
      <c r="Z455" s="13">
        <v>16.560232733660001</v>
      </c>
      <c r="AA455" s="14">
        <v>14.1996349231081</v>
      </c>
      <c r="AB455" s="13">
        <v>10.6791178887136</v>
      </c>
      <c r="AC455" s="14">
        <v>8.0667518593917293</v>
      </c>
      <c r="AD455" s="13">
        <v>6.2270548412426203</v>
      </c>
      <c r="AE455" s="13" t="s">
        <v>244</v>
      </c>
    </row>
    <row r="456" spans="1:31">
      <c r="A456" s="13" t="s">
        <v>260</v>
      </c>
      <c r="B456" s="13" t="s">
        <v>1</v>
      </c>
      <c r="C456" s="13" t="s">
        <v>22</v>
      </c>
      <c r="D456" s="13" t="str">
        <f>IFERROR(VLOOKUP(C456,ghg_sort!$A$86:$B$512,2,0),0)</f>
        <v>Industry</v>
      </c>
      <c r="E456" s="13" t="s">
        <v>86</v>
      </c>
      <c r="F456" s="13">
        <f>IFERROR(VLOOKUP($E456,ghg_sort!$A$3:$B$21,2,0),0)</f>
        <v>3.6666666666666701</v>
      </c>
      <c r="G456" s="13">
        <f t="shared" si="79"/>
        <v>0</v>
      </c>
      <c r="H456" s="13">
        <f t="shared" si="79"/>
        <v>-2.3974151301323212E-4</v>
      </c>
      <c r="I456" s="13">
        <f t="shared" si="79"/>
        <v>-7.2342299734121703E-3</v>
      </c>
      <c r="J456" s="13">
        <f t="shared" si="79"/>
        <v>-7.8537217284928313E-3</v>
      </c>
      <c r="K456" s="13">
        <f t="shared" si="79"/>
        <v>-2.1012445966186528E-2</v>
      </c>
      <c r="L456" s="13">
        <f t="shared" si="79"/>
        <v>-2.1578858716395404E-2</v>
      </c>
      <c r="M456" s="13">
        <f t="shared" si="79"/>
        <v>-2.6911824604086095E-2</v>
      </c>
      <c r="N456" s="13">
        <f t="shared" si="79"/>
        <v>-4.4283184088086569E-2</v>
      </c>
      <c r="O456" s="13">
        <f t="shared" si="79"/>
        <v>-0.14925531153849042</v>
      </c>
      <c r="P456" s="13">
        <f t="shared" si="79"/>
        <v>-0.619493048725823</v>
      </c>
      <c r="Q456" s="13">
        <f t="shared" si="79"/>
        <v>-1.1473491399615456</v>
      </c>
      <c r="R456" s="13" t="s">
        <v>239</v>
      </c>
      <c r="T456" s="13">
        <v>0</v>
      </c>
      <c r="U456" s="14">
        <v>-6.5384049003608703E-5</v>
      </c>
      <c r="V456" s="13">
        <v>-1.9729718109305901E-3</v>
      </c>
      <c r="W456" s="13">
        <v>-2.1419241077707701E-3</v>
      </c>
      <c r="X456" s="13">
        <v>-5.7306670816872299E-3</v>
      </c>
      <c r="Y456" s="13">
        <v>-5.8851432862896498E-3</v>
      </c>
      <c r="Z456" s="13">
        <v>-7.3395885283871103E-3</v>
      </c>
      <c r="AA456" s="13">
        <v>-1.2077232024023599E-2</v>
      </c>
      <c r="AB456" s="13">
        <v>-4.0705994055951898E-2</v>
      </c>
      <c r="AC456" s="13">
        <v>-0.16895264965249701</v>
      </c>
      <c r="AD456" s="13">
        <v>-0.312913401807694</v>
      </c>
      <c r="AE456" s="13" t="s">
        <v>244</v>
      </c>
    </row>
    <row r="457" spans="1:31">
      <c r="A457" s="13" t="s">
        <v>260</v>
      </c>
      <c r="B457" s="13" t="s">
        <v>1</v>
      </c>
      <c r="C457" s="13" t="s">
        <v>62</v>
      </c>
      <c r="D457" s="13" t="str">
        <f>IFERROR(VLOOKUP(C457,ghg_sort!$A$86:$B$512,2,0),0)</f>
        <v>Industry</v>
      </c>
      <c r="E457" s="13" t="s">
        <v>86</v>
      </c>
      <c r="F457" s="13">
        <f>IFERROR(VLOOKUP($E457,ghg_sort!$A$3:$B$21,2,0),0)</f>
        <v>3.6666666666666701</v>
      </c>
      <c r="G457" s="13">
        <f t="shared" si="79"/>
        <v>9.7891444583392992</v>
      </c>
      <c r="H457" s="13">
        <f t="shared" si="79"/>
        <v>13.385650644517884</v>
      </c>
      <c r="I457" s="13">
        <f t="shared" si="79"/>
        <v>12.734759733984395</v>
      </c>
      <c r="J457" s="13">
        <f t="shared" si="79"/>
        <v>12.985316141487996</v>
      </c>
      <c r="K457" s="13">
        <f t="shared" si="79"/>
        <v>12.073793965558023</v>
      </c>
      <c r="L457" s="13">
        <f t="shared" si="79"/>
        <v>9.2370123405046751</v>
      </c>
      <c r="M457" s="13">
        <f t="shared" si="79"/>
        <v>7.978144188531374</v>
      </c>
      <c r="N457" s="13">
        <f t="shared" si="79"/>
        <v>6.4904744157568395</v>
      </c>
      <c r="O457" s="13">
        <f t="shared" si="79"/>
        <v>4.0704561389444009</v>
      </c>
      <c r="P457" s="13">
        <f t="shared" si="79"/>
        <v>2.8686299839167142</v>
      </c>
      <c r="Q457" s="13">
        <f t="shared" si="79"/>
        <v>2.2861314070405969</v>
      </c>
      <c r="R457" s="13" t="s">
        <v>239</v>
      </c>
      <c r="T457" s="13">
        <v>2.6697666704561702</v>
      </c>
      <c r="U457" s="13">
        <v>3.6506319939594198</v>
      </c>
      <c r="V457" s="13">
        <v>3.47311629108665</v>
      </c>
      <c r="W457" s="13">
        <v>3.5414498567694501</v>
      </c>
      <c r="X457" s="13">
        <v>3.2928528996976398</v>
      </c>
      <c r="Y457" s="13">
        <v>2.5191851837739998</v>
      </c>
      <c r="Z457" s="13">
        <v>2.1758575059631</v>
      </c>
      <c r="AA457" s="13">
        <v>1.7701293861155001</v>
      </c>
      <c r="AB457" s="13">
        <v>1.11012440153029</v>
      </c>
      <c r="AC457" s="13">
        <v>0.78235363197728502</v>
      </c>
      <c r="AD457" s="13">
        <v>0.62349038373834398</v>
      </c>
      <c r="AE457" s="13" t="s">
        <v>244</v>
      </c>
    </row>
    <row r="458" spans="1:31">
      <c r="A458" s="13" t="s">
        <v>260</v>
      </c>
      <c r="B458" s="13" t="s">
        <v>1</v>
      </c>
      <c r="C458" s="13" t="s">
        <v>190</v>
      </c>
      <c r="D458" s="13" t="str">
        <f>IFERROR(VLOOKUP(C458,ghg_sort!$A$86:$B$512,2,0),0)</f>
        <v>DAC</v>
      </c>
      <c r="E458" s="13" t="s">
        <v>86</v>
      </c>
      <c r="F458" s="13">
        <f>IFERROR(VLOOKUP($E458,ghg_sort!$A$3:$B$21,2,0),0)</f>
        <v>3.6666666666666701</v>
      </c>
      <c r="G458" s="13">
        <f t="shared" si="79"/>
        <v>0</v>
      </c>
      <c r="H458" s="13">
        <f t="shared" si="79"/>
        <v>0</v>
      </c>
      <c r="I458" s="13">
        <f t="shared" si="79"/>
        <v>0</v>
      </c>
      <c r="J458" s="13">
        <f t="shared" si="79"/>
        <v>0</v>
      </c>
      <c r="K458" s="13">
        <f t="shared" si="79"/>
        <v>0</v>
      </c>
      <c r="L458" s="13">
        <f t="shared" si="79"/>
        <v>0</v>
      </c>
      <c r="M458" s="13">
        <f t="shared" si="79"/>
        <v>0</v>
      </c>
      <c r="N458" s="13">
        <f t="shared" si="79"/>
        <v>0</v>
      </c>
      <c r="O458" s="13">
        <f t="shared" si="79"/>
        <v>5.4202697505268454E-6</v>
      </c>
      <c r="P458" s="13">
        <f t="shared" si="79"/>
        <v>3.4030205565381329E-3</v>
      </c>
      <c r="Q458" s="13">
        <f t="shared" si="79"/>
        <v>1.0353112908060753</v>
      </c>
      <c r="R458" s="13" t="s">
        <v>239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4">
        <v>0</v>
      </c>
      <c r="Z458" s="14">
        <v>0</v>
      </c>
      <c r="AA458" s="14">
        <v>0</v>
      </c>
      <c r="AB458" s="14">
        <v>1.4782553865073201E-6</v>
      </c>
      <c r="AC458" s="14">
        <v>9.2809651541948996E-4</v>
      </c>
      <c r="AD458" s="13">
        <v>0.28235762476529302</v>
      </c>
      <c r="AE458" s="13" t="s">
        <v>244</v>
      </c>
    </row>
    <row r="459" spans="1:31">
      <c r="A459" s="13" t="s">
        <v>260</v>
      </c>
      <c r="B459" s="13" t="s">
        <v>1</v>
      </c>
      <c r="C459" s="13" t="s">
        <v>164</v>
      </c>
      <c r="D459" s="13">
        <f>IFERROR(VLOOKUP(C459,ghg_sort!$A$86:$B$512,2,0),0)</f>
        <v>0</v>
      </c>
      <c r="E459" s="13" t="s">
        <v>86</v>
      </c>
      <c r="F459" s="13">
        <f>IFERROR(VLOOKUP($E459,ghg_sort!$A$3:$B$21,2,0),0)</f>
        <v>3.6666666666666701</v>
      </c>
      <c r="G459" s="13">
        <f t="shared" si="79"/>
        <v>0</v>
      </c>
      <c r="H459" s="13">
        <f t="shared" si="79"/>
        <v>0</v>
      </c>
      <c r="I459" s="13">
        <f t="shared" si="79"/>
        <v>-8.8992840459724013E-7</v>
      </c>
      <c r="J459" s="13">
        <f t="shared" si="79"/>
        <v>-1.5359606930237695E-6</v>
      </c>
      <c r="K459" s="13">
        <f t="shared" si="79"/>
        <v>-3.8244425948478969E-7</v>
      </c>
      <c r="L459" s="13">
        <f t="shared" si="79"/>
        <v>0</v>
      </c>
      <c r="M459" s="13">
        <f t="shared" si="79"/>
        <v>0</v>
      </c>
      <c r="N459" s="13">
        <f t="shared" si="79"/>
        <v>-1.3389056148067538E-6</v>
      </c>
      <c r="O459" s="13">
        <f t="shared" si="79"/>
        <v>0</v>
      </c>
      <c r="P459" s="13">
        <f t="shared" si="79"/>
        <v>-1.1288852865126111E-5</v>
      </c>
      <c r="Q459" s="13">
        <f t="shared" si="79"/>
        <v>0</v>
      </c>
      <c r="R459" s="13" t="s">
        <v>239</v>
      </c>
      <c r="T459" s="13">
        <v>0</v>
      </c>
      <c r="U459" s="14">
        <v>0</v>
      </c>
      <c r="V459" s="14">
        <v>-2.4270774670833798E-7</v>
      </c>
      <c r="W459" s="14">
        <v>-4.1889837082466401E-7</v>
      </c>
      <c r="X459" s="14">
        <v>-1.0430297985948801E-7</v>
      </c>
      <c r="Y459" s="14">
        <v>0</v>
      </c>
      <c r="Z459" s="14">
        <v>0</v>
      </c>
      <c r="AA459" s="14">
        <v>-3.65156076765478E-7</v>
      </c>
      <c r="AB459" s="14">
        <v>0</v>
      </c>
      <c r="AC459" s="14">
        <v>-3.0787780541253002E-6</v>
      </c>
      <c r="AD459" s="14">
        <v>0</v>
      </c>
      <c r="AE459" s="13" t="s">
        <v>244</v>
      </c>
    </row>
    <row r="460" spans="1:31">
      <c r="A460" s="13" t="s">
        <v>260</v>
      </c>
      <c r="B460" s="13" t="s">
        <v>1</v>
      </c>
      <c r="C460" s="13" t="s">
        <v>6</v>
      </c>
      <c r="D460" s="13" t="str">
        <f>IFERROR(VLOOKUP(C460,ghg_sort!$A$86:$B$512,2,0),0)</f>
        <v>Industry</v>
      </c>
      <c r="E460" s="13" t="s">
        <v>86</v>
      </c>
      <c r="F460" s="13">
        <f>IFERROR(VLOOKUP($E460,ghg_sort!$A$3:$B$21,2,0),0)</f>
        <v>3.6666666666666701</v>
      </c>
      <c r="G460" s="13">
        <f t="shared" si="79"/>
        <v>0</v>
      </c>
      <c r="H460" s="13">
        <f t="shared" si="79"/>
        <v>0</v>
      </c>
      <c r="I460" s="13">
        <f t="shared" si="79"/>
        <v>-5.1522214526304177E-7</v>
      </c>
      <c r="J460" s="13">
        <f t="shared" si="79"/>
        <v>0</v>
      </c>
      <c r="K460" s="13">
        <f t="shared" si="79"/>
        <v>-1.5297758198910785E-6</v>
      </c>
      <c r="L460" s="13">
        <f t="shared" si="79"/>
        <v>0</v>
      </c>
      <c r="M460" s="13">
        <f t="shared" si="79"/>
        <v>-1.2796710582001109E-7</v>
      </c>
      <c r="N460" s="13">
        <f t="shared" si="79"/>
        <v>0</v>
      </c>
      <c r="O460" s="13">
        <f t="shared" si="79"/>
        <v>-2.2080985084430636E-6</v>
      </c>
      <c r="P460" s="13">
        <f t="shared" si="79"/>
        <v>0</v>
      </c>
      <c r="Q460" s="13">
        <f t="shared" si="79"/>
        <v>0</v>
      </c>
      <c r="R460" s="13" t="s">
        <v>239</v>
      </c>
      <c r="T460" s="13">
        <v>0</v>
      </c>
      <c r="U460" s="13">
        <v>0</v>
      </c>
      <c r="V460" s="14">
        <v>-1.40515130526284E-7</v>
      </c>
      <c r="W460" s="13">
        <v>0</v>
      </c>
      <c r="X460" s="14">
        <v>-4.1721158724302101E-7</v>
      </c>
      <c r="Y460" s="14">
        <v>0</v>
      </c>
      <c r="Z460" s="14">
        <v>-3.4900119769093902E-8</v>
      </c>
      <c r="AA460" s="14">
        <v>0</v>
      </c>
      <c r="AB460" s="14">
        <v>-6.0220868412083495E-7</v>
      </c>
      <c r="AC460" s="14">
        <v>0</v>
      </c>
      <c r="AD460" s="14">
        <v>0</v>
      </c>
      <c r="AE460" s="13" t="s">
        <v>244</v>
      </c>
    </row>
    <row r="461" spans="1:31">
      <c r="A461" s="13" t="s">
        <v>260</v>
      </c>
      <c r="B461" s="13" t="s">
        <v>1</v>
      </c>
      <c r="C461" s="13" t="s">
        <v>148</v>
      </c>
      <c r="D461" s="13" t="str">
        <f>IFERROR(VLOOKUP(C461,ghg_sort!$A$86:$B$512,2,0),0)</f>
        <v>Industry</v>
      </c>
      <c r="E461" s="13" t="s">
        <v>86</v>
      </c>
      <c r="F461" s="13">
        <f>IFERROR(VLOOKUP($E461,ghg_sort!$A$3:$B$21,2,0),0)</f>
        <v>3.6666666666666701</v>
      </c>
      <c r="G461" s="13">
        <f t="shared" si="79"/>
        <v>2.0245353333333354</v>
      </c>
      <c r="H461" s="13">
        <f t="shared" si="79"/>
        <v>15.065143451769599</v>
      </c>
      <c r="I461" s="13">
        <f t="shared" si="79"/>
        <v>21.17748904879199</v>
      </c>
      <c r="J461" s="13">
        <f t="shared" si="79"/>
        <v>31.35152278831422</v>
      </c>
      <c r="K461" s="13">
        <f t="shared" si="79"/>
        <v>30.728975515446919</v>
      </c>
      <c r="L461" s="13">
        <f t="shared" si="79"/>
        <v>29.55889895286338</v>
      </c>
      <c r="M461" s="13">
        <f t="shared" si="79"/>
        <v>27.607552291757486</v>
      </c>
      <c r="N461" s="13">
        <f t="shared" si="79"/>
        <v>25.456742224228393</v>
      </c>
      <c r="O461" s="13">
        <f t="shared" si="79"/>
        <v>20.303139882397005</v>
      </c>
      <c r="P461" s="13">
        <f t="shared" si="79"/>
        <v>3.2043381758557907</v>
      </c>
      <c r="Q461" s="13">
        <f t="shared" si="79"/>
        <v>-11.739223687421168</v>
      </c>
      <c r="R461" s="13" t="s">
        <v>239</v>
      </c>
      <c r="T461" s="13">
        <v>0.55214600000000003</v>
      </c>
      <c r="U461" s="13">
        <v>4.1086754868462503</v>
      </c>
      <c r="V461" s="13">
        <v>5.7756788314887197</v>
      </c>
      <c r="W461" s="13">
        <v>8.5504153059038703</v>
      </c>
      <c r="X461" s="13">
        <v>8.3806296860309697</v>
      </c>
      <c r="Y461" s="14">
        <v>8.0615178962354594</v>
      </c>
      <c r="Z461" s="14">
        <v>7.52933244320658</v>
      </c>
      <c r="AA461" s="14">
        <v>6.9427478793350099</v>
      </c>
      <c r="AB461" s="13">
        <v>5.5372199679264504</v>
      </c>
      <c r="AC461" s="13">
        <v>0.87391041159703298</v>
      </c>
      <c r="AD461" s="13">
        <v>-3.2016064602057699</v>
      </c>
      <c r="AE461" s="13" t="s">
        <v>244</v>
      </c>
    </row>
    <row r="462" spans="1:31">
      <c r="A462" s="13" t="s">
        <v>260</v>
      </c>
      <c r="B462" s="13" t="s">
        <v>1</v>
      </c>
      <c r="C462" s="13" t="s">
        <v>152</v>
      </c>
      <c r="D462" s="13" t="str">
        <f>IFERROR(VLOOKUP(C462,ghg_sort!$A$86:$B$512,2,0),0)</f>
        <v>Building</v>
      </c>
      <c r="E462" s="13" t="s">
        <v>86</v>
      </c>
      <c r="F462" s="13">
        <f>IFERROR(VLOOKUP($E462,ghg_sort!$A$3:$B$21,2,0),0)</f>
        <v>3.6666666666666701</v>
      </c>
      <c r="G462" s="13">
        <f t="shared" si="79"/>
        <v>15.650855202105838</v>
      </c>
      <c r="H462" s="13">
        <f t="shared" si="79"/>
        <v>19.751219919670561</v>
      </c>
      <c r="I462" s="13">
        <f t="shared" si="79"/>
        <v>19.760550402334957</v>
      </c>
      <c r="J462" s="13">
        <f t="shared" si="79"/>
        <v>18.335950936102925</v>
      </c>
      <c r="K462" s="13">
        <f t="shared" si="79"/>
        <v>20.005707540428446</v>
      </c>
      <c r="L462" s="13">
        <f t="shared" si="79"/>
        <v>19.792030876138895</v>
      </c>
      <c r="M462" s="13">
        <f t="shared" si="79"/>
        <v>19.640241983680617</v>
      </c>
      <c r="N462" s="13">
        <f t="shared" si="79"/>
        <v>18.505316993533096</v>
      </c>
      <c r="O462" s="13">
        <f t="shared" si="79"/>
        <v>16.331540706595671</v>
      </c>
      <c r="P462" s="13">
        <f t="shared" si="79"/>
        <v>12.913235889727483</v>
      </c>
      <c r="Q462" s="13">
        <f t="shared" si="79"/>
        <v>9.1247017627015161</v>
      </c>
      <c r="R462" s="13" t="s">
        <v>239</v>
      </c>
      <c r="T462" s="13">
        <v>4.2684150551197702</v>
      </c>
      <c r="U462" s="13">
        <v>5.3866963417283298</v>
      </c>
      <c r="V462" s="14">
        <v>5.3892410188186197</v>
      </c>
      <c r="W462" s="14">
        <v>5.0007138916644296</v>
      </c>
      <c r="X462" s="14">
        <v>5.4561020564804803</v>
      </c>
      <c r="Y462" s="14">
        <v>5.3978266025833301</v>
      </c>
      <c r="Z462" s="14">
        <v>5.3564296319128903</v>
      </c>
      <c r="AA462" s="13">
        <v>5.0469046345999304</v>
      </c>
      <c r="AB462" s="14">
        <v>4.4540565563442698</v>
      </c>
      <c r="AC462" s="13">
        <v>3.5217916062893102</v>
      </c>
      <c r="AD462" s="13">
        <v>2.4885550261913201</v>
      </c>
      <c r="AE462" s="13" t="s">
        <v>244</v>
      </c>
    </row>
    <row r="463" spans="1:31">
      <c r="A463" s="13" t="s">
        <v>260</v>
      </c>
      <c r="B463" s="13" t="s">
        <v>1</v>
      </c>
      <c r="C463" s="13" t="s">
        <v>153</v>
      </c>
      <c r="D463" s="13" t="str">
        <f>IFERROR(VLOOKUP(C463,ghg_sort!$A$86:$B$512,2,0),0)</f>
        <v>Building</v>
      </c>
      <c r="E463" s="13" t="s">
        <v>86</v>
      </c>
      <c r="F463" s="13">
        <f>IFERROR(VLOOKUP($E463,ghg_sort!$A$3:$B$21,2,0),0)</f>
        <v>3.6666666666666701</v>
      </c>
      <c r="G463" s="13">
        <f t="shared" si="79"/>
        <v>27.314761492950971</v>
      </c>
      <c r="H463" s="13">
        <f t="shared" si="79"/>
        <v>12.740593929886655</v>
      </c>
      <c r="I463" s="13">
        <f t="shared" si="79"/>
        <v>12.693356183610385</v>
      </c>
      <c r="J463" s="13">
        <f t="shared" si="79"/>
        <v>11.385905968043359</v>
      </c>
      <c r="K463" s="13">
        <f t="shared" si="79"/>
        <v>14.083656994369319</v>
      </c>
      <c r="L463" s="13">
        <f t="shared" si="79"/>
        <v>12.043765373520808</v>
      </c>
      <c r="M463" s="13">
        <f t="shared" si="79"/>
        <v>11.291217146456804</v>
      </c>
      <c r="N463" s="13">
        <f t="shared" si="79"/>
        <v>9.4374338346255087</v>
      </c>
      <c r="O463" s="13">
        <f t="shared" si="79"/>
        <v>6.669180746329169</v>
      </c>
      <c r="P463" s="13">
        <f t="shared" si="79"/>
        <v>4.2358253714025738</v>
      </c>
      <c r="Q463" s="13">
        <f t="shared" si="79"/>
        <v>2.5781860650692838</v>
      </c>
      <c r="R463" s="13" t="s">
        <v>239</v>
      </c>
      <c r="T463" s="13">
        <v>7.4494804071684397</v>
      </c>
      <c r="U463" s="13">
        <v>3.47470743542363</v>
      </c>
      <c r="V463" s="14">
        <v>3.4618244137119198</v>
      </c>
      <c r="W463" s="13">
        <v>3.1052470821936402</v>
      </c>
      <c r="X463" s="14">
        <v>3.8409973621007198</v>
      </c>
      <c r="Y463" s="13">
        <v>3.2846632836874901</v>
      </c>
      <c r="Z463" s="13">
        <v>3.0794228581245799</v>
      </c>
      <c r="AA463" s="14">
        <v>2.5738455912615001</v>
      </c>
      <c r="AB463" s="13">
        <v>1.81886747627159</v>
      </c>
      <c r="AC463" s="14">
        <v>1.1552251012916099</v>
      </c>
      <c r="AD463" s="14">
        <v>0.703141654109804</v>
      </c>
      <c r="AE463" s="13" t="s">
        <v>244</v>
      </c>
    </row>
    <row r="464" spans="1:31">
      <c r="A464" s="13" t="s">
        <v>260</v>
      </c>
      <c r="B464" s="13" t="s">
        <v>1</v>
      </c>
      <c r="C464" s="13" t="s">
        <v>154</v>
      </c>
      <c r="D464" s="13" t="str">
        <f>IFERROR(VLOOKUP(C464,ghg_sort!$A$86:$B$512,2,0),0)</f>
        <v>International</v>
      </c>
      <c r="E464" s="13" t="s">
        <v>86</v>
      </c>
      <c r="F464" s="13">
        <f>IFERROR(VLOOKUP($E464,ghg_sort!$A$3:$B$21,2,0),0)</f>
        <v>3.6666666666666701</v>
      </c>
      <c r="G464" s="13">
        <f t="shared" si="79"/>
        <v>0.5610513333333339</v>
      </c>
      <c r="H464" s="13">
        <f t="shared" si="79"/>
        <v>10.161416835775306</v>
      </c>
      <c r="I464" s="13">
        <f t="shared" si="79"/>
        <v>11.947433457441983</v>
      </c>
      <c r="J464" s="13">
        <f t="shared" si="79"/>
        <v>15.461122520929557</v>
      </c>
      <c r="K464" s="13">
        <f t="shared" si="79"/>
        <v>16.325106254319625</v>
      </c>
      <c r="L464" s="13">
        <f t="shared" si="79"/>
        <v>16.610413474656593</v>
      </c>
      <c r="M464" s="13">
        <f t="shared" si="79"/>
        <v>16.709908755606605</v>
      </c>
      <c r="N464" s="13">
        <f t="shared" si="79"/>
        <v>16.454626768154096</v>
      </c>
      <c r="O464" s="13">
        <f t="shared" si="79"/>
        <v>15.674836439767061</v>
      </c>
      <c r="P464" s="13">
        <f t="shared" si="79"/>
        <v>14.130927566597355</v>
      </c>
      <c r="Q464" s="13">
        <f t="shared" si="79"/>
        <v>12.682930474080655</v>
      </c>
      <c r="R464" s="13" t="s">
        <v>239</v>
      </c>
      <c r="T464" s="13">
        <v>0.15301400000000001</v>
      </c>
      <c r="U464" s="13">
        <v>2.7712955006659898</v>
      </c>
      <c r="V464" s="13">
        <v>3.2583909429387199</v>
      </c>
      <c r="W464" s="13">
        <v>4.21666977843533</v>
      </c>
      <c r="X464" s="13">
        <v>4.4523017057235297</v>
      </c>
      <c r="Y464" s="13">
        <v>4.5301127658154297</v>
      </c>
      <c r="Z464" s="13">
        <v>4.5572478424381604</v>
      </c>
      <c r="AA464" s="13">
        <v>4.4876254822238399</v>
      </c>
      <c r="AB464" s="13">
        <v>4.27495539266374</v>
      </c>
      <c r="AC464" s="13">
        <v>3.85388933634473</v>
      </c>
      <c r="AD464" s="13">
        <v>3.4589810383856299</v>
      </c>
      <c r="AE464" s="13" t="s">
        <v>244</v>
      </c>
    </row>
    <row r="465" spans="1:31">
      <c r="A465" s="13" t="s">
        <v>260</v>
      </c>
      <c r="B465" s="13" t="s">
        <v>1</v>
      </c>
      <c r="C465" s="13" t="s">
        <v>155</v>
      </c>
      <c r="D465" s="13" t="str">
        <f>IFERROR(VLOOKUP(C465,ghg_sort!$A$86:$B$512,2,0),0)</f>
        <v>Transportation</v>
      </c>
      <c r="E465" s="13" t="s">
        <v>86</v>
      </c>
      <c r="F465" s="13">
        <f>IFERROR(VLOOKUP($E465,ghg_sort!$A$3:$B$21,2,0),0)</f>
        <v>3.6666666666666701</v>
      </c>
      <c r="G465" s="13">
        <f t="shared" si="79"/>
        <v>5.0582154333333378</v>
      </c>
      <c r="H465" s="13">
        <f t="shared" si="79"/>
        <v>2.9109752243785207</v>
      </c>
      <c r="I465" s="13">
        <f t="shared" si="79"/>
        <v>2.2964146719906391</v>
      </c>
      <c r="J465" s="13">
        <f t="shared" si="79"/>
        <v>0.96798718071215317</v>
      </c>
      <c r="K465" s="13">
        <f t="shared" si="79"/>
        <v>1.0288174660558089</v>
      </c>
      <c r="L465" s="13">
        <f t="shared" si="79"/>
        <v>0.90096031049958347</v>
      </c>
      <c r="M465" s="13">
        <f t="shared" si="79"/>
        <v>0.83837916971709703</v>
      </c>
      <c r="N465" s="13">
        <f t="shared" si="79"/>
        <v>0.71097357739728906</v>
      </c>
      <c r="O465" s="13">
        <f t="shared" si="79"/>
        <v>0.52148253549062418</v>
      </c>
      <c r="P465" s="13">
        <f t="shared" si="79"/>
        <v>0.35921375577934472</v>
      </c>
      <c r="Q465" s="13">
        <f t="shared" si="79"/>
        <v>0.26142695290095841</v>
      </c>
      <c r="R465" s="13" t="s">
        <v>239</v>
      </c>
      <c r="T465" s="13">
        <v>1.3795132999999999</v>
      </c>
      <c r="U465" s="13">
        <v>0.79390233392141396</v>
      </c>
      <c r="V465" s="13">
        <v>0.62629491054290098</v>
      </c>
      <c r="W465" s="13">
        <v>0.26399650383058698</v>
      </c>
      <c r="X465" s="13">
        <v>0.28058658165158401</v>
      </c>
      <c r="Y465" s="13">
        <v>0.24571644831806799</v>
      </c>
      <c r="Z465" s="13">
        <v>0.22864886446829899</v>
      </c>
      <c r="AA465" s="13">
        <v>0.19390188474471501</v>
      </c>
      <c r="AB465" s="13">
        <v>0.14222250967926101</v>
      </c>
      <c r="AC465" s="13">
        <v>9.7967387939821196E-2</v>
      </c>
      <c r="AD465" s="13">
        <v>7.1298259882079495E-2</v>
      </c>
      <c r="AE465" s="13" t="s">
        <v>244</v>
      </c>
    </row>
    <row r="466" spans="1:31">
      <c r="A466" s="13" t="s">
        <v>260</v>
      </c>
      <c r="B466" s="13" t="s">
        <v>1</v>
      </c>
      <c r="C466" s="13" t="s">
        <v>156</v>
      </c>
      <c r="D466" s="13" t="str">
        <f>IFERROR(VLOOKUP(C466,ghg_sort!$A$86:$B$512,2,0),0)</f>
        <v>Transportation</v>
      </c>
      <c r="E466" s="13" t="s">
        <v>86</v>
      </c>
      <c r="F466" s="13">
        <f>IFERROR(VLOOKUP($E466,ghg_sort!$A$3:$B$21,2,0),0)</f>
        <v>3.6666666666666701</v>
      </c>
      <c r="G466" s="13">
        <f t="shared" si="79"/>
        <v>9.4148633333333418</v>
      </c>
      <c r="H466" s="13">
        <f t="shared" si="79"/>
        <v>22.867889884136389</v>
      </c>
      <c r="I466" s="13">
        <f t="shared" si="79"/>
        <v>23.835254531642168</v>
      </c>
      <c r="J466" s="13">
        <f t="shared" si="79"/>
        <v>26.687851972856016</v>
      </c>
      <c r="K466" s="13">
        <f t="shared" si="79"/>
        <v>29.04755234565458</v>
      </c>
      <c r="L466" s="13">
        <f t="shared" si="79"/>
        <v>30.279468686726737</v>
      </c>
      <c r="M466" s="13">
        <f t="shared" si="79"/>
        <v>29.6954948243269</v>
      </c>
      <c r="N466" s="13">
        <f t="shared" si="79"/>
        <v>27.246136598192479</v>
      </c>
      <c r="O466" s="13">
        <f t="shared" si="79"/>
        <v>22.652030421502811</v>
      </c>
      <c r="P466" s="13">
        <f t="shared" si="79"/>
        <v>16.616700411247141</v>
      </c>
      <c r="Q466" s="13">
        <f t="shared" si="79"/>
        <v>11.395809556781733</v>
      </c>
      <c r="R466" s="13" t="s">
        <v>239</v>
      </c>
      <c r="T466" s="13">
        <v>2.5676899999999998</v>
      </c>
      <c r="U466" s="13">
        <v>6.2366972411281001</v>
      </c>
      <c r="V466" s="13">
        <v>6.5005239631751301</v>
      </c>
      <c r="W466" s="13">
        <v>7.2785050835061798</v>
      </c>
      <c r="X466" s="13">
        <v>7.9220597306330598</v>
      </c>
      <c r="Y466" s="13">
        <v>8.2580369145618295</v>
      </c>
      <c r="Z466" s="13">
        <v>8.0987713157255108</v>
      </c>
      <c r="AA466" s="13">
        <v>7.4307645267797602</v>
      </c>
      <c r="AB466" s="13">
        <v>6.1778264785916699</v>
      </c>
      <c r="AC466" s="13">
        <v>4.5318273848855801</v>
      </c>
      <c r="AD466" s="13">
        <v>3.1079480609404699</v>
      </c>
      <c r="AE466" s="13" t="s">
        <v>244</v>
      </c>
    </row>
    <row r="467" spans="1:31">
      <c r="A467" s="13" t="s">
        <v>260</v>
      </c>
      <c r="B467" s="13" t="s">
        <v>1</v>
      </c>
      <c r="C467" s="13" t="s">
        <v>157</v>
      </c>
      <c r="D467" s="13" t="str">
        <f>IFERROR(VLOOKUP(C467,ghg_sort!$A$86:$B$512,2,0),0)</f>
        <v>Transportation</v>
      </c>
      <c r="E467" s="13" t="s">
        <v>86</v>
      </c>
      <c r="F467" s="13">
        <f>IFERROR(VLOOKUP($E467,ghg_sort!$A$3:$B$21,2,0),0)</f>
        <v>3.6666666666666701</v>
      </c>
      <c r="G467" s="13">
        <f t="shared" si="79"/>
        <v>6.3019835999999687</v>
      </c>
      <c r="H467" s="13">
        <f t="shared" si="79"/>
        <v>1.4661221989921369</v>
      </c>
      <c r="I467" s="13">
        <f t="shared" si="79"/>
        <v>1.6532101999793578</v>
      </c>
      <c r="J467" s="13">
        <f t="shared" si="79"/>
        <v>2.0432535467016328</v>
      </c>
      <c r="K467" s="13">
        <f t="shared" si="79"/>
        <v>2.187998368084271</v>
      </c>
      <c r="L467" s="13">
        <f t="shared" si="79"/>
        <v>2.1938040603584179</v>
      </c>
      <c r="M467" s="13">
        <f t="shared" si="79"/>
        <v>2.1756254884606605</v>
      </c>
      <c r="N467" s="13">
        <f t="shared" si="79"/>
        <v>2.1165353726936744</v>
      </c>
      <c r="O467" s="13">
        <f t="shared" si="79"/>
        <v>1.9593617646503065</v>
      </c>
      <c r="P467" s="13">
        <f t="shared" ref="P467:Q472" si="80">AC467*$F467</f>
        <v>1.7129265203512236</v>
      </c>
      <c r="Q467" s="13">
        <f t="shared" si="80"/>
        <v>1.495446581432281</v>
      </c>
      <c r="R467" s="13" t="s">
        <v>239</v>
      </c>
      <c r="T467" s="14">
        <v>1.7187227999999899</v>
      </c>
      <c r="U467" s="14">
        <v>0.39985150881603698</v>
      </c>
      <c r="V467" s="14">
        <v>0.45087550908527901</v>
      </c>
      <c r="W467" s="14">
        <v>0.55725096728226298</v>
      </c>
      <c r="X467" s="14">
        <v>0.59672682765934604</v>
      </c>
      <c r="Y467" s="13">
        <v>0.598310198279568</v>
      </c>
      <c r="Z467" s="14">
        <v>0.593352405943816</v>
      </c>
      <c r="AA467" s="13">
        <v>0.57723691982554703</v>
      </c>
      <c r="AB467" s="13">
        <v>0.53437139035917403</v>
      </c>
      <c r="AC467" s="14">
        <v>0.46716177827760602</v>
      </c>
      <c r="AD467" s="14">
        <v>0.407849067663349</v>
      </c>
      <c r="AE467" s="13" t="s">
        <v>244</v>
      </c>
    </row>
    <row r="468" spans="1:31">
      <c r="A468" s="13" t="s">
        <v>260</v>
      </c>
      <c r="B468" s="13" t="s">
        <v>1</v>
      </c>
      <c r="C468" s="13" t="s">
        <v>158</v>
      </c>
      <c r="D468" s="13" t="str">
        <f>IFERROR(VLOOKUP(C468,ghg_sort!$A$86:$B$512,2,0),0)</f>
        <v>Transportation</v>
      </c>
      <c r="E468" s="13" t="s">
        <v>86</v>
      </c>
      <c r="F468" s="13">
        <f>IFERROR(VLOOKUP($E468,ghg_sort!$A$3:$B$21,2,0),0)</f>
        <v>3.6666666666666701</v>
      </c>
      <c r="G468" s="13">
        <f t="shared" ref="G468:O472" si="81">T468*$F468</f>
        <v>6.1170266666666722</v>
      </c>
      <c r="H468" s="13">
        <f t="shared" si="81"/>
        <v>15.551390976597313</v>
      </c>
      <c r="I468" s="13">
        <f t="shared" si="81"/>
        <v>17.673541300719901</v>
      </c>
      <c r="J468" s="13">
        <f t="shared" si="81"/>
        <v>19.829553376807809</v>
      </c>
      <c r="K468" s="13">
        <f t="shared" si="81"/>
        <v>20.226743086188268</v>
      </c>
      <c r="L468" s="13">
        <f t="shared" si="81"/>
        <v>16.589090621728293</v>
      </c>
      <c r="M468" s="13">
        <f t="shared" si="81"/>
        <v>12.926427206997381</v>
      </c>
      <c r="N468" s="13">
        <f t="shared" si="81"/>
        <v>10.03878386725413</v>
      </c>
      <c r="O468" s="13">
        <f t="shared" si="81"/>
        <v>8.6329606734508211</v>
      </c>
      <c r="P468" s="13">
        <f t="shared" si="80"/>
        <v>7.3078488962448995</v>
      </c>
      <c r="Q468" s="13">
        <f t="shared" si="80"/>
        <v>6.2158282337071862</v>
      </c>
      <c r="R468" s="13" t="s">
        <v>239</v>
      </c>
      <c r="T468" s="13">
        <v>1.66828</v>
      </c>
      <c r="U468" s="13">
        <v>4.2412884481628996</v>
      </c>
      <c r="V468" s="13">
        <v>4.82005671837815</v>
      </c>
      <c r="W468" s="13">
        <v>5.4080600118566702</v>
      </c>
      <c r="X468" s="13">
        <v>5.5163844780513402</v>
      </c>
      <c r="Y468" s="13">
        <v>4.5242974422895301</v>
      </c>
      <c r="Z468" s="13">
        <v>3.5253892382720098</v>
      </c>
      <c r="AA468" s="13">
        <v>2.7378501456147601</v>
      </c>
      <c r="AB468" s="13">
        <v>2.3544438200320399</v>
      </c>
      <c r="AC468" s="13">
        <v>1.9930496989758799</v>
      </c>
      <c r="AD468" s="13">
        <v>1.69522588192014</v>
      </c>
      <c r="AE468" s="13" t="s">
        <v>244</v>
      </c>
    </row>
    <row r="469" spans="1:31">
      <c r="A469" s="13" t="s">
        <v>260</v>
      </c>
      <c r="B469" s="13" t="s">
        <v>1</v>
      </c>
      <c r="C469" s="13" t="s">
        <v>159</v>
      </c>
      <c r="D469" s="13" t="str">
        <f>IFERROR(VLOOKUP(C469,ghg_sort!$A$86:$B$512,2,0),0)</f>
        <v>Transportation</v>
      </c>
      <c r="E469" s="13" t="s">
        <v>86</v>
      </c>
      <c r="F469" s="13">
        <f>IFERROR(VLOOKUP($E469,ghg_sort!$A$3:$B$21,2,0),0)</f>
        <v>3.6666666666666701</v>
      </c>
      <c r="G469" s="13">
        <f t="shared" si="81"/>
        <v>0.48860166666666716</v>
      </c>
      <c r="H469" s="13">
        <f t="shared" si="81"/>
        <v>1.1867005588701571</v>
      </c>
      <c r="I469" s="13">
        <f t="shared" si="81"/>
        <v>1.2368886599202917</v>
      </c>
      <c r="J469" s="13">
        <f t="shared" si="81"/>
        <v>1.3848928256874531</v>
      </c>
      <c r="K469" s="13">
        <f t="shared" si="81"/>
        <v>1.4619695987496246</v>
      </c>
      <c r="L469" s="13">
        <f t="shared" si="81"/>
        <v>0.95456227446992215</v>
      </c>
      <c r="M469" s="13">
        <f t="shared" si="81"/>
        <v>0.66604689040474629</v>
      </c>
      <c r="N469" s="13">
        <f t="shared" si="81"/>
        <v>0.48501685941071776</v>
      </c>
      <c r="O469" s="13">
        <f t="shared" si="81"/>
        <v>0.41720082592438834</v>
      </c>
      <c r="P469" s="13">
        <f t="shared" si="80"/>
        <v>0.33510510255771042</v>
      </c>
      <c r="Q469" s="13">
        <f t="shared" si="80"/>
        <v>0.26944803297518505</v>
      </c>
      <c r="R469" s="13" t="s">
        <v>239</v>
      </c>
      <c r="T469" s="13">
        <v>0.13325500000000001</v>
      </c>
      <c r="U469" s="13">
        <v>0.323645606964588</v>
      </c>
      <c r="V469" s="13">
        <v>0.33733327088735199</v>
      </c>
      <c r="W469" s="13">
        <v>0.37769804336930501</v>
      </c>
      <c r="X469" s="13">
        <v>0.39871898147717</v>
      </c>
      <c r="Y469" s="13">
        <v>0.26033516576452398</v>
      </c>
      <c r="Z469" s="13">
        <v>0.18164915192856701</v>
      </c>
      <c r="AA469" s="13">
        <v>0.13227732529383199</v>
      </c>
      <c r="AB469" s="13">
        <v>0.11378204343392399</v>
      </c>
      <c r="AC469" s="13">
        <v>9.1392300697557299E-2</v>
      </c>
      <c r="AD469" s="13">
        <v>7.3485827175050394E-2</v>
      </c>
      <c r="AE469" s="13" t="s">
        <v>244</v>
      </c>
    </row>
    <row r="470" spans="1:31">
      <c r="A470" s="13" t="s">
        <v>260</v>
      </c>
      <c r="B470" s="13" t="s">
        <v>1</v>
      </c>
      <c r="C470" s="13" t="s">
        <v>160</v>
      </c>
      <c r="D470" s="13" t="str">
        <f>IFERROR(VLOOKUP(C470,ghg_sort!$A$86:$B$512,2,0),0)</f>
        <v>Transportation</v>
      </c>
      <c r="E470" s="13" t="s">
        <v>86</v>
      </c>
      <c r="F470" s="13">
        <f>IFERROR(VLOOKUP($E470,ghg_sort!$A$3:$B$21,2,0),0)</f>
        <v>3.6666666666666701</v>
      </c>
      <c r="G470" s="13">
        <f t="shared" si="81"/>
        <v>16.483280000000015</v>
      </c>
      <c r="H470" s="13">
        <f t="shared" si="81"/>
        <v>40.04310849116824</v>
      </c>
      <c r="I470" s="13">
        <f t="shared" si="81"/>
        <v>41.756483394655369</v>
      </c>
      <c r="J470" s="13">
        <f t="shared" si="81"/>
        <v>46.753585941553744</v>
      </c>
      <c r="K470" s="13">
        <f t="shared" si="81"/>
        <v>46.552625772638379</v>
      </c>
      <c r="L470" s="13">
        <f t="shared" si="81"/>
        <v>40.693268072980636</v>
      </c>
      <c r="M470" s="13">
        <f t="shared" si="81"/>
        <v>29.363382824397991</v>
      </c>
      <c r="N470" s="13">
        <f t="shared" si="81"/>
        <v>19.262749364259481</v>
      </c>
      <c r="O470" s="13">
        <f t="shared" si="81"/>
        <v>10.124433699938075</v>
      </c>
      <c r="P470" s="13">
        <f t="shared" si="80"/>
        <v>5.7153073793801754</v>
      </c>
      <c r="Q470" s="13">
        <f t="shared" si="80"/>
        <v>3.0622329577989813</v>
      </c>
      <c r="R470" s="13" t="s">
        <v>239</v>
      </c>
      <c r="T470" s="13">
        <v>4.4954400000000003</v>
      </c>
      <c r="U470" s="13">
        <v>10.9208477703186</v>
      </c>
      <c r="V470" s="13">
        <v>11.388131834906</v>
      </c>
      <c r="W470" s="13">
        <v>12.7509779840601</v>
      </c>
      <c r="X470" s="13">
        <v>12.696170665265001</v>
      </c>
      <c r="Y470" s="13">
        <v>11.0981640199038</v>
      </c>
      <c r="Z470" s="13">
        <v>8.0081953157448993</v>
      </c>
      <c r="AA470" s="13">
        <v>5.2534770993434901</v>
      </c>
      <c r="AB470" s="13">
        <v>2.7612091908921998</v>
      </c>
      <c r="AC470" s="13">
        <v>1.55872019437641</v>
      </c>
      <c r="AD470" s="13">
        <v>0.83515444303608499</v>
      </c>
      <c r="AE470" s="13" t="s">
        <v>244</v>
      </c>
    </row>
    <row r="471" spans="1:31">
      <c r="A471" s="13" t="s">
        <v>260</v>
      </c>
      <c r="B471" s="13" t="s">
        <v>1</v>
      </c>
      <c r="C471" s="13" t="s">
        <v>161</v>
      </c>
      <c r="D471" s="13" t="str">
        <f>IFERROR(VLOOKUP(C471,ghg_sort!$A$86:$B$512,2,0),0)</f>
        <v>International</v>
      </c>
      <c r="E471" s="13" t="s">
        <v>86</v>
      </c>
      <c r="F471" s="13">
        <f>IFERROR(VLOOKUP($E471,ghg_sort!$A$3:$B$21,2,0),0)</f>
        <v>3.6666666666666701</v>
      </c>
      <c r="G471" s="13">
        <f t="shared" si="81"/>
        <v>4.7456566666666715</v>
      </c>
      <c r="H471" s="13">
        <f t="shared" si="81"/>
        <v>29.914731040106872</v>
      </c>
      <c r="I471" s="13">
        <f t="shared" si="81"/>
        <v>25.682433352023896</v>
      </c>
      <c r="J471" s="13">
        <f t="shared" si="81"/>
        <v>24.149560938747737</v>
      </c>
      <c r="K471" s="13">
        <f t="shared" si="81"/>
        <v>25.037677020653245</v>
      </c>
      <c r="L471" s="13">
        <f t="shared" si="81"/>
        <v>23.829324906141391</v>
      </c>
      <c r="M471" s="13">
        <f t="shared" si="81"/>
        <v>23.030135674050324</v>
      </c>
      <c r="N471" s="13">
        <f t="shared" si="81"/>
        <v>22.083207529214977</v>
      </c>
      <c r="O471" s="13">
        <f t="shared" si="81"/>
        <v>20.255065395392283</v>
      </c>
      <c r="P471" s="13">
        <f t="shared" si="80"/>
        <v>17.637720913857969</v>
      </c>
      <c r="Q471" s="13">
        <f t="shared" si="80"/>
        <v>15.555323173657497</v>
      </c>
      <c r="R471" s="13" t="s">
        <v>239</v>
      </c>
      <c r="T471" s="13">
        <v>1.29427</v>
      </c>
      <c r="U471" s="13">
        <v>8.1585630109382308</v>
      </c>
      <c r="V471" s="13">
        <v>7.00430000509742</v>
      </c>
      <c r="W471" s="13">
        <v>6.58624389238574</v>
      </c>
      <c r="X471" s="13">
        <v>6.82845736926906</v>
      </c>
      <c r="Y471" s="13">
        <v>6.4989067925840098</v>
      </c>
      <c r="Z471" s="13">
        <v>6.28094609292281</v>
      </c>
      <c r="AA471" s="13">
        <v>6.0226929625131698</v>
      </c>
      <c r="AB471" s="13">
        <v>5.52410874419789</v>
      </c>
      <c r="AC471" s="13">
        <v>4.8102875219612597</v>
      </c>
      <c r="AD471" s="13">
        <v>4.2423608655429499</v>
      </c>
      <c r="AE471" s="13" t="s">
        <v>244</v>
      </c>
    </row>
    <row r="472" spans="1:31">
      <c r="A472" s="13" t="s">
        <v>260</v>
      </c>
      <c r="B472" s="13" t="s">
        <v>1</v>
      </c>
      <c r="C472" s="13" t="s">
        <v>7</v>
      </c>
      <c r="D472" s="13">
        <f>IFERROR(VLOOKUP(C472,ghg_sort!$A$86:$B$512,2,0),0)</f>
        <v>0</v>
      </c>
      <c r="E472" s="13" t="s">
        <v>86</v>
      </c>
      <c r="F472" s="13">
        <f>IFERROR(VLOOKUP($E472,ghg_sort!$A$3:$B$21,2,0),0)</f>
        <v>3.6666666666666701</v>
      </c>
      <c r="G472" s="13">
        <f t="shared" si="81"/>
        <v>-1.5875003831509291E-8</v>
      </c>
      <c r="H472" s="13">
        <f t="shared" si="81"/>
        <v>-4.1206742745484837E-8</v>
      </c>
      <c r="I472" s="13">
        <f t="shared" si="81"/>
        <v>-3.0549178687298618E-7</v>
      </c>
      <c r="J472" s="13">
        <f t="shared" si="81"/>
        <v>-1.0193300674918361E-6</v>
      </c>
      <c r="K472" s="13">
        <f t="shared" si="81"/>
        <v>0</v>
      </c>
      <c r="L472" s="13">
        <f t="shared" si="81"/>
        <v>0</v>
      </c>
      <c r="M472" s="13">
        <f t="shared" si="81"/>
        <v>0</v>
      </c>
      <c r="N472" s="13">
        <f t="shared" si="81"/>
        <v>-5.8532967581000056E-6</v>
      </c>
      <c r="O472" s="13">
        <f t="shared" si="81"/>
        <v>-2.7486554305099366E-6</v>
      </c>
      <c r="P472" s="13">
        <f t="shared" si="80"/>
        <v>-2.4905729944342374E-7</v>
      </c>
      <c r="Q472" s="13">
        <f t="shared" si="80"/>
        <v>-8.2166103858496611E-9</v>
      </c>
      <c r="R472" s="13" t="s">
        <v>239</v>
      </c>
      <c r="T472" s="14">
        <v>-4.3295464995025302E-9</v>
      </c>
      <c r="U472" s="14">
        <v>-1.12382025669504E-8</v>
      </c>
      <c r="V472" s="14">
        <v>-8.3315941874450703E-8</v>
      </c>
      <c r="W472" s="14">
        <v>-2.7799910931595501E-7</v>
      </c>
      <c r="X472" s="14">
        <v>0</v>
      </c>
      <c r="Y472" s="14">
        <v>0</v>
      </c>
      <c r="Z472" s="14">
        <v>0</v>
      </c>
      <c r="AA472" s="14">
        <v>-1.5963536613E-6</v>
      </c>
      <c r="AB472" s="14">
        <v>-7.4963329922998202E-7</v>
      </c>
      <c r="AC472" s="14">
        <v>-6.7924718030024595E-8</v>
      </c>
      <c r="AD472" s="14">
        <v>-2.2408937415953599E-9</v>
      </c>
      <c r="AE472" s="13" t="s">
        <v>244</v>
      </c>
    </row>
    <row r="475" spans="1:31">
      <c r="T475" s="14"/>
      <c r="U475" s="14"/>
      <c r="V475" s="14"/>
      <c r="W475" s="14"/>
      <c r="Y475" s="14"/>
      <c r="AB475" s="14"/>
      <c r="AC475" s="14"/>
      <c r="AD475" s="14"/>
    </row>
    <row r="481" spans="3:28">
      <c r="T481" s="13">
        <v>2015</v>
      </c>
      <c r="U481" s="13">
        <v>2020</v>
      </c>
      <c r="V481" s="13">
        <v>2025</v>
      </c>
      <c r="W481" s="13">
        <v>2030</v>
      </c>
      <c r="X481" s="13">
        <v>2035</v>
      </c>
      <c r="Y481" s="13">
        <v>2040</v>
      </c>
      <c r="Z481" s="13">
        <v>2045</v>
      </c>
      <c r="AA481" s="13">
        <v>2050</v>
      </c>
      <c r="AB481" s="13" t="s">
        <v>76</v>
      </c>
    </row>
    <row r="482" spans="3:28">
      <c r="R482" s="13" t="s">
        <v>248</v>
      </c>
      <c r="S482" s="13" t="s">
        <v>173</v>
      </c>
      <c r="T482" s="13">
        <f t="shared" ref="T482:T487" si="82">SUMIF($D$3:$D$423,$S482,J$3:J$423)-SUMIFS(J$3:J$423,$D$3:$D$423,$S482,$E$3:$E$423,$R482)+SUMIFS(J$430:J$475,$D$430:$D$475,$S482,$E$430:$E$475,$R482)</f>
        <v>72.988476041568958</v>
      </c>
      <c r="U482" s="13">
        <f t="shared" ref="U482:AA482" si="83">SUMIF($D$3:$D$423,$S482,K$3:K$423)-SUMIFS(K$3:K$423,$D$3:$D$423,$S482,$E$3:$E$423,$R482)+SUMIFS(K$430:K$475,$D$430:$D$475,$S482,$E$430:$E$475,$R482)</f>
        <v>81.467571564287184</v>
      </c>
      <c r="V482" s="13">
        <f t="shared" si="83"/>
        <v>73.104729305739014</v>
      </c>
      <c r="W482" s="13">
        <f t="shared" si="83"/>
        <v>66.699246515372437</v>
      </c>
      <c r="X482" s="13">
        <f t="shared" si="83"/>
        <v>56.129239916386624</v>
      </c>
      <c r="Y482" s="13">
        <f t="shared" si="83"/>
        <v>47.268325865981438</v>
      </c>
      <c r="Z482" s="13">
        <f t="shared" si="83"/>
        <v>33.160091934020826</v>
      </c>
      <c r="AA482" s="13">
        <f t="shared" si="83"/>
        <v>24.392592319525093</v>
      </c>
      <c r="AB482" s="13" t="s">
        <v>193</v>
      </c>
    </row>
    <row r="483" spans="3:28">
      <c r="R483" s="13" t="s">
        <v>248</v>
      </c>
      <c r="S483" s="13" t="s">
        <v>172</v>
      </c>
      <c r="T483" s="13">
        <f t="shared" si="82"/>
        <v>254.10687452013894</v>
      </c>
      <c r="U483" s="13">
        <f t="shared" ref="U483:AA487" si="84">SUMIF($D$3:$D$423,$S483,K$3:K$423)-SUMIFS(K$3:K$423,$D$3:$D$423,$S483,$E$3:$E$423,$R483)+SUMIFS(K$430:K$475,$D$430:$D$475,$S483,$E$430:$E$475,$R483)</f>
        <v>269.68113732062471</v>
      </c>
      <c r="V483" s="13">
        <f t="shared" si="84"/>
        <v>253.31358264526963</v>
      </c>
      <c r="W483" s="13">
        <f t="shared" si="84"/>
        <v>232.56543349868451</v>
      </c>
      <c r="X483" s="13">
        <f t="shared" si="84"/>
        <v>193.58182970232744</v>
      </c>
      <c r="Y483" s="13">
        <f t="shared" si="84"/>
        <v>134.24829716451711</v>
      </c>
      <c r="Z483" s="13">
        <f t="shared" si="84"/>
        <v>71.530836697384558</v>
      </c>
      <c r="AA483" s="13">
        <f t="shared" si="84"/>
        <v>27.408151480005237</v>
      </c>
      <c r="AB483" s="13" t="s">
        <v>193</v>
      </c>
    </row>
    <row r="484" spans="3:28">
      <c r="R484" s="13" t="s">
        <v>248</v>
      </c>
      <c r="S484" s="13" t="s">
        <v>175</v>
      </c>
      <c r="T484" s="13">
        <f t="shared" si="82"/>
        <v>98.935342939451303</v>
      </c>
      <c r="U484" s="13">
        <f t="shared" si="84"/>
        <v>101.81990010965093</v>
      </c>
      <c r="V484" s="13">
        <f t="shared" si="84"/>
        <v>92.833301850136095</v>
      </c>
      <c r="W484" s="13">
        <f t="shared" si="84"/>
        <v>76.716495727597263</v>
      </c>
      <c r="X484" s="13">
        <f t="shared" si="84"/>
        <v>60.728014093647289</v>
      </c>
      <c r="Y484" s="13">
        <f t="shared" si="84"/>
        <v>44.984049267704528</v>
      </c>
      <c r="Z484" s="13">
        <f t="shared" si="84"/>
        <v>32.565616225689993</v>
      </c>
      <c r="AA484" s="13">
        <f t="shared" si="84"/>
        <v>23.08444364044583</v>
      </c>
      <c r="AB484" s="13" t="s">
        <v>193</v>
      </c>
    </row>
    <row r="485" spans="3:28">
      <c r="R485" s="13" t="s">
        <v>248</v>
      </c>
      <c r="S485" s="13" t="s">
        <v>17</v>
      </c>
      <c r="T485" s="13">
        <f t="shared" si="82"/>
        <v>259.66756094423556</v>
      </c>
      <c r="U485" s="13">
        <f t="shared" si="84"/>
        <v>244.11641602383111</v>
      </c>
      <c r="V485" s="13">
        <f t="shared" si="84"/>
        <v>211.19030195199059</v>
      </c>
      <c r="W485" s="13">
        <f t="shared" si="84"/>
        <v>131.20411997043797</v>
      </c>
      <c r="X485" s="13">
        <f t="shared" si="84"/>
        <v>72.483821227955303</v>
      </c>
      <c r="Y485" s="13">
        <f t="shared" si="84"/>
        <v>33.984792712395574</v>
      </c>
      <c r="Z485" s="13">
        <f t="shared" si="84"/>
        <v>2.5162530429331156</v>
      </c>
      <c r="AA485" s="13">
        <f t="shared" si="84"/>
        <v>-9.0949152913554414</v>
      </c>
      <c r="AB485" s="13" t="s">
        <v>193</v>
      </c>
    </row>
    <row r="486" spans="3:28">
      <c r="R486" s="13" t="s">
        <v>248</v>
      </c>
      <c r="S486" s="13" t="s">
        <v>177</v>
      </c>
      <c r="T486" s="13">
        <f t="shared" si="82"/>
        <v>16.311936076203967</v>
      </c>
      <c r="U486" s="13">
        <f t="shared" si="84"/>
        <v>17.290345100704783</v>
      </c>
      <c r="V486" s="13">
        <f t="shared" si="84"/>
        <v>17.820204370519651</v>
      </c>
      <c r="W486" s="13">
        <f t="shared" si="84"/>
        <v>17.874500965924454</v>
      </c>
      <c r="X486" s="13">
        <f t="shared" si="84"/>
        <v>17.860661709044383</v>
      </c>
      <c r="Y486" s="13">
        <f t="shared" si="84"/>
        <v>17.803993513215698</v>
      </c>
      <c r="Z486" s="13">
        <f t="shared" si="84"/>
        <v>17.67671971429127</v>
      </c>
      <c r="AA486" s="13">
        <f t="shared" si="84"/>
        <v>17.456752823124546</v>
      </c>
    </row>
    <row r="487" spans="3:28">
      <c r="R487" s="13" t="s">
        <v>248</v>
      </c>
      <c r="S487" s="13" t="s">
        <v>174</v>
      </c>
      <c r="T487" s="13">
        <f t="shared" si="82"/>
        <v>0</v>
      </c>
      <c r="U487" s="13">
        <f t="shared" si="84"/>
        <v>0</v>
      </c>
      <c r="V487" s="13">
        <f t="shared" si="84"/>
        <v>0</v>
      </c>
      <c r="W487" s="13">
        <f t="shared" si="84"/>
        <v>0</v>
      </c>
      <c r="X487" s="13">
        <f t="shared" si="84"/>
        <v>0</v>
      </c>
      <c r="Y487" s="13">
        <f t="shared" si="84"/>
        <v>-3.9834939691614019E-4</v>
      </c>
      <c r="Z487" s="13">
        <f t="shared" si="84"/>
        <v>-0.17311691277679536</v>
      </c>
      <c r="AA487" s="13">
        <f t="shared" si="84"/>
        <v>-50.063355375860638</v>
      </c>
      <c r="AB487" s="13" t="s">
        <v>193</v>
      </c>
    </row>
    <row r="488" spans="3:28">
      <c r="M488" s="13">
        <v>1000</v>
      </c>
      <c r="N488" s="13">
        <v>113.633</v>
      </c>
      <c r="O488" s="13">
        <v>63.631999999999998</v>
      </c>
      <c r="R488" s="13" t="s">
        <v>248</v>
      </c>
      <c r="S488" s="13" t="s">
        <v>176</v>
      </c>
      <c r="T488" s="31">
        <v>-45</v>
      </c>
      <c r="U488" s="31">
        <v>-45</v>
      </c>
      <c r="V488" s="31">
        <v>-44.875</v>
      </c>
      <c r="W488" s="31">
        <v>-43.0625</v>
      </c>
      <c r="X488" s="13">
        <v>-39.4375</v>
      </c>
      <c r="Y488" s="13">
        <v>-37.625</v>
      </c>
      <c r="Z488" s="13">
        <v>-35.8125</v>
      </c>
      <c r="AA488" s="13">
        <v>-34</v>
      </c>
      <c r="AB488" s="13" t="s">
        <v>193</v>
      </c>
    </row>
    <row r="489" spans="3:28">
      <c r="R489" s="13" t="s">
        <v>248</v>
      </c>
      <c r="S489" s="13" t="s">
        <v>178</v>
      </c>
      <c r="T489" s="13">
        <f>SUMIF($D$3:$D$423,$S489,J$3:J$423)-SUMIFS(J$3:J$423,$D$3:$D$423,$S489,$E$3:$E$423,$R489)+SUMIFS(J$430:J$475,$D$430:$D$475,$S489,$E$430:$E$475,$R489)</f>
        <v>40.256075819677285</v>
      </c>
      <c r="U489" s="13">
        <f t="shared" ref="U489:AA489" si="85">SUMIF($D$3:$D$423,$S489,K$3:K$423)-SUMIFS(K$3:K$423,$D$3:$D$423,$S489,$E$3:$E$423,$R489)+SUMIFS(K$430:K$475,$D$430:$D$475,$S489,$E$430:$E$475,$R489)</f>
        <v>42.037598278972872</v>
      </c>
      <c r="V489" s="13">
        <f t="shared" si="85"/>
        <v>41.090488146797988</v>
      </c>
      <c r="W489" s="13">
        <f t="shared" si="85"/>
        <v>40.374225293656934</v>
      </c>
      <c r="X489" s="13">
        <f t="shared" si="85"/>
        <v>39.149618556369077</v>
      </c>
      <c r="Y489" s="13">
        <f t="shared" si="85"/>
        <v>36.502822807159347</v>
      </c>
      <c r="Z489" s="13">
        <f t="shared" si="85"/>
        <v>32.300332417455323</v>
      </c>
      <c r="AA489" s="13">
        <f t="shared" si="85"/>
        <v>28.735529961738148</v>
      </c>
      <c r="AB489" s="13" t="s">
        <v>193</v>
      </c>
    </row>
    <row r="490" spans="3:28">
      <c r="N490" s="13">
        <f>M488*O488/N488/3.666667</f>
        <v>152.72130666733318</v>
      </c>
      <c r="S490" s="13" t="s">
        <v>29</v>
      </c>
      <c r="T490" s="13">
        <f t="shared" ref="T490:Z490" si="86">SUM(T482:T488)</f>
        <v>657.0101905215987</v>
      </c>
      <c r="U490" s="13">
        <f t="shared" si="86"/>
        <v>669.37537011909876</v>
      </c>
      <c r="V490" s="13">
        <f t="shared" si="86"/>
        <v>603.387120123655</v>
      </c>
      <c r="W490" s="13">
        <f t="shared" si="86"/>
        <v>481.9972966780166</v>
      </c>
      <c r="X490" s="13">
        <f t="shared" si="86"/>
        <v>361.34606664936109</v>
      </c>
      <c r="Y490" s="13">
        <f t="shared" si="86"/>
        <v>240.66406017441744</v>
      </c>
      <c r="Z490" s="13">
        <f t="shared" si="86"/>
        <v>121.46390070154294</v>
      </c>
      <c r="AA490" s="13">
        <f>SUM(AA482:AA488)</f>
        <v>-0.8163304041153765</v>
      </c>
      <c r="AB490" s="13" t="s">
        <v>193</v>
      </c>
    </row>
    <row r="492" spans="3:28">
      <c r="C492" s="1" t="s">
        <v>140</v>
      </c>
      <c r="D492" s="1" t="s">
        <v>140</v>
      </c>
    </row>
    <row r="493" spans="3:28">
      <c r="C493" s="1" t="s">
        <v>141</v>
      </c>
      <c r="D493" s="1" t="s">
        <v>141</v>
      </c>
    </row>
    <row r="494" spans="3:28">
      <c r="C494" s="1" t="s">
        <v>63</v>
      </c>
      <c r="D494" s="1" t="s">
        <v>63</v>
      </c>
    </row>
    <row r="495" spans="3:28">
      <c r="C495" s="1" t="s">
        <v>64</v>
      </c>
      <c r="D495" s="1" t="s">
        <v>64</v>
      </c>
    </row>
    <row r="496" spans="3:28">
      <c r="C496" s="1" t="s">
        <v>142</v>
      </c>
      <c r="D496" s="1" t="s">
        <v>142</v>
      </c>
    </row>
    <row r="497" spans="3:5">
      <c r="C497" s="1" t="s">
        <v>247</v>
      </c>
      <c r="D497" s="1" t="s">
        <v>61</v>
      </c>
    </row>
    <row r="498" spans="3:5">
      <c r="C498" s="1" t="s">
        <v>56</v>
      </c>
      <c r="D498" s="1" t="s">
        <v>56</v>
      </c>
    </row>
    <row r="499" spans="3:5">
      <c r="C499" s="1" t="s">
        <v>20</v>
      </c>
      <c r="D499" s="1" t="s">
        <v>20</v>
      </c>
    </row>
    <row r="500" spans="3:5">
      <c r="C500" s="1" t="s">
        <v>143</v>
      </c>
      <c r="D500" s="1" t="s">
        <v>143</v>
      </c>
    </row>
    <row r="501" spans="3:5">
      <c r="C501" s="1" t="s">
        <v>144</v>
      </c>
      <c r="D501" s="1" t="s">
        <v>144</v>
      </c>
    </row>
    <row r="502" spans="3:5">
      <c r="C502" s="1" t="s">
        <v>145</v>
      </c>
      <c r="D502" s="1" t="s">
        <v>145</v>
      </c>
    </row>
    <row r="503" spans="3:5">
      <c r="C503" s="1" t="s">
        <v>67</v>
      </c>
      <c r="D503" s="1" t="s">
        <v>67</v>
      </c>
      <c r="E503" s="1" t="s">
        <v>21</v>
      </c>
    </row>
    <row r="504" spans="3:5">
      <c r="C504" s="1" t="s">
        <v>146</v>
      </c>
      <c r="D504" s="1" t="s">
        <v>146</v>
      </c>
    </row>
    <row r="505" spans="3:5">
      <c r="C505" s="1" t="s">
        <v>122</v>
      </c>
      <c r="E505" s="1" t="s">
        <v>59</v>
      </c>
    </row>
    <row r="506" spans="3:5">
      <c r="C506" s="1" t="s">
        <v>123</v>
      </c>
      <c r="D506" s="1"/>
      <c r="E506" s="13" t="s">
        <v>3</v>
      </c>
    </row>
    <row r="507" spans="3:5">
      <c r="C507" s="1" t="s">
        <v>124</v>
      </c>
      <c r="D507" s="1"/>
      <c r="E507" s="13" t="s">
        <v>162</v>
      </c>
    </row>
    <row r="508" spans="3:5">
      <c r="C508" s="1" t="s">
        <v>125</v>
      </c>
      <c r="D508" s="1"/>
    </row>
    <row r="509" spans="3:5">
      <c r="C509" s="1" t="s">
        <v>126</v>
      </c>
      <c r="D509" s="1"/>
    </row>
    <row r="510" spans="3:5">
      <c r="C510" s="1" t="s">
        <v>127</v>
      </c>
      <c r="D510" s="1"/>
    </row>
    <row r="511" spans="3:5">
      <c r="C511" s="1" t="s">
        <v>128</v>
      </c>
      <c r="D511" s="1"/>
    </row>
    <row r="512" spans="3:5">
      <c r="C512" s="1" t="s">
        <v>129</v>
      </c>
      <c r="D512" s="1"/>
    </row>
    <row r="513" spans="3:5">
      <c r="C513" s="1" t="s">
        <v>147</v>
      </c>
      <c r="D513" s="1" t="s">
        <v>147</v>
      </c>
      <c r="E513" s="1" t="s">
        <v>246</v>
      </c>
    </row>
    <row r="514" spans="3:5">
      <c r="C514" s="1" t="s">
        <v>32</v>
      </c>
      <c r="D514" s="1" t="s">
        <v>32</v>
      </c>
    </row>
    <row r="515" spans="3:5">
      <c r="C515" s="1" t="s">
        <v>66</v>
      </c>
      <c r="D515" s="1" t="s">
        <v>66</v>
      </c>
    </row>
    <row r="516" spans="3:5">
      <c r="C516" s="1" t="s">
        <v>68</v>
      </c>
      <c r="D516" s="1" t="s">
        <v>68</v>
      </c>
      <c r="E516" s="1" t="s">
        <v>22</v>
      </c>
    </row>
    <row r="517" spans="3:5">
      <c r="C517" s="1" t="s">
        <v>62</v>
      </c>
      <c r="D517" s="1" t="s">
        <v>62</v>
      </c>
    </row>
    <row r="518" spans="3:5">
      <c r="C518" s="1" t="s">
        <v>148</v>
      </c>
      <c r="D518" s="1" t="s">
        <v>148</v>
      </c>
    </row>
    <row r="519" spans="3:5">
      <c r="C519" s="13" t="s">
        <v>149</v>
      </c>
      <c r="E519" s="1" t="s">
        <v>164</v>
      </c>
    </row>
    <row r="520" spans="3:5">
      <c r="C520" s="13" t="s">
        <v>150</v>
      </c>
      <c r="E520" s="1" t="s">
        <v>6</v>
      </c>
    </row>
    <row r="521" spans="3:5">
      <c r="C521" s="13" t="s">
        <v>151</v>
      </c>
    </row>
    <row r="522" spans="3:5">
      <c r="C522" s="1" t="s">
        <v>152</v>
      </c>
      <c r="D522" s="1" t="s">
        <v>152</v>
      </c>
    </row>
    <row r="523" spans="3:5">
      <c r="C523" s="1" t="s">
        <v>153</v>
      </c>
      <c r="D523" s="1" t="s">
        <v>153</v>
      </c>
    </row>
    <row r="524" spans="3:5">
      <c r="C524" s="1" t="s">
        <v>154</v>
      </c>
      <c r="D524" s="1" t="s">
        <v>154</v>
      </c>
    </row>
    <row r="525" spans="3:5">
      <c r="C525" s="1" t="s">
        <v>155</v>
      </c>
      <c r="D525" s="1" t="s">
        <v>155</v>
      </c>
    </row>
    <row r="526" spans="3:5">
      <c r="C526" s="1" t="s">
        <v>156</v>
      </c>
      <c r="D526" s="1" t="s">
        <v>156</v>
      </c>
    </row>
    <row r="527" spans="3:5">
      <c r="C527" s="1" t="s">
        <v>157</v>
      </c>
      <c r="D527" s="1" t="s">
        <v>157</v>
      </c>
    </row>
    <row r="528" spans="3:5">
      <c r="C528" s="1" t="s">
        <v>158</v>
      </c>
      <c r="D528" s="1" t="s">
        <v>158</v>
      </c>
    </row>
    <row r="529" spans="3:5">
      <c r="C529" s="1" t="s">
        <v>159</v>
      </c>
      <c r="D529" s="1" t="s">
        <v>159</v>
      </c>
    </row>
    <row r="530" spans="3:5">
      <c r="C530" s="1" t="s">
        <v>160</v>
      </c>
      <c r="D530" s="1" t="s">
        <v>160</v>
      </c>
    </row>
    <row r="531" spans="3:5">
      <c r="C531" s="1" t="s">
        <v>161</v>
      </c>
      <c r="D531" s="1" t="s">
        <v>161</v>
      </c>
      <c r="E531" s="1" t="s">
        <v>7</v>
      </c>
    </row>
    <row r="534" spans="3:5">
      <c r="C534" s="13" t="s">
        <v>140</v>
      </c>
      <c r="D534" s="13" t="s">
        <v>257</v>
      </c>
    </row>
    <row r="535" spans="3:5">
      <c r="C535" s="13" t="s">
        <v>141</v>
      </c>
      <c r="D535" s="13" t="s">
        <v>141</v>
      </c>
    </row>
    <row r="536" spans="3:5">
      <c r="C536" s="13" t="s">
        <v>63</v>
      </c>
      <c r="D536" s="13" t="s">
        <v>63</v>
      </c>
    </row>
    <row r="537" spans="3:5">
      <c r="C537" s="13" t="s">
        <v>64</v>
      </c>
      <c r="D537" s="13" t="s">
        <v>64</v>
      </c>
    </row>
    <row r="538" spans="3:5">
      <c r="C538" s="13" t="s">
        <v>189</v>
      </c>
      <c r="D538" s="13" t="s">
        <v>189</v>
      </c>
    </row>
    <row r="539" spans="3:5">
      <c r="C539" s="13" t="s">
        <v>142</v>
      </c>
      <c r="D539" s="13" t="s">
        <v>142</v>
      </c>
    </row>
    <row r="540" spans="3:5">
      <c r="C540" s="13" t="s">
        <v>61</v>
      </c>
      <c r="D540" s="13" t="s">
        <v>61</v>
      </c>
    </row>
    <row r="541" spans="3:5">
      <c r="C541" s="13" t="s">
        <v>56</v>
      </c>
      <c r="D541" s="13" t="s">
        <v>56</v>
      </c>
    </row>
    <row r="542" spans="3:5">
      <c r="C542" s="13" t="s">
        <v>20</v>
      </c>
      <c r="D542" s="13" t="s">
        <v>20</v>
      </c>
    </row>
    <row r="543" spans="3:5">
      <c r="C543" s="13" t="s">
        <v>143</v>
      </c>
      <c r="D543" s="13" t="s">
        <v>143</v>
      </c>
    </row>
    <row r="544" spans="3:5">
      <c r="C544" s="13" t="s">
        <v>144</v>
      </c>
      <c r="D544" s="13" t="s">
        <v>144</v>
      </c>
    </row>
    <row r="545" spans="3:5">
      <c r="C545" s="13" t="s">
        <v>145</v>
      </c>
      <c r="D545" s="13" t="s">
        <v>145</v>
      </c>
    </row>
    <row r="546" spans="3:5">
      <c r="C546" s="13" t="s">
        <v>67</v>
      </c>
      <c r="D546" s="13" t="s">
        <v>67</v>
      </c>
      <c r="E546" s="13" t="s">
        <v>21</v>
      </c>
    </row>
    <row r="547" spans="3:5">
      <c r="C547" s="13" t="s">
        <v>146</v>
      </c>
      <c r="D547" s="13" t="s">
        <v>146</v>
      </c>
      <c r="E547" s="13" t="s">
        <v>3</v>
      </c>
    </row>
    <row r="548" spans="3:5">
      <c r="C548" s="13" t="s">
        <v>132</v>
      </c>
      <c r="D548" s="13" t="s">
        <v>132</v>
      </c>
      <c r="E548" s="13" t="s">
        <v>162</v>
      </c>
    </row>
    <row r="549" spans="3:5">
      <c r="C549" s="13" t="s">
        <v>122</v>
      </c>
    </row>
    <row r="550" spans="3:5">
      <c r="C550" s="13" t="s">
        <v>133</v>
      </c>
      <c r="D550" s="13" t="s">
        <v>133</v>
      </c>
    </row>
    <row r="551" spans="3:5">
      <c r="C551" s="13" t="s">
        <v>123</v>
      </c>
    </row>
    <row r="552" spans="3:5">
      <c r="C552" s="13" t="s">
        <v>134</v>
      </c>
      <c r="D552" s="13" t="s">
        <v>134</v>
      </c>
    </row>
    <row r="553" spans="3:5">
      <c r="C553" s="13" t="s">
        <v>124</v>
      </c>
    </row>
    <row r="554" spans="3:5">
      <c r="C554" s="13" t="s">
        <v>135</v>
      </c>
      <c r="D554" s="13" t="s">
        <v>135</v>
      </c>
    </row>
    <row r="555" spans="3:5">
      <c r="C555" s="13" t="s">
        <v>125</v>
      </c>
    </row>
    <row r="556" spans="3:5">
      <c r="C556" s="13" t="s">
        <v>136</v>
      </c>
      <c r="D556" s="13" t="s">
        <v>136</v>
      </c>
    </row>
    <row r="557" spans="3:5">
      <c r="C557" s="13" t="s">
        <v>126</v>
      </c>
    </row>
    <row r="558" spans="3:5">
      <c r="C558" s="13" t="s">
        <v>127</v>
      </c>
    </row>
    <row r="559" spans="3:5">
      <c r="C559" s="13" t="s">
        <v>137</v>
      </c>
      <c r="D559" s="13" t="s">
        <v>137</v>
      </c>
    </row>
    <row r="560" spans="3:5">
      <c r="C560" s="13" t="s">
        <v>128</v>
      </c>
    </row>
    <row r="561" spans="3:5">
      <c r="C561" s="13" t="s">
        <v>129</v>
      </c>
      <c r="E561" s="1" t="s">
        <v>59</v>
      </c>
    </row>
    <row r="562" spans="3:5">
      <c r="C562" s="13" t="s">
        <v>147</v>
      </c>
      <c r="D562" s="13" t="s">
        <v>147</v>
      </c>
      <c r="E562" s="13" t="s">
        <v>163</v>
      </c>
    </row>
    <row r="563" spans="3:5">
      <c r="C563" s="13" t="s">
        <v>32</v>
      </c>
      <c r="D563" s="13" t="s">
        <v>32</v>
      </c>
    </row>
    <row r="564" spans="3:5">
      <c r="C564" s="13" t="s">
        <v>66</v>
      </c>
      <c r="D564" s="13" t="s">
        <v>66</v>
      </c>
    </row>
    <row r="565" spans="3:5">
      <c r="C565" s="13" t="s">
        <v>68</v>
      </c>
      <c r="D565" s="13" t="s">
        <v>68</v>
      </c>
      <c r="E565" s="13" t="s">
        <v>22</v>
      </c>
    </row>
    <row r="566" spans="3:5">
      <c r="C566" s="13" t="s">
        <v>62</v>
      </c>
      <c r="D566" s="13" t="s">
        <v>62</v>
      </c>
    </row>
    <row r="567" spans="3:5">
      <c r="C567" s="13" t="s">
        <v>190</v>
      </c>
      <c r="D567" s="13" t="s">
        <v>190</v>
      </c>
    </row>
    <row r="568" spans="3:5">
      <c r="C568" s="13" t="s">
        <v>148</v>
      </c>
      <c r="D568" s="13" t="s">
        <v>148</v>
      </c>
      <c r="E568" s="13" t="s">
        <v>164</v>
      </c>
    </row>
    <row r="569" spans="3:5">
      <c r="C569" s="13" t="s">
        <v>149</v>
      </c>
      <c r="E569" s="13" t="s">
        <v>6</v>
      </c>
    </row>
    <row r="570" spans="3:5">
      <c r="C570" s="13" t="s">
        <v>150</v>
      </c>
    </row>
    <row r="571" spans="3:5">
      <c r="C571" s="13" t="s">
        <v>151</v>
      </c>
    </row>
    <row r="572" spans="3:5">
      <c r="C572" s="13" t="s">
        <v>152</v>
      </c>
      <c r="D572" s="13" t="s">
        <v>152</v>
      </c>
    </row>
    <row r="573" spans="3:5">
      <c r="C573" s="13" t="s">
        <v>153</v>
      </c>
      <c r="D573" s="13" t="s">
        <v>153</v>
      </c>
    </row>
    <row r="574" spans="3:5">
      <c r="C574" s="13" t="s">
        <v>154</v>
      </c>
      <c r="D574" s="13" t="s">
        <v>154</v>
      </c>
    </row>
    <row r="575" spans="3:5">
      <c r="C575" s="13" t="s">
        <v>155</v>
      </c>
      <c r="D575" s="13" t="s">
        <v>155</v>
      </c>
    </row>
    <row r="576" spans="3:5">
      <c r="C576" s="13" t="s">
        <v>156</v>
      </c>
      <c r="D576" s="13" t="s">
        <v>156</v>
      </c>
    </row>
    <row r="577" spans="3:5">
      <c r="C577" s="13" t="s">
        <v>157</v>
      </c>
      <c r="D577" s="13" t="s">
        <v>157</v>
      </c>
    </row>
    <row r="578" spans="3:5">
      <c r="C578" s="13" t="s">
        <v>158</v>
      </c>
      <c r="D578" s="13" t="s">
        <v>158</v>
      </c>
    </row>
    <row r="579" spans="3:5">
      <c r="C579" s="13" t="s">
        <v>159</v>
      </c>
      <c r="D579" s="13" t="s">
        <v>159</v>
      </c>
    </row>
    <row r="580" spans="3:5">
      <c r="C580" s="13" t="s">
        <v>160</v>
      </c>
      <c r="D580" s="13" t="s">
        <v>160</v>
      </c>
    </row>
    <row r="581" spans="3:5">
      <c r="C581" s="13" t="s">
        <v>161</v>
      </c>
      <c r="D581" s="13" t="s">
        <v>161</v>
      </c>
      <c r="E581" s="13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15E69-0F80-45F9-BEE2-D3105F6AE2E6}">
  <dimension ref="A1:AL587"/>
  <sheetViews>
    <sheetView zoomScale="55" zoomScaleNormal="55" workbookViewId="0">
      <selection activeCell="AF519" sqref="AF519"/>
    </sheetView>
  </sheetViews>
  <sheetFormatPr defaultColWidth="8.69921875" defaultRowHeight="17.399999999999999"/>
  <cols>
    <col min="1" max="2" width="8.69921875" style="13"/>
    <col min="3" max="4" width="25.5" style="13" customWidth="1"/>
    <col min="5" max="5" width="13.59765625" style="13" bestFit="1" customWidth="1"/>
    <col min="6" max="16" width="8.69921875" style="13"/>
    <col min="17" max="17" width="8.796875" style="13" bestFit="1" customWidth="1"/>
    <col min="18" max="18" width="8.69921875" style="13"/>
    <col min="19" max="19" width="14.09765625" style="13" bestFit="1" customWidth="1"/>
    <col min="20" max="23" width="8.796875" style="13" bestFit="1" customWidth="1"/>
    <col min="24" max="24" width="13.796875" style="13" bestFit="1" customWidth="1"/>
    <col min="25" max="25" width="8.796875" style="13" bestFit="1" customWidth="1"/>
    <col min="26" max="26" width="13.796875" style="13" bestFit="1" customWidth="1"/>
    <col min="27" max="28" width="8.796875" style="13" bestFit="1" customWidth="1"/>
    <col min="29" max="16384" width="8.69921875" style="13"/>
  </cols>
  <sheetData>
    <row r="1" spans="1:31">
      <c r="A1" s="1" t="s">
        <v>493</v>
      </c>
    </row>
    <row r="2" spans="1:31">
      <c r="A2" s="13" t="s">
        <v>8</v>
      </c>
      <c r="B2" s="13" t="s">
        <v>9</v>
      </c>
      <c r="C2" s="13" t="s">
        <v>39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  <c r="R2" s="13" t="s">
        <v>76</v>
      </c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  <c r="AE2" s="13" t="s">
        <v>76</v>
      </c>
    </row>
    <row r="3" spans="1:31">
      <c r="A3" s="13" t="s">
        <v>324</v>
      </c>
      <c r="B3" s="13" t="s">
        <v>1</v>
      </c>
      <c r="C3" s="13" t="s">
        <v>201</v>
      </c>
      <c r="D3" s="13" t="str">
        <f>IFERROR(VLOOKUP(C3,ghg_sort!$A$86:$B$512,2,0),0)</f>
        <v>Agriculture</v>
      </c>
      <c r="E3" s="33" t="s">
        <v>104</v>
      </c>
      <c r="F3" s="13">
        <f>IFERROR(VLOOKUP($E3,ghg_sort!$A$3:$B$21,2,0),0)</f>
        <v>25</v>
      </c>
      <c r="G3" s="13">
        <f>T3*$F3</f>
        <v>0.99247552500000003</v>
      </c>
      <c r="H3" s="13">
        <f t="shared" ref="H3:Q18" si="0">U3*$F3</f>
        <v>1.033558025</v>
      </c>
      <c r="I3" s="13">
        <f t="shared" si="0"/>
        <v>1.7732504999999998</v>
      </c>
      <c r="J3" s="13">
        <f t="shared" si="0"/>
        <v>1.8104767500000001</v>
      </c>
      <c r="K3" s="13">
        <f t="shared" si="0"/>
        <v>2.1324915</v>
      </c>
      <c r="L3" s="13">
        <f t="shared" si="0"/>
        <v>2.3748849999999999</v>
      </c>
      <c r="M3" s="13">
        <f t="shared" si="0"/>
        <v>2.4507115000000002</v>
      </c>
      <c r="N3" s="13">
        <f t="shared" si="0"/>
        <v>2.5746142499999998</v>
      </c>
      <c r="O3" s="13">
        <f t="shared" si="0"/>
        <v>2.6690227499999999</v>
      </c>
      <c r="P3" s="13">
        <f t="shared" si="0"/>
        <v>2.73911975</v>
      </c>
      <c r="Q3" s="13">
        <f t="shared" si="0"/>
        <v>2.7975334999999752</v>
      </c>
      <c r="R3" s="13" t="s">
        <v>193</v>
      </c>
      <c r="T3" s="62">
        <v>3.9699021000000001E-2</v>
      </c>
      <c r="U3" s="62">
        <v>4.1342321000000001E-2</v>
      </c>
      <c r="V3" s="62">
        <v>7.0930019999999996E-2</v>
      </c>
      <c r="W3" s="62">
        <v>7.2419070000000002E-2</v>
      </c>
      <c r="X3" s="62">
        <v>8.5299659999999999E-2</v>
      </c>
      <c r="Y3" s="62">
        <v>9.4995399999999994E-2</v>
      </c>
      <c r="Z3" s="62">
        <v>9.8028459999999998E-2</v>
      </c>
      <c r="AA3" s="62">
        <v>0.10298457</v>
      </c>
      <c r="AB3" s="62">
        <v>0.10676091</v>
      </c>
      <c r="AC3" s="62">
        <v>0.10956479</v>
      </c>
      <c r="AD3" s="62">
        <v>0.111901339999999</v>
      </c>
      <c r="AE3" s="13" t="s">
        <v>93</v>
      </c>
    </row>
    <row r="4" spans="1:31">
      <c r="A4" s="13" t="s">
        <v>324</v>
      </c>
      <c r="B4" s="13" t="s">
        <v>1</v>
      </c>
      <c r="C4" s="13" t="s">
        <v>201</v>
      </c>
      <c r="D4" s="13" t="str">
        <f>IFERROR(VLOOKUP(C4,ghg_sort!$A$86:$B$512,2,0),0)</f>
        <v>Agriculture</v>
      </c>
      <c r="E4" s="33" t="s">
        <v>101</v>
      </c>
      <c r="F4" s="13">
        <f>IFERROR(VLOOKUP($E4,ghg_sort!$A$3:$B$21,2,0),0)</f>
        <v>298</v>
      </c>
      <c r="G4" s="13">
        <f t="shared" ref="G4:Q40" si="1">T4*$F4</f>
        <v>0.38681961519999997</v>
      </c>
      <c r="H4" s="13">
        <f t="shared" si="0"/>
        <v>0.44792517080000005</v>
      </c>
      <c r="I4" s="13">
        <f t="shared" si="0"/>
        <v>0.77636214579999996</v>
      </c>
      <c r="J4" s="13">
        <f t="shared" si="0"/>
        <v>0.7945247392</v>
      </c>
      <c r="K4" s="13">
        <f t="shared" si="0"/>
        <v>0.93584069000000003</v>
      </c>
      <c r="L4" s="13">
        <f t="shared" si="0"/>
        <v>1.0422153362</v>
      </c>
      <c r="M4" s="13">
        <f t="shared" si="0"/>
        <v>1.075492281</v>
      </c>
      <c r="N4" s="13">
        <f t="shared" si="0"/>
        <v>1.1298666721999999</v>
      </c>
      <c r="O4" s="13">
        <f t="shared" si="0"/>
        <v>1.1712969566</v>
      </c>
      <c r="P4" s="13">
        <f t="shared" si="0"/>
        <v>1.2020581257999969</v>
      </c>
      <c r="Q4" s="13">
        <f t="shared" si="0"/>
        <v>1.2276939929999999</v>
      </c>
      <c r="R4" s="13" t="s">
        <v>193</v>
      </c>
      <c r="T4" s="62">
        <v>1.2980524E-3</v>
      </c>
      <c r="U4" s="62">
        <v>1.5031046000000001E-3</v>
      </c>
      <c r="V4" s="62">
        <v>2.6052420999999998E-3</v>
      </c>
      <c r="W4" s="62">
        <v>2.6661903999999998E-3</v>
      </c>
      <c r="X4" s="62">
        <v>3.1404050000000002E-3</v>
      </c>
      <c r="Y4" s="62">
        <v>3.4973668999999999E-3</v>
      </c>
      <c r="Z4" s="62">
        <v>3.6090344999999999E-3</v>
      </c>
      <c r="AA4" s="62">
        <v>3.7914988999999998E-3</v>
      </c>
      <c r="AB4" s="62">
        <v>3.9305267E-3</v>
      </c>
      <c r="AC4" s="62">
        <v>4.0337520999999899E-3</v>
      </c>
      <c r="AD4" s="62">
        <v>4.1197784999999999E-3</v>
      </c>
      <c r="AE4" s="13" t="s">
        <v>93</v>
      </c>
    </row>
    <row r="5" spans="1:31">
      <c r="A5" s="13" t="s">
        <v>324</v>
      </c>
      <c r="B5" s="13" t="s">
        <v>1</v>
      </c>
      <c r="C5" s="13" t="s">
        <v>201</v>
      </c>
      <c r="D5" s="13" t="str">
        <f>IFERROR(VLOOKUP(C5,ghg_sort!$A$86:$B$512,2,0),0)</f>
        <v>Agriculture</v>
      </c>
      <c r="E5" s="33" t="s">
        <v>202</v>
      </c>
      <c r="F5" s="13">
        <f>IFERROR(VLOOKUP($E5,ghg_sort!$A$3:$B$21,2,0),0)</f>
        <v>0</v>
      </c>
      <c r="G5" s="13">
        <f t="shared" si="1"/>
        <v>0</v>
      </c>
      <c r="H5" s="13">
        <f t="shared" si="0"/>
        <v>0</v>
      </c>
      <c r="I5" s="13">
        <f t="shared" si="0"/>
        <v>0</v>
      </c>
      <c r="J5" s="13">
        <f t="shared" si="0"/>
        <v>0</v>
      </c>
      <c r="K5" s="13">
        <f t="shared" si="0"/>
        <v>0</v>
      </c>
      <c r="L5" s="13">
        <f t="shared" si="0"/>
        <v>0</v>
      </c>
      <c r="M5" s="13">
        <f t="shared" si="0"/>
        <v>0</v>
      </c>
      <c r="N5" s="13">
        <f t="shared" si="0"/>
        <v>0</v>
      </c>
      <c r="O5" s="13">
        <f t="shared" si="0"/>
        <v>0</v>
      </c>
      <c r="P5" s="13">
        <f t="shared" si="0"/>
        <v>0</v>
      </c>
      <c r="Q5" s="13">
        <f t="shared" si="0"/>
        <v>0</v>
      </c>
      <c r="R5" s="13" t="s">
        <v>193</v>
      </c>
      <c r="T5" s="62">
        <v>1.1704479E-2</v>
      </c>
      <c r="U5" s="62">
        <v>1.2114076E-2</v>
      </c>
      <c r="V5" s="62">
        <v>1.6957112999999999E-2</v>
      </c>
      <c r="W5" s="62">
        <v>1.8404225E-2</v>
      </c>
      <c r="X5" s="62">
        <v>2.1914308E-2</v>
      </c>
      <c r="Y5" s="62">
        <v>2.6566492000000001E-2</v>
      </c>
      <c r="Z5" s="62">
        <v>2.86836709999999E-2</v>
      </c>
      <c r="AA5" s="62">
        <v>3.0438110000000001E-2</v>
      </c>
      <c r="AB5" s="62">
        <v>3.1568677000000003E-2</v>
      </c>
      <c r="AC5" s="62">
        <v>3.2414695E-2</v>
      </c>
      <c r="AD5" s="62">
        <v>3.3113901000000001E-2</v>
      </c>
      <c r="AE5" s="13" t="s">
        <v>93</v>
      </c>
    </row>
    <row r="6" spans="1:31">
      <c r="A6" s="13" t="s">
        <v>324</v>
      </c>
      <c r="B6" s="13" t="s">
        <v>1</v>
      </c>
      <c r="C6" s="13" t="s">
        <v>201</v>
      </c>
      <c r="D6" s="13" t="str">
        <f>IFERROR(VLOOKUP(C6,ghg_sort!$A$86:$B$512,2,0),0)</f>
        <v>Agriculture</v>
      </c>
      <c r="E6" s="33" t="s">
        <v>203</v>
      </c>
      <c r="F6" s="13">
        <f>IFERROR(VLOOKUP($E6,ghg_sort!$A$3:$B$21,2,0),0)</f>
        <v>0</v>
      </c>
      <c r="G6" s="13">
        <f t="shared" si="1"/>
        <v>0</v>
      </c>
      <c r="H6" s="13">
        <f t="shared" si="0"/>
        <v>0</v>
      </c>
      <c r="I6" s="13">
        <f t="shared" si="0"/>
        <v>0</v>
      </c>
      <c r="J6" s="13">
        <f t="shared" si="0"/>
        <v>0</v>
      </c>
      <c r="K6" s="13">
        <f t="shared" si="0"/>
        <v>0</v>
      </c>
      <c r="L6" s="13">
        <f t="shared" si="0"/>
        <v>0</v>
      </c>
      <c r="M6" s="13">
        <f t="shared" si="0"/>
        <v>0</v>
      </c>
      <c r="N6" s="13">
        <f t="shared" si="0"/>
        <v>0</v>
      </c>
      <c r="O6" s="13">
        <f t="shared" si="0"/>
        <v>0</v>
      </c>
      <c r="P6" s="13">
        <f t="shared" si="0"/>
        <v>0</v>
      </c>
      <c r="Q6" s="13">
        <f t="shared" si="0"/>
        <v>0</v>
      </c>
      <c r="R6" s="13" t="s">
        <v>193</v>
      </c>
      <c r="T6" s="62">
        <v>4.5667601E-3</v>
      </c>
      <c r="U6" s="62">
        <v>6.9354789999999996E-3</v>
      </c>
      <c r="V6" s="62">
        <v>1.22145179999999E-2</v>
      </c>
      <c r="W6" s="62">
        <v>1.30380469999999E-2</v>
      </c>
      <c r="X6" s="62">
        <v>1.5524685999999999E-2</v>
      </c>
      <c r="Y6" s="62">
        <v>1.8820408E-2</v>
      </c>
      <c r="Z6" s="62">
        <v>2.03202509999999E-2</v>
      </c>
      <c r="AA6" s="62">
        <v>2.1563189999999999E-2</v>
      </c>
      <c r="AB6" s="62">
        <v>2.2364104999999999E-2</v>
      </c>
      <c r="AC6" s="62">
        <v>2.2963476E-2</v>
      </c>
      <c r="AD6" s="62">
        <v>2.3458791999999999E-2</v>
      </c>
      <c r="AE6" s="13" t="s">
        <v>93</v>
      </c>
    </row>
    <row r="7" spans="1:31">
      <c r="A7" s="13" t="s">
        <v>324</v>
      </c>
      <c r="B7" s="13" t="s">
        <v>1</v>
      </c>
      <c r="C7" s="13" t="s">
        <v>201</v>
      </c>
      <c r="D7" s="13" t="str">
        <f>IFERROR(VLOOKUP(C7,ghg_sort!$A$86:$B$512,2,0),0)</f>
        <v>Agriculture</v>
      </c>
      <c r="E7" s="33" t="s">
        <v>204</v>
      </c>
      <c r="F7" s="13">
        <f>IFERROR(VLOOKUP($E7,ghg_sort!$A$3:$B$21,2,0),0)</f>
        <v>0</v>
      </c>
      <c r="G7" s="13">
        <f t="shared" si="1"/>
        <v>0</v>
      </c>
      <c r="H7" s="13">
        <f t="shared" si="0"/>
        <v>0</v>
      </c>
      <c r="I7" s="13">
        <f t="shared" si="0"/>
        <v>0</v>
      </c>
      <c r="J7" s="13">
        <f t="shared" si="0"/>
        <v>0</v>
      </c>
      <c r="K7" s="13">
        <f t="shared" si="0"/>
        <v>0</v>
      </c>
      <c r="L7" s="13">
        <f t="shared" si="0"/>
        <v>0</v>
      </c>
      <c r="M7" s="13">
        <f t="shared" si="0"/>
        <v>0</v>
      </c>
      <c r="N7" s="13">
        <f t="shared" si="0"/>
        <v>0</v>
      </c>
      <c r="O7" s="13">
        <f t="shared" si="0"/>
        <v>0</v>
      </c>
      <c r="P7" s="13">
        <f t="shared" si="0"/>
        <v>0</v>
      </c>
      <c r="Q7" s="13">
        <f t="shared" si="0"/>
        <v>0</v>
      </c>
      <c r="R7" s="13" t="s">
        <v>193</v>
      </c>
      <c r="T7" s="63">
        <v>5.4373659999999995E-4</v>
      </c>
      <c r="U7" s="63">
        <v>7.0553919999999902E-4</v>
      </c>
      <c r="V7" s="62">
        <v>1.2299593E-3</v>
      </c>
      <c r="W7" s="62">
        <v>1.25048069999999E-3</v>
      </c>
      <c r="X7" s="62">
        <v>1.4889739999999999E-3</v>
      </c>
      <c r="Y7" s="62">
        <v>1.8050681E-3</v>
      </c>
      <c r="Z7" s="62">
        <v>1.9489186E-3</v>
      </c>
      <c r="AA7" s="62">
        <v>2.0681279999999998E-3</v>
      </c>
      <c r="AB7" s="62">
        <v>2.1449426000000001E-3</v>
      </c>
      <c r="AC7" s="62">
        <v>2.20243E-3</v>
      </c>
      <c r="AD7" s="62">
        <v>2.2499364999999999E-3</v>
      </c>
      <c r="AE7" s="13" t="s">
        <v>93</v>
      </c>
    </row>
    <row r="8" spans="1:31">
      <c r="A8" s="13" t="s">
        <v>324</v>
      </c>
      <c r="B8" s="13" t="s">
        <v>1</v>
      </c>
      <c r="C8" s="13" t="s">
        <v>205</v>
      </c>
      <c r="D8" s="13" t="str">
        <f>IFERROR(VLOOKUP(C8,ghg_sort!$A$86:$B$512,2,0),0)</f>
        <v>Agriculture</v>
      </c>
      <c r="E8" s="33" t="s">
        <v>206</v>
      </c>
      <c r="F8" s="13">
        <f>IFERROR(VLOOKUP($E8,ghg_sort!$A$3:$B$21,2,0),0)</f>
        <v>0</v>
      </c>
      <c r="G8" s="13">
        <f t="shared" si="1"/>
        <v>0</v>
      </c>
      <c r="H8" s="13">
        <f t="shared" si="0"/>
        <v>0</v>
      </c>
      <c r="I8" s="13">
        <f t="shared" si="0"/>
        <v>0</v>
      </c>
      <c r="J8" s="13">
        <f t="shared" si="0"/>
        <v>0</v>
      </c>
      <c r="K8" s="13">
        <f t="shared" si="0"/>
        <v>0</v>
      </c>
      <c r="L8" s="13">
        <f t="shared" si="0"/>
        <v>0</v>
      </c>
      <c r="M8" s="13">
        <f t="shared" si="0"/>
        <v>0</v>
      </c>
      <c r="N8" s="13">
        <f t="shared" si="0"/>
        <v>0</v>
      </c>
      <c r="O8" s="13">
        <f t="shared" si="0"/>
        <v>0</v>
      </c>
      <c r="P8" s="13">
        <f t="shared" si="0"/>
        <v>0</v>
      </c>
      <c r="Q8" s="13">
        <f t="shared" si="0"/>
        <v>0</v>
      </c>
      <c r="R8" s="13" t="s">
        <v>193</v>
      </c>
      <c r="T8" s="63">
        <v>1.1246E-6</v>
      </c>
      <c r="U8" s="63">
        <v>9.540000000000001E-7</v>
      </c>
      <c r="V8" s="63">
        <v>1.63201699999999E-5</v>
      </c>
      <c r="W8" s="63">
        <v>1.5337950000000001E-5</v>
      </c>
      <c r="X8" s="63">
        <v>1.126556E-5</v>
      </c>
      <c r="Y8" s="63">
        <v>7.82681E-6</v>
      </c>
      <c r="Z8" s="63">
        <v>8.0115600000000003E-6</v>
      </c>
      <c r="AA8" s="63">
        <v>8.4466899999999993E-6</v>
      </c>
      <c r="AB8" s="63">
        <v>9.0573099999999995E-6</v>
      </c>
      <c r="AC8" s="63">
        <v>1.019781E-5</v>
      </c>
      <c r="AD8" s="63">
        <v>1.1154080000000001E-5</v>
      </c>
      <c r="AE8" s="13" t="s">
        <v>93</v>
      </c>
    </row>
    <row r="9" spans="1:31">
      <c r="A9" s="13" t="s">
        <v>324</v>
      </c>
      <c r="B9" s="13" t="s">
        <v>1</v>
      </c>
      <c r="C9" s="13" t="s">
        <v>205</v>
      </c>
      <c r="D9" s="13" t="str">
        <f>IFERROR(VLOOKUP(C9,ghg_sort!$A$86:$B$512,2,0),0)</f>
        <v>Agriculture</v>
      </c>
      <c r="E9" s="33" t="s">
        <v>105</v>
      </c>
      <c r="F9" s="13">
        <f>IFERROR(VLOOKUP($E9,ghg_sort!$A$3:$B$21,2,0),0)</f>
        <v>25</v>
      </c>
      <c r="G9" s="13">
        <f t="shared" si="1"/>
        <v>2.1817249999999999E-4</v>
      </c>
      <c r="H9" s="13">
        <f t="shared" si="0"/>
        <v>1.8506749999999976E-4</v>
      </c>
      <c r="I9" s="13">
        <f t="shared" si="0"/>
        <v>1.9603949999999999E-4</v>
      </c>
      <c r="J9" s="13">
        <f t="shared" si="0"/>
        <v>1.84241E-4</v>
      </c>
      <c r="K9" s="13">
        <f t="shared" si="0"/>
        <v>1.3532275000000001E-4</v>
      </c>
      <c r="L9" s="13">
        <f t="shared" si="0"/>
        <v>9.4016250000000006E-5</v>
      </c>
      <c r="M9" s="13">
        <f t="shared" si="0"/>
        <v>9.6235499999999997E-5</v>
      </c>
      <c r="N9" s="13">
        <f t="shared" si="0"/>
        <v>1.0146225E-4</v>
      </c>
      <c r="O9" s="13">
        <f t="shared" si="0"/>
        <v>1.0879725E-4</v>
      </c>
      <c r="P9" s="13">
        <f t="shared" si="0"/>
        <v>1.22497E-4</v>
      </c>
      <c r="Q9" s="13">
        <f t="shared" si="0"/>
        <v>1.3398374999999999E-4</v>
      </c>
      <c r="R9" s="13" t="s">
        <v>193</v>
      </c>
      <c r="T9" s="63">
        <v>8.7268999999999994E-6</v>
      </c>
      <c r="U9" s="63">
        <v>7.4026999999999901E-6</v>
      </c>
      <c r="V9" s="63">
        <v>7.8415799999999999E-6</v>
      </c>
      <c r="W9" s="63">
        <v>7.36964E-6</v>
      </c>
      <c r="X9" s="63">
        <v>5.4129100000000002E-6</v>
      </c>
      <c r="Y9" s="63">
        <v>3.7606500000000002E-6</v>
      </c>
      <c r="Z9" s="63">
        <v>3.8494199999999996E-6</v>
      </c>
      <c r="AA9" s="63">
        <v>4.0584900000000003E-6</v>
      </c>
      <c r="AB9" s="63">
        <v>4.3518899999999999E-6</v>
      </c>
      <c r="AC9" s="63">
        <v>4.8998799999999997E-6</v>
      </c>
      <c r="AD9" s="63">
        <v>5.3593499999999998E-6</v>
      </c>
      <c r="AE9" s="13" t="s">
        <v>93</v>
      </c>
    </row>
    <row r="10" spans="1:31">
      <c r="A10" s="13" t="s">
        <v>324</v>
      </c>
      <c r="B10" s="13" t="s">
        <v>1</v>
      </c>
      <c r="C10" s="13" t="s">
        <v>205</v>
      </c>
      <c r="D10" s="13" t="str">
        <f>IFERROR(VLOOKUP(C10,ghg_sort!$A$86:$B$512,2,0),0)</f>
        <v>Agriculture</v>
      </c>
      <c r="E10" s="33" t="s">
        <v>207</v>
      </c>
      <c r="F10" s="13">
        <f>IFERROR(VLOOKUP($E10,ghg_sort!$A$3:$B$21,2,0),0)</f>
        <v>0</v>
      </c>
      <c r="G10" s="13">
        <f t="shared" si="1"/>
        <v>0</v>
      </c>
      <c r="H10" s="13">
        <f t="shared" si="0"/>
        <v>0</v>
      </c>
      <c r="I10" s="13">
        <f t="shared" si="0"/>
        <v>0</v>
      </c>
      <c r="J10" s="13">
        <f t="shared" si="0"/>
        <v>0</v>
      </c>
      <c r="K10" s="13">
        <f t="shared" si="0"/>
        <v>0</v>
      </c>
      <c r="L10" s="13">
        <f t="shared" si="0"/>
        <v>0</v>
      </c>
      <c r="M10" s="13">
        <f t="shared" si="0"/>
        <v>0</v>
      </c>
      <c r="N10" s="13">
        <f t="shared" si="0"/>
        <v>0</v>
      </c>
      <c r="O10" s="13">
        <f t="shared" si="0"/>
        <v>0</v>
      </c>
      <c r="P10" s="13">
        <f t="shared" si="0"/>
        <v>0</v>
      </c>
      <c r="Q10" s="13">
        <f t="shared" si="0"/>
        <v>0</v>
      </c>
      <c r="R10" s="13" t="s">
        <v>193</v>
      </c>
      <c r="T10" s="63">
        <v>1.5294500000000001E-4</v>
      </c>
      <c r="U10" s="63">
        <v>1.297375E-4</v>
      </c>
      <c r="V10" s="63">
        <v>1.3742909999999901E-4</v>
      </c>
      <c r="W10" s="63">
        <v>1.2915799999999901E-4</v>
      </c>
      <c r="X10" s="63">
        <v>9.4865100000000001E-5</v>
      </c>
      <c r="Y10" s="63">
        <v>6.59081E-5</v>
      </c>
      <c r="Z10" s="63">
        <v>6.7463800000000003E-5</v>
      </c>
      <c r="AA10" s="63">
        <v>7.1128000000000001E-5</v>
      </c>
      <c r="AB10" s="63">
        <v>7.6269899999999898E-5</v>
      </c>
      <c r="AC10" s="63">
        <v>8.5873700000000004E-5</v>
      </c>
      <c r="AD10" s="63">
        <v>9.3926399999999996E-5</v>
      </c>
      <c r="AE10" s="13" t="s">
        <v>93</v>
      </c>
    </row>
    <row r="11" spans="1:31">
      <c r="A11" s="13" t="s">
        <v>324</v>
      </c>
      <c r="B11" s="13" t="s">
        <v>1</v>
      </c>
      <c r="C11" s="13" t="s">
        <v>205</v>
      </c>
      <c r="D11" s="13" t="str">
        <f>IFERROR(VLOOKUP(C11,ghg_sort!$A$86:$B$512,2,0),0)</f>
        <v>Agriculture</v>
      </c>
      <c r="E11" s="33" t="s">
        <v>208</v>
      </c>
      <c r="F11" s="13">
        <f>IFERROR(VLOOKUP($E11,ghg_sort!$A$3:$B$21,2,0),0)</f>
        <v>0</v>
      </c>
      <c r="G11" s="13">
        <f t="shared" si="1"/>
        <v>0</v>
      </c>
      <c r="H11" s="13">
        <f t="shared" si="0"/>
        <v>0</v>
      </c>
      <c r="I11" s="13">
        <f t="shared" si="0"/>
        <v>0</v>
      </c>
      <c r="J11" s="13">
        <f t="shared" si="0"/>
        <v>0</v>
      </c>
      <c r="K11" s="13">
        <f t="shared" si="0"/>
        <v>0</v>
      </c>
      <c r="L11" s="13">
        <f t="shared" si="0"/>
        <v>0</v>
      </c>
      <c r="M11" s="13">
        <f t="shared" si="0"/>
        <v>0</v>
      </c>
      <c r="N11" s="13">
        <f t="shared" si="0"/>
        <v>0</v>
      </c>
      <c r="O11" s="13">
        <f t="shared" si="0"/>
        <v>0</v>
      </c>
      <c r="P11" s="13">
        <f t="shared" si="0"/>
        <v>0</v>
      </c>
      <c r="Q11" s="13">
        <f t="shared" si="0"/>
        <v>0</v>
      </c>
      <c r="R11" s="13" t="s">
        <v>193</v>
      </c>
      <c r="T11" s="63">
        <v>3.5406999999999998E-6</v>
      </c>
      <c r="U11" s="63">
        <v>3.0081999999999998E-6</v>
      </c>
      <c r="V11" s="63">
        <v>3.18655E-6</v>
      </c>
      <c r="W11" s="63">
        <v>2.9947700000000001E-6</v>
      </c>
      <c r="X11" s="63">
        <v>2.1996219999999998E-6</v>
      </c>
      <c r="Y11" s="63">
        <v>1.528199E-6</v>
      </c>
      <c r="Z11" s="63">
        <v>1.5642720000000001E-6</v>
      </c>
      <c r="AA11" s="63">
        <v>1.64923E-6</v>
      </c>
      <c r="AB11" s="63">
        <v>1.7684549999999999E-6</v>
      </c>
      <c r="AC11" s="63">
        <v>1.991136E-6</v>
      </c>
      <c r="AD11" s="63">
        <v>2.177856E-6</v>
      </c>
      <c r="AE11" s="13" t="s">
        <v>93</v>
      </c>
    </row>
    <row r="12" spans="1:31">
      <c r="A12" s="13" t="s">
        <v>324</v>
      </c>
      <c r="B12" s="13" t="s">
        <v>1</v>
      </c>
      <c r="C12" s="13" t="s">
        <v>205</v>
      </c>
      <c r="D12" s="13" t="str">
        <f>IFERROR(VLOOKUP(C12,ghg_sort!$A$86:$B$512,2,0),0)</f>
        <v>Agriculture</v>
      </c>
      <c r="E12" s="33" t="s">
        <v>101</v>
      </c>
      <c r="F12" s="13">
        <f>IFERROR(VLOOKUP($E12,ghg_sort!$A$3:$B$21,2,0),0)</f>
        <v>298</v>
      </c>
      <c r="G12" s="13">
        <f t="shared" si="1"/>
        <v>4.6037364399999704E-2</v>
      </c>
      <c r="H12" s="13">
        <f t="shared" si="0"/>
        <v>4.6858235200000001E-2</v>
      </c>
      <c r="I12" s="13">
        <f t="shared" si="0"/>
        <v>4.0786872600000003E-2</v>
      </c>
      <c r="J12" s="13">
        <f t="shared" si="0"/>
        <v>4.4116039199999998E-2</v>
      </c>
      <c r="K12" s="13">
        <f t="shared" si="0"/>
        <v>4.6133141599999997E-2</v>
      </c>
      <c r="L12" s="13">
        <f t="shared" si="0"/>
        <v>5.0659672199999999E-2</v>
      </c>
      <c r="M12" s="13">
        <f t="shared" si="0"/>
        <v>5.19858318E-2</v>
      </c>
      <c r="N12" s="13">
        <f t="shared" si="0"/>
        <v>5.4401568800000001E-2</v>
      </c>
      <c r="O12" s="13">
        <f t="shared" si="0"/>
        <v>5.8283138000000005E-2</v>
      </c>
      <c r="P12" s="13">
        <f t="shared" si="0"/>
        <v>6.5513005399999699E-2</v>
      </c>
      <c r="Q12" s="13">
        <f t="shared" si="0"/>
        <v>7.00627204E-2</v>
      </c>
      <c r="R12" s="13" t="s">
        <v>193</v>
      </c>
      <c r="T12" s="63">
        <v>1.54487799999999E-4</v>
      </c>
      <c r="U12" s="63">
        <v>1.5724240000000001E-4</v>
      </c>
      <c r="V12" s="63">
        <v>1.368687E-4</v>
      </c>
      <c r="W12" s="63">
        <v>1.480404E-4</v>
      </c>
      <c r="X12" s="63">
        <v>1.5480919999999999E-4</v>
      </c>
      <c r="Y12" s="63">
        <v>1.6999889999999999E-4</v>
      </c>
      <c r="Z12" s="63">
        <v>1.744491E-4</v>
      </c>
      <c r="AA12" s="63">
        <v>1.825556E-4</v>
      </c>
      <c r="AB12" s="63">
        <v>1.9558100000000001E-4</v>
      </c>
      <c r="AC12" s="63">
        <v>2.19842299999999E-4</v>
      </c>
      <c r="AD12" s="63">
        <v>2.351098E-4</v>
      </c>
      <c r="AE12" s="13" t="s">
        <v>93</v>
      </c>
    </row>
    <row r="13" spans="1:31">
      <c r="A13" s="13" t="s">
        <v>324</v>
      </c>
      <c r="B13" s="13" t="s">
        <v>1</v>
      </c>
      <c r="C13" s="13" t="s">
        <v>205</v>
      </c>
      <c r="D13" s="13" t="str">
        <f>IFERROR(VLOOKUP(C13,ghg_sort!$A$86:$B$512,2,0),0)</f>
        <v>Agriculture</v>
      </c>
      <c r="E13" s="33" t="s">
        <v>102</v>
      </c>
      <c r="F13" s="13">
        <f>IFERROR(VLOOKUP($E13,ghg_sort!$A$3:$B$21,2,0),0)</f>
        <v>298</v>
      </c>
      <c r="G13" s="13">
        <f t="shared" si="1"/>
        <v>4.4670199999999707E-5</v>
      </c>
      <c r="H13" s="13">
        <f t="shared" si="0"/>
        <v>3.7905599999999998E-5</v>
      </c>
      <c r="I13" s="13">
        <f t="shared" si="0"/>
        <v>4.0152847800000001E-5</v>
      </c>
      <c r="J13" s="13">
        <f t="shared" si="0"/>
        <v>3.7736306199999999E-5</v>
      </c>
      <c r="K13" s="13">
        <f t="shared" si="0"/>
        <v>2.7716890599999998E-5</v>
      </c>
      <c r="L13" s="13">
        <f t="shared" si="0"/>
        <v>1.9256462E-5</v>
      </c>
      <c r="M13" s="13">
        <f t="shared" si="0"/>
        <v>1.97110312E-5</v>
      </c>
      <c r="N13" s="13">
        <f t="shared" si="0"/>
        <v>2.0781596199999969E-5</v>
      </c>
      <c r="O13" s="13">
        <f t="shared" si="0"/>
        <v>2.22839036E-5</v>
      </c>
      <c r="P13" s="13">
        <f t="shared" si="0"/>
        <v>2.5089871600000002E-5</v>
      </c>
      <c r="Q13" s="13">
        <f t="shared" si="0"/>
        <v>2.74426114E-5</v>
      </c>
      <c r="R13" s="13" t="s">
        <v>193</v>
      </c>
      <c r="T13" s="63">
        <v>1.4989999999999901E-7</v>
      </c>
      <c r="U13" s="63">
        <v>1.272E-7</v>
      </c>
      <c r="V13" s="63">
        <v>1.3474109999999999E-7</v>
      </c>
      <c r="W13" s="63">
        <v>1.266319E-7</v>
      </c>
      <c r="X13" s="63">
        <v>9.3009699999999994E-8</v>
      </c>
      <c r="Y13" s="63">
        <v>6.4619000000000004E-8</v>
      </c>
      <c r="Z13" s="63">
        <v>6.6144399999999995E-8</v>
      </c>
      <c r="AA13" s="63">
        <v>6.97368999999999E-8</v>
      </c>
      <c r="AB13" s="63">
        <v>7.4778199999999994E-8</v>
      </c>
      <c r="AC13" s="63">
        <v>8.4194200000000004E-8</v>
      </c>
      <c r="AD13" s="63">
        <v>9.2089300000000001E-8</v>
      </c>
      <c r="AE13" s="13" t="s">
        <v>93</v>
      </c>
    </row>
    <row r="14" spans="1:31">
      <c r="A14" s="13" t="s">
        <v>324</v>
      </c>
      <c r="B14" s="13" t="s">
        <v>1</v>
      </c>
      <c r="C14" s="13" t="s">
        <v>205</v>
      </c>
      <c r="D14" s="13" t="str">
        <f>IFERROR(VLOOKUP(C14,ghg_sort!$A$86:$B$512,2,0),0)</f>
        <v>Agriculture</v>
      </c>
      <c r="E14" s="33" t="s">
        <v>202</v>
      </c>
      <c r="F14" s="13">
        <f>IFERROR(VLOOKUP($E14,ghg_sort!$A$3:$B$21,2,0),0)</f>
        <v>0</v>
      </c>
      <c r="G14" s="13">
        <f t="shared" si="1"/>
        <v>0</v>
      </c>
      <c r="H14" s="13">
        <f t="shared" si="0"/>
        <v>0</v>
      </c>
      <c r="I14" s="13">
        <f t="shared" si="0"/>
        <v>0</v>
      </c>
      <c r="J14" s="13">
        <f t="shared" si="0"/>
        <v>0</v>
      </c>
      <c r="K14" s="13">
        <f t="shared" si="0"/>
        <v>0</v>
      </c>
      <c r="L14" s="13">
        <f t="shared" si="0"/>
        <v>0</v>
      </c>
      <c r="M14" s="13">
        <f t="shared" si="0"/>
        <v>0</v>
      </c>
      <c r="N14" s="13">
        <f t="shared" si="0"/>
        <v>0</v>
      </c>
      <c r="O14" s="13">
        <f t="shared" si="0"/>
        <v>0</v>
      </c>
      <c r="P14" s="13">
        <f t="shared" si="0"/>
        <v>0</v>
      </c>
      <c r="Q14" s="13">
        <f t="shared" si="0"/>
        <v>0</v>
      </c>
      <c r="R14" s="13" t="s">
        <v>193</v>
      </c>
      <c r="T14" s="63">
        <v>8.8997200000000005E-4</v>
      </c>
      <c r="U14" s="63">
        <v>9.5202500000000001E-4</v>
      </c>
      <c r="V14" s="63">
        <v>9.0653900000000004E-4</v>
      </c>
      <c r="W14" s="63">
        <v>9.3075999999999999E-4</v>
      </c>
      <c r="X14" s="63">
        <v>9.931810000000001E-4</v>
      </c>
      <c r="Y14" s="62">
        <v>1.13305E-3</v>
      </c>
      <c r="Z14" s="62">
        <v>1.215423E-3</v>
      </c>
      <c r="AA14" s="62">
        <v>1.2814359999999999E-3</v>
      </c>
      <c r="AB14" s="62">
        <v>1.3740720000000001E-3</v>
      </c>
      <c r="AC14" s="62">
        <v>1.547096E-3</v>
      </c>
      <c r="AD14" s="62">
        <v>1.6921670000000001E-3</v>
      </c>
      <c r="AE14" s="13" t="s">
        <v>93</v>
      </c>
    </row>
    <row r="15" spans="1:31">
      <c r="A15" s="13" t="s">
        <v>324</v>
      </c>
      <c r="B15" s="13" t="s">
        <v>1</v>
      </c>
      <c r="C15" s="13" t="s">
        <v>205</v>
      </c>
      <c r="D15" s="13" t="str">
        <f>IFERROR(VLOOKUP(C15,ghg_sort!$A$86:$B$512,2,0),0)</f>
        <v>Agriculture</v>
      </c>
      <c r="E15" s="33" t="s">
        <v>209</v>
      </c>
      <c r="F15" s="13">
        <f>IFERROR(VLOOKUP($E15,ghg_sort!$A$3:$B$21,2,0),0)</f>
        <v>0</v>
      </c>
      <c r="G15" s="13">
        <f t="shared" si="1"/>
        <v>0</v>
      </c>
      <c r="H15" s="13">
        <f t="shared" si="0"/>
        <v>0</v>
      </c>
      <c r="I15" s="13">
        <f t="shared" si="0"/>
        <v>0</v>
      </c>
      <c r="J15" s="13">
        <f t="shared" si="0"/>
        <v>0</v>
      </c>
      <c r="K15" s="13">
        <f t="shared" si="0"/>
        <v>0</v>
      </c>
      <c r="L15" s="13">
        <f t="shared" si="0"/>
        <v>0</v>
      </c>
      <c r="M15" s="13">
        <f t="shared" si="0"/>
        <v>0</v>
      </c>
      <c r="N15" s="13">
        <f t="shared" si="0"/>
        <v>0</v>
      </c>
      <c r="O15" s="13">
        <f t="shared" si="0"/>
        <v>0</v>
      </c>
      <c r="P15" s="13">
        <f t="shared" si="0"/>
        <v>0</v>
      </c>
      <c r="Q15" s="13">
        <f t="shared" si="0"/>
        <v>0</v>
      </c>
      <c r="R15" s="13" t="s">
        <v>239</v>
      </c>
      <c r="T15" s="63">
        <v>3.2538000000000001E-6</v>
      </c>
      <c r="U15" s="63">
        <v>2.7601000000000001E-6</v>
      </c>
      <c r="V15" s="63">
        <v>2.92373E-6</v>
      </c>
      <c r="W15" s="63">
        <v>2.74776999999999E-6</v>
      </c>
      <c r="X15" s="63">
        <v>2.018207E-6</v>
      </c>
      <c r="Y15" s="63">
        <v>1.4021609999999899E-6</v>
      </c>
      <c r="Z15" s="63">
        <v>1.43526E-6</v>
      </c>
      <c r="AA15" s="63">
        <v>1.513209E-6</v>
      </c>
      <c r="AB15" s="63">
        <v>1.622602E-6</v>
      </c>
      <c r="AC15" s="63">
        <v>1.826922E-6</v>
      </c>
      <c r="AD15" s="63">
        <v>1.9982389999999998E-6</v>
      </c>
      <c r="AE15" s="13" t="s">
        <v>93</v>
      </c>
    </row>
    <row r="16" spans="1:31">
      <c r="A16" s="13" t="s">
        <v>324</v>
      </c>
      <c r="B16" s="13" t="s">
        <v>1</v>
      </c>
      <c r="C16" s="13" t="s">
        <v>205</v>
      </c>
      <c r="D16" s="13" t="str">
        <f>IFERROR(VLOOKUP(C16,ghg_sort!$A$86:$B$512,2,0),0)</f>
        <v>Agriculture</v>
      </c>
      <c r="E16" s="33" t="s">
        <v>210</v>
      </c>
      <c r="F16" s="13">
        <f>IFERROR(VLOOKUP($E16,ghg_sort!$A$3:$B$21,2,0),0)</f>
        <v>0</v>
      </c>
      <c r="G16" s="13">
        <f t="shared" si="1"/>
        <v>0</v>
      </c>
      <c r="H16" s="13">
        <f t="shared" si="0"/>
        <v>0</v>
      </c>
      <c r="I16" s="13">
        <f t="shared" si="0"/>
        <v>0</v>
      </c>
      <c r="J16" s="13">
        <f t="shared" si="0"/>
        <v>0</v>
      </c>
      <c r="K16" s="13">
        <f t="shared" si="0"/>
        <v>0</v>
      </c>
      <c r="L16" s="13">
        <f t="shared" si="0"/>
        <v>0</v>
      </c>
      <c r="M16" s="13">
        <f t="shared" si="0"/>
        <v>0</v>
      </c>
      <c r="N16" s="13">
        <f t="shared" si="0"/>
        <v>0</v>
      </c>
      <c r="O16" s="13">
        <f t="shared" si="0"/>
        <v>0</v>
      </c>
      <c r="P16" s="13">
        <f t="shared" si="0"/>
        <v>0</v>
      </c>
      <c r="Q16" s="13">
        <f t="shared" si="0"/>
        <v>0</v>
      </c>
      <c r="R16" s="13" t="s">
        <v>239</v>
      </c>
      <c r="T16" s="63">
        <v>3.6662999999999998E-5</v>
      </c>
      <c r="U16" s="63">
        <v>3.10456E-5</v>
      </c>
      <c r="V16" s="63">
        <v>3.2886199999999997E-5</v>
      </c>
      <c r="W16" s="63">
        <v>3.09069E-5</v>
      </c>
      <c r="X16" s="63">
        <v>2.270078E-5</v>
      </c>
      <c r="Y16" s="63">
        <v>1.577146E-5</v>
      </c>
      <c r="Z16" s="63">
        <v>1.6143789999999999E-5</v>
      </c>
      <c r="AA16" s="63">
        <v>1.702058E-5</v>
      </c>
      <c r="AB16" s="63">
        <v>1.8251059999999999E-5</v>
      </c>
      <c r="AC16" s="63">
        <v>2.054915E-5</v>
      </c>
      <c r="AD16" s="63">
        <v>2.247615E-5</v>
      </c>
      <c r="AE16" s="13" t="s">
        <v>93</v>
      </c>
    </row>
    <row r="17" spans="1:31">
      <c r="A17" s="13" t="s">
        <v>324</v>
      </c>
      <c r="B17" s="13" t="s">
        <v>1</v>
      </c>
      <c r="C17" s="13" t="s">
        <v>205</v>
      </c>
      <c r="D17" s="13" t="str">
        <f>IFERROR(VLOOKUP(C17,ghg_sort!$A$86:$B$512,2,0),0)</f>
        <v>Agriculture</v>
      </c>
      <c r="E17" s="33" t="s">
        <v>204</v>
      </c>
      <c r="F17" s="13">
        <f>IFERROR(VLOOKUP($E17,ghg_sort!$A$3:$B$21,2,0),0)</f>
        <v>0</v>
      </c>
      <c r="G17" s="13">
        <f t="shared" si="1"/>
        <v>0</v>
      </c>
      <c r="H17" s="13">
        <f t="shared" si="0"/>
        <v>0</v>
      </c>
      <c r="I17" s="13">
        <f t="shared" si="0"/>
        <v>0</v>
      </c>
      <c r="J17" s="13">
        <f t="shared" si="0"/>
        <v>0</v>
      </c>
      <c r="K17" s="13">
        <f t="shared" si="0"/>
        <v>0</v>
      </c>
      <c r="L17" s="13">
        <f t="shared" si="0"/>
        <v>0</v>
      </c>
      <c r="M17" s="13">
        <f t="shared" si="0"/>
        <v>0</v>
      </c>
      <c r="N17" s="13">
        <f t="shared" si="0"/>
        <v>0</v>
      </c>
      <c r="O17" s="13">
        <f t="shared" si="0"/>
        <v>0</v>
      </c>
      <c r="P17" s="13">
        <f t="shared" si="0"/>
        <v>0</v>
      </c>
      <c r="Q17" s="13">
        <f t="shared" si="0"/>
        <v>0</v>
      </c>
      <c r="R17" s="13" t="s">
        <v>239</v>
      </c>
      <c r="T17" s="63">
        <v>7.46506E-5</v>
      </c>
      <c r="U17" s="63">
        <v>6.1217900000000002E-5</v>
      </c>
      <c r="V17" s="63">
        <v>6.1715699999999996E-5</v>
      </c>
      <c r="W17" s="63">
        <v>5.38679E-5</v>
      </c>
      <c r="X17" s="63">
        <v>5.7480499999999898E-5</v>
      </c>
      <c r="Y17" s="63">
        <v>6.5575500000000003E-5</v>
      </c>
      <c r="Z17" s="63">
        <v>7.03428E-5</v>
      </c>
      <c r="AA17" s="63">
        <v>7.4163400000000002E-5</v>
      </c>
      <c r="AB17" s="63">
        <v>7.9524700000000001E-5</v>
      </c>
      <c r="AC17" s="63">
        <v>8.9538300000000003E-5</v>
      </c>
      <c r="AD17" s="63">
        <v>9.7934699999999996E-5</v>
      </c>
      <c r="AE17" s="13" t="s">
        <v>93</v>
      </c>
    </row>
    <row r="18" spans="1:31">
      <c r="A18" s="13" t="s">
        <v>324</v>
      </c>
      <c r="B18" s="13" t="s">
        <v>1</v>
      </c>
      <c r="C18" s="13" t="s">
        <v>205</v>
      </c>
      <c r="D18" s="13" t="str">
        <f>IFERROR(VLOOKUP(C18,ghg_sort!$A$86:$B$512,2,0),0)</f>
        <v>Agriculture</v>
      </c>
      <c r="E18" s="33" t="s">
        <v>211</v>
      </c>
      <c r="F18" s="13">
        <f>IFERROR(VLOOKUP($E18,ghg_sort!$A$3:$B$21,2,0),0)</f>
        <v>0</v>
      </c>
      <c r="G18" s="13">
        <f t="shared" si="1"/>
        <v>0</v>
      </c>
      <c r="H18" s="13">
        <f t="shared" si="0"/>
        <v>0</v>
      </c>
      <c r="I18" s="13">
        <f t="shared" si="0"/>
        <v>0</v>
      </c>
      <c r="J18" s="13">
        <f t="shared" si="0"/>
        <v>0</v>
      </c>
      <c r="K18" s="13">
        <f t="shared" si="0"/>
        <v>0</v>
      </c>
      <c r="L18" s="13">
        <f t="shared" si="0"/>
        <v>0</v>
      </c>
      <c r="M18" s="13">
        <f t="shared" si="0"/>
        <v>0</v>
      </c>
      <c r="N18" s="13">
        <f t="shared" si="0"/>
        <v>0</v>
      </c>
      <c r="O18" s="13">
        <f t="shared" si="0"/>
        <v>0</v>
      </c>
      <c r="P18" s="13">
        <f t="shared" si="0"/>
        <v>0</v>
      </c>
      <c r="Q18" s="13">
        <f t="shared" si="0"/>
        <v>0</v>
      </c>
      <c r="R18" s="13" t="s">
        <v>239</v>
      </c>
      <c r="T18" s="63">
        <v>4.6632999999999999E-6</v>
      </c>
      <c r="U18" s="63">
        <v>3.9557000000000001E-6</v>
      </c>
      <c r="V18" s="63">
        <v>4.1902199999999998E-6</v>
      </c>
      <c r="W18" s="63">
        <v>3.9380299999999998E-6</v>
      </c>
      <c r="X18" s="63">
        <v>2.8924399999999999E-6</v>
      </c>
      <c r="Y18" s="63">
        <v>2.0095340000000001E-6</v>
      </c>
      <c r="Z18" s="63">
        <v>2.0569749999999999E-6</v>
      </c>
      <c r="AA18" s="63">
        <v>2.1686919999999999E-6</v>
      </c>
      <c r="AB18" s="63">
        <v>2.3254740000000001E-6</v>
      </c>
      <c r="AC18" s="63">
        <v>2.6182900000000001E-6</v>
      </c>
      <c r="AD18" s="63">
        <v>2.8638189999999999E-6</v>
      </c>
      <c r="AE18" s="13" t="s">
        <v>93</v>
      </c>
    </row>
    <row r="19" spans="1:31">
      <c r="A19" s="13" t="s">
        <v>324</v>
      </c>
      <c r="B19" s="13" t="s">
        <v>1</v>
      </c>
      <c r="C19" s="13" t="s">
        <v>205</v>
      </c>
      <c r="D19" s="13" t="str">
        <f>IFERROR(VLOOKUP(C19,ghg_sort!$A$86:$B$512,2,0),0)</f>
        <v>Agriculture</v>
      </c>
      <c r="E19" s="33" t="s">
        <v>212</v>
      </c>
      <c r="F19" s="13">
        <f>IFERROR(VLOOKUP($E19,ghg_sort!$A$3:$B$21,2,0),0)</f>
        <v>0</v>
      </c>
      <c r="G19" s="13">
        <f t="shared" si="1"/>
        <v>0</v>
      </c>
      <c r="H19" s="13">
        <f t="shared" si="1"/>
        <v>0</v>
      </c>
      <c r="I19" s="13">
        <f t="shared" si="1"/>
        <v>0</v>
      </c>
      <c r="J19" s="13">
        <f t="shared" si="1"/>
        <v>0</v>
      </c>
      <c r="K19" s="13">
        <f t="shared" si="1"/>
        <v>0</v>
      </c>
      <c r="L19" s="13">
        <f t="shared" si="1"/>
        <v>0</v>
      </c>
      <c r="M19" s="13">
        <f t="shared" si="1"/>
        <v>0</v>
      </c>
      <c r="N19" s="13">
        <f t="shared" si="1"/>
        <v>0</v>
      </c>
      <c r="O19" s="13">
        <f t="shared" si="1"/>
        <v>0</v>
      </c>
      <c r="P19" s="13">
        <f t="shared" si="1"/>
        <v>0</v>
      </c>
      <c r="Q19" s="13">
        <f t="shared" si="1"/>
        <v>0</v>
      </c>
      <c r="R19" s="13" t="s">
        <v>239</v>
      </c>
      <c r="T19" s="63">
        <v>3.4487999999999999E-6</v>
      </c>
      <c r="U19" s="63">
        <v>2.9255000000000002E-6</v>
      </c>
      <c r="V19" s="63">
        <v>7.8149400000000001E-5</v>
      </c>
      <c r="W19" s="63">
        <v>7.3446099999999995E-5</v>
      </c>
      <c r="X19" s="63">
        <v>5.39453E-5</v>
      </c>
      <c r="Y19" s="63">
        <v>3.7478899999999998E-5</v>
      </c>
      <c r="Z19" s="63">
        <v>3.83635E-5</v>
      </c>
      <c r="AA19" s="63">
        <v>4.0447100000000001E-5</v>
      </c>
      <c r="AB19" s="63">
        <v>4.3371200000000002E-5</v>
      </c>
      <c r="AC19" s="63">
        <v>4.8832399999999997E-5</v>
      </c>
      <c r="AD19" s="63">
        <v>5.34114999999999E-5</v>
      </c>
      <c r="AE19" s="13" t="s">
        <v>93</v>
      </c>
    </row>
    <row r="20" spans="1:31">
      <c r="A20" s="13" t="s">
        <v>324</v>
      </c>
      <c r="B20" s="13" t="s">
        <v>1</v>
      </c>
      <c r="C20" s="13" t="s">
        <v>205</v>
      </c>
      <c r="D20" s="13" t="str">
        <f>IFERROR(VLOOKUP(C20,ghg_sort!$A$86:$B$512,2,0),0)</f>
        <v>Agriculture</v>
      </c>
      <c r="E20" s="33" t="s">
        <v>213</v>
      </c>
      <c r="F20" s="13">
        <f>IFERROR(VLOOKUP($E20,ghg_sort!$A$3:$B$21,2,0),0)</f>
        <v>0</v>
      </c>
      <c r="G20" s="13">
        <f t="shared" si="1"/>
        <v>0</v>
      </c>
      <c r="H20" s="13">
        <f t="shared" si="1"/>
        <v>0</v>
      </c>
      <c r="I20" s="13">
        <f t="shared" si="1"/>
        <v>0</v>
      </c>
      <c r="J20" s="13">
        <f t="shared" si="1"/>
        <v>0</v>
      </c>
      <c r="K20" s="13">
        <f t="shared" si="1"/>
        <v>0</v>
      </c>
      <c r="L20" s="13">
        <f t="shared" si="1"/>
        <v>0</v>
      </c>
      <c r="M20" s="13">
        <f t="shared" si="1"/>
        <v>0</v>
      </c>
      <c r="N20" s="13">
        <f t="shared" si="1"/>
        <v>0</v>
      </c>
      <c r="O20" s="13">
        <f t="shared" si="1"/>
        <v>0</v>
      </c>
      <c r="P20" s="13">
        <f t="shared" si="1"/>
        <v>0</v>
      </c>
      <c r="Q20" s="13">
        <f t="shared" si="1"/>
        <v>0</v>
      </c>
      <c r="R20" s="13" t="s">
        <v>239</v>
      </c>
      <c r="T20" s="63">
        <v>5.9979999999999996E-7</v>
      </c>
      <c r="U20" s="63">
        <v>5.088E-7</v>
      </c>
      <c r="V20" s="63">
        <v>5.3896500000000004E-7</v>
      </c>
      <c r="W20" s="63">
        <v>5.0652699999999899E-7</v>
      </c>
      <c r="X20" s="63">
        <v>3.7203900000000001E-7</v>
      </c>
      <c r="Y20" s="63">
        <v>2.5847610000000001E-7</v>
      </c>
      <c r="Z20" s="63">
        <v>2.6457699999999997E-7</v>
      </c>
      <c r="AA20" s="63">
        <v>2.7894729999999999E-7</v>
      </c>
      <c r="AB20" s="63">
        <v>2.9911220000000002E-7</v>
      </c>
      <c r="AC20" s="63">
        <v>3.3677690000000001E-7</v>
      </c>
      <c r="AD20" s="63">
        <v>3.6835699999999901E-7</v>
      </c>
      <c r="AE20" s="13" t="s">
        <v>93</v>
      </c>
    </row>
    <row r="21" spans="1:31">
      <c r="A21" s="13" t="s">
        <v>324</v>
      </c>
      <c r="B21" s="13" t="s">
        <v>1</v>
      </c>
      <c r="C21" s="13" t="s">
        <v>214</v>
      </c>
      <c r="D21" s="13" t="str">
        <f>IFERROR(VLOOKUP(C21,ghg_sort!$A$86:$B$512,2,0),0)</f>
        <v>Agriculture</v>
      </c>
      <c r="E21" s="33" t="s">
        <v>104</v>
      </c>
      <c r="F21" s="13">
        <f>IFERROR(VLOOKUP($E21,ghg_sort!$A$3:$B$21,2,0),0)</f>
        <v>25</v>
      </c>
      <c r="G21" s="13">
        <f t="shared" si="1"/>
        <v>0.96781077500000001</v>
      </c>
      <c r="H21" s="13">
        <f t="shared" si="1"/>
        <v>0.96967777499999996</v>
      </c>
      <c r="I21" s="13">
        <f t="shared" si="1"/>
        <v>1.106965625</v>
      </c>
      <c r="J21" s="13">
        <f t="shared" si="1"/>
        <v>0.93321787499999997</v>
      </c>
      <c r="K21" s="13">
        <f t="shared" si="1"/>
        <v>0.95695104999999991</v>
      </c>
      <c r="L21" s="13">
        <f t="shared" si="1"/>
        <v>0.90454939999999995</v>
      </c>
      <c r="M21" s="13">
        <f t="shared" si="1"/>
        <v>0.87833312500000005</v>
      </c>
      <c r="N21" s="13">
        <f t="shared" si="1"/>
        <v>0.88081899999999747</v>
      </c>
      <c r="O21" s="13">
        <f t="shared" si="1"/>
        <v>0.88558694999999998</v>
      </c>
      <c r="P21" s="13">
        <f t="shared" si="1"/>
        <v>0.88316347499999992</v>
      </c>
      <c r="Q21" s="13">
        <f t="shared" si="1"/>
        <v>0.87419007500000001</v>
      </c>
      <c r="R21" s="13" t="s">
        <v>239</v>
      </c>
      <c r="T21" s="62">
        <v>3.8712430999999999E-2</v>
      </c>
      <c r="U21" s="62">
        <v>3.8787110999999999E-2</v>
      </c>
      <c r="V21" s="62">
        <v>4.4278625000000002E-2</v>
      </c>
      <c r="W21" s="62">
        <v>3.7328714999999998E-2</v>
      </c>
      <c r="X21" s="62">
        <v>3.8278041999999998E-2</v>
      </c>
      <c r="Y21" s="62">
        <v>3.6181975999999998E-2</v>
      </c>
      <c r="Z21" s="62">
        <v>3.5133325E-2</v>
      </c>
      <c r="AA21" s="62">
        <v>3.5232759999999898E-2</v>
      </c>
      <c r="AB21" s="62">
        <v>3.5423478000000001E-2</v>
      </c>
      <c r="AC21" s="62">
        <v>3.5326538999999997E-2</v>
      </c>
      <c r="AD21" s="62">
        <v>3.4967603E-2</v>
      </c>
      <c r="AE21" s="13" t="s">
        <v>93</v>
      </c>
    </row>
    <row r="22" spans="1:31">
      <c r="A22" s="13" t="s">
        <v>324</v>
      </c>
      <c r="B22" s="13" t="s">
        <v>1</v>
      </c>
      <c r="C22" s="13" t="s">
        <v>214</v>
      </c>
      <c r="D22" s="13" t="str">
        <f>IFERROR(VLOOKUP(C22,ghg_sort!$A$86:$B$512,2,0),0)</f>
        <v>Agriculture</v>
      </c>
      <c r="E22" s="33" t="s">
        <v>101</v>
      </c>
      <c r="F22" s="13">
        <f>IFERROR(VLOOKUP($E22,ghg_sort!$A$3:$B$21,2,0),0)</f>
        <v>298</v>
      </c>
      <c r="G22" s="13">
        <f t="shared" si="1"/>
        <v>0.37720664180000002</v>
      </c>
      <c r="H22" s="13">
        <f t="shared" si="1"/>
        <v>0.42023998739999996</v>
      </c>
      <c r="I22" s="13">
        <f t="shared" si="1"/>
        <v>0.48465042259999996</v>
      </c>
      <c r="J22" s="13">
        <f t="shared" si="1"/>
        <v>0.40954169800000001</v>
      </c>
      <c r="K22" s="13">
        <f t="shared" si="1"/>
        <v>0.41995667879999998</v>
      </c>
      <c r="L22" s="13">
        <f t="shared" si="1"/>
        <v>0.39696073399999704</v>
      </c>
      <c r="M22" s="13">
        <f t="shared" si="1"/>
        <v>0.3854559374</v>
      </c>
      <c r="N22" s="13">
        <f t="shared" si="1"/>
        <v>0.38654715379999999</v>
      </c>
      <c r="O22" s="13">
        <f t="shared" si="1"/>
        <v>0.38863947139999999</v>
      </c>
      <c r="P22" s="13">
        <f t="shared" si="1"/>
        <v>0.3875748664</v>
      </c>
      <c r="Q22" s="13">
        <f t="shared" si="1"/>
        <v>0.38363748179999702</v>
      </c>
      <c r="R22" s="13" t="s">
        <v>239</v>
      </c>
      <c r="T22" s="62">
        <v>1.2657941E-3</v>
      </c>
      <c r="U22" s="62">
        <v>1.4102012999999999E-3</v>
      </c>
      <c r="V22" s="62">
        <v>1.6263437E-3</v>
      </c>
      <c r="W22" s="62">
        <v>1.3743010000000001E-3</v>
      </c>
      <c r="X22" s="62">
        <v>1.4092505999999999E-3</v>
      </c>
      <c r="Y22" s="62">
        <v>1.33208299999999E-3</v>
      </c>
      <c r="Z22" s="62">
        <v>1.2934763000000001E-3</v>
      </c>
      <c r="AA22" s="62">
        <v>1.2971381E-3</v>
      </c>
      <c r="AB22" s="62">
        <v>1.3041592999999999E-3</v>
      </c>
      <c r="AC22" s="62">
        <v>1.3005867999999999E-3</v>
      </c>
      <c r="AD22" s="62">
        <v>1.28737409999999E-3</v>
      </c>
      <c r="AE22" s="13" t="s">
        <v>93</v>
      </c>
    </row>
    <row r="23" spans="1:31">
      <c r="A23" s="13" t="s">
        <v>324</v>
      </c>
      <c r="B23" s="13" t="s">
        <v>1</v>
      </c>
      <c r="C23" s="13" t="s">
        <v>214</v>
      </c>
      <c r="D23" s="13" t="str">
        <f>IFERROR(VLOOKUP(C23,ghg_sort!$A$86:$B$512,2,0),0)</f>
        <v>Agriculture</v>
      </c>
      <c r="E23" s="33" t="s">
        <v>202</v>
      </c>
      <c r="F23" s="13">
        <f>IFERROR(VLOOKUP($E23,ghg_sort!$A$3:$B$21,2,0),0)</f>
        <v>0</v>
      </c>
      <c r="G23" s="13">
        <f t="shared" si="1"/>
        <v>0</v>
      </c>
      <c r="H23" s="13">
        <f t="shared" si="1"/>
        <v>0</v>
      </c>
      <c r="I23" s="13">
        <f t="shared" si="1"/>
        <v>0</v>
      </c>
      <c r="J23" s="13">
        <f t="shared" si="1"/>
        <v>0</v>
      </c>
      <c r="K23" s="13">
        <f t="shared" si="1"/>
        <v>0</v>
      </c>
      <c r="L23" s="13">
        <f t="shared" si="1"/>
        <v>0</v>
      </c>
      <c r="M23" s="13">
        <f t="shared" si="1"/>
        <v>0</v>
      </c>
      <c r="N23" s="13">
        <f t="shared" si="1"/>
        <v>0</v>
      </c>
      <c r="O23" s="13">
        <f t="shared" si="1"/>
        <v>0</v>
      </c>
      <c r="P23" s="13">
        <f t="shared" si="1"/>
        <v>0</v>
      </c>
      <c r="Q23" s="13">
        <f t="shared" si="1"/>
        <v>0</v>
      </c>
      <c r="R23" s="13" t="s">
        <v>239</v>
      </c>
      <c r="T23" s="62">
        <v>1.1413596E-2</v>
      </c>
      <c r="U23" s="62">
        <v>1.1365335000000001E-2</v>
      </c>
      <c r="V23" s="62">
        <v>1.0585617E-2</v>
      </c>
      <c r="W23" s="62">
        <v>9.4865469999999997E-3</v>
      </c>
      <c r="X23" s="62">
        <v>9.8340089999999995E-3</v>
      </c>
      <c r="Y23" s="62">
        <v>1.0118692E-2</v>
      </c>
      <c r="Z23" s="62">
        <v>1.02801989999999E-2</v>
      </c>
      <c r="AA23" s="62">
        <v>1.0413422E-2</v>
      </c>
      <c r="AB23" s="62">
        <v>1.0474561E-2</v>
      </c>
      <c r="AC23" s="62">
        <v>1.0451353E-2</v>
      </c>
      <c r="AD23" s="62">
        <v>1.0347640999999999E-2</v>
      </c>
      <c r="AE23" s="13" t="s">
        <v>93</v>
      </c>
    </row>
    <row r="24" spans="1:31">
      <c r="A24" s="13" t="s">
        <v>324</v>
      </c>
      <c r="B24" s="13" t="s">
        <v>1</v>
      </c>
      <c r="C24" s="13" t="s">
        <v>214</v>
      </c>
      <c r="D24" s="13" t="str">
        <f>IFERROR(VLOOKUP(C24,ghg_sort!$A$86:$B$512,2,0),0)</f>
        <v>Agriculture</v>
      </c>
      <c r="E24" s="33" t="s">
        <v>203</v>
      </c>
      <c r="F24" s="13">
        <f>IFERROR(VLOOKUP($E24,ghg_sort!$A$3:$B$21,2,0),0)</f>
        <v>0</v>
      </c>
      <c r="G24" s="13">
        <f t="shared" si="1"/>
        <v>0</v>
      </c>
      <c r="H24" s="13">
        <f t="shared" si="1"/>
        <v>0</v>
      </c>
      <c r="I24" s="13">
        <f t="shared" si="1"/>
        <v>0</v>
      </c>
      <c r="J24" s="13">
        <f t="shared" si="1"/>
        <v>0</v>
      </c>
      <c r="K24" s="13">
        <f t="shared" si="1"/>
        <v>0</v>
      </c>
      <c r="L24" s="13">
        <f t="shared" si="1"/>
        <v>0</v>
      </c>
      <c r="M24" s="13">
        <f t="shared" si="1"/>
        <v>0</v>
      </c>
      <c r="N24" s="13">
        <f t="shared" si="1"/>
        <v>0</v>
      </c>
      <c r="O24" s="13">
        <f t="shared" si="1"/>
        <v>0</v>
      </c>
      <c r="P24" s="13">
        <f t="shared" si="1"/>
        <v>0</v>
      </c>
      <c r="Q24" s="13">
        <f t="shared" si="1"/>
        <v>0</v>
      </c>
      <c r="R24" s="13" t="s">
        <v>239</v>
      </c>
      <c r="T24" s="62">
        <v>4.4532639999999898E-3</v>
      </c>
      <c r="U24" s="62">
        <v>6.5068041000000002E-3</v>
      </c>
      <c r="V24" s="62">
        <v>7.6250181000000004E-3</v>
      </c>
      <c r="W24" s="62">
        <v>6.7205292999999904E-3</v>
      </c>
      <c r="X24" s="62">
        <v>6.9666766999999996E-3</v>
      </c>
      <c r="Y24" s="62">
        <v>7.1683567999999897E-3</v>
      </c>
      <c r="Z24" s="62">
        <v>7.2827598E-3</v>
      </c>
      <c r="AA24" s="62">
        <v>7.3771460000000002E-3</v>
      </c>
      <c r="AB24" s="62">
        <v>7.4204657999999996E-3</v>
      </c>
      <c r="AC24" s="62">
        <v>7.4040136999999999E-3</v>
      </c>
      <c r="AD24" s="62">
        <v>7.3305434999999999E-3</v>
      </c>
      <c r="AE24" s="13" t="s">
        <v>93</v>
      </c>
    </row>
    <row r="25" spans="1:31">
      <c r="A25" s="13" t="s">
        <v>324</v>
      </c>
      <c r="B25" s="13" t="s">
        <v>1</v>
      </c>
      <c r="C25" s="13" t="s">
        <v>214</v>
      </c>
      <c r="D25" s="13" t="str">
        <f>IFERROR(VLOOKUP(C25,ghg_sort!$A$86:$B$512,2,0),0)</f>
        <v>Agriculture</v>
      </c>
      <c r="E25" s="33" t="s">
        <v>204</v>
      </c>
      <c r="F25" s="13">
        <f>IFERROR(VLOOKUP($E25,ghg_sort!$A$3:$B$21,2,0),0)</f>
        <v>0</v>
      </c>
      <c r="G25" s="13">
        <f t="shared" si="1"/>
        <v>0</v>
      </c>
      <c r="H25" s="13">
        <f t="shared" si="1"/>
        <v>0</v>
      </c>
      <c r="I25" s="13">
        <f t="shared" si="1"/>
        <v>0</v>
      </c>
      <c r="J25" s="13">
        <f t="shared" si="1"/>
        <v>0</v>
      </c>
      <c r="K25" s="13">
        <f t="shared" si="1"/>
        <v>0</v>
      </c>
      <c r="L25" s="13">
        <f t="shared" si="1"/>
        <v>0</v>
      </c>
      <c r="M25" s="13">
        <f t="shared" si="1"/>
        <v>0</v>
      </c>
      <c r="N25" s="13">
        <f t="shared" si="1"/>
        <v>0</v>
      </c>
      <c r="O25" s="13">
        <f t="shared" si="1"/>
        <v>0</v>
      </c>
      <c r="P25" s="13">
        <f t="shared" si="1"/>
        <v>0</v>
      </c>
      <c r="Q25" s="13">
        <f t="shared" si="1"/>
        <v>0</v>
      </c>
      <c r="R25" s="13" t="s">
        <v>239</v>
      </c>
      <c r="T25" s="63">
        <v>5.3022360000000001E-4</v>
      </c>
      <c r="U25" s="63">
        <v>6.6193169999999996E-4</v>
      </c>
      <c r="V25" s="63">
        <v>7.6781180000000003E-4</v>
      </c>
      <c r="W25" s="63">
        <v>6.4456669999999998E-4</v>
      </c>
      <c r="X25" s="63">
        <v>6.6817452999999897E-4</v>
      </c>
      <c r="Y25" s="63">
        <v>6.8751887999999998E-4</v>
      </c>
      <c r="Z25" s="63">
        <v>6.9849077999999999E-4</v>
      </c>
      <c r="AA25" s="63">
        <v>7.0754312999999995E-4</v>
      </c>
      <c r="AB25" s="63">
        <v>7.1169728999999999E-4</v>
      </c>
      <c r="AC25" s="63">
        <v>7.1012025000000004E-4</v>
      </c>
      <c r="AD25" s="63">
        <v>7.0307452000000002E-4</v>
      </c>
      <c r="AE25" s="13" t="s">
        <v>93</v>
      </c>
    </row>
    <row r="26" spans="1:31">
      <c r="A26" s="13" t="s">
        <v>324</v>
      </c>
      <c r="B26" s="13" t="s">
        <v>1</v>
      </c>
      <c r="C26" s="13" t="s">
        <v>215</v>
      </c>
      <c r="D26" s="13" t="str">
        <f>IFERROR(VLOOKUP(C26,ghg_sort!$A$86:$B$512,2,0),0)</f>
        <v>Agriculture</v>
      </c>
      <c r="E26" s="33" t="s">
        <v>101</v>
      </c>
      <c r="F26" s="13">
        <f>IFERROR(VLOOKUP($E26,ghg_sort!$A$3:$B$21,2,0),0)</f>
        <v>298</v>
      </c>
      <c r="G26" s="13">
        <f t="shared" si="1"/>
        <v>2.3542584080000002E-3</v>
      </c>
      <c r="H26" s="13">
        <f t="shared" si="1"/>
        <v>6.7109599999999999E-5</v>
      </c>
      <c r="I26" s="13">
        <f t="shared" si="1"/>
        <v>1.7641600000000001E-5</v>
      </c>
      <c r="J26" s="13">
        <f t="shared" si="1"/>
        <v>1.6747599999999999E-5</v>
      </c>
      <c r="K26" s="13">
        <f t="shared" si="1"/>
        <v>1.727584374E-5</v>
      </c>
      <c r="L26" s="13">
        <f t="shared" si="1"/>
        <v>1.8120432360000002E-5</v>
      </c>
      <c r="M26" s="13">
        <f t="shared" si="1"/>
        <v>1.7998910939999999E-5</v>
      </c>
      <c r="N26" s="13">
        <f t="shared" si="1"/>
        <v>1.8398263719999999E-5</v>
      </c>
      <c r="O26" s="13">
        <f t="shared" si="1"/>
        <v>1.8773964239999997E-5</v>
      </c>
      <c r="P26" s="13">
        <f t="shared" si="1"/>
        <v>1.9416839639999999E-5</v>
      </c>
      <c r="Q26" s="13">
        <f t="shared" si="1"/>
        <v>1.9716642539999999E-5</v>
      </c>
      <c r="R26" s="13" t="s">
        <v>239</v>
      </c>
      <c r="T26" s="63">
        <v>7.9001960000000001E-6</v>
      </c>
      <c r="U26" s="63">
        <v>2.252E-7</v>
      </c>
      <c r="V26" s="63">
        <v>5.9200000000000001E-8</v>
      </c>
      <c r="W26" s="63">
        <v>5.62E-8</v>
      </c>
      <c r="X26" s="63">
        <v>5.797263E-8</v>
      </c>
      <c r="Y26" s="63">
        <v>6.0806820000000005E-8</v>
      </c>
      <c r="Z26" s="63">
        <v>6.039903E-8</v>
      </c>
      <c r="AA26" s="63">
        <v>6.1739139999999999E-8</v>
      </c>
      <c r="AB26" s="63">
        <v>6.2999879999999996E-8</v>
      </c>
      <c r="AC26" s="63">
        <v>6.5157179999999997E-8</v>
      </c>
      <c r="AD26" s="63">
        <v>6.6163229999999995E-8</v>
      </c>
      <c r="AE26" s="13" t="s">
        <v>93</v>
      </c>
    </row>
    <row r="27" spans="1:31">
      <c r="A27" s="13" t="s">
        <v>324</v>
      </c>
      <c r="B27" s="13" t="s">
        <v>1</v>
      </c>
      <c r="C27" s="13" t="s">
        <v>215</v>
      </c>
      <c r="D27" s="13" t="str">
        <f>IFERROR(VLOOKUP(C27,ghg_sort!$A$86:$B$512,2,0),0)</f>
        <v>Agriculture</v>
      </c>
      <c r="E27" s="33" t="s">
        <v>202</v>
      </c>
      <c r="F27" s="13">
        <f>IFERROR(VLOOKUP($E27,ghg_sort!$A$3:$B$21,2,0),0)</f>
        <v>0</v>
      </c>
      <c r="G27" s="13">
        <f t="shared" si="1"/>
        <v>0</v>
      </c>
      <c r="H27" s="13">
        <f t="shared" si="1"/>
        <v>0</v>
      </c>
      <c r="I27" s="13">
        <f t="shared" si="1"/>
        <v>0</v>
      </c>
      <c r="J27" s="13">
        <f t="shared" si="1"/>
        <v>0</v>
      </c>
      <c r="K27" s="13">
        <f t="shared" si="1"/>
        <v>0</v>
      </c>
      <c r="L27" s="13">
        <f t="shared" si="1"/>
        <v>0</v>
      </c>
      <c r="M27" s="13">
        <f t="shared" si="1"/>
        <v>0</v>
      </c>
      <c r="N27" s="13">
        <f t="shared" si="1"/>
        <v>0</v>
      </c>
      <c r="O27" s="13">
        <f t="shared" si="1"/>
        <v>0</v>
      </c>
      <c r="P27" s="13">
        <f t="shared" si="1"/>
        <v>0</v>
      </c>
      <c r="Q27" s="13">
        <f t="shared" si="1"/>
        <v>0</v>
      </c>
      <c r="R27" s="13" t="s">
        <v>239</v>
      </c>
      <c r="T27" s="63">
        <v>4.5511299999999999E-5</v>
      </c>
      <c r="U27" s="63">
        <v>1.3632999999999999E-6</v>
      </c>
      <c r="V27" s="63">
        <v>3.9239999999999999E-7</v>
      </c>
      <c r="W27" s="63">
        <v>3.53E-7</v>
      </c>
      <c r="X27" s="63">
        <v>3.7156480000000002E-7</v>
      </c>
      <c r="Y27" s="63">
        <v>4.0489039999999999E-7</v>
      </c>
      <c r="Z27" s="63">
        <v>4.2040659999999999E-7</v>
      </c>
      <c r="AA27" s="63">
        <v>4.3295529999999998E-7</v>
      </c>
      <c r="AB27" s="63">
        <v>4.4218320000000002E-7</v>
      </c>
      <c r="AC27" s="63">
        <v>4.5808770000000002E-7</v>
      </c>
      <c r="AD27" s="63">
        <v>4.7574099999999902E-7</v>
      </c>
      <c r="AE27" s="13" t="s">
        <v>93</v>
      </c>
    </row>
    <row r="28" spans="1:31">
      <c r="A28" s="13" t="s">
        <v>324</v>
      </c>
      <c r="B28" s="13" t="s">
        <v>1</v>
      </c>
      <c r="C28" s="13" t="s">
        <v>215</v>
      </c>
      <c r="D28" s="13" t="str">
        <f>IFERROR(VLOOKUP(C28,ghg_sort!$A$86:$B$512,2,0),0)</f>
        <v>Agriculture</v>
      </c>
      <c r="E28" s="33" t="s">
        <v>204</v>
      </c>
      <c r="F28" s="13">
        <f>IFERROR(VLOOKUP($E28,ghg_sort!$A$3:$B$21,2,0),0)</f>
        <v>0</v>
      </c>
      <c r="G28" s="13">
        <f t="shared" si="1"/>
        <v>0</v>
      </c>
      <c r="H28" s="13">
        <f t="shared" si="1"/>
        <v>0</v>
      </c>
      <c r="I28" s="13">
        <f t="shared" si="1"/>
        <v>0</v>
      </c>
      <c r="J28" s="13">
        <f t="shared" si="1"/>
        <v>0</v>
      </c>
      <c r="K28" s="13">
        <f t="shared" si="1"/>
        <v>0</v>
      </c>
      <c r="L28" s="13">
        <f t="shared" si="1"/>
        <v>0</v>
      </c>
      <c r="M28" s="13">
        <f t="shared" si="1"/>
        <v>0</v>
      </c>
      <c r="N28" s="13">
        <f t="shared" si="1"/>
        <v>0</v>
      </c>
      <c r="O28" s="13">
        <f t="shared" si="1"/>
        <v>0</v>
      </c>
      <c r="P28" s="13">
        <f t="shared" si="1"/>
        <v>0</v>
      </c>
      <c r="Q28" s="13">
        <f t="shared" si="1"/>
        <v>0</v>
      </c>
      <c r="R28" s="13" t="s">
        <v>239</v>
      </c>
      <c r="T28" s="63">
        <v>3.8175000000000003E-6</v>
      </c>
      <c r="U28" s="63">
        <v>8.7700030000000001E-8</v>
      </c>
      <c r="V28" s="63">
        <v>2.6700010000000001E-8</v>
      </c>
      <c r="W28" s="63">
        <v>2.0499999999999899E-8</v>
      </c>
      <c r="X28" s="63">
        <v>2.1578170000000001E-8</v>
      </c>
      <c r="Y28" s="63">
        <v>2.3513520000000001E-8</v>
      </c>
      <c r="Z28" s="63">
        <v>2.441452E-8</v>
      </c>
      <c r="AA28" s="63">
        <v>2.5143380000000001E-8</v>
      </c>
      <c r="AB28" s="63">
        <v>2.5679270000000001E-8</v>
      </c>
      <c r="AC28" s="63">
        <v>2.6602930000000001E-8</v>
      </c>
      <c r="AD28" s="63">
        <v>2.7628029999999901E-8</v>
      </c>
      <c r="AE28" s="13" t="s">
        <v>93</v>
      </c>
    </row>
    <row r="29" spans="1:31">
      <c r="A29" s="13" t="s">
        <v>324</v>
      </c>
      <c r="B29" s="13" t="s">
        <v>1</v>
      </c>
      <c r="C29" s="13" t="s">
        <v>216</v>
      </c>
      <c r="D29" s="13" t="str">
        <f>IFERROR(VLOOKUP(C29,ghg_sort!$A$86:$B$512,2,0),0)</f>
        <v>Agriculture</v>
      </c>
      <c r="E29" s="33" t="s">
        <v>101</v>
      </c>
      <c r="F29" s="13">
        <f>IFERROR(VLOOKUP($E29,ghg_sort!$A$3:$B$21,2,0),0)</f>
        <v>298</v>
      </c>
      <c r="G29" s="13">
        <f t="shared" si="1"/>
        <v>0.2965710899999997</v>
      </c>
      <c r="H29" s="13">
        <f t="shared" si="1"/>
        <v>3.9915282200000006E-2</v>
      </c>
      <c r="I29" s="13">
        <f t="shared" si="1"/>
        <v>1.7350543400000001E-2</v>
      </c>
      <c r="J29" s="13">
        <f t="shared" si="1"/>
        <v>1.84014404E-2</v>
      </c>
      <c r="K29" s="13">
        <f t="shared" si="1"/>
        <v>2.2029530799999999E-2</v>
      </c>
      <c r="L29" s="13">
        <f t="shared" si="1"/>
        <v>2.62626506E-2</v>
      </c>
      <c r="M29" s="13">
        <f t="shared" si="1"/>
        <v>2.7556089799999999E-2</v>
      </c>
      <c r="N29" s="13">
        <f t="shared" si="1"/>
        <v>2.9499198800000001E-2</v>
      </c>
      <c r="O29" s="13">
        <f t="shared" si="1"/>
        <v>3.0954630799999702E-2</v>
      </c>
      <c r="P29" s="13">
        <f t="shared" si="1"/>
        <v>3.2116830799999704E-2</v>
      </c>
      <c r="Q29" s="13">
        <f t="shared" si="1"/>
        <v>3.2518266599999998E-2</v>
      </c>
      <c r="R29" s="13" t="s">
        <v>239</v>
      </c>
      <c r="T29" s="63">
        <v>9.9520499999999901E-4</v>
      </c>
      <c r="U29" s="63">
        <v>1.3394390000000001E-4</v>
      </c>
      <c r="V29" s="63">
        <v>5.8223300000000002E-5</v>
      </c>
      <c r="W29" s="63">
        <v>6.1749799999999996E-5</v>
      </c>
      <c r="X29" s="63">
        <v>7.3924599999999994E-5</v>
      </c>
      <c r="Y29" s="63">
        <v>8.8129700000000004E-5</v>
      </c>
      <c r="Z29" s="63">
        <v>9.2470099999999994E-5</v>
      </c>
      <c r="AA29" s="63">
        <v>9.8990600000000001E-5</v>
      </c>
      <c r="AB29" s="63">
        <v>1.03874599999999E-4</v>
      </c>
      <c r="AC29" s="63">
        <v>1.07774599999999E-4</v>
      </c>
      <c r="AD29" s="63">
        <v>1.091217E-4</v>
      </c>
      <c r="AE29" s="13" t="s">
        <v>93</v>
      </c>
    </row>
    <row r="30" spans="1:31">
      <c r="A30" s="13" t="s">
        <v>324</v>
      </c>
      <c r="B30" s="13" t="s">
        <v>1</v>
      </c>
      <c r="C30" s="13" t="s">
        <v>216</v>
      </c>
      <c r="D30" s="13" t="str">
        <f>IFERROR(VLOOKUP(C30,ghg_sort!$A$86:$B$512,2,0),0)</f>
        <v>Agriculture</v>
      </c>
      <c r="E30" s="33" t="s">
        <v>202</v>
      </c>
      <c r="F30" s="13">
        <f>IFERROR(VLOOKUP($E30,ghg_sort!$A$3:$B$21,2,0),0)</f>
        <v>0</v>
      </c>
      <c r="G30" s="13">
        <f t="shared" si="1"/>
        <v>0</v>
      </c>
      <c r="H30" s="13">
        <f t="shared" si="1"/>
        <v>0</v>
      </c>
      <c r="I30" s="13">
        <f t="shared" si="1"/>
        <v>0</v>
      </c>
      <c r="J30" s="13">
        <f t="shared" si="1"/>
        <v>0</v>
      </c>
      <c r="K30" s="13">
        <f t="shared" si="1"/>
        <v>0</v>
      </c>
      <c r="L30" s="13">
        <f t="shared" si="1"/>
        <v>0</v>
      </c>
      <c r="M30" s="13">
        <f t="shared" si="1"/>
        <v>0</v>
      </c>
      <c r="N30" s="13">
        <f t="shared" si="1"/>
        <v>0</v>
      </c>
      <c r="O30" s="13">
        <f t="shared" si="1"/>
        <v>0</v>
      </c>
      <c r="P30" s="13">
        <f t="shared" si="1"/>
        <v>0</v>
      </c>
      <c r="Q30" s="13">
        <f t="shared" si="1"/>
        <v>0</v>
      </c>
      <c r="R30" s="13" t="s">
        <v>239</v>
      </c>
      <c r="T30" s="62">
        <v>5.7331700000000001E-3</v>
      </c>
      <c r="U30" s="63">
        <v>8.1096499999999997E-4</v>
      </c>
      <c r="V30" s="63">
        <v>3.8563699999999998E-4</v>
      </c>
      <c r="W30" s="63">
        <v>3.8823299999999998E-4</v>
      </c>
      <c r="X30" s="63">
        <v>4.74263E-4</v>
      </c>
      <c r="Y30" s="63">
        <v>5.8738999999999905E-4</v>
      </c>
      <c r="Z30" s="63">
        <v>6.4425699999999997E-4</v>
      </c>
      <c r="AA30" s="63">
        <v>6.9485700000000001E-4</v>
      </c>
      <c r="AB30" s="63">
        <v>7.2977999999999997E-4</v>
      </c>
      <c r="AC30" s="63">
        <v>7.58441E-4</v>
      </c>
      <c r="AD30" s="63">
        <v>7.8538799999999895E-4</v>
      </c>
      <c r="AE30" s="13" t="s">
        <v>93</v>
      </c>
    </row>
    <row r="31" spans="1:31">
      <c r="A31" s="13" t="s">
        <v>324</v>
      </c>
      <c r="B31" s="13" t="s">
        <v>1</v>
      </c>
      <c r="C31" s="13" t="s">
        <v>216</v>
      </c>
      <c r="D31" s="13" t="str">
        <f>IFERROR(VLOOKUP(C31,ghg_sort!$A$86:$B$512,2,0),0)</f>
        <v>Agriculture</v>
      </c>
      <c r="E31" s="33" t="s">
        <v>204</v>
      </c>
      <c r="F31" s="13">
        <f>IFERROR(VLOOKUP($E31,ghg_sort!$A$3:$B$21,2,0),0)</f>
        <v>0</v>
      </c>
      <c r="G31" s="13">
        <f t="shared" si="1"/>
        <v>0</v>
      </c>
      <c r="H31" s="13">
        <f t="shared" si="1"/>
        <v>0</v>
      </c>
      <c r="I31" s="13">
        <f t="shared" si="1"/>
        <v>0</v>
      </c>
      <c r="J31" s="13">
        <f t="shared" si="1"/>
        <v>0</v>
      </c>
      <c r="K31" s="13">
        <f t="shared" si="1"/>
        <v>0</v>
      </c>
      <c r="L31" s="13">
        <f t="shared" si="1"/>
        <v>0</v>
      </c>
      <c r="M31" s="13">
        <f t="shared" si="1"/>
        <v>0</v>
      </c>
      <c r="N31" s="13">
        <f t="shared" si="1"/>
        <v>0</v>
      </c>
      <c r="O31" s="13">
        <f t="shared" si="1"/>
        <v>0</v>
      </c>
      <c r="P31" s="13">
        <f t="shared" si="1"/>
        <v>0</v>
      </c>
      <c r="Q31" s="13">
        <f t="shared" si="1"/>
        <v>0</v>
      </c>
      <c r="R31" s="13" t="s">
        <v>239</v>
      </c>
      <c r="T31" s="63">
        <v>4.8089600000000003E-4</v>
      </c>
      <c r="U31" s="63">
        <v>5.21472999999999E-5</v>
      </c>
      <c r="V31" s="63">
        <v>2.6253499999999999E-5</v>
      </c>
      <c r="W31" s="63">
        <v>2.2469140000000001E-5</v>
      </c>
      <c r="X31" s="63">
        <v>2.744811E-5</v>
      </c>
      <c r="Y31" s="63">
        <v>3.3995299999999901E-5</v>
      </c>
      <c r="Z31" s="63">
        <v>3.7286499999999901E-5</v>
      </c>
      <c r="AA31" s="63">
        <v>4.0215100000000001E-5</v>
      </c>
      <c r="AB31" s="63">
        <v>4.2236200000000001E-5</v>
      </c>
      <c r="AC31" s="63">
        <v>4.3894999999999999E-5</v>
      </c>
      <c r="AD31" s="63">
        <v>4.5454500000000003E-5</v>
      </c>
      <c r="AE31" s="13" t="s">
        <v>93</v>
      </c>
    </row>
    <row r="32" spans="1:31">
      <c r="A32" s="13" t="s">
        <v>324</v>
      </c>
      <c r="B32" s="13" t="s">
        <v>1</v>
      </c>
      <c r="C32" s="13" t="s">
        <v>140</v>
      </c>
      <c r="D32" s="13" t="str">
        <f>IFERROR(VLOOKUP(C32,ghg_sort!$A$86:$B$512,2,0),0)</f>
        <v>Industry</v>
      </c>
      <c r="E32" s="33" t="s">
        <v>84</v>
      </c>
      <c r="F32" s="13">
        <f>IFERROR(VLOOKUP($E32,ghg_sort!$A$3:$B$21,2,0),0)</f>
        <v>25</v>
      </c>
      <c r="G32" s="13">
        <f t="shared" si="1"/>
        <v>0</v>
      </c>
      <c r="H32" s="13">
        <f t="shared" si="1"/>
        <v>0</v>
      </c>
      <c r="I32" s="13">
        <f t="shared" si="1"/>
        <v>0</v>
      </c>
      <c r="J32" s="13">
        <f t="shared" si="1"/>
        <v>0</v>
      </c>
      <c r="K32" s="13">
        <f t="shared" si="1"/>
        <v>8.1761749999999997E-6</v>
      </c>
      <c r="L32" s="13">
        <f t="shared" si="1"/>
        <v>1.5559718349999999E-4</v>
      </c>
      <c r="M32" s="13">
        <f t="shared" si="1"/>
        <v>6.717682999999975E-4</v>
      </c>
      <c r="N32" s="13">
        <f t="shared" si="1"/>
        <v>1.8822649999999999E-3</v>
      </c>
      <c r="O32" s="13">
        <f t="shared" si="1"/>
        <v>4.6011015750000005E-3</v>
      </c>
      <c r="P32" s="13">
        <f t="shared" si="1"/>
        <v>7.2404294799999994E-3</v>
      </c>
      <c r="Q32" s="13">
        <f t="shared" si="1"/>
        <v>8.6712600000000001E-3</v>
      </c>
      <c r="R32" s="13" t="s">
        <v>239</v>
      </c>
      <c r="T32" s="62">
        <v>0</v>
      </c>
      <c r="U32" s="62">
        <v>0</v>
      </c>
      <c r="V32" s="62">
        <v>0</v>
      </c>
      <c r="W32" s="62">
        <v>0</v>
      </c>
      <c r="X32" s="63">
        <v>3.2704699999999998E-7</v>
      </c>
      <c r="Y32" s="63">
        <v>6.2238873400000001E-6</v>
      </c>
      <c r="Z32" s="63">
        <v>2.6870731999999899E-5</v>
      </c>
      <c r="AA32" s="63">
        <v>7.5290599999999994E-5</v>
      </c>
      <c r="AB32" s="63">
        <v>1.8404406300000001E-4</v>
      </c>
      <c r="AC32" s="63">
        <v>2.8961717919999999E-4</v>
      </c>
      <c r="AD32" s="63">
        <v>3.4685039999999997E-4</v>
      </c>
      <c r="AE32" s="13" t="s">
        <v>93</v>
      </c>
    </row>
    <row r="33" spans="1:31">
      <c r="A33" s="13" t="s">
        <v>324</v>
      </c>
      <c r="B33" s="13" t="s">
        <v>1</v>
      </c>
      <c r="C33" s="13" t="s">
        <v>140</v>
      </c>
      <c r="D33" s="13" t="str">
        <f>IFERROR(VLOOKUP(C33,ghg_sort!$A$86:$B$512,2,0),0)</f>
        <v>Industry</v>
      </c>
      <c r="E33" s="33" t="s">
        <v>85</v>
      </c>
      <c r="F33" s="13">
        <f>IFERROR(VLOOKUP($E33,ghg_sort!$A$3:$B$21,2,0),0)</f>
        <v>0</v>
      </c>
      <c r="G33" s="13">
        <f t="shared" si="1"/>
        <v>0</v>
      </c>
      <c r="H33" s="13">
        <f t="shared" si="1"/>
        <v>0</v>
      </c>
      <c r="I33" s="13">
        <f t="shared" si="1"/>
        <v>0</v>
      </c>
      <c r="J33" s="13">
        <f t="shared" si="1"/>
        <v>0</v>
      </c>
      <c r="K33" s="13">
        <f t="shared" si="1"/>
        <v>0</v>
      </c>
      <c r="L33" s="13">
        <f t="shared" si="1"/>
        <v>0</v>
      </c>
      <c r="M33" s="13">
        <f t="shared" si="1"/>
        <v>0</v>
      </c>
      <c r="N33" s="13">
        <f t="shared" si="1"/>
        <v>0</v>
      </c>
      <c r="O33" s="13">
        <f t="shared" si="1"/>
        <v>0</v>
      </c>
      <c r="P33" s="13">
        <f t="shared" si="1"/>
        <v>0</v>
      </c>
      <c r="Q33" s="13">
        <f t="shared" si="1"/>
        <v>0</v>
      </c>
      <c r="R33" s="13" t="s">
        <v>239</v>
      </c>
      <c r="T33" s="62">
        <v>0</v>
      </c>
      <c r="U33" s="62">
        <v>0</v>
      </c>
      <c r="V33" s="62">
        <v>0</v>
      </c>
      <c r="W33" s="62">
        <v>0</v>
      </c>
      <c r="X33" s="63">
        <v>7.5607299999999899E-7</v>
      </c>
      <c r="Y33" s="63">
        <v>4.7775343300000002E-6</v>
      </c>
      <c r="Z33" s="63">
        <v>1.6084998000000001E-5</v>
      </c>
      <c r="AA33" s="63">
        <v>3.4817390000000002E-5</v>
      </c>
      <c r="AB33" s="63">
        <v>6.9049045000000006E-5</v>
      </c>
      <c r="AC33" s="63">
        <v>1.0343823171999999E-4</v>
      </c>
      <c r="AD33" s="63">
        <v>1.2363274971000001E-4</v>
      </c>
      <c r="AE33" s="13" t="s">
        <v>93</v>
      </c>
    </row>
    <row r="34" spans="1:31">
      <c r="A34" s="13" t="s">
        <v>324</v>
      </c>
      <c r="B34" s="13" t="s">
        <v>1</v>
      </c>
      <c r="C34" s="13" t="s">
        <v>140</v>
      </c>
      <c r="D34" s="13" t="str">
        <f>IFERROR(VLOOKUP(C34,ghg_sort!$A$86:$B$512,2,0),0)</f>
        <v>Industry</v>
      </c>
      <c r="E34" s="34" t="s">
        <v>86</v>
      </c>
      <c r="F34" s="13">
        <f>IFERROR(VLOOKUP($E34,ghg_sort!$A$3:$B$21,2,0),0)</f>
        <v>3.6666666666666701</v>
      </c>
      <c r="G34" s="13">
        <f t="shared" si="1"/>
        <v>0</v>
      </c>
      <c r="H34" s="13">
        <f t="shared" si="1"/>
        <v>0</v>
      </c>
      <c r="I34" s="13">
        <f t="shared" si="1"/>
        <v>0</v>
      </c>
      <c r="J34" s="13">
        <f t="shared" si="1"/>
        <v>0</v>
      </c>
      <c r="K34" s="13">
        <f t="shared" si="1"/>
        <v>9.4577963333333417E-2</v>
      </c>
      <c r="L34" s="13">
        <f t="shared" si="1"/>
        <v>0.71642966486666726</v>
      </c>
      <c r="M34" s="13">
        <f t="shared" si="1"/>
        <v>2.4618682000000023</v>
      </c>
      <c r="N34" s="13">
        <f t="shared" si="1"/>
        <v>2.2216674333333355</v>
      </c>
      <c r="O34" s="13">
        <f t="shared" si="1"/>
        <v>1.7793772333333351</v>
      </c>
      <c r="P34" s="13">
        <f t="shared" si="1"/>
        <v>1.9923747103333349</v>
      </c>
      <c r="Q34" s="13">
        <f t="shared" si="1"/>
        <v>2.342677068922669</v>
      </c>
      <c r="R34" s="13" t="s">
        <v>239</v>
      </c>
      <c r="T34" s="62">
        <v>0</v>
      </c>
      <c r="U34" s="62">
        <v>0</v>
      </c>
      <c r="V34" s="62">
        <v>0</v>
      </c>
      <c r="W34" s="62">
        <v>0</v>
      </c>
      <c r="X34" s="62">
        <v>2.5793989999999999E-2</v>
      </c>
      <c r="Y34" s="62">
        <v>0.1953899086</v>
      </c>
      <c r="Z34" s="62">
        <v>0.67141859999999998</v>
      </c>
      <c r="AA34" s="62">
        <v>0.60590929999999998</v>
      </c>
      <c r="AB34" s="62">
        <v>0.48528470000000001</v>
      </c>
      <c r="AC34" s="62">
        <v>0.54337492099999996</v>
      </c>
      <c r="AD34" s="62">
        <v>0.638911927888</v>
      </c>
      <c r="AE34" s="13" t="s">
        <v>94</v>
      </c>
    </row>
    <row r="35" spans="1:31">
      <c r="A35" s="13" t="s">
        <v>324</v>
      </c>
      <c r="B35" s="13" t="s">
        <v>1</v>
      </c>
      <c r="C35" s="13" t="s">
        <v>140</v>
      </c>
      <c r="D35" s="13" t="str">
        <f>IFERROR(VLOOKUP(C35,ghg_sort!$A$86:$B$512,2,0),0)</f>
        <v>Industry</v>
      </c>
      <c r="E35" s="33" t="s">
        <v>89</v>
      </c>
      <c r="F35" s="13">
        <f>IFERROR(VLOOKUP($E35,ghg_sort!$A$3:$B$21,2,0),0)</f>
        <v>0</v>
      </c>
      <c r="G35" s="13">
        <f t="shared" si="1"/>
        <v>0</v>
      </c>
      <c r="H35" s="13">
        <f t="shared" si="1"/>
        <v>0</v>
      </c>
      <c r="I35" s="13">
        <f t="shared" si="1"/>
        <v>0</v>
      </c>
      <c r="J35" s="13">
        <f t="shared" si="1"/>
        <v>0</v>
      </c>
      <c r="K35" s="13">
        <f t="shared" si="1"/>
        <v>0</v>
      </c>
      <c r="L35" s="13">
        <f t="shared" si="1"/>
        <v>0</v>
      </c>
      <c r="M35" s="13">
        <f t="shared" si="1"/>
        <v>0</v>
      </c>
      <c r="N35" s="13">
        <f t="shared" si="1"/>
        <v>0</v>
      </c>
      <c r="O35" s="13">
        <f t="shared" si="1"/>
        <v>0</v>
      </c>
      <c r="P35" s="13">
        <f t="shared" si="1"/>
        <v>0</v>
      </c>
      <c r="Q35" s="13">
        <f t="shared" si="1"/>
        <v>0</v>
      </c>
      <c r="R35" s="13" t="s">
        <v>239</v>
      </c>
      <c r="T35" s="62">
        <v>0</v>
      </c>
      <c r="U35" s="62">
        <v>0</v>
      </c>
      <c r="V35" s="62">
        <v>0</v>
      </c>
      <c r="W35" s="62">
        <v>0</v>
      </c>
      <c r="X35" s="63">
        <v>1.1255799999999999E-7</v>
      </c>
      <c r="Y35" s="63">
        <v>1.1550861599999999E-6</v>
      </c>
      <c r="Z35" s="63">
        <v>4.5736539999999999E-6</v>
      </c>
      <c r="AA35" s="63">
        <v>1.23616699999999E-5</v>
      </c>
      <c r="AB35" s="63">
        <v>3.1176332999999999E-5</v>
      </c>
      <c r="AC35" s="63">
        <v>4.9554375830000002E-5</v>
      </c>
      <c r="AD35" s="63">
        <v>5.9455739999999997E-5</v>
      </c>
      <c r="AE35" s="13" t="s">
        <v>93</v>
      </c>
    </row>
    <row r="36" spans="1:31">
      <c r="A36" s="13" t="s">
        <v>324</v>
      </c>
      <c r="B36" s="13" t="s">
        <v>1</v>
      </c>
      <c r="C36" s="13" t="s">
        <v>140</v>
      </c>
      <c r="D36" s="13" t="str">
        <f>IFERROR(VLOOKUP(C36,ghg_sort!$A$86:$B$512,2,0),0)</f>
        <v>Industry</v>
      </c>
      <c r="E36" s="33" t="s">
        <v>90</v>
      </c>
      <c r="F36" s="13">
        <f>IFERROR(VLOOKUP($E36,ghg_sort!$A$3:$B$21,2,0),0)</f>
        <v>0</v>
      </c>
      <c r="G36" s="13">
        <f t="shared" si="1"/>
        <v>0</v>
      </c>
      <c r="H36" s="13">
        <f t="shared" si="1"/>
        <v>0</v>
      </c>
      <c r="I36" s="13">
        <f t="shared" si="1"/>
        <v>0</v>
      </c>
      <c r="J36" s="13">
        <f t="shared" si="1"/>
        <v>0</v>
      </c>
      <c r="K36" s="13">
        <f t="shared" si="1"/>
        <v>0</v>
      </c>
      <c r="L36" s="13">
        <f t="shared" si="1"/>
        <v>0</v>
      </c>
      <c r="M36" s="13">
        <f t="shared" si="1"/>
        <v>0</v>
      </c>
      <c r="N36" s="13">
        <f t="shared" si="1"/>
        <v>0</v>
      </c>
      <c r="O36" s="13">
        <f t="shared" si="1"/>
        <v>0</v>
      </c>
      <c r="P36" s="13">
        <f t="shared" si="1"/>
        <v>0</v>
      </c>
      <c r="Q36" s="13">
        <f t="shared" si="1"/>
        <v>0</v>
      </c>
      <c r="R36" s="13" t="s">
        <v>239</v>
      </c>
      <c r="T36" s="62">
        <v>0</v>
      </c>
      <c r="U36" s="62">
        <v>0</v>
      </c>
      <c r="V36" s="62">
        <v>0</v>
      </c>
      <c r="W36" s="62">
        <v>0</v>
      </c>
      <c r="X36" s="63">
        <v>5.6019550000000001E-6</v>
      </c>
      <c r="Y36" s="63">
        <v>2.729655033E-5</v>
      </c>
      <c r="Z36" s="63">
        <v>9.2392578E-5</v>
      </c>
      <c r="AA36" s="63">
        <v>1.9115866999999901E-4</v>
      </c>
      <c r="AB36" s="63">
        <v>3.4500466499999999E-4</v>
      </c>
      <c r="AC36" s="63">
        <v>5.2181212372000004E-4</v>
      </c>
      <c r="AD36" s="63">
        <v>6.7408253279999998E-4</v>
      </c>
      <c r="AE36" s="13" t="s">
        <v>93</v>
      </c>
    </row>
    <row r="37" spans="1:31">
      <c r="A37" s="13" t="s">
        <v>324</v>
      </c>
      <c r="B37" s="13" t="s">
        <v>1</v>
      </c>
      <c r="C37" s="13" t="s">
        <v>140</v>
      </c>
      <c r="D37" s="13" t="str">
        <f>IFERROR(VLOOKUP(C37,ghg_sort!$A$86:$B$512,2,0),0)</f>
        <v>Industry</v>
      </c>
      <c r="E37" s="33" t="s">
        <v>92</v>
      </c>
      <c r="F37" s="13">
        <f>IFERROR(VLOOKUP($E37,ghg_sort!$A$3:$B$21,2,0),0)</f>
        <v>0</v>
      </c>
      <c r="G37" s="13">
        <f t="shared" si="1"/>
        <v>0</v>
      </c>
      <c r="H37" s="13">
        <f t="shared" si="1"/>
        <v>0</v>
      </c>
      <c r="I37" s="13">
        <f t="shared" si="1"/>
        <v>0</v>
      </c>
      <c r="J37" s="13">
        <f t="shared" si="1"/>
        <v>0</v>
      </c>
      <c r="K37" s="13">
        <f t="shared" si="1"/>
        <v>0</v>
      </c>
      <c r="L37" s="13">
        <f t="shared" si="1"/>
        <v>0</v>
      </c>
      <c r="M37" s="13">
        <f t="shared" si="1"/>
        <v>0</v>
      </c>
      <c r="N37" s="13">
        <f t="shared" si="1"/>
        <v>0</v>
      </c>
      <c r="O37" s="13">
        <f t="shared" si="1"/>
        <v>0</v>
      </c>
      <c r="P37" s="13">
        <f t="shared" si="1"/>
        <v>0</v>
      </c>
      <c r="Q37" s="13">
        <f t="shared" si="1"/>
        <v>0</v>
      </c>
      <c r="R37" s="13" t="s">
        <v>239</v>
      </c>
      <c r="T37" s="62">
        <v>0</v>
      </c>
      <c r="U37" s="62">
        <v>0</v>
      </c>
      <c r="V37" s="62">
        <v>0</v>
      </c>
      <c r="W37" s="62">
        <v>0</v>
      </c>
      <c r="X37" s="63">
        <v>2.94343E-6</v>
      </c>
      <c r="Y37" s="63">
        <v>4.9599746099999901E-5</v>
      </c>
      <c r="Z37" s="63">
        <v>2.0581401000000001E-4</v>
      </c>
      <c r="AA37" s="63">
        <v>5.5627429999999896E-4</v>
      </c>
      <c r="AB37" s="63">
        <v>1.4029383700000001E-3</v>
      </c>
      <c r="AC37" s="63">
        <v>2.2299492120000002E-3</v>
      </c>
      <c r="AD37" s="63">
        <v>2.6755099999999999E-3</v>
      </c>
      <c r="AE37" s="13" t="s">
        <v>93</v>
      </c>
    </row>
    <row r="38" spans="1:31">
      <c r="A38" s="13" t="s">
        <v>324</v>
      </c>
      <c r="B38" s="13" t="s">
        <v>1</v>
      </c>
      <c r="C38" s="13" t="s">
        <v>141</v>
      </c>
      <c r="D38" s="13" t="str">
        <f>IFERROR(VLOOKUP(C38,ghg_sort!$A$86:$B$512,2,0),0)</f>
        <v>Industry</v>
      </c>
      <c r="E38" s="33" t="s">
        <v>85</v>
      </c>
      <c r="F38" s="13">
        <f>IFERROR(VLOOKUP($E38,ghg_sort!$A$3:$B$21,2,0),0)</f>
        <v>0</v>
      </c>
      <c r="G38" s="13">
        <f t="shared" si="1"/>
        <v>0</v>
      </c>
      <c r="H38" s="13">
        <f t="shared" si="1"/>
        <v>0</v>
      </c>
      <c r="I38" s="13">
        <f t="shared" si="1"/>
        <v>0</v>
      </c>
      <c r="J38" s="13">
        <f t="shared" si="1"/>
        <v>0</v>
      </c>
      <c r="K38" s="13">
        <f t="shared" si="1"/>
        <v>0</v>
      </c>
      <c r="L38" s="13">
        <f t="shared" si="1"/>
        <v>0</v>
      </c>
      <c r="M38" s="13">
        <f t="shared" si="1"/>
        <v>0</v>
      </c>
      <c r="N38" s="13">
        <f t="shared" si="1"/>
        <v>0</v>
      </c>
      <c r="O38" s="13">
        <f t="shared" si="1"/>
        <v>0</v>
      </c>
      <c r="P38" s="13">
        <f t="shared" si="1"/>
        <v>0</v>
      </c>
      <c r="Q38" s="13">
        <f t="shared" si="1"/>
        <v>0</v>
      </c>
      <c r="R38" s="13" t="s">
        <v>239</v>
      </c>
      <c r="T38" s="62">
        <v>0</v>
      </c>
      <c r="U38" s="62">
        <v>0</v>
      </c>
      <c r="V38" s="62">
        <v>0</v>
      </c>
      <c r="W38" s="62">
        <v>0</v>
      </c>
      <c r="X38" s="63">
        <v>3.6815999999999998E-7</v>
      </c>
      <c r="Y38" s="63">
        <v>3.86002E-6</v>
      </c>
      <c r="Z38" s="63">
        <v>1.63525E-5</v>
      </c>
      <c r="AA38" s="63">
        <v>3.2743100000000002E-5</v>
      </c>
      <c r="AB38" s="63">
        <v>3.5875299999999999E-5</v>
      </c>
      <c r="AC38" s="63">
        <v>2.9581300000000001E-5</v>
      </c>
      <c r="AD38" s="63">
        <v>8.4977899999999995E-6</v>
      </c>
      <c r="AE38" s="13" t="s">
        <v>93</v>
      </c>
    </row>
    <row r="39" spans="1:31">
      <c r="A39" s="13" t="s">
        <v>324</v>
      </c>
      <c r="B39" s="13" t="s">
        <v>1</v>
      </c>
      <c r="C39" s="13" t="s">
        <v>141</v>
      </c>
      <c r="D39" s="13" t="str">
        <f>IFERROR(VLOOKUP(C39,ghg_sort!$A$86:$B$512,2,0),0)</f>
        <v>Industry</v>
      </c>
      <c r="E39" s="12" t="s">
        <v>86</v>
      </c>
      <c r="F39" s="13">
        <f>IFERROR(VLOOKUP($E39,ghg_sort!$A$3:$B$21,2,0),0)</f>
        <v>3.6666666666666701</v>
      </c>
      <c r="G39" s="13">
        <f t="shared" si="1"/>
        <v>0</v>
      </c>
      <c r="H39" s="13">
        <f t="shared" si="1"/>
        <v>0</v>
      </c>
      <c r="I39" s="13">
        <f t="shared" si="1"/>
        <v>0</v>
      </c>
      <c r="J39" s="13">
        <f t="shared" si="1"/>
        <v>0</v>
      </c>
      <c r="K39" s="13">
        <f t="shared" si="1"/>
        <v>4.6455200000000044E-2</v>
      </c>
      <c r="L39" s="13">
        <f t="shared" si="1"/>
        <v>0.48706533333333379</v>
      </c>
      <c r="M39" s="13">
        <f t="shared" si="1"/>
        <v>2.063391000000002</v>
      </c>
      <c r="N39" s="13">
        <f t="shared" si="1"/>
        <v>4.1315633333333368</v>
      </c>
      <c r="O39" s="13">
        <f t="shared" si="1"/>
        <v>4.5268300000000048</v>
      </c>
      <c r="P39" s="13">
        <f t="shared" si="1"/>
        <v>3.7326300000000034</v>
      </c>
      <c r="Q39" s="13">
        <f t="shared" si="1"/>
        <v>1.0722653333333343</v>
      </c>
      <c r="R39" s="13" t="s">
        <v>239</v>
      </c>
      <c r="T39" s="62">
        <v>0</v>
      </c>
      <c r="U39" s="62">
        <v>0</v>
      </c>
      <c r="V39" s="62">
        <v>0</v>
      </c>
      <c r="W39" s="62">
        <v>0</v>
      </c>
      <c r="X39" s="62">
        <v>1.26696E-2</v>
      </c>
      <c r="Y39" s="62">
        <v>0.13283600000000001</v>
      </c>
      <c r="Z39" s="62">
        <v>0.56274299999999999</v>
      </c>
      <c r="AA39" s="62">
        <v>1.12679</v>
      </c>
      <c r="AB39" s="62">
        <v>1.2345900000000001</v>
      </c>
      <c r="AC39" s="62">
        <v>1.01799</v>
      </c>
      <c r="AD39" s="62">
        <v>0.29243599999999997</v>
      </c>
      <c r="AE39" s="13" t="s">
        <v>94</v>
      </c>
    </row>
    <row r="40" spans="1:31">
      <c r="A40" s="13" t="s">
        <v>324</v>
      </c>
      <c r="B40" s="13" t="s">
        <v>1</v>
      </c>
      <c r="C40" s="13" t="s">
        <v>141</v>
      </c>
      <c r="D40" s="13" t="str">
        <f>IFERROR(VLOOKUP(C40,ghg_sort!$A$86:$B$512,2,0),0)</f>
        <v>Industry</v>
      </c>
      <c r="E40" s="33" t="s">
        <v>90</v>
      </c>
      <c r="F40" s="13">
        <f>IFERROR(VLOOKUP($E40,ghg_sort!$A$3:$B$21,2,0),0)</f>
        <v>0</v>
      </c>
      <c r="G40" s="13">
        <f t="shared" si="1"/>
        <v>0</v>
      </c>
      <c r="H40" s="13">
        <f t="shared" si="1"/>
        <v>0</v>
      </c>
      <c r="I40" s="13">
        <f t="shared" si="1"/>
        <v>0</v>
      </c>
      <c r="J40" s="13">
        <f t="shared" si="1"/>
        <v>0</v>
      </c>
      <c r="K40" s="13">
        <f t="shared" si="1"/>
        <v>0</v>
      </c>
      <c r="L40" s="13">
        <f t="shared" si="1"/>
        <v>0</v>
      </c>
      <c r="M40" s="13">
        <f t="shared" si="1"/>
        <v>0</v>
      </c>
      <c r="N40" s="13">
        <f t="shared" si="1"/>
        <v>0</v>
      </c>
      <c r="O40" s="13">
        <f t="shared" si="1"/>
        <v>0</v>
      </c>
      <c r="P40" s="13">
        <f t="shared" ref="P40:Q103" si="2">AC40*$F40</f>
        <v>0</v>
      </c>
      <c r="Q40" s="13">
        <f t="shared" si="2"/>
        <v>0</v>
      </c>
      <c r="R40" s="13" t="s">
        <v>239</v>
      </c>
      <c r="T40" s="62">
        <v>0</v>
      </c>
      <c r="U40" s="62">
        <v>0</v>
      </c>
      <c r="V40" s="62">
        <v>0</v>
      </c>
      <c r="W40" s="62">
        <v>0</v>
      </c>
      <c r="X40" s="63">
        <v>3.7282499999999998E-6</v>
      </c>
      <c r="Y40" s="63">
        <v>3.9089199999999998E-5</v>
      </c>
      <c r="Z40" s="63">
        <v>1.6559699999999999E-4</v>
      </c>
      <c r="AA40" s="63">
        <v>3.3157899999999998E-4</v>
      </c>
      <c r="AB40" s="63">
        <v>3.6329899999999998E-4</v>
      </c>
      <c r="AC40" s="63">
        <v>2.99561E-4</v>
      </c>
      <c r="AD40" s="63">
        <v>8.6054499999999994E-5</v>
      </c>
      <c r="AE40" s="13" t="s">
        <v>93</v>
      </c>
    </row>
    <row r="41" spans="1:31">
      <c r="A41" s="13" t="s">
        <v>324</v>
      </c>
      <c r="B41" s="13" t="s">
        <v>1</v>
      </c>
      <c r="C41" s="13" t="s">
        <v>217</v>
      </c>
      <c r="D41" s="13" t="str">
        <f>IFERROR(VLOOKUP(C41,ghg_sort!$A$86:$B$512,2,0),0)</f>
        <v>Agriculture</v>
      </c>
      <c r="E41" s="33" t="s">
        <v>206</v>
      </c>
      <c r="F41" s="13">
        <f>IFERROR(VLOOKUP($E41,ghg_sort!$A$3:$B$21,2,0),0)</f>
        <v>0</v>
      </c>
      <c r="G41" s="13">
        <f t="shared" ref="G41:O69" si="3">T41*$F41</f>
        <v>0</v>
      </c>
      <c r="H41" s="13">
        <f t="shared" si="3"/>
        <v>0</v>
      </c>
      <c r="I41" s="13">
        <f t="shared" si="3"/>
        <v>0</v>
      </c>
      <c r="J41" s="13">
        <f t="shared" si="3"/>
        <v>0</v>
      </c>
      <c r="K41" s="13">
        <f t="shared" si="3"/>
        <v>0</v>
      </c>
      <c r="L41" s="13">
        <f t="shared" si="3"/>
        <v>0</v>
      </c>
      <c r="M41" s="13">
        <f t="shared" si="3"/>
        <v>0</v>
      </c>
      <c r="N41" s="13">
        <f t="shared" si="3"/>
        <v>0</v>
      </c>
      <c r="O41" s="13">
        <f t="shared" si="3"/>
        <v>0</v>
      </c>
      <c r="P41" s="13">
        <f t="shared" si="2"/>
        <v>0</v>
      </c>
      <c r="Q41" s="13">
        <f t="shared" si="2"/>
        <v>0</v>
      </c>
      <c r="R41" s="13" t="s">
        <v>239</v>
      </c>
      <c r="T41" s="63">
        <v>6.0504999999999999E-6</v>
      </c>
      <c r="U41" s="63">
        <v>8.4236000000000001E-6</v>
      </c>
      <c r="V41" s="63">
        <v>1.352325E-4</v>
      </c>
      <c r="W41" s="63">
        <v>1.3706689999999999E-4</v>
      </c>
      <c r="X41" s="63">
        <v>9.9658400000000001E-5</v>
      </c>
      <c r="Y41" s="63">
        <v>6.2959920000000001E-5</v>
      </c>
      <c r="Z41" s="63">
        <v>6.1225280000000003E-5</v>
      </c>
      <c r="AA41" s="63">
        <v>6.2006560000000001E-5</v>
      </c>
      <c r="AB41" s="63">
        <v>6.2266069999999995E-5</v>
      </c>
      <c r="AC41" s="63">
        <v>6.158828E-5</v>
      </c>
      <c r="AD41" s="63">
        <v>6.0402779999999901E-5</v>
      </c>
      <c r="AE41" s="13" t="s">
        <v>93</v>
      </c>
    </row>
    <row r="42" spans="1:31">
      <c r="A42" s="13" t="s">
        <v>324</v>
      </c>
      <c r="B42" s="13" t="s">
        <v>1</v>
      </c>
      <c r="C42" s="13" t="s">
        <v>217</v>
      </c>
      <c r="D42" s="13" t="str">
        <f>IFERROR(VLOOKUP(C42,ghg_sort!$A$86:$B$512,2,0),0)</f>
        <v>Agriculture</v>
      </c>
      <c r="E42" s="33" t="s">
        <v>105</v>
      </c>
      <c r="F42" s="13">
        <f>IFERROR(VLOOKUP($E42,ghg_sort!$A$3:$B$21,2,0),0)</f>
        <v>25</v>
      </c>
      <c r="G42" s="13">
        <f t="shared" si="3"/>
        <v>1.1737925000000001E-3</v>
      </c>
      <c r="H42" s="13">
        <f t="shared" si="3"/>
        <v>1.6341734999999998E-3</v>
      </c>
      <c r="I42" s="13">
        <f t="shared" si="3"/>
        <v>1.6244110000000001E-3</v>
      </c>
      <c r="J42" s="13">
        <f t="shared" si="3"/>
        <v>1.6464464999999999E-3</v>
      </c>
      <c r="K42" s="13">
        <f t="shared" si="3"/>
        <v>1.1970972499999999E-3</v>
      </c>
      <c r="L42" s="13">
        <f t="shared" si="3"/>
        <v>7.5627424999999751E-4</v>
      </c>
      <c r="M42" s="13">
        <f t="shared" si="3"/>
        <v>7.3543674999999994E-4</v>
      </c>
      <c r="N42" s="13">
        <f t="shared" si="3"/>
        <v>7.44821E-4</v>
      </c>
      <c r="O42" s="13">
        <f t="shared" si="3"/>
        <v>7.4794024999999748E-4</v>
      </c>
      <c r="P42" s="13">
        <f t="shared" si="2"/>
        <v>7.3979699999999994E-4</v>
      </c>
      <c r="Q42" s="13">
        <f t="shared" si="2"/>
        <v>7.2555749999999751E-4</v>
      </c>
      <c r="R42" s="13" t="s">
        <v>239</v>
      </c>
      <c r="T42" s="63">
        <v>4.69517E-5</v>
      </c>
      <c r="U42" s="63">
        <v>6.5366939999999995E-5</v>
      </c>
      <c r="V42" s="63">
        <v>6.497644E-5</v>
      </c>
      <c r="W42" s="63">
        <v>6.5857859999999996E-5</v>
      </c>
      <c r="X42" s="63">
        <v>4.7883889999999997E-5</v>
      </c>
      <c r="Y42" s="63">
        <v>3.0250969999999899E-5</v>
      </c>
      <c r="Z42" s="63">
        <v>2.9417469999999999E-5</v>
      </c>
      <c r="AA42" s="63">
        <v>2.979284E-5</v>
      </c>
      <c r="AB42" s="63">
        <v>2.9917609999999899E-5</v>
      </c>
      <c r="AC42" s="63">
        <v>2.9591879999999999E-5</v>
      </c>
      <c r="AD42" s="63">
        <v>2.90222999999999E-5</v>
      </c>
      <c r="AE42" s="13" t="s">
        <v>93</v>
      </c>
    </row>
    <row r="43" spans="1:31">
      <c r="A43" s="13" t="s">
        <v>324</v>
      </c>
      <c r="B43" s="13" t="s">
        <v>1</v>
      </c>
      <c r="C43" s="13" t="s">
        <v>217</v>
      </c>
      <c r="D43" s="13" t="str">
        <f>IFERROR(VLOOKUP(C43,ghg_sort!$A$86:$B$512,2,0),0)</f>
        <v>Agriculture</v>
      </c>
      <c r="E43" s="33" t="s">
        <v>207</v>
      </c>
      <c r="F43" s="13">
        <f>IFERROR(VLOOKUP($E43,ghg_sort!$A$3:$B$21,2,0),0)</f>
        <v>0</v>
      </c>
      <c r="G43" s="13">
        <f t="shared" si="3"/>
        <v>0</v>
      </c>
      <c r="H43" s="13">
        <f t="shared" si="3"/>
        <v>0</v>
      </c>
      <c r="I43" s="13">
        <f t="shared" si="3"/>
        <v>0</v>
      </c>
      <c r="J43" s="13">
        <f t="shared" si="3"/>
        <v>0</v>
      </c>
      <c r="K43" s="13">
        <f t="shared" si="3"/>
        <v>0</v>
      </c>
      <c r="L43" s="13">
        <f t="shared" si="3"/>
        <v>0</v>
      </c>
      <c r="M43" s="13">
        <f t="shared" si="3"/>
        <v>0</v>
      </c>
      <c r="N43" s="13">
        <f t="shared" si="3"/>
        <v>0</v>
      </c>
      <c r="O43" s="13">
        <f t="shared" si="3"/>
        <v>0</v>
      </c>
      <c r="P43" s="13">
        <f t="shared" si="2"/>
        <v>0</v>
      </c>
      <c r="Q43" s="13">
        <f t="shared" si="2"/>
        <v>0</v>
      </c>
      <c r="R43" s="13" t="s">
        <v>239</v>
      </c>
      <c r="T43" s="63">
        <v>8.2286599999999903E-4</v>
      </c>
      <c r="U43" s="62">
        <v>1.1456050000000001E-3</v>
      </c>
      <c r="V43" s="62">
        <v>1.1387629999999899E-3</v>
      </c>
      <c r="W43" s="62">
        <v>1.154209E-3</v>
      </c>
      <c r="X43" s="63">
        <v>8.3920000000000002E-4</v>
      </c>
      <c r="Y43" s="63">
        <v>5.3017039999999997E-4</v>
      </c>
      <c r="Z43" s="63">
        <v>5.1556360000000001E-4</v>
      </c>
      <c r="AA43" s="63">
        <v>5.2214340000000001E-4</v>
      </c>
      <c r="AB43" s="63">
        <v>5.2432889999999999E-4</v>
      </c>
      <c r="AC43" s="63">
        <v>5.1862070000000004E-4</v>
      </c>
      <c r="AD43" s="63">
        <v>5.0863830000000005E-4</v>
      </c>
      <c r="AE43" s="13" t="s">
        <v>93</v>
      </c>
    </row>
    <row r="44" spans="1:31">
      <c r="A44" s="13" t="s">
        <v>324</v>
      </c>
      <c r="B44" s="13" t="s">
        <v>1</v>
      </c>
      <c r="C44" s="13" t="s">
        <v>217</v>
      </c>
      <c r="D44" s="13" t="str">
        <f>IFERROR(VLOOKUP(C44,ghg_sort!$A$86:$B$512,2,0),0)</f>
        <v>Agriculture</v>
      </c>
      <c r="E44" s="33" t="s">
        <v>208</v>
      </c>
      <c r="F44" s="13">
        <f>IFERROR(VLOOKUP($E44,ghg_sort!$A$3:$B$21,2,0),0)</f>
        <v>0</v>
      </c>
      <c r="G44" s="13">
        <f t="shared" si="3"/>
        <v>0</v>
      </c>
      <c r="H44" s="13">
        <f t="shared" si="3"/>
        <v>0</v>
      </c>
      <c r="I44" s="13">
        <f t="shared" si="3"/>
        <v>0</v>
      </c>
      <c r="J44" s="13">
        <f t="shared" si="3"/>
        <v>0</v>
      </c>
      <c r="K44" s="13">
        <f t="shared" si="3"/>
        <v>0</v>
      </c>
      <c r="L44" s="13">
        <f t="shared" si="3"/>
        <v>0</v>
      </c>
      <c r="M44" s="13">
        <f t="shared" si="3"/>
        <v>0</v>
      </c>
      <c r="N44" s="13">
        <f t="shared" si="3"/>
        <v>0</v>
      </c>
      <c r="O44" s="13">
        <f t="shared" si="3"/>
        <v>0</v>
      </c>
      <c r="P44" s="13">
        <f t="shared" si="2"/>
        <v>0</v>
      </c>
      <c r="Q44" s="13">
        <f t="shared" si="2"/>
        <v>0</v>
      </c>
      <c r="R44" s="13" t="s">
        <v>239</v>
      </c>
      <c r="T44" s="63">
        <v>1.9049300000000001E-5</v>
      </c>
      <c r="U44" s="63">
        <v>2.6563E-5</v>
      </c>
      <c r="V44" s="63">
        <v>2.6404289999999902E-5</v>
      </c>
      <c r="W44" s="63">
        <v>2.67624699999999E-5</v>
      </c>
      <c r="X44" s="63">
        <v>1.945845E-5</v>
      </c>
      <c r="Y44" s="63">
        <v>1.229301E-5</v>
      </c>
      <c r="Z44" s="63">
        <v>1.1954310000000001E-5</v>
      </c>
      <c r="AA44" s="63">
        <v>1.2106849999999899E-5</v>
      </c>
      <c r="AB44" s="63">
        <v>1.2157529999999901E-5</v>
      </c>
      <c r="AC44" s="63">
        <v>1.2025190000000001E-5</v>
      </c>
      <c r="AD44" s="63">
        <v>1.179372E-5</v>
      </c>
      <c r="AE44" s="13" t="s">
        <v>93</v>
      </c>
    </row>
    <row r="45" spans="1:31">
      <c r="A45" s="13" t="s">
        <v>324</v>
      </c>
      <c r="B45" s="13" t="s">
        <v>1</v>
      </c>
      <c r="C45" s="13" t="s">
        <v>217</v>
      </c>
      <c r="D45" s="13" t="str">
        <f>IFERROR(VLOOKUP(C45,ghg_sort!$A$86:$B$512,2,0),0)</f>
        <v>Agriculture</v>
      </c>
      <c r="E45" s="33" t="s">
        <v>101</v>
      </c>
      <c r="F45" s="13">
        <f>IFERROR(VLOOKUP($E45,ghg_sort!$A$3:$B$21,2,0),0)</f>
        <v>298</v>
      </c>
      <c r="G45" s="13">
        <f t="shared" si="3"/>
        <v>1.2622177399999999</v>
      </c>
      <c r="H45" s="13">
        <f t="shared" si="3"/>
        <v>1.6690869739999998</v>
      </c>
      <c r="I45" s="13">
        <f t="shared" si="3"/>
        <v>1.3292945599999999</v>
      </c>
      <c r="J45" s="13">
        <f t="shared" si="3"/>
        <v>1.4677692</v>
      </c>
      <c r="K45" s="13">
        <f t="shared" si="3"/>
        <v>1.5193979980000001</v>
      </c>
      <c r="L45" s="13">
        <f t="shared" si="3"/>
        <v>1.5171802819999969</v>
      </c>
      <c r="M45" s="13">
        <f t="shared" si="3"/>
        <v>1.4790937959999999</v>
      </c>
      <c r="N45" s="13">
        <f t="shared" si="3"/>
        <v>1.486822724</v>
      </c>
      <c r="O45" s="13">
        <f t="shared" si="3"/>
        <v>1.4917382340000001</v>
      </c>
      <c r="P45" s="13">
        <f t="shared" si="2"/>
        <v>1.4730435020000001</v>
      </c>
      <c r="Q45" s="13">
        <f t="shared" si="2"/>
        <v>1.4125602300000002</v>
      </c>
      <c r="R45" s="13" t="s">
        <v>239</v>
      </c>
      <c r="T45" s="62">
        <v>4.2356299999999998E-3</v>
      </c>
      <c r="U45" s="62">
        <v>5.6009629999999996E-3</v>
      </c>
      <c r="V45" s="62">
        <v>4.4607199999999996E-3</v>
      </c>
      <c r="W45" s="62">
        <v>4.9253999999999999E-3</v>
      </c>
      <c r="X45" s="62">
        <v>5.0986510000000001E-3</v>
      </c>
      <c r="Y45" s="62">
        <v>5.0912089999999898E-3</v>
      </c>
      <c r="Z45" s="62">
        <v>4.9634019999999996E-3</v>
      </c>
      <c r="AA45" s="62">
        <v>4.9893380000000003E-3</v>
      </c>
      <c r="AB45" s="62">
        <v>5.0058330000000003E-3</v>
      </c>
      <c r="AC45" s="62">
        <v>4.9430990000000003E-3</v>
      </c>
      <c r="AD45" s="62">
        <v>4.7401350000000004E-3</v>
      </c>
      <c r="AE45" s="13" t="s">
        <v>93</v>
      </c>
    </row>
    <row r="46" spans="1:31">
      <c r="A46" s="13" t="s">
        <v>324</v>
      </c>
      <c r="B46" s="13" t="s">
        <v>1</v>
      </c>
      <c r="C46" s="13" t="s">
        <v>217</v>
      </c>
      <c r="D46" s="13" t="str">
        <f>IFERROR(VLOOKUP(C46,ghg_sort!$A$86:$B$512,2,0),0)</f>
        <v>Agriculture</v>
      </c>
      <c r="E46" s="33" t="s">
        <v>102</v>
      </c>
      <c r="F46" s="13">
        <f>IFERROR(VLOOKUP($E46,ghg_sort!$A$3:$B$21,2,0),0)</f>
        <v>298</v>
      </c>
      <c r="G46" s="13">
        <f t="shared" si="3"/>
        <v>2.4039660000000002E-4</v>
      </c>
      <c r="H46" s="13">
        <f t="shared" si="3"/>
        <v>3.3468380000000001E-4</v>
      </c>
      <c r="I46" s="13">
        <f t="shared" si="3"/>
        <v>3.3268481600000002E-4</v>
      </c>
      <c r="J46" s="13">
        <f t="shared" si="3"/>
        <v>3.3719742999999998E-4</v>
      </c>
      <c r="K46" s="13">
        <f t="shared" si="3"/>
        <v>2.4516936799999999E-4</v>
      </c>
      <c r="L46" s="13">
        <f t="shared" si="3"/>
        <v>1.5488728800000002E-4</v>
      </c>
      <c r="M46" s="13">
        <f t="shared" si="3"/>
        <v>1.5061983859999999E-4</v>
      </c>
      <c r="N46" s="13">
        <f t="shared" si="3"/>
        <v>1.5254178960000001E-4</v>
      </c>
      <c r="O46" s="13">
        <f t="shared" si="3"/>
        <v>1.5318058239999969E-4</v>
      </c>
      <c r="P46" s="13">
        <f t="shared" si="2"/>
        <v>1.5151264659999999E-4</v>
      </c>
      <c r="Q46" s="13">
        <f t="shared" si="2"/>
        <v>1.485964781999997E-4</v>
      </c>
      <c r="R46" s="13" t="s">
        <v>239</v>
      </c>
      <c r="T46" s="63">
        <v>8.0670000000000004E-7</v>
      </c>
      <c r="U46" s="63">
        <v>1.1231000000000001E-6</v>
      </c>
      <c r="V46" s="63">
        <v>1.116392E-6</v>
      </c>
      <c r="W46" s="63">
        <v>1.131535E-6</v>
      </c>
      <c r="X46" s="63">
        <v>8.2271599999999999E-7</v>
      </c>
      <c r="Y46" s="63">
        <v>5.1975600000000004E-7</v>
      </c>
      <c r="Z46" s="63">
        <v>5.0543569999999997E-7</v>
      </c>
      <c r="AA46" s="63">
        <v>5.1188520000000002E-7</v>
      </c>
      <c r="AB46" s="63">
        <v>5.1402879999999899E-7</v>
      </c>
      <c r="AC46" s="63">
        <v>5.0843169999999998E-7</v>
      </c>
      <c r="AD46" s="63">
        <v>4.9864589999999898E-7</v>
      </c>
      <c r="AE46" s="13" t="s">
        <v>93</v>
      </c>
    </row>
    <row r="47" spans="1:31">
      <c r="A47" s="13" t="s">
        <v>324</v>
      </c>
      <c r="B47" s="13" t="s">
        <v>1</v>
      </c>
      <c r="C47" s="13" t="s">
        <v>217</v>
      </c>
      <c r="D47" s="13" t="str">
        <f>IFERROR(VLOOKUP(C47,ghg_sort!$A$86:$B$512,2,0),0)</f>
        <v>Agriculture</v>
      </c>
      <c r="E47" s="33" t="s">
        <v>202</v>
      </c>
      <c r="F47" s="13">
        <f>IFERROR(VLOOKUP($E47,ghg_sort!$A$3:$B$21,2,0),0)</f>
        <v>0</v>
      </c>
      <c r="G47" s="13">
        <f t="shared" si="3"/>
        <v>0</v>
      </c>
      <c r="H47" s="13">
        <f t="shared" si="3"/>
        <v>0</v>
      </c>
      <c r="I47" s="13">
        <f t="shared" si="3"/>
        <v>0</v>
      </c>
      <c r="J47" s="13">
        <f t="shared" si="3"/>
        <v>0</v>
      </c>
      <c r="K47" s="13">
        <f t="shared" si="3"/>
        <v>0</v>
      </c>
      <c r="L47" s="13">
        <f t="shared" si="3"/>
        <v>0</v>
      </c>
      <c r="M47" s="13">
        <f t="shared" si="3"/>
        <v>0</v>
      </c>
      <c r="N47" s="13">
        <f t="shared" si="3"/>
        <v>0</v>
      </c>
      <c r="O47" s="13">
        <f t="shared" si="3"/>
        <v>0</v>
      </c>
      <c r="P47" s="13">
        <f t="shared" si="2"/>
        <v>0</v>
      </c>
      <c r="Q47" s="13">
        <f t="shared" si="2"/>
        <v>0</v>
      </c>
      <c r="R47" s="13" t="s">
        <v>239</v>
      </c>
      <c r="T47" s="62">
        <v>2.4400580000000002E-2</v>
      </c>
      <c r="U47" s="62">
        <v>3.3911110000000001E-2</v>
      </c>
      <c r="V47" s="62">
        <v>2.954526E-2</v>
      </c>
      <c r="W47" s="62">
        <v>3.096695E-2</v>
      </c>
      <c r="X47" s="62">
        <v>3.2710410000000002E-2</v>
      </c>
      <c r="Y47" s="62">
        <v>3.3933270000000001E-2</v>
      </c>
      <c r="Z47" s="62">
        <v>3.4580969999999898E-2</v>
      </c>
      <c r="AA47" s="62">
        <v>3.5022270000000001E-2</v>
      </c>
      <c r="AB47" s="62">
        <v>3.5168919999999999E-2</v>
      </c>
      <c r="AC47" s="62">
        <v>3.4786009999999999E-2</v>
      </c>
      <c r="AD47" s="62">
        <v>3.4116430000000003E-2</v>
      </c>
      <c r="AE47" s="13" t="s">
        <v>93</v>
      </c>
    </row>
    <row r="48" spans="1:31">
      <c r="A48" s="13" t="s">
        <v>324</v>
      </c>
      <c r="B48" s="13" t="s">
        <v>1</v>
      </c>
      <c r="C48" s="13" t="s">
        <v>217</v>
      </c>
      <c r="D48" s="13" t="str">
        <f>IFERROR(VLOOKUP(C48,ghg_sort!$A$86:$B$512,2,0),0)</f>
        <v>Agriculture</v>
      </c>
      <c r="E48" s="33" t="s">
        <v>209</v>
      </c>
      <c r="F48" s="13">
        <f>IFERROR(VLOOKUP($E48,ghg_sort!$A$3:$B$21,2,0),0)</f>
        <v>0</v>
      </c>
      <c r="G48" s="13">
        <f t="shared" si="3"/>
        <v>0</v>
      </c>
      <c r="H48" s="13">
        <f t="shared" si="3"/>
        <v>0</v>
      </c>
      <c r="I48" s="13">
        <f t="shared" si="3"/>
        <v>0</v>
      </c>
      <c r="J48" s="13">
        <f t="shared" si="3"/>
        <v>0</v>
      </c>
      <c r="K48" s="13">
        <f t="shared" si="3"/>
        <v>0</v>
      </c>
      <c r="L48" s="13">
        <f t="shared" si="3"/>
        <v>0</v>
      </c>
      <c r="M48" s="13">
        <f t="shared" si="3"/>
        <v>0</v>
      </c>
      <c r="N48" s="13">
        <f t="shared" si="3"/>
        <v>0</v>
      </c>
      <c r="O48" s="13">
        <f t="shared" si="3"/>
        <v>0</v>
      </c>
      <c r="P48" s="13">
        <f t="shared" si="2"/>
        <v>0</v>
      </c>
      <c r="Q48" s="13">
        <f t="shared" si="2"/>
        <v>0</v>
      </c>
      <c r="R48" s="13" t="s">
        <v>239</v>
      </c>
      <c r="T48" s="63">
        <v>1.75059999999999E-5</v>
      </c>
      <c r="U48" s="63">
        <v>2.43722E-5</v>
      </c>
      <c r="V48" s="63">
        <v>2.4226609999999898E-5</v>
      </c>
      <c r="W48" s="63">
        <v>2.4555229999999899E-5</v>
      </c>
      <c r="X48" s="63">
        <v>1.7853600000000001E-5</v>
      </c>
      <c r="Y48" s="63">
        <v>1.1279130000000001E-5</v>
      </c>
      <c r="Z48" s="63">
        <v>1.0968369999999999E-5</v>
      </c>
      <c r="AA48" s="63">
        <v>1.110833E-5</v>
      </c>
      <c r="AB48" s="63">
        <v>1.115484E-5</v>
      </c>
      <c r="AC48" s="63">
        <v>1.10333999999999E-5</v>
      </c>
      <c r="AD48" s="63">
        <v>1.082102E-5</v>
      </c>
      <c r="AE48" s="13" t="s">
        <v>93</v>
      </c>
    </row>
    <row r="49" spans="1:31">
      <c r="A49" s="13" t="s">
        <v>324</v>
      </c>
      <c r="B49" s="13" t="s">
        <v>1</v>
      </c>
      <c r="C49" s="13" t="s">
        <v>217</v>
      </c>
      <c r="D49" s="13" t="str">
        <f>IFERROR(VLOOKUP(C49,ghg_sort!$A$86:$B$512,2,0),0)</f>
        <v>Agriculture</v>
      </c>
      <c r="E49" s="33" t="s">
        <v>210</v>
      </c>
      <c r="F49" s="13">
        <f>IFERROR(VLOOKUP($E49,ghg_sort!$A$3:$B$21,2,0),0)</f>
        <v>0</v>
      </c>
      <c r="G49" s="13">
        <f t="shared" si="3"/>
        <v>0</v>
      </c>
      <c r="H49" s="13">
        <f t="shared" si="3"/>
        <v>0</v>
      </c>
      <c r="I49" s="13">
        <f t="shared" si="3"/>
        <v>0</v>
      </c>
      <c r="J49" s="13">
        <f t="shared" si="3"/>
        <v>0</v>
      </c>
      <c r="K49" s="13">
        <f t="shared" si="3"/>
        <v>0</v>
      </c>
      <c r="L49" s="13">
        <f t="shared" si="3"/>
        <v>0</v>
      </c>
      <c r="M49" s="13">
        <f t="shared" si="3"/>
        <v>0</v>
      </c>
      <c r="N49" s="13">
        <f t="shared" si="3"/>
        <v>0</v>
      </c>
      <c r="O49" s="13">
        <f t="shared" si="3"/>
        <v>0</v>
      </c>
      <c r="P49" s="13">
        <f t="shared" si="2"/>
        <v>0</v>
      </c>
      <c r="Q49" s="13">
        <f t="shared" si="2"/>
        <v>0</v>
      </c>
      <c r="R49" s="13" t="s">
        <v>239</v>
      </c>
      <c r="T49" s="63">
        <v>1.9725179999999999E-4</v>
      </c>
      <c r="U49" s="63">
        <v>2.7413859999999998E-4</v>
      </c>
      <c r="V49" s="63">
        <v>2.7250119999999999E-4</v>
      </c>
      <c r="W49" s="63">
        <v>2.7619729999999999E-4</v>
      </c>
      <c r="X49" s="63">
        <v>2.00817399999999E-4</v>
      </c>
      <c r="Y49" s="63">
        <v>1.2686779999999999E-4</v>
      </c>
      <c r="Z49" s="63">
        <v>1.233723E-4</v>
      </c>
      <c r="AA49" s="63">
        <v>1.2494660000000001E-4</v>
      </c>
      <c r="AB49" s="63">
        <v>1.2546970000000001E-4</v>
      </c>
      <c r="AC49" s="63">
        <v>1.241037E-4</v>
      </c>
      <c r="AD49" s="63">
        <v>1.217149E-4</v>
      </c>
      <c r="AE49" s="13" t="s">
        <v>93</v>
      </c>
    </row>
    <row r="50" spans="1:31">
      <c r="A50" s="13" t="s">
        <v>324</v>
      </c>
      <c r="B50" s="13" t="s">
        <v>1</v>
      </c>
      <c r="C50" s="13" t="s">
        <v>217</v>
      </c>
      <c r="D50" s="13" t="str">
        <f>IFERROR(VLOOKUP(C50,ghg_sort!$A$86:$B$512,2,0),0)</f>
        <v>Agriculture</v>
      </c>
      <c r="E50" s="33" t="s">
        <v>204</v>
      </c>
      <c r="F50" s="13">
        <f>IFERROR(VLOOKUP($E50,ghg_sort!$A$3:$B$21,2,0),0)</f>
        <v>0</v>
      </c>
      <c r="G50" s="13">
        <f t="shared" si="3"/>
        <v>0</v>
      </c>
      <c r="H50" s="13">
        <f t="shared" si="3"/>
        <v>0</v>
      </c>
      <c r="I50" s="13">
        <f t="shared" si="3"/>
        <v>0</v>
      </c>
      <c r="J50" s="13">
        <f t="shared" si="3"/>
        <v>0</v>
      </c>
      <c r="K50" s="13">
        <f t="shared" si="3"/>
        <v>0</v>
      </c>
      <c r="L50" s="13">
        <f t="shared" si="3"/>
        <v>0</v>
      </c>
      <c r="M50" s="13">
        <f t="shared" si="3"/>
        <v>0</v>
      </c>
      <c r="N50" s="13">
        <f t="shared" si="3"/>
        <v>0</v>
      </c>
      <c r="O50" s="13">
        <f t="shared" si="3"/>
        <v>0</v>
      </c>
      <c r="P50" s="13">
        <f t="shared" si="2"/>
        <v>0</v>
      </c>
      <c r="Q50" s="13">
        <f t="shared" si="2"/>
        <v>0</v>
      </c>
      <c r="R50" s="13" t="s">
        <v>239</v>
      </c>
      <c r="T50" s="62">
        <v>2.0467129999999999E-3</v>
      </c>
      <c r="U50" s="62">
        <v>2.180576E-3</v>
      </c>
      <c r="V50" s="62">
        <v>2.011391E-3</v>
      </c>
      <c r="W50" s="62">
        <v>1.7922209999999899E-3</v>
      </c>
      <c r="X50" s="62">
        <v>1.8931219999999999E-3</v>
      </c>
      <c r="Y50" s="62">
        <v>1.9638920000000001E-3</v>
      </c>
      <c r="Z50" s="62">
        <v>2.001381E-3</v>
      </c>
      <c r="AA50" s="62">
        <v>2.0269179999999999E-3</v>
      </c>
      <c r="AB50" s="62">
        <v>2.0354039999999898E-3</v>
      </c>
      <c r="AC50" s="62">
        <v>2.0132470000000001E-3</v>
      </c>
      <c r="AD50" s="62">
        <v>1.9744929999999999E-3</v>
      </c>
      <c r="AE50" s="13" t="s">
        <v>93</v>
      </c>
    </row>
    <row r="51" spans="1:31">
      <c r="A51" s="13" t="s">
        <v>324</v>
      </c>
      <c r="B51" s="13" t="s">
        <v>1</v>
      </c>
      <c r="C51" s="13" t="s">
        <v>217</v>
      </c>
      <c r="D51" s="13" t="str">
        <f>IFERROR(VLOOKUP(C51,ghg_sort!$A$86:$B$512,2,0),0)</f>
        <v>Agriculture</v>
      </c>
      <c r="E51" s="33" t="s">
        <v>211</v>
      </c>
      <c r="F51" s="13">
        <f>IFERROR(VLOOKUP($E51,ghg_sort!$A$3:$B$21,2,0),0)</f>
        <v>0</v>
      </c>
      <c r="G51" s="13">
        <f t="shared" si="3"/>
        <v>0</v>
      </c>
      <c r="H51" s="13">
        <f t="shared" si="3"/>
        <v>0</v>
      </c>
      <c r="I51" s="13">
        <f t="shared" si="3"/>
        <v>0</v>
      </c>
      <c r="J51" s="13">
        <f t="shared" si="3"/>
        <v>0</v>
      </c>
      <c r="K51" s="13">
        <f t="shared" si="3"/>
        <v>0</v>
      </c>
      <c r="L51" s="13">
        <f t="shared" si="3"/>
        <v>0</v>
      </c>
      <c r="M51" s="13">
        <f t="shared" si="3"/>
        <v>0</v>
      </c>
      <c r="N51" s="13">
        <f t="shared" si="3"/>
        <v>0</v>
      </c>
      <c r="O51" s="13">
        <f t="shared" si="3"/>
        <v>0</v>
      </c>
      <c r="P51" s="13">
        <f t="shared" si="2"/>
        <v>0</v>
      </c>
      <c r="Q51" s="13">
        <f t="shared" si="2"/>
        <v>0</v>
      </c>
      <c r="R51" s="13" t="s">
        <v>239</v>
      </c>
      <c r="T51" s="63">
        <v>2.5089319999999999E-5</v>
      </c>
      <c r="U51" s="63">
        <v>3.4929759999999901E-5</v>
      </c>
      <c r="V51" s="63">
        <v>3.4721139999999998E-5</v>
      </c>
      <c r="W51" s="63">
        <v>3.5192079999999997E-5</v>
      </c>
      <c r="X51" s="63">
        <v>2.558747E-5</v>
      </c>
      <c r="Y51" s="63">
        <v>1.6165049999999999E-5</v>
      </c>
      <c r="Z51" s="63">
        <v>1.5719669999999999E-5</v>
      </c>
      <c r="AA51" s="63">
        <v>1.5920250000000001E-5</v>
      </c>
      <c r="AB51" s="63">
        <v>1.5986909999999998E-5</v>
      </c>
      <c r="AC51" s="63">
        <v>1.5812879999999899E-5</v>
      </c>
      <c r="AD51" s="63">
        <v>1.5508490000000002E-5</v>
      </c>
      <c r="AE51" s="13" t="s">
        <v>93</v>
      </c>
    </row>
    <row r="52" spans="1:31">
      <c r="A52" s="13" t="s">
        <v>324</v>
      </c>
      <c r="B52" s="13" t="s">
        <v>1</v>
      </c>
      <c r="C52" s="13" t="s">
        <v>217</v>
      </c>
      <c r="D52" s="13" t="str">
        <f>IFERROR(VLOOKUP(C52,ghg_sort!$A$86:$B$512,2,0),0)</f>
        <v>Agriculture</v>
      </c>
      <c r="E52" s="33" t="s">
        <v>212</v>
      </c>
      <c r="F52" s="13">
        <f>IFERROR(VLOOKUP($E52,ghg_sort!$A$3:$B$21,2,0),0)</f>
        <v>0</v>
      </c>
      <c r="G52" s="13">
        <f t="shared" si="3"/>
        <v>0</v>
      </c>
      <c r="H52" s="13">
        <f t="shared" si="3"/>
        <v>0</v>
      </c>
      <c r="I52" s="13">
        <f t="shared" si="3"/>
        <v>0</v>
      </c>
      <c r="J52" s="13">
        <f t="shared" si="3"/>
        <v>0</v>
      </c>
      <c r="K52" s="13">
        <f t="shared" si="3"/>
        <v>0</v>
      </c>
      <c r="L52" s="13">
        <f t="shared" si="3"/>
        <v>0</v>
      </c>
      <c r="M52" s="13">
        <f t="shared" si="3"/>
        <v>0</v>
      </c>
      <c r="N52" s="13">
        <f t="shared" si="3"/>
        <v>0</v>
      </c>
      <c r="O52" s="13">
        <f t="shared" si="3"/>
        <v>0</v>
      </c>
      <c r="P52" s="13">
        <f t="shared" si="2"/>
        <v>0</v>
      </c>
      <c r="Q52" s="13">
        <f t="shared" si="2"/>
        <v>0</v>
      </c>
      <c r="R52" s="13" t="s">
        <v>239</v>
      </c>
      <c r="T52" s="63">
        <v>1.8554800000000001E-5</v>
      </c>
      <c r="U52" s="63">
        <v>2.58323E-5</v>
      </c>
      <c r="V52" s="63">
        <v>6.4755979999999997E-4</v>
      </c>
      <c r="W52" s="63">
        <v>6.5634519999999998E-4</v>
      </c>
      <c r="X52" s="63">
        <v>4.772143E-4</v>
      </c>
      <c r="Y52" s="63">
        <v>3.0148380000000002E-4</v>
      </c>
      <c r="Z52" s="63">
        <v>2.9317729999999998E-4</v>
      </c>
      <c r="AA52" s="63">
        <v>2.9691819999999998E-4</v>
      </c>
      <c r="AB52" s="63">
        <v>2.9816169999999999E-4</v>
      </c>
      <c r="AC52" s="63">
        <v>2.9491499999999998E-4</v>
      </c>
      <c r="AD52" s="63">
        <v>2.8923879999999999E-4</v>
      </c>
      <c r="AE52" s="13" t="s">
        <v>93</v>
      </c>
    </row>
    <row r="53" spans="1:31">
      <c r="A53" s="13" t="s">
        <v>324</v>
      </c>
      <c r="B53" s="13" t="s">
        <v>1</v>
      </c>
      <c r="C53" s="13" t="s">
        <v>217</v>
      </c>
      <c r="D53" s="13" t="str">
        <f>IFERROR(VLOOKUP(C53,ghg_sort!$A$86:$B$512,2,0),0)</f>
        <v>Agriculture</v>
      </c>
      <c r="E53" s="33" t="s">
        <v>213</v>
      </c>
      <c r="F53" s="13">
        <f>IFERROR(VLOOKUP($E53,ghg_sort!$A$3:$B$21,2,0),0)</f>
        <v>0</v>
      </c>
      <c r="G53" s="13">
        <f t="shared" si="3"/>
        <v>0</v>
      </c>
      <c r="H53" s="13">
        <f t="shared" si="3"/>
        <v>0</v>
      </c>
      <c r="I53" s="13">
        <f t="shared" si="3"/>
        <v>0</v>
      </c>
      <c r="J53" s="13">
        <f t="shared" si="3"/>
        <v>0</v>
      </c>
      <c r="K53" s="13">
        <f t="shared" si="3"/>
        <v>0</v>
      </c>
      <c r="L53" s="13">
        <f t="shared" si="3"/>
        <v>0</v>
      </c>
      <c r="M53" s="13">
        <f t="shared" si="3"/>
        <v>0</v>
      </c>
      <c r="N53" s="13">
        <f t="shared" si="3"/>
        <v>0</v>
      </c>
      <c r="O53" s="13">
        <f t="shared" si="3"/>
        <v>0</v>
      </c>
      <c r="P53" s="13">
        <f t="shared" si="2"/>
        <v>0</v>
      </c>
      <c r="Q53" s="13">
        <f t="shared" si="2"/>
        <v>0</v>
      </c>
      <c r="R53" s="13" t="s">
        <v>239</v>
      </c>
      <c r="T53" s="63">
        <v>3.2269E-6</v>
      </c>
      <c r="U53" s="63">
        <v>4.4926E-6</v>
      </c>
      <c r="V53" s="63">
        <v>4.4657649999999998E-6</v>
      </c>
      <c r="W53" s="63">
        <v>4.526331E-6</v>
      </c>
      <c r="X53" s="63">
        <v>3.29100999999999E-6</v>
      </c>
      <c r="Y53" s="63">
        <v>2.07911599999999E-6</v>
      </c>
      <c r="Z53" s="63">
        <v>2.0218319999999999E-6</v>
      </c>
      <c r="AA53" s="63">
        <v>2.0476320000000001E-6</v>
      </c>
      <c r="AB53" s="63">
        <v>2.0562049999999998E-6</v>
      </c>
      <c r="AC53" s="63">
        <v>2.0338199999999899E-6</v>
      </c>
      <c r="AD53" s="63">
        <v>1.9946719999999998E-6</v>
      </c>
      <c r="AE53" s="13" t="s">
        <v>93</v>
      </c>
    </row>
    <row r="54" spans="1:31">
      <c r="A54" s="13" t="s">
        <v>324</v>
      </c>
      <c r="B54" s="13" t="s">
        <v>1</v>
      </c>
      <c r="C54" s="13" t="s">
        <v>63</v>
      </c>
      <c r="D54" s="13" t="str">
        <f>IFERROR(VLOOKUP(C54,ghg_sort!$A$86:$B$512,2,0),0)</f>
        <v>Agriculture</v>
      </c>
      <c r="E54" s="33" t="s">
        <v>83</v>
      </c>
      <c r="F54" s="13">
        <f>IFERROR(VLOOKUP($E54,ghg_sort!$A$3:$B$21,2,0),0)</f>
        <v>0</v>
      </c>
      <c r="G54" s="13">
        <f t="shared" si="3"/>
        <v>0</v>
      </c>
      <c r="H54" s="13">
        <f t="shared" si="3"/>
        <v>0</v>
      </c>
      <c r="I54" s="13">
        <f t="shared" si="3"/>
        <v>0</v>
      </c>
      <c r="J54" s="13">
        <f t="shared" si="3"/>
        <v>0</v>
      </c>
      <c r="K54" s="13">
        <f t="shared" si="3"/>
        <v>0</v>
      </c>
      <c r="L54" s="13">
        <f t="shared" si="3"/>
        <v>0</v>
      </c>
      <c r="M54" s="13">
        <f t="shared" si="3"/>
        <v>0</v>
      </c>
      <c r="N54" s="13">
        <f t="shared" si="3"/>
        <v>0</v>
      </c>
      <c r="O54" s="13">
        <f t="shared" si="3"/>
        <v>0</v>
      </c>
      <c r="P54" s="13">
        <f t="shared" si="2"/>
        <v>0</v>
      </c>
      <c r="Q54" s="13">
        <f t="shared" si="2"/>
        <v>0</v>
      </c>
      <c r="R54" s="13" t="s">
        <v>239</v>
      </c>
      <c r="T54" s="62">
        <v>6.0243800000000002E-3</v>
      </c>
      <c r="U54" s="6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>
        <v>0</v>
      </c>
      <c r="AE54" s="13" t="s">
        <v>93</v>
      </c>
    </row>
    <row r="55" spans="1:31">
      <c r="A55" s="13" t="s">
        <v>324</v>
      </c>
      <c r="B55" s="13" t="s">
        <v>1</v>
      </c>
      <c r="C55" s="13" t="s">
        <v>63</v>
      </c>
      <c r="D55" s="13" t="str">
        <f>IFERROR(VLOOKUP(C55,ghg_sort!$A$86:$B$512,2,0),0)</f>
        <v>Agriculture</v>
      </c>
      <c r="E55" s="33" t="s">
        <v>84</v>
      </c>
      <c r="F55" s="13">
        <f>IFERROR(VLOOKUP($E55,ghg_sort!$A$3:$B$21,2,0),0)</f>
        <v>25</v>
      </c>
      <c r="G55" s="13">
        <f t="shared" si="3"/>
        <v>1.6270375E-2</v>
      </c>
      <c r="H55" s="13">
        <f t="shared" si="3"/>
        <v>2.6098499999999997E-2</v>
      </c>
      <c r="I55" s="13">
        <f t="shared" si="3"/>
        <v>2.8029999999999999E-2</v>
      </c>
      <c r="J55" s="13">
        <f t="shared" si="3"/>
        <v>2.0786725000000002E-2</v>
      </c>
      <c r="K55" s="13">
        <f t="shared" si="3"/>
        <v>2.1715975000000002E-2</v>
      </c>
      <c r="L55" s="13">
        <f t="shared" si="3"/>
        <v>2.2050395E-2</v>
      </c>
      <c r="M55" s="13">
        <f t="shared" si="3"/>
        <v>2.1422484999999998E-2</v>
      </c>
      <c r="N55" s="13">
        <f t="shared" si="3"/>
        <v>1.8320685E-2</v>
      </c>
      <c r="O55" s="13">
        <f t="shared" si="3"/>
        <v>1.2847495E-2</v>
      </c>
      <c r="P55" s="13">
        <f t="shared" si="2"/>
        <v>9.0669194999999994E-3</v>
      </c>
      <c r="Q55" s="13">
        <f t="shared" si="2"/>
        <v>5.0851371224999997E-3</v>
      </c>
      <c r="R55" s="13" t="s">
        <v>239</v>
      </c>
      <c r="T55" s="63">
        <v>6.5081500000000001E-4</v>
      </c>
      <c r="U55" s="62">
        <v>1.0439399999999999E-3</v>
      </c>
      <c r="V55" s="62">
        <v>1.1211999999999999E-3</v>
      </c>
      <c r="W55" s="63">
        <v>8.3146900000000004E-4</v>
      </c>
      <c r="X55" s="63">
        <v>8.6863900000000004E-4</v>
      </c>
      <c r="Y55" s="63">
        <v>8.8201580000000005E-4</v>
      </c>
      <c r="Z55" s="63">
        <v>8.5689939999999997E-4</v>
      </c>
      <c r="AA55" s="63">
        <v>7.3282740000000005E-4</v>
      </c>
      <c r="AB55" s="63">
        <v>5.1389980000000001E-4</v>
      </c>
      <c r="AC55" s="63">
        <v>3.6267678000000001E-4</v>
      </c>
      <c r="AD55" s="63">
        <v>2.0340548489999999E-4</v>
      </c>
      <c r="AE55" s="13" t="s">
        <v>93</v>
      </c>
    </row>
    <row r="56" spans="1:31">
      <c r="A56" s="13" t="s">
        <v>324</v>
      </c>
      <c r="B56" s="13" t="s">
        <v>1</v>
      </c>
      <c r="C56" s="13" t="s">
        <v>63</v>
      </c>
      <c r="D56" s="13" t="str">
        <f>IFERROR(VLOOKUP(C56,ghg_sort!$A$86:$B$512,2,0),0)</f>
        <v>Agriculture</v>
      </c>
      <c r="E56" s="33" t="s">
        <v>85</v>
      </c>
      <c r="F56" s="13">
        <f>IFERROR(VLOOKUP($E56,ghg_sort!$A$3:$B$21,2,0),0)</f>
        <v>0</v>
      </c>
      <c r="G56" s="13">
        <f t="shared" si="3"/>
        <v>0</v>
      </c>
      <c r="H56" s="13">
        <f t="shared" si="3"/>
        <v>0</v>
      </c>
      <c r="I56" s="13">
        <f t="shared" si="3"/>
        <v>0</v>
      </c>
      <c r="J56" s="13">
        <f t="shared" si="3"/>
        <v>0</v>
      </c>
      <c r="K56" s="13">
        <f t="shared" si="3"/>
        <v>0</v>
      </c>
      <c r="L56" s="13">
        <f t="shared" si="3"/>
        <v>0</v>
      </c>
      <c r="M56" s="13">
        <f t="shared" si="3"/>
        <v>0</v>
      </c>
      <c r="N56" s="13">
        <f t="shared" si="3"/>
        <v>0</v>
      </c>
      <c r="O56" s="13">
        <f t="shared" si="3"/>
        <v>0</v>
      </c>
      <c r="P56" s="13">
        <f t="shared" si="2"/>
        <v>0</v>
      </c>
      <c r="Q56" s="13">
        <f t="shared" si="2"/>
        <v>0</v>
      </c>
      <c r="R56" s="13" t="s">
        <v>239</v>
      </c>
      <c r="T56" s="62">
        <v>2.6126299999999999E-3</v>
      </c>
      <c r="U56" s="63">
        <v>6.1274500000000004E-4</v>
      </c>
      <c r="V56" s="63">
        <v>8.2614799999999996E-4</v>
      </c>
      <c r="W56" s="63">
        <v>7.6955100000000005E-4</v>
      </c>
      <c r="X56" s="63">
        <v>8.0395369999999996E-4</v>
      </c>
      <c r="Y56" s="63">
        <v>8.1633390000000001E-4</v>
      </c>
      <c r="Z56" s="63">
        <v>7.9308799999999995E-4</v>
      </c>
      <c r="AA56" s="63">
        <v>6.7825469999999903E-4</v>
      </c>
      <c r="AB56" s="63">
        <v>4.7562979999999998E-4</v>
      </c>
      <c r="AC56" s="63">
        <v>3.3566945999999998E-4</v>
      </c>
      <c r="AD56" s="63">
        <v>1.882583037E-4</v>
      </c>
      <c r="AE56" s="13" t="s">
        <v>93</v>
      </c>
    </row>
    <row r="57" spans="1:31">
      <c r="A57" s="13" t="s">
        <v>324</v>
      </c>
      <c r="B57" s="13" t="s">
        <v>1</v>
      </c>
      <c r="C57" s="13" t="s">
        <v>63</v>
      </c>
      <c r="D57" s="13" t="str">
        <f>IFERROR(VLOOKUP(C57,ghg_sort!$A$86:$B$512,2,0),0)</f>
        <v>Agriculture</v>
      </c>
      <c r="E57" s="12" t="s">
        <v>86</v>
      </c>
      <c r="F57" s="13">
        <f>IFERROR(VLOOKUP($E57,ghg_sort!$A$3:$B$21,2,0),0)</f>
        <v>3.6666666666666701</v>
      </c>
      <c r="G57" s="13">
        <f t="shared" si="3"/>
        <v>2.1277428333333317</v>
      </c>
      <c r="H57" s="13">
        <f t="shared" si="3"/>
        <v>0.80868700000000071</v>
      </c>
      <c r="I57" s="13">
        <f t="shared" si="3"/>
        <v>0.65195533333333389</v>
      </c>
      <c r="J57" s="13">
        <f t="shared" si="3"/>
        <v>0.33822103333333364</v>
      </c>
      <c r="K57" s="13">
        <f t="shared" si="3"/>
        <v>0.3533408633333337</v>
      </c>
      <c r="L57" s="13">
        <f t="shared" si="3"/>
        <v>0.35881091411000038</v>
      </c>
      <c r="M57" s="13">
        <f t="shared" si="3"/>
        <v>0.348881415336667</v>
      </c>
      <c r="N57" s="13">
        <f t="shared" si="3"/>
        <v>0.30110028311000031</v>
      </c>
      <c r="O57" s="13">
        <f t="shared" si="3"/>
        <v>0.2186863279700002</v>
      </c>
      <c r="P57" s="13">
        <f t="shared" si="2"/>
        <v>0.1622904646733335</v>
      </c>
      <c r="Q57" s="13">
        <f t="shared" si="2"/>
        <v>0.10352486565666676</v>
      </c>
      <c r="R57" s="13" t="s">
        <v>239</v>
      </c>
      <c r="T57" s="62">
        <v>0.58029349999999902</v>
      </c>
      <c r="U57" s="62">
        <v>0.220551</v>
      </c>
      <c r="V57" s="62">
        <v>0.17780599999999999</v>
      </c>
      <c r="W57" s="62">
        <v>9.2242099999999994E-2</v>
      </c>
      <c r="X57" s="62">
        <v>9.6365690000000004E-2</v>
      </c>
      <c r="Y57" s="62">
        <v>9.7857522030000005E-2</v>
      </c>
      <c r="Z57" s="62">
        <v>9.5149476910000003E-2</v>
      </c>
      <c r="AA57" s="62">
        <v>8.2118259030000001E-2</v>
      </c>
      <c r="AB57" s="62">
        <v>5.9641725809999997E-2</v>
      </c>
      <c r="AC57" s="62">
        <v>4.4261035820000003E-2</v>
      </c>
      <c r="AD57" s="62">
        <v>2.823405427E-2</v>
      </c>
      <c r="AE57" s="13" t="s">
        <v>94</v>
      </c>
    </row>
    <row r="58" spans="1:31">
      <c r="A58" s="13" t="s">
        <v>324</v>
      </c>
      <c r="B58" s="13" t="s">
        <v>1</v>
      </c>
      <c r="C58" s="13" t="s">
        <v>63</v>
      </c>
      <c r="D58" s="13" t="str">
        <f>IFERROR(VLOOKUP(C58,ghg_sort!$A$86:$B$512,2,0),0)</f>
        <v>Agriculture</v>
      </c>
      <c r="E58" s="33" t="s">
        <v>87</v>
      </c>
      <c r="F58" s="13">
        <f>IFERROR(VLOOKUP($E58,ghg_sort!$A$3:$B$21,2,0),0)</f>
        <v>298</v>
      </c>
      <c r="G58" s="13">
        <f t="shared" si="3"/>
        <v>3.6690653999999996E-2</v>
      </c>
      <c r="H58" s="13">
        <f t="shared" si="3"/>
        <v>0</v>
      </c>
      <c r="I58" s="13">
        <f t="shared" si="3"/>
        <v>0</v>
      </c>
      <c r="J58" s="13">
        <f t="shared" si="3"/>
        <v>0</v>
      </c>
      <c r="K58" s="13">
        <f t="shared" si="3"/>
        <v>0</v>
      </c>
      <c r="L58" s="13">
        <f t="shared" si="3"/>
        <v>0</v>
      </c>
      <c r="M58" s="13">
        <f t="shared" si="3"/>
        <v>0</v>
      </c>
      <c r="N58" s="13">
        <f t="shared" si="3"/>
        <v>0</v>
      </c>
      <c r="O58" s="13">
        <f t="shared" si="3"/>
        <v>0</v>
      </c>
      <c r="P58" s="13">
        <f t="shared" si="2"/>
        <v>0</v>
      </c>
      <c r="Q58" s="13">
        <f t="shared" si="2"/>
        <v>0</v>
      </c>
      <c r="R58" s="13" t="s">
        <v>239</v>
      </c>
      <c r="T58" s="63">
        <v>1.2312299999999999E-4</v>
      </c>
      <c r="U58" s="62">
        <v>0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>
        <v>0</v>
      </c>
      <c r="AE58" s="13" t="s">
        <v>93</v>
      </c>
    </row>
    <row r="59" spans="1:31">
      <c r="A59" s="13" t="s">
        <v>324</v>
      </c>
      <c r="B59" s="13" t="s">
        <v>1</v>
      </c>
      <c r="C59" s="13" t="s">
        <v>63</v>
      </c>
      <c r="D59" s="13" t="str">
        <f>IFERROR(VLOOKUP(C59,ghg_sort!$A$86:$B$512,2,0),0)</f>
        <v>Agriculture</v>
      </c>
      <c r="E59" s="33" t="s">
        <v>88</v>
      </c>
      <c r="F59" s="13">
        <f>IFERROR(VLOOKUP($E59,ghg_sort!$A$3:$B$21,2,0),0)</f>
        <v>0</v>
      </c>
      <c r="G59" s="13">
        <f t="shared" si="3"/>
        <v>0</v>
      </c>
      <c r="H59" s="13">
        <f t="shared" si="3"/>
        <v>0</v>
      </c>
      <c r="I59" s="13">
        <f t="shared" si="3"/>
        <v>0</v>
      </c>
      <c r="J59" s="13">
        <f t="shared" si="3"/>
        <v>0</v>
      </c>
      <c r="K59" s="13">
        <f t="shared" si="3"/>
        <v>0</v>
      </c>
      <c r="L59" s="13">
        <f t="shared" si="3"/>
        <v>0</v>
      </c>
      <c r="M59" s="13">
        <f t="shared" si="3"/>
        <v>0</v>
      </c>
      <c r="N59" s="13">
        <f t="shared" si="3"/>
        <v>0</v>
      </c>
      <c r="O59" s="13">
        <f t="shared" si="3"/>
        <v>0</v>
      </c>
      <c r="P59" s="13">
        <f t="shared" si="2"/>
        <v>0</v>
      </c>
      <c r="Q59" s="13">
        <f t="shared" si="2"/>
        <v>0</v>
      </c>
      <c r="R59" s="13" t="s">
        <v>239</v>
      </c>
      <c r="T59" s="63">
        <v>2.7216700000000003E-4</v>
      </c>
      <c r="U59" s="63">
        <v>1.51295E-5</v>
      </c>
      <c r="V59" s="63">
        <v>3.2783700000000003E-5</v>
      </c>
      <c r="W59" s="63">
        <v>1.76908E-5</v>
      </c>
      <c r="X59" s="63">
        <v>1.8481734999999999E-5</v>
      </c>
      <c r="Y59" s="63">
        <v>1.8766249000000001E-5</v>
      </c>
      <c r="Z59" s="63">
        <v>1.8231888999999899E-5</v>
      </c>
      <c r="AA59" s="63">
        <v>1.5592066999999999E-5</v>
      </c>
      <c r="AB59" s="63">
        <v>1.093402E-5</v>
      </c>
      <c r="AC59" s="63">
        <v>7.7165350000000005E-6</v>
      </c>
      <c r="AD59" s="63">
        <v>4.3277833600000001E-6</v>
      </c>
      <c r="AE59" s="13" t="s">
        <v>93</v>
      </c>
    </row>
    <row r="60" spans="1:31">
      <c r="A60" s="13" t="s">
        <v>324</v>
      </c>
      <c r="B60" s="13" t="s">
        <v>1</v>
      </c>
      <c r="C60" s="13" t="s">
        <v>63</v>
      </c>
      <c r="D60" s="13" t="str">
        <f>IFERROR(VLOOKUP(C60,ghg_sort!$A$86:$B$512,2,0),0)</f>
        <v>Agriculture</v>
      </c>
      <c r="E60" s="33" t="s">
        <v>89</v>
      </c>
      <c r="F60" s="13">
        <f>IFERROR(VLOOKUP($E60,ghg_sort!$A$3:$B$21,2,0),0)</f>
        <v>0</v>
      </c>
      <c r="G60" s="13">
        <f t="shared" si="3"/>
        <v>0</v>
      </c>
      <c r="H60" s="13">
        <f t="shared" si="3"/>
        <v>0</v>
      </c>
      <c r="I60" s="13">
        <f t="shared" si="3"/>
        <v>0</v>
      </c>
      <c r="J60" s="13">
        <f t="shared" si="3"/>
        <v>0</v>
      </c>
      <c r="K60" s="13">
        <f t="shared" si="3"/>
        <v>0</v>
      </c>
      <c r="L60" s="13">
        <f t="shared" si="3"/>
        <v>0</v>
      </c>
      <c r="M60" s="13">
        <f t="shared" si="3"/>
        <v>0</v>
      </c>
      <c r="N60" s="13">
        <f t="shared" si="3"/>
        <v>0</v>
      </c>
      <c r="O60" s="13">
        <f t="shared" si="3"/>
        <v>0</v>
      </c>
      <c r="P60" s="13">
        <f t="shared" si="2"/>
        <v>0</v>
      </c>
      <c r="Q60" s="13">
        <f t="shared" si="2"/>
        <v>0</v>
      </c>
      <c r="R60" s="13" t="s">
        <v>239</v>
      </c>
      <c r="T60" s="63">
        <v>3.8233000000000001E-4</v>
      </c>
      <c r="U60" s="63">
        <v>5.29532E-5</v>
      </c>
      <c r="V60" s="63">
        <v>7.8680800000000001E-5</v>
      </c>
      <c r="W60" s="63">
        <v>5.3072499999999997E-5</v>
      </c>
      <c r="X60" s="63">
        <v>5.5445100000000002E-5</v>
      </c>
      <c r="Y60" s="63">
        <v>5.6298850000000001E-5</v>
      </c>
      <c r="Z60" s="63">
        <v>5.4695679999999997E-5</v>
      </c>
      <c r="AA60" s="63">
        <v>4.677619E-5</v>
      </c>
      <c r="AB60" s="63">
        <v>3.28020899999999E-5</v>
      </c>
      <c r="AC60" s="63">
        <v>2.3149591999999899E-5</v>
      </c>
      <c r="AD60" s="63">
        <v>1.298333418E-5</v>
      </c>
      <c r="AE60" s="13" t="s">
        <v>93</v>
      </c>
    </row>
    <row r="61" spans="1:31">
      <c r="A61" s="13" t="s">
        <v>324</v>
      </c>
      <c r="B61" s="13" t="s">
        <v>1</v>
      </c>
      <c r="C61" s="13" t="s">
        <v>63</v>
      </c>
      <c r="D61" s="13" t="str">
        <f>IFERROR(VLOOKUP(C61,ghg_sort!$A$86:$B$512,2,0),0)</f>
        <v>Agriculture</v>
      </c>
      <c r="E61" s="33" t="s">
        <v>90</v>
      </c>
      <c r="F61" s="13">
        <f>IFERROR(VLOOKUP($E61,ghg_sort!$A$3:$B$21,2,0),0)</f>
        <v>0</v>
      </c>
      <c r="G61" s="13">
        <f t="shared" si="3"/>
        <v>0</v>
      </c>
      <c r="H61" s="13">
        <f t="shared" si="3"/>
        <v>0</v>
      </c>
      <c r="I61" s="13">
        <f t="shared" si="3"/>
        <v>0</v>
      </c>
      <c r="J61" s="13">
        <f t="shared" si="3"/>
        <v>0</v>
      </c>
      <c r="K61" s="13">
        <f t="shared" si="3"/>
        <v>0</v>
      </c>
      <c r="L61" s="13">
        <f t="shared" si="3"/>
        <v>0</v>
      </c>
      <c r="M61" s="13">
        <f t="shared" si="3"/>
        <v>0</v>
      </c>
      <c r="N61" s="13">
        <f t="shared" si="3"/>
        <v>0</v>
      </c>
      <c r="O61" s="13">
        <f t="shared" si="3"/>
        <v>0</v>
      </c>
      <c r="P61" s="13">
        <f t="shared" si="2"/>
        <v>0</v>
      </c>
      <c r="Q61" s="13">
        <f t="shared" si="2"/>
        <v>0</v>
      </c>
      <c r="R61" s="13" t="s">
        <v>239</v>
      </c>
      <c r="T61" s="62">
        <v>2.8236000000000001E-2</v>
      </c>
      <c r="U61" s="62">
        <v>3.8202000000000002E-3</v>
      </c>
      <c r="V61" s="62">
        <v>6.1305400000000003E-3</v>
      </c>
      <c r="W61" s="62">
        <v>5.9131599999999998E-3</v>
      </c>
      <c r="X61" s="62">
        <v>6.1775019999999996E-3</v>
      </c>
      <c r="Y61" s="62">
        <v>6.27262999999999E-3</v>
      </c>
      <c r="Z61" s="62">
        <v>6.0940090000000001E-3</v>
      </c>
      <c r="AA61" s="62">
        <v>5.2116559999999899E-3</v>
      </c>
      <c r="AB61" s="62">
        <v>3.6546999999999999E-3</v>
      </c>
      <c r="AC61" s="62">
        <v>2.5792477E-3</v>
      </c>
      <c r="AD61" s="63">
        <v>1.446560591E-3</v>
      </c>
      <c r="AE61" s="13" t="s">
        <v>93</v>
      </c>
    </row>
    <row r="62" spans="1:31">
      <c r="A62" s="13" t="s">
        <v>324</v>
      </c>
      <c r="B62" s="13" t="s">
        <v>1</v>
      </c>
      <c r="C62" s="13" t="s">
        <v>63</v>
      </c>
      <c r="D62" s="13" t="str">
        <f>IFERROR(VLOOKUP(C62,ghg_sort!$A$86:$B$512,2,0),0)</f>
        <v>Agriculture</v>
      </c>
      <c r="E62" s="33" t="s">
        <v>91</v>
      </c>
      <c r="F62" s="13">
        <f>IFERROR(VLOOKUP($E62,ghg_sort!$A$3:$B$21,2,0),0)</f>
        <v>0</v>
      </c>
      <c r="G62" s="13">
        <f t="shared" si="3"/>
        <v>0</v>
      </c>
      <c r="H62" s="13">
        <f t="shared" si="3"/>
        <v>0</v>
      </c>
      <c r="I62" s="13">
        <f t="shared" si="3"/>
        <v>0</v>
      </c>
      <c r="J62" s="13">
        <f t="shared" si="3"/>
        <v>0</v>
      </c>
      <c r="K62" s="13">
        <f t="shared" si="3"/>
        <v>0</v>
      </c>
      <c r="L62" s="13">
        <f t="shared" si="3"/>
        <v>0</v>
      </c>
      <c r="M62" s="13">
        <f t="shared" si="3"/>
        <v>0</v>
      </c>
      <c r="N62" s="13">
        <f t="shared" si="3"/>
        <v>0</v>
      </c>
      <c r="O62" s="13">
        <f t="shared" si="3"/>
        <v>0</v>
      </c>
      <c r="P62" s="13">
        <f t="shared" si="2"/>
        <v>0</v>
      </c>
      <c r="Q62" s="13">
        <f t="shared" si="2"/>
        <v>0</v>
      </c>
      <c r="R62" s="13" t="s">
        <v>239</v>
      </c>
      <c r="T62" s="62">
        <v>6.5838600000000004E-3</v>
      </c>
      <c r="U62" s="62">
        <v>0</v>
      </c>
      <c r="V62" s="62">
        <v>0</v>
      </c>
      <c r="W62" s="62">
        <v>0</v>
      </c>
      <c r="X62" s="62">
        <v>0</v>
      </c>
      <c r="Y62" s="62">
        <v>0</v>
      </c>
      <c r="Z62" s="62">
        <v>0</v>
      </c>
      <c r="AA62" s="62">
        <v>0</v>
      </c>
      <c r="AB62" s="62">
        <v>0</v>
      </c>
      <c r="AC62" s="62">
        <v>0</v>
      </c>
      <c r="AD62" s="62">
        <v>0</v>
      </c>
      <c r="AE62" s="13" t="s">
        <v>93</v>
      </c>
    </row>
    <row r="63" spans="1:31">
      <c r="A63" s="13" t="s">
        <v>324</v>
      </c>
      <c r="B63" s="13" t="s">
        <v>1</v>
      </c>
      <c r="C63" s="13" t="s">
        <v>63</v>
      </c>
      <c r="D63" s="13" t="str">
        <f>IFERROR(VLOOKUP(C63,ghg_sort!$A$86:$B$512,2,0),0)</f>
        <v>Agriculture</v>
      </c>
      <c r="E63" s="33" t="s">
        <v>92</v>
      </c>
      <c r="F63" s="13">
        <f>IFERROR(VLOOKUP($E63,ghg_sort!$A$3:$B$21,2,0),0)</f>
        <v>0</v>
      </c>
      <c r="G63" s="13">
        <f t="shared" si="3"/>
        <v>0</v>
      </c>
      <c r="H63" s="13">
        <f t="shared" si="3"/>
        <v>0</v>
      </c>
      <c r="I63" s="13">
        <f t="shared" si="3"/>
        <v>0</v>
      </c>
      <c r="J63" s="13">
        <f t="shared" si="3"/>
        <v>0</v>
      </c>
      <c r="K63" s="13">
        <f t="shared" si="3"/>
        <v>0</v>
      </c>
      <c r="L63" s="13">
        <f t="shared" si="3"/>
        <v>0</v>
      </c>
      <c r="M63" s="13">
        <f t="shared" si="3"/>
        <v>0</v>
      </c>
      <c r="N63" s="13">
        <f t="shared" si="3"/>
        <v>0</v>
      </c>
      <c r="O63" s="13">
        <f t="shared" si="3"/>
        <v>0</v>
      </c>
      <c r="P63" s="13">
        <f t="shared" si="2"/>
        <v>0</v>
      </c>
      <c r="Q63" s="13">
        <f t="shared" si="2"/>
        <v>0</v>
      </c>
      <c r="R63" s="13" t="s">
        <v>239</v>
      </c>
      <c r="T63" s="62">
        <v>7.3777402379999996E-2</v>
      </c>
      <c r="U63" s="63">
        <v>1.0747999999999999E-5</v>
      </c>
      <c r="V63" s="63">
        <v>1.40226E-5</v>
      </c>
      <c r="W63" s="63">
        <v>7.3731800000000003E-6</v>
      </c>
      <c r="X63" s="63">
        <v>7.7027929999999994E-6</v>
      </c>
      <c r="Y63" s="63">
        <v>7.8214070000000002E-6</v>
      </c>
      <c r="Z63" s="63">
        <v>7.5986789999999998E-6</v>
      </c>
      <c r="AA63" s="63">
        <v>6.49846299999999E-6</v>
      </c>
      <c r="AB63" s="63">
        <v>4.5570809999999996E-6</v>
      </c>
      <c r="AC63" s="63">
        <v>3.2160931999999999E-6</v>
      </c>
      <c r="AD63" s="63">
        <v>1.8037292819999999E-6</v>
      </c>
      <c r="AE63" s="13" t="s">
        <v>93</v>
      </c>
    </row>
    <row r="64" spans="1:31">
      <c r="A64" s="13" t="s">
        <v>324</v>
      </c>
      <c r="B64" s="13" t="s">
        <v>1</v>
      </c>
      <c r="C64" s="13" t="s">
        <v>218</v>
      </c>
      <c r="D64" s="13" t="str">
        <f>IFERROR(VLOOKUP(C64,ghg_sort!$A$86:$B$512,2,0),0)</f>
        <v>Agriculture</v>
      </c>
      <c r="E64" s="33" t="s">
        <v>206</v>
      </c>
      <c r="F64" s="13">
        <f>IFERROR(VLOOKUP($E64,ghg_sort!$A$3:$B$21,2,0),0)</f>
        <v>0</v>
      </c>
      <c r="G64" s="13">
        <f t="shared" si="3"/>
        <v>0</v>
      </c>
      <c r="H64" s="13">
        <f t="shared" si="3"/>
        <v>0</v>
      </c>
      <c r="I64" s="13">
        <f t="shared" si="3"/>
        <v>0</v>
      </c>
      <c r="J64" s="13">
        <f t="shared" si="3"/>
        <v>0</v>
      </c>
      <c r="K64" s="13">
        <f t="shared" si="3"/>
        <v>0</v>
      </c>
      <c r="L64" s="13">
        <f t="shared" si="3"/>
        <v>0</v>
      </c>
      <c r="M64" s="13">
        <f t="shared" si="3"/>
        <v>0</v>
      </c>
      <c r="N64" s="13">
        <f t="shared" si="3"/>
        <v>0</v>
      </c>
      <c r="O64" s="13">
        <f t="shared" si="3"/>
        <v>0</v>
      </c>
      <c r="P64" s="13">
        <f t="shared" si="2"/>
        <v>0</v>
      </c>
      <c r="Q64" s="13">
        <f t="shared" si="2"/>
        <v>0</v>
      </c>
      <c r="R64" s="13" t="s">
        <v>239</v>
      </c>
      <c r="T64" s="63">
        <v>5.8033009999999901E-6</v>
      </c>
      <c r="U64" s="63">
        <v>4.0888999999999999E-6</v>
      </c>
      <c r="V64" s="63">
        <v>6.4062660000000003E-5</v>
      </c>
      <c r="W64" s="63">
        <v>6.4133499999999998E-5</v>
      </c>
      <c r="X64" s="63">
        <v>4.8503789999999899E-5</v>
      </c>
      <c r="Y64" s="63">
        <v>3.5294119999999999E-5</v>
      </c>
      <c r="Z64" s="63">
        <v>3.6914439999999901E-5</v>
      </c>
      <c r="AA64" s="63">
        <v>3.9461539999999998E-5</v>
      </c>
      <c r="AB64" s="63">
        <v>4.2589509999999997E-5</v>
      </c>
      <c r="AC64" s="63">
        <v>4.7242330000000002E-5</v>
      </c>
      <c r="AD64" s="63">
        <v>5.2080109999999997E-5</v>
      </c>
      <c r="AE64" s="13" t="s">
        <v>93</v>
      </c>
    </row>
    <row r="65" spans="1:31">
      <c r="A65" s="13" t="s">
        <v>324</v>
      </c>
      <c r="B65" s="13" t="s">
        <v>1</v>
      </c>
      <c r="C65" s="13" t="s">
        <v>218</v>
      </c>
      <c r="D65" s="13" t="str">
        <f>IFERROR(VLOOKUP(C65,ghg_sort!$A$86:$B$512,2,0),0)</f>
        <v>Agriculture</v>
      </c>
      <c r="E65" s="33" t="s">
        <v>105</v>
      </c>
      <c r="F65" s="13">
        <f>IFERROR(VLOOKUP($E65,ghg_sort!$A$3:$B$21,2,0),0)</f>
        <v>25</v>
      </c>
      <c r="G65" s="13">
        <f t="shared" si="3"/>
        <v>1.1258474999999975E-3</v>
      </c>
      <c r="H65" s="13">
        <f t="shared" si="3"/>
        <v>7.9324599999999995E-4</v>
      </c>
      <c r="I65" s="13">
        <f t="shared" si="3"/>
        <v>7.6952549999999992E-4</v>
      </c>
      <c r="J65" s="13">
        <f t="shared" si="3"/>
        <v>7.7037424999999997E-4</v>
      </c>
      <c r="K65" s="13">
        <f t="shared" si="3"/>
        <v>5.8263075000000004E-4</v>
      </c>
      <c r="L65" s="13">
        <f t="shared" si="3"/>
        <v>4.2395550000000001E-4</v>
      </c>
      <c r="M65" s="13">
        <f t="shared" si="3"/>
        <v>4.4341849999999996E-4</v>
      </c>
      <c r="N65" s="13">
        <f t="shared" si="3"/>
        <v>4.7401474999999996E-4</v>
      </c>
      <c r="O65" s="13">
        <f t="shared" si="3"/>
        <v>5.1158775000000002E-4</v>
      </c>
      <c r="P65" s="13">
        <f t="shared" si="2"/>
        <v>5.6747825000000003E-4</v>
      </c>
      <c r="Q65" s="13">
        <f t="shared" si="2"/>
        <v>6.2558899999999996E-4</v>
      </c>
      <c r="R65" s="13" t="s">
        <v>239</v>
      </c>
      <c r="T65" s="63">
        <v>4.5033899999999901E-5</v>
      </c>
      <c r="U65" s="63">
        <v>3.1729839999999998E-5</v>
      </c>
      <c r="V65" s="63">
        <v>3.0781019999999997E-5</v>
      </c>
      <c r="W65" s="63">
        <v>3.081497E-5</v>
      </c>
      <c r="X65" s="63">
        <v>2.330523E-5</v>
      </c>
      <c r="Y65" s="63">
        <v>1.6958220000000001E-5</v>
      </c>
      <c r="Z65" s="63">
        <v>1.7736739999999999E-5</v>
      </c>
      <c r="AA65" s="63">
        <v>1.8960589999999999E-5</v>
      </c>
      <c r="AB65" s="63">
        <v>2.0463509999999999E-5</v>
      </c>
      <c r="AC65" s="63">
        <v>2.269913E-5</v>
      </c>
      <c r="AD65" s="63">
        <v>2.5023559999999999E-5</v>
      </c>
      <c r="AE65" s="13" t="s">
        <v>93</v>
      </c>
    </row>
    <row r="66" spans="1:31">
      <c r="A66" s="13" t="s">
        <v>324</v>
      </c>
      <c r="B66" s="13" t="s">
        <v>1</v>
      </c>
      <c r="C66" s="13" t="s">
        <v>218</v>
      </c>
      <c r="D66" s="13" t="str">
        <f>IFERROR(VLOOKUP(C66,ghg_sort!$A$86:$B$512,2,0),0)</f>
        <v>Agriculture</v>
      </c>
      <c r="E66" s="33" t="s">
        <v>207</v>
      </c>
      <c r="F66" s="13">
        <f>IFERROR(VLOOKUP($E66,ghg_sort!$A$3:$B$21,2,0),0)</f>
        <v>0</v>
      </c>
      <c r="G66" s="13">
        <f t="shared" si="3"/>
        <v>0</v>
      </c>
      <c r="H66" s="13">
        <f t="shared" si="3"/>
        <v>0</v>
      </c>
      <c r="I66" s="13">
        <f t="shared" si="3"/>
        <v>0</v>
      </c>
      <c r="J66" s="13">
        <f t="shared" si="3"/>
        <v>0</v>
      </c>
      <c r="K66" s="13">
        <f t="shared" si="3"/>
        <v>0</v>
      </c>
      <c r="L66" s="13">
        <f t="shared" si="3"/>
        <v>0</v>
      </c>
      <c r="M66" s="13">
        <f t="shared" si="3"/>
        <v>0</v>
      </c>
      <c r="N66" s="13">
        <f t="shared" si="3"/>
        <v>0</v>
      </c>
      <c r="O66" s="13">
        <f t="shared" si="3"/>
        <v>0</v>
      </c>
      <c r="P66" s="13">
        <f t="shared" si="2"/>
        <v>0</v>
      </c>
      <c r="Q66" s="13">
        <f t="shared" si="2"/>
        <v>0</v>
      </c>
      <c r="R66" s="13" t="s">
        <v>239</v>
      </c>
      <c r="T66" s="63">
        <v>7.8925499999999999E-4</v>
      </c>
      <c r="U66" s="63">
        <v>5.5608809999999997E-4</v>
      </c>
      <c r="V66" s="63">
        <v>5.394601E-4</v>
      </c>
      <c r="W66" s="63">
        <v>5.4005669999999896E-4</v>
      </c>
      <c r="X66" s="63">
        <v>4.0844109999999998E-4</v>
      </c>
      <c r="Y66" s="63">
        <v>2.9720560000000003E-4</v>
      </c>
      <c r="Z66" s="63">
        <v>3.10849299999999E-4</v>
      </c>
      <c r="AA66" s="63">
        <v>3.3229789999999999E-4</v>
      </c>
      <c r="AB66" s="63">
        <v>3.5863840000000002E-4</v>
      </c>
      <c r="AC66" s="63">
        <v>3.9781890000000001E-4</v>
      </c>
      <c r="AD66" s="63">
        <v>4.385565E-4</v>
      </c>
      <c r="AE66" s="13" t="s">
        <v>93</v>
      </c>
    </row>
    <row r="67" spans="1:31">
      <c r="A67" s="13" t="s">
        <v>324</v>
      </c>
      <c r="B67" s="13" t="s">
        <v>1</v>
      </c>
      <c r="C67" s="13" t="s">
        <v>218</v>
      </c>
      <c r="D67" s="13" t="str">
        <f>IFERROR(VLOOKUP(C67,ghg_sort!$A$86:$B$512,2,0),0)</f>
        <v>Agriculture</v>
      </c>
      <c r="E67" s="33" t="s">
        <v>208</v>
      </c>
      <c r="F67" s="13">
        <f>IFERROR(VLOOKUP($E67,ghg_sort!$A$3:$B$21,2,0),0)</f>
        <v>0</v>
      </c>
      <c r="G67" s="13">
        <f t="shared" si="3"/>
        <v>0</v>
      </c>
      <c r="H67" s="13">
        <f t="shared" si="3"/>
        <v>0</v>
      </c>
      <c r="I67" s="13">
        <f t="shared" si="3"/>
        <v>0</v>
      </c>
      <c r="J67" s="13">
        <f t="shared" si="3"/>
        <v>0</v>
      </c>
      <c r="K67" s="13">
        <f t="shared" si="3"/>
        <v>0</v>
      </c>
      <c r="L67" s="13">
        <f t="shared" si="3"/>
        <v>0</v>
      </c>
      <c r="M67" s="13">
        <f t="shared" si="3"/>
        <v>0</v>
      </c>
      <c r="N67" s="13">
        <f t="shared" si="3"/>
        <v>0</v>
      </c>
      <c r="O67" s="13">
        <f t="shared" si="3"/>
        <v>0</v>
      </c>
      <c r="P67" s="13">
        <f t="shared" si="2"/>
        <v>0</v>
      </c>
      <c r="Q67" s="13">
        <f t="shared" si="2"/>
        <v>0</v>
      </c>
      <c r="R67" s="13" t="s">
        <v>239</v>
      </c>
      <c r="T67" s="63">
        <v>1.8271299999999999E-5</v>
      </c>
      <c r="U67" s="63">
        <v>1.2893999999999901E-5</v>
      </c>
      <c r="V67" s="63">
        <v>1.250844E-5</v>
      </c>
      <c r="W67" s="63">
        <v>1.2522259999999899E-5</v>
      </c>
      <c r="X67" s="63">
        <v>9.4705199999999999E-6</v>
      </c>
      <c r="Y67" s="63">
        <v>6.8912999999999902E-6</v>
      </c>
      <c r="Z67" s="63">
        <v>7.2076630000000001E-6</v>
      </c>
      <c r="AA67" s="63">
        <v>7.7049960000000007E-6</v>
      </c>
      <c r="AB67" s="63">
        <v>8.3157260000000001E-6</v>
      </c>
      <c r="AC67" s="63">
        <v>9.2242099999999996E-6</v>
      </c>
      <c r="AD67" s="63">
        <v>1.0168789999999999E-5</v>
      </c>
      <c r="AE67" s="13" t="s">
        <v>93</v>
      </c>
    </row>
    <row r="68" spans="1:31">
      <c r="A68" s="13" t="s">
        <v>324</v>
      </c>
      <c r="B68" s="13" t="s">
        <v>1</v>
      </c>
      <c r="C68" s="13" t="s">
        <v>218</v>
      </c>
      <c r="D68" s="13" t="str">
        <f>IFERROR(VLOOKUP(C68,ghg_sort!$A$86:$B$512,2,0),0)</f>
        <v>Agriculture</v>
      </c>
      <c r="E68" s="33" t="s">
        <v>101</v>
      </c>
      <c r="F68" s="13">
        <f>IFERROR(VLOOKUP($E68,ghg_sort!$A$3:$B$21,2,0),0)</f>
        <v>298</v>
      </c>
      <c r="G68" s="13">
        <f t="shared" si="3"/>
        <v>0.50572268799999998</v>
      </c>
      <c r="H68" s="13">
        <f t="shared" si="3"/>
        <v>0.43663853999999697</v>
      </c>
      <c r="I68" s="13">
        <f t="shared" si="3"/>
        <v>0.35186171199999999</v>
      </c>
      <c r="J68" s="13">
        <f t="shared" si="3"/>
        <v>0.39478622799999702</v>
      </c>
      <c r="K68" s="13">
        <f t="shared" si="3"/>
        <v>0.42509372200000001</v>
      </c>
      <c r="L68" s="13">
        <f t="shared" si="3"/>
        <v>0.48890893200000002</v>
      </c>
      <c r="M68" s="13">
        <f t="shared" si="3"/>
        <v>0.51264016199999995</v>
      </c>
      <c r="N68" s="13">
        <f t="shared" si="3"/>
        <v>0.54393493000000004</v>
      </c>
      <c r="O68" s="13">
        <f t="shared" si="3"/>
        <v>0.58653522200000008</v>
      </c>
      <c r="P68" s="13">
        <f t="shared" si="2"/>
        <v>0.64953093199999712</v>
      </c>
      <c r="Q68" s="13">
        <f t="shared" si="2"/>
        <v>0.70012149800000001</v>
      </c>
      <c r="R68" s="13" t="s">
        <v>239</v>
      </c>
      <c r="T68" s="62">
        <v>1.697056E-3</v>
      </c>
      <c r="U68" s="62">
        <v>1.4652299999999899E-3</v>
      </c>
      <c r="V68" s="62">
        <v>1.1807440000000001E-3</v>
      </c>
      <c r="W68" s="62">
        <v>1.3247859999999899E-3</v>
      </c>
      <c r="X68" s="62">
        <v>1.426489E-3</v>
      </c>
      <c r="Y68" s="62">
        <v>1.640634E-3</v>
      </c>
      <c r="Z68" s="62">
        <v>1.720269E-3</v>
      </c>
      <c r="AA68" s="62">
        <v>1.8252850000000001E-3</v>
      </c>
      <c r="AB68" s="62">
        <v>1.9682390000000001E-3</v>
      </c>
      <c r="AC68" s="62">
        <v>2.1796339999999902E-3</v>
      </c>
      <c r="AD68" s="62">
        <v>2.3494010000000001E-3</v>
      </c>
      <c r="AE68" s="13" t="s">
        <v>93</v>
      </c>
    </row>
    <row r="69" spans="1:31">
      <c r="A69" s="13" t="s">
        <v>324</v>
      </c>
      <c r="B69" s="13" t="s">
        <v>1</v>
      </c>
      <c r="C69" s="13" t="s">
        <v>218</v>
      </c>
      <c r="D69" s="13" t="str">
        <f>IFERROR(VLOOKUP(C69,ghg_sort!$A$86:$B$512,2,0),0)</f>
        <v>Agriculture</v>
      </c>
      <c r="E69" s="33" t="s">
        <v>102</v>
      </c>
      <c r="F69" s="13">
        <f>IFERROR(VLOOKUP($E69,ghg_sort!$A$3:$B$21,2,0),0)</f>
        <v>298</v>
      </c>
      <c r="G69" s="13">
        <f t="shared" si="3"/>
        <v>2.305924E-4</v>
      </c>
      <c r="H69" s="13">
        <f t="shared" si="3"/>
        <v>1.6246962980000001E-4</v>
      </c>
      <c r="I69" s="13">
        <f t="shared" si="3"/>
        <v>1.576114848E-4</v>
      </c>
      <c r="J69" s="13">
        <f t="shared" ref="J69:Q109" si="4">W69*$F69</f>
        <v>1.577854571999997E-4</v>
      </c>
      <c r="K69" s="13">
        <f t="shared" si="4"/>
        <v>1.193323716E-4</v>
      </c>
      <c r="L69" s="13">
        <f t="shared" si="4"/>
        <v>8.6832998200000005E-5</v>
      </c>
      <c r="M69" s="13">
        <f t="shared" si="4"/>
        <v>9.08192548E-5</v>
      </c>
      <c r="N69" s="13">
        <f t="shared" si="4"/>
        <v>9.7085926599999999E-5</v>
      </c>
      <c r="O69" s="13">
        <f t="shared" si="4"/>
        <v>1.0478135939999971E-4</v>
      </c>
      <c r="P69" s="13">
        <f t="shared" si="2"/>
        <v>1.1622840359999999E-4</v>
      </c>
      <c r="Q69" s="13">
        <f t="shared" si="2"/>
        <v>1.2813070240000002E-4</v>
      </c>
      <c r="R69" s="13" t="s">
        <v>239</v>
      </c>
      <c r="T69" s="63">
        <v>7.7380000000000001E-7</v>
      </c>
      <c r="U69" s="63">
        <v>5.4520010000000003E-7</v>
      </c>
      <c r="V69" s="63">
        <v>5.2889760000000001E-7</v>
      </c>
      <c r="W69" s="63">
        <v>5.2948139999999899E-7</v>
      </c>
      <c r="X69" s="63">
        <v>4.0044419999999999E-7</v>
      </c>
      <c r="Y69" s="63">
        <v>2.9138590000000002E-7</v>
      </c>
      <c r="Z69" s="63">
        <v>3.0476259999999999E-7</v>
      </c>
      <c r="AA69" s="63">
        <v>3.2579169999999998E-7</v>
      </c>
      <c r="AB69" s="63">
        <v>3.5161529999999901E-7</v>
      </c>
      <c r="AC69" s="63">
        <v>3.9002819999999999E-7</v>
      </c>
      <c r="AD69" s="63">
        <v>4.2996880000000002E-7</v>
      </c>
      <c r="AE69" s="13" t="s">
        <v>93</v>
      </c>
    </row>
    <row r="70" spans="1:31">
      <c r="A70" s="13" t="s">
        <v>324</v>
      </c>
      <c r="B70" s="13" t="s">
        <v>1</v>
      </c>
      <c r="C70" s="13" t="s">
        <v>218</v>
      </c>
      <c r="D70" s="13" t="str">
        <f>IFERROR(VLOOKUP(C70,ghg_sort!$A$86:$B$512,2,0),0)</f>
        <v>Agriculture</v>
      </c>
      <c r="E70" s="33" t="s">
        <v>202</v>
      </c>
      <c r="F70" s="13">
        <f>IFERROR(VLOOKUP($E70,ghg_sort!$A$3:$B$21,2,0),0)</f>
        <v>0</v>
      </c>
      <c r="G70" s="13">
        <f t="shared" ref="G70:N126" si="5">T70*$F70</f>
        <v>0</v>
      </c>
      <c r="H70" s="13">
        <f t="shared" si="5"/>
        <v>0</v>
      </c>
      <c r="I70" s="13">
        <f t="shared" si="5"/>
        <v>0</v>
      </c>
      <c r="J70" s="13">
        <f t="shared" si="4"/>
        <v>0</v>
      </c>
      <c r="K70" s="13">
        <f t="shared" si="4"/>
        <v>0</v>
      </c>
      <c r="L70" s="13">
        <f t="shared" si="4"/>
        <v>0</v>
      </c>
      <c r="M70" s="13">
        <f t="shared" si="4"/>
        <v>0</v>
      </c>
      <c r="N70" s="13">
        <f t="shared" si="4"/>
        <v>0</v>
      </c>
      <c r="O70" s="13">
        <f t="shared" si="4"/>
        <v>0</v>
      </c>
      <c r="P70" s="13">
        <f t="shared" si="2"/>
        <v>0</v>
      </c>
      <c r="Q70" s="13">
        <f t="shared" si="2"/>
        <v>0</v>
      </c>
      <c r="R70" s="13" t="s">
        <v>239</v>
      </c>
      <c r="T70" s="62">
        <v>9.7763799999999994E-3</v>
      </c>
      <c r="U70" s="62">
        <v>8.8712500000000007E-3</v>
      </c>
      <c r="V70" s="62">
        <v>7.8205600000000007E-3</v>
      </c>
      <c r="W70" s="62">
        <v>8.3291800000000003E-3</v>
      </c>
      <c r="X70" s="62">
        <v>9.1516400000000008E-3</v>
      </c>
      <c r="Y70" s="62">
        <v>1.0934899999999999E-2</v>
      </c>
      <c r="Z70" s="62">
        <v>1.198545E-2</v>
      </c>
      <c r="AA70" s="62">
        <v>1.281245E-2</v>
      </c>
      <c r="AB70" s="62">
        <v>1.382804E-2</v>
      </c>
      <c r="AC70" s="62">
        <v>1.533872E-2</v>
      </c>
      <c r="AD70" s="62">
        <v>1.6909460000000001E-2</v>
      </c>
      <c r="AE70" s="13" t="s">
        <v>93</v>
      </c>
    </row>
    <row r="71" spans="1:31">
      <c r="A71" s="13" t="s">
        <v>324</v>
      </c>
      <c r="B71" s="13" t="s">
        <v>1</v>
      </c>
      <c r="C71" s="13" t="s">
        <v>218</v>
      </c>
      <c r="D71" s="13" t="str">
        <f>IFERROR(VLOOKUP(C71,ghg_sort!$A$86:$B$512,2,0),0)</f>
        <v>Agriculture</v>
      </c>
      <c r="E71" s="33" t="s">
        <v>209</v>
      </c>
      <c r="F71" s="13">
        <f>IFERROR(VLOOKUP($E71,ghg_sort!$A$3:$B$21,2,0),0)</f>
        <v>0</v>
      </c>
      <c r="G71" s="13">
        <f t="shared" si="5"/>
        <v>0</v>
      </c>
      <c r="H71" s="13">
        <f t="shared" si="5"/>
        <v>0</v>
      </c>
      <c r="I71" s="13">
        <f t="shared" si="5"/>
        <v>0</v>
      </c>
      <c r="J71" s="13">
        <f t="shared" si="4"/>
        <v>0</v>
      </c>
      <c r="K71" s="13">
        <f t="shared" si="4"/>
        <v>0</v>
      </c>
      <c r="L71" s="13">
        <f t="shared" si="4"/>
        <v>0</v>
      </c>
      <c r="M71" s="13">
        <f t="shared" si="4"/>
        <v>0</v>
      </c>
      <c r="N71" s="13">
        <f t="shared" si="4"/>
        <v>0</v>
      </c>
      <c r="O71" s="13">
        <f t="shared" si="4"/>
        <v>0</v>
      </c>
      <c r="P71" s="13">
        <f t="shared" si="2"/>
        <v>0</v>
      </c>
      <c r="Q71" s="13">
        <f t="shared" si="2"/>
        <v>0</v>
      </c>
      <c r="R71" s="13" t="s">
        <v>239</v>
      </c>
      <c r="T71" s="63">
        <v>1.6790999999999999E-5</v>
      </c>
      <c r="U71" s="63">
        <v>1.18305E-5</v>
      </c>
      <c r="V71" s="63">
        <v>1.147675E-5</v>
      </c>
      <c r="W71" s="63">
        <v>1.148942E-5</v>
      </c>
      <c r="X71" s="63">
        <v>8.6893899999999995E-6</v>
      </c>
      <c r="Y71" s="63">
        <v>6.3228919999999998E-6</v>
      </c>
      <c r="Z71" s="63">
        <v>6.6131649999999904E-6</v>
      </c>
      <c r="AA71" s="63">
        <v>7.0694879999999902E-6</v>
      </c>
      <c r="AB71" s="63">
        <v>7.6298469999999996E-6</v>
      </c>
      <c r="AC71" s="63">
        <v>8.4633900000000003E-6</v>
      </c>
      <c r="AD71" s="63">
        <v>9.3300640000000005E-6</v>
      </c>
      <c r="AE71" s="13" t="s">
        <v>93</v>
      </c>
    </row>
    <row r="72" spans="1:31">
      <c r="A72" s="13" t="s">
        <v>324</v>
      </c>
      <c r="B72" s="13" t="s">
        <v>1</v>
      </c>
      <c r="C72" s="13" t="s">
        <v>218</v>
      </c>
      <c r="D72" s="13" t="str">
        <f>IFERROR(VLOOKUP(C72,ghg_sort!$A$86:$B$512,2,0),0)</f>
        <v>Agriculture</v>
      </c>
      <c r="E72" s="33" t="s">
        <v>210</v>
      </c>
      <c r="F72" s="13">
        <f>IFERROR(VLOOKUP($E72,ghg_sort!$A$3:$B$21,2,0),0)</f>
        <v>0</v>
      </c>
      <c r="G72" s="13">
        <f t="shared" si="5"/>
        <v>0</v>
      </c>
      <c r="H72" s="13">
        <f t="shared" si="5"/>
        <v>0</v>
      </c>
      <c r="I72" s="13">
        <f t="shared" si="5"/>
        <v>0</v>
      </c>
      <c r="J72" s="13">
        <f t="shared" si="4"/>
        <v>0</v>
      </c>
      <c r="K72" s="13">
        <f t="shared" si="4"/>
        <v>0</v>
      </c>
      <c r="L72" s="13">
        <f t="shared" si="4"/>
        <v>0</v>
      </c>
      <c r="M72" s="13">
        <f t="shared" si="4"/>
        <v>0</v>
      </c>
      <c r="N72" s="13">
        <f t="shared" si="4"/>
        <v>0</v>
      </c>
      <c r="O72" s="13">
        <f t="shared" si="4"/>
        <v>0</v>
      </c>
      <c r="P72" s="13">
        <f t="shared" si="2"/>
        <v>0</v>
      </c>
      <c r="Q72" s="13">
        <f t="shared" si="2"/>
        <v>0</v>
      </c>
      <c r="R72" s="13" t="s">
        <v>239</v>
      </c>
      <c r="T72" s="63">
        <v>1.891951E-4</v>
      </c>
      <c r="U72" s="63">
        <v>1.330696E-4</v>
      </c>
      <c r="V72" s="63">
        <v>1.2909050000000001E-4</v>
      </c>
      <c r="W72" s="63">
        <v>1.2923319999999999E-4</v>
      </c>
      <c r="X72" s="63">
        <v>9.7738299999999904E-5</v>
      </c>
      <c r="Y72" s="63">
        <v>7.1120080000000002E-5</v>
      </c>
      <c r="Z72" s="63">
        <v>7.4384979999999999E-5</v>
      </c>
      <c r="AA72" s="63">
        <v>7.9517560000000003E-5</v>
      </c>
      <c r="AB72" s="63">
        <v>8.5820599999999895E-5</v>
      </c>
      <c r="AC72" s="63">
        <v>9.5196299999999995E-5</v>
      </c>
      <c r="AD72" s="63">
        <v>1.049447E-4</v>
      </c>
      <c r="AE72" s="13" t="s">
        <v>93</v>
      </c>
    </row>
    <row r="73" spans="1:31">
      <c r="A73" s="13" t="s">
        <v>324</v>
      </c>
      <c r="B73" s="13" t="s">
        <v>1</v>
      </c>
      <c r="C73" s="13" t="s">
        <v>218</v>
      </c>
      <c r="D73" s="13" t="str">
        <f>IFERROR(VLOOKUP(C73,ghg_sort!$A$86:$B$512,2,0),0)</f>
        <v>Agriculture</v>
      </c>
      <c r="E73" s="33" t="s">
        <v>204</v>
      </c>
      <c r="F73" s="13">
        <f>IFERROR(VLOOKUP($E73,ghg_sort!$A$3:$B$21,2,0),0)</f>
        <v>0</v>
      </c>
      <c r="G73" s="13">
        <f t="shared" si="5"/>
        <v>0</v>
      </c>
      <c r="H73" s="13">
        <f t="shared" si="5"/>
        <v>0</v>
      </c>
      <c r="I73" s="13">
        <f t="shared" si="5"/>
        <v>0</v>
      </c>
      <c r="J73" s="13">
        <f t="shared" si="4"/>
        <v>0</v>
      </c>
      <c r="K73" s="13">
        <f t="shared" si="4"/>
        <v>0</v>
      </c>
      <c r="L73" s="13">
        <f t="shared" si="4"/>
        <v>0</v>
      </c>
      <c r="M73" s="13">
        <f t="shared" si="4"/>
        <v>0</v>
      </c>
      <c r="N73" s="13">
        <f t="shared" si="4"/>
        <v>0</v>
      </c>
      <c r="O73" s="13">
        <f t="shared" si="4"/>
        <v>0</v>
      </c>
      <c r="P73" s="13">
        <f t="shared" si="2"/>
        <v>0</v>
      </c>
      <c r="Q73" s="13">
        <f t="shared" si="2"/>
        <v>0</v>
      </c>
      <c r="R73" s="13" t="s">
        <v>239</v>
      </c>
      <c r="T73" s="63">
        <v>8.2003999999999996E-4</v>
      </c>
      <c r="U73" s="63">
        <v>5.7044509999999997E-4</v>
      </c>
      <c r="V73" s="63">
        <v>5.3241110000000003E-4</v>
      </c>
      <c r="W73" s="63">
        <v>4.8205359999999899E-4</v>
      </c>
      <c r="X73" s="63">
        <v>5.2965230000000002E-4</v>
      </c>
      <c r="Y73" s="63">
        <v>6.3285979999999999E-4</v>
      </c>
      <c r="Z73" s="63">
        <v>6.9366019999999998E-4</v>
      </c>
      <c r="AA73" s="63">
        <v>7.4152229999999999E-4</v>
      </c>
      <c r="AB73" s="63">
        <v>8.0029999999999902E-4</v>
      </c>
      <c r="AC73" s="63">
        <v>8.8773109999999895E-4</v>
      </c>
      <c r="AD73" s="63">
        <v>9.7863700000000008E-4</v>
      </c>
      <c r="AE73" s="13" t="s">
        <v>93</v>
      </c>
    </row>
    <row r="74" spans="1:31">
      <c r="A74" s="13" t="s">
        <v>324</v>
      </c>
      <c r="B74" s="13" t="s">
        <v>1</v>
      </c>
      <c r="C74" s="13" t="s">
        <v>218</v>
      </c>
      <c r="D74" s="13" t="str">
        <f>IFERROR(VLOOKUP(C74,ghg_sort!$A$86:$B$512,2,0),0)</f>
        <v>Agriculture</v>
      </c>
      <c r="E74" s="33" t="s">
        <v>211</v>
      </c>
      <c r="F74" s="13">
        <f>IFERROR(VLOOKUP($E74,ghg_sort!$A$3:$B$21,2,0),0)</f>
        <v>0</v>
      </c>
      <c r="G74" s="13">
        <f t="shared" si="5"/>
        <v>0</v>
      </c>
      <c r="H74" s="13">
        <f t="shared" si="5"/>
        <v>0</v>
      </c>
      <c r="I74" s="13">
        <f t="shared" si="5"/>
        <v>0</v>
      </c>
      <c r="J74" s="13">
        <f t="shared" si="4"/>
        <v>0</v>
      </c>
      <c r="K74" s="13">
        <f t="shared" si="4"/>
        <v>0</v>
      </c>
      <c r="L74" s="13">
        <f t="shared" si="4"/>
        <v>0</v>
      </c>
      <c r="M74" s="13">
        <f t="shared" si="4"/>
        <v>0</v>
      </c>
      <c r="N74" s="13">
        <f t="shared" si="4"/>
        <v>0</v>
      </c>
      <c r="O74" s="13">
        <f t="shared" si="4"/>
        <v>0</v>
      </c>
      <c r="P74" s="13">
        <f t="shared" si="2"/>
        <v>0</v>
      </c>
      <c r="Q74" s="13">
        <f t="shared" si="2"/>
        <v>0</v>
      </c>
      <c r="R74" s="13" t="s">
        <v>239</v>
      </c>
      <c r="T74" s="63">
        <v>2.40646E-5</v>
      </c>
      <c r="U74" s="63">
        <v>1.69552E-5</v>
      </c>
      <c r="V74" s="63">
        <v>1.644821E-5</v>
      </c>
      <c r="W74" s="63">
        <v>1.646637E-5</v>
      </c>
      <c r="X74" s="63">
        <v>1.245343E-5</v>
      </c>
      <c r="Y74" s="63">
        <v>9.0618199999999999E-6</v>
      </c>
      <c r="Z74" s="63">
        <v>9.4778499999999994E-6</v>
      </c>
      <c r="AA74" s="63">
        <v>1.013182E-5</v>
      </c>
      <c r="AB74" s="63">
        <v>1.0934920000000001E-5</v>
      </c>
      <c r="AC74" s="63">
        <v>1.2129540000000001E-5</v>
      </c>
      <c r="AD74" s="63">
        <v>1.337164E-5</v>
      </c>
      <c r="AE74" s="13" t="s">
        <v>93</v>
      </c>
    </row>
    <row r="75" spans="1:31">
      <c r="A75" s="13" t="s">
        <v>324</v>
      </c>
      <c r="B75" s="13" t="s">
        <v>1</v>
      </c>
      <c r="C75" s="13" t="s">
        <v>218</v>
      </c>
      <c r="D75" s="13" t="str">
        <f>IFERROR(VLOOKUP(C75,ghg_sort!$A$86:$B$512,2,0),0)</f>
        <v>Agriculture</v>
      </c>
      <c r="E75" s="33" t="s">
        <v>212</v>
      </c>
      <c r="F75" s="13">
        <f>IFERROR(VLOOKUP($E75,ghg_sort!$A$3:$B$21,2,0),0)</f>
        <v>0</v>
      </c>
      <c r="G75" s="13">
        <f t="shared" si="5"/>
        <v>0</v>
      </c>
      <c r="H75" s="13">
        <f t="shared" si="5"/>
        <v>0</v>
      </c>
      <c r="I75" s="13">
        <f t="shared" si="5"/>
        <v>0</v>
      </c>
      <c r="J75" s="13">
        <f t="shared" si="4"/>
        <v>0</v>
      </c>
      <c r="K75" s="13">
        <f t="shared" si="4"/>
        <v>0</v>
      </c>
      <c r="L75" s="13">
        <f t="shared" si="4"/>
        <v>0</v>
      </c>
      <c r="M75" s="13">
        <f t="shared" si="4"/>
        <v>0</v>
      </c>
      <c r="N75" s="13">
        <f t="shared" si="4"/>
        <v>0</v>
      </c>
      <c r="O75" s="13">
        <f t="shared" si="4"/>
        <v>0</v>
      </c>
      <c r="P75" s="13">
        <f t="shared" si="2"/>
        <v>0</v>
      </c>
      <c r="Q75" s="13">
        <f t="shared" si="2"/>
        <v>0</v>
      </c>
      <c r="R75" s="13" t="s">
        <v>239</v>
      </c>
      <c r="T75" s="63">
        <v>1.7796899999999999E-5</v>
      </c>
      <c r="U75" s="63">
        <v>1.25391999999999E-5</v>
      </c>
      <c r="V75" s="63">
        <v>3.0676580000000002E-4</v>
      </c>
      <c r="W75" s="63">
        <v>3.0710470000000001E-4</v>
      </c>
      <c r="X75" s="63">
        <v>2.3226130000000001E-4</v>
      </c>
      <c r="Y75" s="63">
        <v>1.690068E-4</v>
      </c>
      <c r="Z75" s="63">
        <v>1.7676549999999999E-4</v>
      </c>
      <c r="AA75" s="63">
        <v>1.88962299999999E-4</v>
      </c>
      <c r="AB75" s="63">
        <v>2.0394059999999999E-4</v>
      </c>
      <c r="AC75" s="63">
        <v>2.2622089999999999E-4</v>
      </c>
      <c r="AD75" s="63">
        <v>2.4938609999999899E-4</v>
      </c>
      <c r="AE75" s="13" t="s">
        <v>93</v>
      </c>
    </row>
    <row r="76" spans="1:31">
      <c r="A76" s="13" t="s">
        <v>324</v>
      </c>
      <c r="B76" s="13" t="s">
        <v>1</v>
      </c>
      <c r="C76" s="13" t="s">
        <v>218</v>
      </c>
      <c r="D76" s="13" t="str">
        <f>IFERROR(VLOOKUP(C76,ghg_sort!$A$86:$B$512,2,0),0)</f>
        <v>Agriculture</v>
      </c>
      <c r="E76" s="33" t="s">
        <v>213</v>
      </c>
      <c r="F76" s="13">
        <f>IFERROR(VLOOKUP($E76,ghg_sort!$A$3:$B$21,2,0),0)</f>
        <v>0</v>
      </c>
      <c r="G76" s="13">
        <f t="shared" si="5"/>
        <v>0</v>
      </c>
      <c r="H76" s="13">
        <f t="shared" si="5"/>
        <v>0</v>
      </c>
      <c r="I76" s="13">
        <f t="shared" si="5"/>
        <v>0</v>
      </c>
      <c r="J76" s="13">
        <f t="shared" si="4"/>
        <v>0</v>
      </c>
      <c r="K76" s="13">
        <f t="shared" si="4"/>
        <v>0</v>
      </c>
      <c r="L76" s="13">
        <f t="shared" si="4"/>
        <v>0</v>
      </c>
      <c r="M76" s="13">
        <f t="shared" si="4"/>
        <v>0</v>
      </c>
      <c r="N76" s="13">
        <f t="shared" si="4"/>
        <v>0</v>
      </c>
      <c r="O76" s="13">
        <f t="shared" si="4"/>
        <v>0</v>
      </c>
      <c r="P76" s="13">
        <f t="shared" si="2"/>
        <v>0</v>
      </c>
      <c r="Q76" s="13">
        <f t="shared" si="2"/>
        <v>0</v>
      </c>
      <c r="R76" s="13" t="s">
        <v>239</v>
      </c>
      <c r="T76" s="63">
        <v>3.0950999999999998E-6</v>
      </c>
      <c r="U76" s="63">
        <v>2.18069999999999E-6</v>
      </c>
      <c r="V76" s="63">
        <v>2.1154929999999999E-6</v>
      </c>
      <c r="W76" s="63">
        <v>2.117829E-6</v>
      </c>
      <c r="X76" s="63">
        <v>1.6017009999999899E-6</v>
      </c>
      <c r="Y76" s="63">
        <v>1.1654920000000001E-6</v>
      </c>
      <c r="Z76" s="63">
        <v>1.218997E-6</v>
      </c>
      <c r="AA76" s="63">
        <v>1.3031080000000001E-6</v>
      </c>
      <c r="AB76" s="63">
        <v>1.406399E-6</v>
      </c>
      <c r="AC76" s="63">
        <v>1.5600459999999899E-6</v>
      </c>
      <c r="AD76" s="63">
        <v>1.7198E-6</v>
      </c>
      <c r="AE76" s="13" t="s">
        <v>93</v>
      </c>
    </row>
    <row r="77" spans="1:31">
      <c r="A77" s="13" t="s">
        <v>324</v>
      </c>
      <c r="B77" s="13" t="s">
        <v>1</v>
      </c>
      <c r="C77" s="13" t="s">
        <v>219</v>
      </c>
      <c r="D77" s="13" t="str">
        <f>IFERROR(VLOOKUP(C77,ghg_sort!$A$86:$B$512,2,0),0)</f>
        <v>Agriculture</v>
      </c>
      <c r="E77" s="33" t="s">
        <v>206</v>
      </c>
      <c r="F77" s="13">
        <f>IFERROR(VLOOKUP($E77,ghg_sort!$A$3:$B$21,2,0),0)</f>
        <v>0</v>
      </c>
      <c r="G77" s="13">
        <f t="shared" si="5"/>
        <v>0</v>
      </c>
      <c r="H77" s="13">
        <f t="shared" si="5"/>
        <v>0</v>
      </c>
      <c r="I77" s="13">
        <f t="shared" si="5"/>
        <v>0</v>
      </c>
      <c r="J77" s="13">
        <f t="shared" si="4"/>
        <v>0</v>
      </c>
      <c r="K77" s="13">
        <f t="shared" si="4"/>
        <v>0</v>
      </c>
      <c r="L77" s="13">
        <f t="shared" si="4"/>
        <v>0</v>
      </c>
      <c r="M77" s="13">
        <f t="shared" si="4"/>
        <v>0</v>
      </c>
      <c r="N77" s="13">
        <f t="shared" si="4"/>
        <v>0</v>
      </c>
      <c r="O77" s="13">
        <f t="shared" si="4"/>
        <v>0</v>
      </c>
      <c r="P77" s="13">
        <f t="shared" si="2"/>
        <v>0</v>
      </c>
      <c r="Q77" s="13">
        <f t="shared" si="2"/>
        <v>0</v>
      </c>
      <c r="R77" s="13" t="s">
        <v>239</v>
      </c>
      <c r="T77" s="63">
        <v>2.7025E-6</v>
      </c>
      <c r="U77" s="63">
        <v>1.2482E-6</v>
      </c>
      <c r="V77" s="63">
        <v>1.04549684E-5</v>
      </c>
      <c r="W77" s="63">
        <v>7.7385291999999997E-6</v>
      </c>
      <c r="X77" s="63">
        <v>5.5426462E-6</v>
      </c>
      <c r="Y77" s="63">
        <v>3.6586309300000002E-6</v>
      </c>
      <c r="Z77" s="63">
        <v>3.64892570999999E-6</v>
      </c>
      <c r="AA77" s="63">
        <v>3.79999605999999E-6</v>
      </c>
      <c r="AB77" s="63">
        <v>3.9373441999999998E-6</v>
      </c>
      <c r="AC77" s="63">
        <v>4.1288300499999997E-6</v>
      </c>
      <c r="AD77" s="63">
        <v>4.3350811099999997E-6</v>
      </c>
      <c r="AE77" s="13" t="s">
        <v>93</v>
      </c>
    </row>
    <row r="78" spans="1:31">
      <c r="A78" s="13" t="s">
        <v>324</v>
      </c>
      <c r="B78" s="13" t="s">
        <v>1</v>
      </c>
      <c r="C78" s="13" t="s">
        <v>219</v>
      </c>
      <c r="D78" s="13" t="str">
        <f>IFERROR(VLOOKUP(C78,ghg_sort!$A$86:$B$512,2,0),0)</f>
        <v>Agriculture</v>
      </c>
      <c r="E78" s="33" t="s">
        <v>105</v>
      </c>
      <c r="F78" s="13">
        <f>IFERROR(VLOOKUP($E78,ghg_sort!$A$3:$B$21,2,0),0)</f>
        <v>25</v>
      </c>
      <c r="G78" s="13">
        <f t="shared" si="5"/>
        <v>5.2428749999999997E-4</v>
      </c>
      <c r="H78" s="13">
        <f t="shared" si="5"/>
        <v>2.4215749999999977E-4</v>
      </c>
      <c r="I78" s="13">
        <f t="shared" si="5"/>
        <v>1.255856025E-4</v>
      </c>
      <c r="J78" s="13">
        <f t="shared" si="4"/>
        <v>9.2955437000000009E-5</v>
      </c>
      <c r="K78" s="13">
        <f t="shared" si="4"/>
        <v>6.6578477749999756E-5</v>
      </c>
      <c r="L78" s="13">
        <f t="shared" si="4"/>
        <v>4.394758625E-5</v>
      </c>
      <c r="M78" s="13">
        <f t="shared" si="4"/>
        <v>4.383109025E-5</v>
      </c>
      <c r="N78" s="13">
        <f t="shared" si="4"/>
        <v>4.5645880000000001E-5</v>
      </c>
      <c r="O78" s="13">
        <f t="shared" si="4"/>
        <v>4.7295496750000001E-5</v>
      </c>
      <c r="P78" s="13">
        <f t="shared" si="2"/>
        <v>4.9595774999999751E-5</v>
      </c>
      <c r="Q78" s="13">
        <f t="shared" si="2"/>
        <v>5.207320024999975E-5</v>
      </c>
      <c r="R78" s="13" t="s">
        <v>239</v>
      </c>
      <c r="T78" s="63">
        <v>2.0971500000000001E-5</v>
      </c>
      <c r="U78" s="63">
        <v>9.6862999999999906E-6</v>
      </c>
      <c r="V78" s="63">
        <v>5.0234240999999998E-6</v>
      </c>
      <c r="W78" s="63">
        <v>3.7182174800000001E-6</v>
      </c>
      <c r="X78" s="63">
        <v>2.66313910999999E-6</v>
      </c>
      <c r="Y78" s="63">
        <v>1.75790345E-6</v>
      </c>
      <c r="Z78" s="63">
        <v>1.75324361E-6</v>
      </c>
      <c r="AA78" s="63">
        <v>1.8258351999999999E-6</v>
      </c>
      <c r="AB78" s="63">
        <v>1.8918198699999999E-6</v>
      </c>
      <c r="AC78" s="63">
        <v>1.98383099999999E-6</v>
      </c>
      <c r="AD78" s="63">
        <v>2.08292800999999E-6</v>
      </c>
      <c r="AE78" s="13" t="s">
        <v>93</v>
      </c>
    </row>
    <row r="79" spans="1:31">
      <c r="A79" s="13" t="s">
        <v>324</v>
      </c>
      <c r="B79" s="13" t="s">
        <v>1</v>
      </c>
      <c r="C79" s="13" t="s">
        <v>219</v>
      </c>
      <c r="D79" s="13" t="str">
        <f>IFERROR(VLOOKUP(C79,ghg_sort!$A$86:$B$512,2,0),0)</f>
        <v>Agriculture</v>
      </c>
      <c r="E79" s="33" t="s">
        <v>207</v>
      </c>
      <c r="F79" s="13">
        <f>IFERROR(VLOOKUP($E79,ghg_sort!$A$3:$B$21,2,0),0)</f>
        <v>0</v>
      </c>
      <c r="G79" s="13">
        <f t="shared" si="5"/>
        <v>0</v>
      </c>
      <c r="H79" s="13">
        <f t="shared" si="5"/>
        <v>0</v>
      </c>
      <c r="I79" s="13">
        <f t="shared" si="5"/>
        <v>0</v>
      </c>
      <c r="J79" s="13">
        <f t="shared" si="4"/>
        <v>0</v>
      </c>
      <c r="K79" s="13">
        <f t="shared" si="4"/>
        <v>0</v>
      </c>
      <c r="L79" s="13">
        <f t="shared" si="4"/>
        <v>0</v>
      </c>
      <c r="M79" s="13">
        <f t="shared" si="4"/>
        <v>0</v>
      </c>
      <c r="N79" s="13">
        <f t="shared" si="4"/>
        <v>0</v>
      </c>
      <c r="O79" s="13">
        <f t="shared" si="4"/>
        <v>0</v>
      </c>
      <c r="P79" s="13">
        <f t="shared" si="2"/>
        <v>0</v>
      </c>
      <c r="Q79" s="13">
        <f t="shared" si="2"/>
        <v>0</v>
      </c>
      <c r="R79" s="13" t="s">
        <v>239</v>
      </c>
      <c r="T79" s="63">
        <v>3.6754219999999898E-4</v>
      </c>
      <c r="U79" s="63">
        <v>1.6975900000000001E-4</v>
      </c>
      <c r="V79" s="63">
        <v>8.8039284000000006E-5</v>
      </c>
      <c r="W79" s="63">
        <v>6.5164604999999996E-5</v>
      </c>
      <c r="X79" s="63">
        <v>4.6673486999999997E-5</v>
      </c>
      <c r="Y79" s="63">
        <v>3.08086022999999E-5</v>
      </c>
      <c r="Z79" s="63">
        <v>3.0726895600000002E-5</v>
      </c>
      <c r="AA79" s="63">
        <v>3.1999087800000001E-5</v>
      </c>
      <c r="AB79" s="63">
        <v>3.3155555999999998E-5</v>
      </c>
      <c r="AC79" s="63">
        <v>3.4768083699999998E-5</v>
      </c>
      <c r="AD79" s="63">
        <v>3.6504844699999998E-5</v>
      </c>
      <c r="AE79" s="13" t="s">
        <v>93</v>
      </c>
    </row>
    <row r="80" spans="1:31">
      <c r="A80" s="13" t="s">
        <v>324</v>
      </c>
      <c r="B80" s="13" t="s">
        <v>1</v>
      </c>
      <c r="C80" s="13" t="s">
        <v>219</v>
      </c>
      <c r="D80" s="13" t="str">
        <f>IFERROR(VLOOKUP(C80,ghg_sort!$A$86:$B$512,2,0),0)</f>
        <v>Agriculture</v>
      </c>
      <c r="E80" s="33" t="s">
        <v>208</v>
      </c>
      <c r="F80" s="13">
        <f>IFERROR(VLOOKUP($E80,ghg_sort!$A$3:$B$21,2,0),0)</f>
        <v>0</v>
      </c>
      <c r="G80" s="13">
        <f t="shared" si="5"/>
        <v>0</v>
      </c>
      <c r="H80" s="13">
        <f t="shared" si="5"/>
        <v>0</v>
      </c>
      <c r="I80" s="13">
        <f t="shared" si="5"/>
        <v>0</v>
      </c>
      <c r="J80" s="13">
        <f t="shared" si="4"/>
        <v>0</v>
      </c>
      <c r="K80" s="13">
        <f t="shared" si="4"/>
        <v>0</v>
      </c>
      <c r="L80" s="13">
        <f t="shared" si="4"/>
        <v>0</v>
      </c>
      <c r="M80" s="13">
        <f t="shared" si="4"/>
        <v>0</v>
      </c>
      <c r="N80" s="13">
        <f t="shared" si="4"/>
        <v>0</v>
      </c>
      <c r="O80" s="13">
        <f t="shared" si="4"/>
        <v>0</v>
      </c>
      <c r="P80" s="13">
        <f t="shared" si="2"/>
        <v>0</v>
      </c>
      <c r="Q80" s="13">
        <f t="shared" si="2"/>
        <v>0</v>
      </c>
      <c r="R80" s="13" t="s">
        <v>239</v>
      </c>
      <c r="T80" s="63">
        <v>8.5086000000000002E-6</v>
      </c>
      <c r="U80" s="63">
        <v>3.9361999999999997E-6</v>
      </c>
      <c r="V80" s="63">
        <v>2.0413553599999999E-6</v>
      </c>
      <c r="W80" s="63">
        <v>1.51096519E-6</v>
      </c>
      <c r="X80" s="63">
        <v>1.0822150999999999E-6</v>
      </c>
      <c r="Y80" s="63">
        <v>7.1435682999999999E-7</v>
      </c>
      <c r="Z80" s="63">
        <v>7.1246153999999999E-7</v>
      </c>
      <c r="AA80" s="63">
        <v>7.4195936000000002E-7</v>
      </c>
      <c r="AB80" s="63">
        <v>7.6877603999999996E-7</v>
      </c>
      <c r="AC80" s="63">
        <v>8.0616661000000001E-7</v>
      </c>
      <c r="AD80" s="63">
        <v>8.4643393000000001E-7</v>
      </c>
      <c r="AE80" s="13" t="s">
        <v>93</v>
      </c>
    </row>
    <row r="81" spans="1:31">
      <c r="A81" s="13" t="s">
        <v>324</v>
      </c>
      <c r="B81" s="13" t="s">
        <v>1</v>
      </c>
      <c r="C81" s="13" t="s">
        <v>219</v>
      </c>
      <c r="D81" s="13" t="str">
        <f>IFERROR(VLOOKUP(C81,ghg_sort!$A$86:$B$512,2,0),0)</f>
        <v>Agriculture</v>
      </c>
      <c r="E81" s="33" t="s">
        <v>101</v>
      </c>
      <c r="F81" s="13">
        <f>IFERROR(VLOOKUP($E81,ghg_sort!$A$3:$B$21,2,0),0)</f>
        <v>298</v>
      </c>
      <c r="G81" s="13">
        <f t="shared" si="5"/>
        <v>0.32715655839999996</v>
      </c>
      <c r="H81" s="13">
        <f t="shared" si="5"/>
        <v>0.20152759579999999</v>
      </c>
      <c r="I81" s="13">
        <f t="shared" si="5"/>
        <v>0.12816750539999969</v>
      </c>
      <c r="J81" s="13">
        <f t="shared" si="4"/>
        <v>0.11869772099999999</v>
      </c>
      <c r="K81" s="13">
        <f t="shared" si="4"/>
        <v>0.12104122488599971</v>
      </c>
      <c r="L81" s="13">
        <f t="shared" si="4"/>
        <v>0.12628464008000001</v>
      </c>
      <c r="M81" s="13">
        <f t="shared" si="4"/>
        <v>0.126266632238</v>
      </c>
      <c r="N81" s="13">
        <f t="shared" si="4"/>
        <v>0.130515622326</v>
      </c>
      <c r="O81" s="13">
        <f t="shared" si="4"/>
        <v>0.13511442537599999</v>
      </c>
      <c r="P81" s="13">
        <f t="shared" si="2"/>
        <v>0.14145008358</v>
      </c>
      <c r="Q81" s="13">
        <f t="shared" si="2"/>
        <v>0.14521273588</v>
      </c>
      <c r="R81" s="13" t="s">
        <v>239</v>
      </c>
      <c r="T81" s="62">
        <v>1.0978407999999999E-3</v>
      </c>
      <c r="U81" s="63">
        <v>6.7626709999999996E-4</v>
      </c>
      <c r="V81" s="63">
        <v>4.3009229999999899E-4</v>
      </c>
      <c r="W81" s="63">
        <v>3.9831449999999999E-4</v>
      </c>
      <c r="X81" s="63">
        <v>4.0617860699999902E-4</v>
      </c>
      <c r="Y81" s="63">
        <v>4.2377396000000002E-4</v>
      </c>
      <c r="Z81" s="63">
        <v>4.2371353099999998E-4</v>
      </c>
      <c r="AA81" s="63">
        <v>4.3797188699999998E-4</v>
      </c>
      <c r="AB81" s="63">
        <v>4.5340411200000001E-4</v>
      </c>
      <c r="AC81" s="63">
        <v>4.7466471E-4</v>
      </c>
      <c r="AD81" s="63">
        <v>4.8729106000000002E-4</v>
      </c>
      <c r="AE81" s="13" t="s">
        <v>93</v>
      </c>
    </row>
    <row r="82" spans="1:31">
      <c r="A82" s="13" t="s">
        <v>324</v>
      </c>
      <c r="B82" s="13" t="s">
        <v>1</v>
      </c>
      <c r="C82" s="13" t="s">
        <v>219</v>
      </c>
      <c r="D82" s="13" t="str">
        <f>IFERROR(VLOOKUP(C82,ghg_sort!$A$86:$B$512,2,0),0)</f>
        <v>Agriculture</v>
      </c>
      <c r="E82" s="33" t="s">
        <v>102</v>
      </c>
      <c r="F82" s="13">
        <f>IFERROR(VLOOKUP($E82,ghg_sort!$A$3:$B$21,2,0),0)</f>
        <v>298</v>
      </c>
      <c r="G82" s="13">
        <f t="shared" si="5"/>
        <v>1.0736939999999971E-4</v>
      </c>
      <c r="H82" s="13">
        <f t="shared" si="5"/>
        <v>4.9616999999999996E-5</v>
      </c>
      <c r="I82" s="13">
        <f t="shared" si="5"/>
        <v>2.5731955511999969E-5</v>
      </c>
      <c r="J82" s="13">
        <f t="shared" si="4"/>
        <v>1.9046175915999998E-5</v>
      </c>
      <c r="K82" s="13">
        <f t="shared" si="4"/>
        <v>1.3641619307999999E-5</v>
      </c>
      <c r="L82" s="13">
        <f t="shared" si="4"/>
        <v>8.9830484840000012E-6</v>
      </c>
      <c r="M82" s="13">
        <f t="shared" si="4"/>
        <v>8.9598783879999995E-6</v>
      </c>
      <c r="N82" s="13">
        <f t="shared" si="4"/>
        <v>9.3316265340000005E-6</v>
      </c>
      <c r="O82" s="13">
        <f t="shared" si="4"/>
        <v>9.669408938000001E-6</v>
      </c>
      <c r="P82" s="13">
        <f t="shared" si="2"/>
        <v>1.0140308836E-5</v>
      </c>
      <c r="Q82" s="13">
        <f t="shared" si="2"/>
        <v>1.0646750299999999E-5</v>
      </c>
      <c r="R82" s="13" t="s">
        <v>239</v>
      </c>
      <c r="T82" s="63">
        <v>3.6029999999999901E-7</v>
      </c>
      <c r="U82" s="63">
        <v>1.6649999999999999E-7</v>
      </c>
      <c r="V82" s="63">
        <v>8.6348843999999898E-8</v>
      </c>
      <c r="W82" s="63">
        <v>6.3913341999999995E-8</v>
      </c>
      <c r="X82" s="63">
        <v>4.5777245999999999E-8</v>
      </c>
      <c r="Y82" s="63">
        <v>3.0144458000000002E-8</v>
      </c>
      <c r="Z82" s="63">
        <v>3.0066705999999999E-8</v>
      </c>
      <c r="AA82" s="63">
        <v>3.1314183E-8</v>
      </c>
      <c r="AB82" s="63">
        <v>3.2447681000000001E-8</v>
      </c>
      <c r="AC82" s="63">
        <v>3.4027882000000001E-8</v>
      </c>
      <c r="AD82" s="63">
        <v>3.5727349999999999E-8</v>
      </c>
      <c r="AE82" s="13" t="s">
        <v>93</v>
      </c>
    </row>
    <row r="83" spans="1:31">
      <c r="A83" s="13" t="s">
        <v>324</v>
      </c>
      <c r="B83" s="13" t="s">
        <v>1</v>
      </c>
      <c r="C83" s="13" t="s">
        <v>219</v>
      </c>
      <c r="D83" s="13" t="str">
        <f>IFERROR(VLOOKUP(C83,ghg_sort!$A$86:$B$512,2,0),0)</f>
        <v>Agriculture</v>
      </c>
      <c r="E83" s="33" t="s">
        <v>202</v>
      </c>
      <c r="F83" s="13">
        <f>IFERROR(VLOOKUP($E83,ghg_sort!$A$3:$B$21,2,0),0)</f>
        <v>0</v>
      </c>
      <c r="G83" s="13">
        <f t="shared" si="5"/>
        <v>0</v>
      </c>
      <c r="H83" s="13">
        <f t="shared" si="5"/>
        <v>0</v>
      </c>
      <c r="I83" s="13">
        <f t="shared" si="5"/>
        <v>0</v>
      </c>
      <c r="J83" s="13">
        <f t="shared" si="4"/>
        <v>0</v>
      </c>
      <c r="K83" s="13">
        <f t="shared" si="4"/>
        <v>0</v>
      </c>
      <c r="L83" s="13">
        <f t="shared" si="4"/>
        <v>0</v>
      </c>
      <c r="M83" s="13">
        <f t="shared" si="4"/>
        <v>0</v>
      </c>
      <c r="N83" s="13">
        <f t="shared" si="4"/>
        <v>0</v>
      </c>
      <c r="O83" s="13">
        <f t="shared" si="4"/>
        <v>0</v>
      </c>
      <c r="P83" s="13">
        <f t="shared" si="2"/>
        <v>0</v>
      </c>
      <c r="Q83" s="13">
        <f t="shared" si="2"/>
        <v>0</v>
      </c>
      <c r="R83" s="13" t="s">
        <v>239</v>
      </c>
      <c r="T83" s="62">
        <v>6.3244305000000004E-3</v>
      </c>
      <c r="U83" s="62">
        <v>4.0944589999999999E-3</v>
      </c>
      <c r="V83" s="62">
        <v>2.8486894999999999E-3</v>
      </c>
      <c r="W83" s="62">
        <v>2.5042787000000002E-3</v>
      </c>
      <c r="X83" s="62">
        <v>2.60584334E-3</v>
      </c>
      <c r="Y83" s="62">
        <v>2.8244788300000002E-3</v>
      </c>
      <c r="Z83" s="62">
        <v>2.95209599E-3</v>
      </c>
      <c r="AA83" s="62">
        <v>3.0743140600000001E-3</v>
      </c>
      <c r="AB83" s="62">
        <v>3.1854317699999998E-3</v>
      </c>
      <c r="AC83" s="62">
        <v>3.3403546800000001E-3</v>
      </c>
      <c r="AD83" s="62">
        <v>3.5072095600000002E-3</v>
      </c>
      <c r="AE83" s="13" t="s">
        <v>93</v>
      </c>
    </row>
    <row r="84" spans="1:31">
      <c r="A84" s="13" t="s">
        <v>324</v>
      </c>
      <c r="B84" s="13" t="s">
        <v>1</v>
      </c>
      <c r="C84" s="13" t="s">
        <v>219</v>
      </c>
      <c r="D84" s="13" t="str">
        <f>IFERROR(VLOOKUP(C84,ghg_sort!$A$86:$B$512,2,0),0)</f>
        <v>Agriculture</v>
      </c>
      <c r="E84" s="33" t="s">
        <v>209</v>
      </c>
      <c r="F84" s="13">
        <f>IFERROR(VLOOKUP($E84,ghg_sort!$A$3:$B$21,2,0),0)</f>
        <v>0</v>
      </c>
      <c r="G84" s="13">
        <f t="shared" si="5"/>
        <v>0</v>
      </c>
      <c r="H84" s="13">
        <f t="shared" si="5"/>
        <v>0</v>
      </c>
      <c r="I84" s="13">
        <f t="shared" si="5"/>
        <v>0</v>
      </c>
      <c r="J84" s="13">
        <f t="shared" si="4"/>
        <v>0</v>
      </c>
      <c r="K84" s="13">
        <f t="shared" si="4"/>
        <v>0</v>
      </c>
      <c r="L84" s="13">
        <f t="shared" si="4"/>
        <v>0</v>
      </c>
      <c r="M84" s="13">
        <f t="shared" si="4"/>
        <v>0</v>
      </c>
      <c r="N84" s="13">
        <f t="shared" si="4"/>
        <v>0</v>
      </c>
      <c r="O84" s="13">
        <f t="shared" si="4"/>
        <v>0</v>
      </c>
      <c r="P84" s="13">
        <f t="shared" si="2"/>
        <v>0</v>
      </c>
      <c r="Q84" s="13">
        <f t="shared" si="2"/>
        <v>0</v>
      </c>
      <c r="R84" s="13" t="s">
        <v>239</v>
      </c>
      <c r="T84" s="63">
        <v>7.8191999999999996E-6</v>
      </c>
      <c r="U84" s="63">
        <v>3.6115999999999999E-6</v>
      </c>
      <c r="V84" s="63">
        <v>1.8730162E-6</v>
      </c>
      <c r="W84" s="63">
        <v>1.3863634800000001E-6</v>
      </c>
      <c r="X84" s="63">
        <v>9.9296973999999999E-7</v>
      </c>
      <c r="Y84" s="63">
        <v>6.5544619999999999E-7</v>
      </c>
      <c r="Z84" s="63">
        <v>6.5370824000000002E-7</v>
      </c>
      <c r="AA84" s="63">
        <v>6.8077216000000003E-7</v>
      </c>
      <c r="AB84" s="63">
        <v>7.0537789E-7</v>
      </c>
      <c r="AC84" s="63">
        <v>7.3968344999999998E-7</v>
      </c>
      <c r="AD84" s="63">
        <v>7.7663278000000001E-7</v>
      </c>
      <c r="AE84" s="13" t="s">
        <v>93</v>
      </c>
    </row>
    <row r="85" spans="1:31">
      <c r="A85" s="13" t="s">
        <v>324</v>
      </c>
      <c r="B85" s="13" t="s">
        <v>1</v>
      </c>
      <c r="C85" s="13" t="s">
        <v>219</v>
      </c>
      <c r="D85" s="13" t="str">
        <f>IFERROR(VLOOKUP(C85,ghg_sort!$A$86:$B$512,2,0),0)</f>
        <v>Agriculture</v>
      </c>
      <c r="E85" s="33" t="s">
        <v>210</v>
      </c>
      <c r="F85" s="13">
        <f>IFERROR(VLOOKUP($E85,ghg_sort!$A$3:$B$21,2,0),0)</f>
        <v>0</v>
      </c>
      <c r="G85" s="13">
        <f t="shared" si="5"/>
        <v>0</v>
      </c>
      <c r="H85" s="13">
        <f t="shared" si="5"/>
        <v>0</v>
      </c>
      <c r="I85" s="13">
        <f t="shared" si="5"/>
        <v>0</v>
      </c>
      <c r="J85" s="13">
        <f t="shared" si="4"/>
        <v>0</v>
      </c>
      <c r="K85" s="13">
        <f t="shared" si="4"/>
        <v>0</v>
      </c>
      <c r="L85" s="13">
        <f t="shared" si="4"/>
        <v>0</v>
      </c>
      <c r="M85" s="13">
        <f t="shared" si="4"/>
        <v>0</v>
      </c>
      <c r="N85" s="13">
        <f t="shared" si="4"/>
        <v>0</v>
      </c>
      <c r="O85" s="13">
        <f t="shared" si="4"/>
        <v>0</v>
      </c>
      <c r="P85" s="13">
        <f t="shared" si="2"/>
        <v>0</v>
      </c>
      <c r="Q85" s="13">
        <f t="shared" si="2"/>
        <v>0</v>
      </c>
      <c r="R85" s="13" t="s">
        <v>239</v>
      </c>
      <c r="T85" s="63">
        <v>8.8104799999999997E-5</v>
      </c>
      <c r="U85" s="63">
        <v>4.06227E-5</v>
      </c>
      <c r="V85" s="63">
        <v>2.1067421600000001E-5</v>
      </c>
      <c r="W85" s="63">
        <v>1.5593594700000001E-5</v>
      </c>
      <c r="X85" s="63">
        <v>1.1168771699999901E-5</v>
      </c>
      <c r="Y85" s="63">
        <v>7.3723612999999997E-6</v>
      </c>
      <c r="Z85" s="63">
        <v>7.3528156999999999E-6</v>
      </c>
      <c r="AA85" s="63">
        <v>7.6572258999999996E-6</v>
      </c>
      <c r="AB85" s="63">
        <v>7.9339808000000004E-6</v>
      </c>
      <c r="AC85" s="63">
        <v>8.3198559999999994E-6</v>
      </c>
      <c r="AD85" s="63">
        <v>8.7354410999999998E-6</v>
      </c>
      <c r="AE85" s="13" t="s">
        <v>93</v>
      </c>
    </row>
    <row r="86" spans="1:31">
      <c r="A86" s="13" t="s">
        <v>324</v>
      </c>
      <c r="B86" s="13" t="s">
        <v>1</v>
      </c>
      <c r="C86" s="13" t="s">
        <v>219</v>
      </c>
      <c r="D86" s="13" t="str">
        <f>IFERROR(VLOOKUP(C86,ghg_sort!$A$86:$B$512,2,0),0)</f>
        <v>Agriculture</v>
      </c>
      <c r="E86" s="33" t="s">
        <v>204</v>
      </c>
      <c r="F86" s="13">
        <f>IFERROR(VLOOKUP($E86,ghg_sort!$A$3:$B$21,2,0),0)</f>
        <v>0</v>
      </c>
      <c r="G86" s="13">
        <f t="shared" si="5"/>
        <v>0</v>
      </c>
      <c r="H86" s="13">
        <f t="shared" si="5"/>
        <v>0</v>
      </c>
      <c r="I86" s="13">
        <f t="shared" si="5"/>
        <v>0</v>
      </c>
      <c r="J86" s="13">
        <f t="shared" si="4"/>
        <v>0</v>
      </c>
      <c r="K86" s="13">
        <f t="shared" si="4"/>
        <v>0</v>
      </c>
      <c r="L86" s="13">
        <f t="shared" si="4"/>
        <v>0</v>
      </c>
      <c r="M86" s="13">
        <f t="shared" si="4"/>
        <v>0</v>
      </c>
      <c r="N86" s="13">
        <f t="shared" si="4"/>
        <v>0</v>
      </c>
      <c r="O86" s="13">
        <f t="shared" si="4"/>
        <v>0</v>
      </c>
      <c r="P86" s="13">
        <f t="shared" si="2"/>
        <v>0</v>
      </c>
      <c r="Q86" s="13">
        <f t="shared" si="2"/>
        <v>0</v>
      </c>
      <c r="R86" s="13" t="s">
        <v>239</v>
      </c>
      <c r="T86" s="63">
        <v>5.3049219999999999E-4</v>
      </c>
      <c r="U86" s="63">
        <v>2.6328549999999999E-4</v>
      </c>
      <c r="V86" s="63">
        <v>1.939337E-4</v>
      </c>
      <c r="W86" s="63">
        <v>1.449356E-4</v>
      </c>
      <c r="X86" s="63">
        <v>1.50813223E-4</v>
      </c>
      <c r="Y86" s="63">
        <v>1.63466514E-4</v>
      </c>
      <c r="Z86" s="63">
        <v>1.7085293600000001E-4</v>
      </c>
      <c r="AA86" s="63">
        <v>1.77926619999999E-4</v>
      </c>
      <c r="AB86" s="63">
        <v>1.84356888E-4</v>
      </c>
      <c r="AC86" s="63">
        <v>1.9332390299999999E-4</v>
      </c>
      <c r="AD86" s="63">
        <v>2.0298052799999999E-4</v>
      </c>
      <c r="AE86" s="13" t="s">
        <v>93</v>
      </c>
    </row>
    <row r="87" spans="1:31">
      <c r="A87" s="13" t="s">
        <v>324</v>
      </c>
      <c r="B87" s="13" t="s">
        <v>1</v>
      </c>
      <c r="C87" s="13" t="s">
        <v>219</v>
      </c>
      <c r="D87" s="13" t="str">
        <f>IFERROR(VLOOKUP(C87,ghg_sort!$A$86:$B$512,2,0),0)</f>
        <v>Agriculture</v>
      </c>
      <c r="E87" s="33" t="s">
        <v>211</v>
      </c>
      <c r="F87" s="13">
        <f>IFERROR(VLOOKUP($E87,ghg_sort!$A$3:$B$21,2,0),0)</f>
        <v>0</v>
      </c>
      <c r="G87" s="13">
        <f t="shared" si="5"/>
        <v>0</v>
      </c>
      <c r="H87" s="13">
        <f t="shared" si="5"/>
        <v>0</v>
      </c>
      <c r="I87" s="13">
        <f t="shared" si="5"/>
        <v>0</v>
      </c>
      <c r="J87" s="13">
        <f t="shared" si="4"/>
        <v>0</v>
      </c>
      <c r="K87" s="13">
        <f t="shared" si="4"/>
        <v>0</v>
      </c>
      <c r="L87" s="13">
        <f t="shared" si="4"/>
        <v>0</v>
      </c>
      <c r="M87" s="13">
        <f t="shared" si="4"/>
        <v>0</v>
      </c>
      <c r="N87" s="13">
        <f t="shared" si="4"/>
        <v>0</v>
      </c>
      <c r="O87" s="13">
        <f t="shared" si="4"/>
        <v>0</v>
      </c>
      <c r="P87" s="13">
        <f t="shared" si="2"/>
        <v>0</v>
      </c>
      <c r="Q87" s="13">
        <f t="shared" si="2"/>
        <v>0</v>
      </c>
      <c r="R87" s="13" t="s">
        <v>239</v>
      </c>
      <c r="T87" s="63">
        <v>1.12065E-5</v>
      </c>
      <c r="U87" s="63">
        <v>5.1759999999999899E-6</v>
      </c>
      <c r="V87" s="63">
        <v>2.6843370100000001E-6</v>
      </c>
      <c r="W87" s="63">
        <v>1.9868780399999999E-6</v>
      </c>
      <c r="X87" s="63">
        <v>1.42308453E-6</v>
      </c>
      <c r="Y87" s="63">
        <v>9.3935938999999897E-7</v>
      </c>
      <c r="Z87" s="63">
        <v>9.3686871999999895E-7</v>
      </c>
      <c r="AA87" s="63">
        <v>9.7565616999999901E-7</v>
      </c>
      <c r="AB87" s="63">
        <v>1.01092062E-6</v>
      </c>
      <c r="AC87" s="63">
        <v>1.0600862499999999E-6</v>
      </c>
      <c r="AD87" s="63">
        <v>1.11303954E-6</v>
      </c>
      <c r="AE87" s="13" t="s">
        <v>93</v>
      </c>
    </row>
    <row r="88" spans="1:31">
      <c r="A88" s="13" t="s">
        <v>324</v>
      </c>
      <c r="B88" s="13" t="s">
        <v>1</v>
      </c>
      <c r="C88" s="13" t="s">
        <v>219</v>
      </c>
      <c r="D88" s="13" t="str">
        <f>IFERROR(VLOOKUP(C88,ghg_sort!$A$86:$B$512,2,0),0)</f>
        <v>Agriculture</v>
      </c>
      <c r="E88" s="33" t="s">
        <v>212</v>
      </c>
      <c r="F88" s="13">
        <f>IFERROR(VLOOKUP($E88,ghg_sort!$A$3:$B$21,2,0),0)</f>
        <v>0</v>
      </c>
      <c r="G88" s="13">
        <f t="shared" si="5"/>
        <v>0</v>
      </c>
      <c r="H88" s="13">
        <f t="shared" si="5"/>
        <v>0</v>
      </c>
      <c r="I88" s="13">
        <f t="shared" si="5"/>
        <v>0</v>
      </c>
      <c r="J88" s="13">
        <f t="shared" si="4"/>
        <v>0</v>
      </c>
      <c r="K88" s="13">
        <f t="shared" si="4"/>
        <v>0</v>
      </c>
      <c r="L88" s="13">
        <f t="shared" si="4"/>
        <v>0</v>
      </c>
      <c r="M88" s="13">
        <f t="shared" si="4"/>
        <v>0</v>
      </c>
      <c r="N88" s="13">
        <f t="shared" si="4"/>
        <v>0</v>
      </c>
      <c r="O88" s="13">
        <f t="shared" si="4"/>
        <v>0</v>
      </c>
      <c r="P88" s="13">
        <f t="shared" si="2"/>
        <v>0</v>
      </c>
      <c r="Q88" s="13">
        <f t="shared" si="2"/>
        <v>0</v>
      </c>
      <c r="R88" s="13" t="s">
        <v>239</v>
      </c>
      <c r="T88" s="63">
        <v>8.2877999999999903E-6</v>
      </c>
      <c r="U88" s="63">
        <v>3.8279000000000002E-6</v>
      </c>
      <c r="V88" s="63">
        <v>5.0063762000000003E-5</v>
      </c>
      <c r="W88" s="63">
        <v>3.7056049999999901E-5</v>
      </c>
      <c r="X88" s="63">
        <v>2.6541079799999899E-5</v>
      </c>
      <c r="Y88" s="63">
        <v>1.75194402E-5</v>
      </c>
      <c r="Z88" s="63">
        <v>1.74729467E-5</v>
      </c>
      <c r="AA88" s="63">
        <v>1.81963431999999E-5</v>
      </c>
      <c r="AB88" s="63">
        <v>1.8853991499999999E-5</v>
      </c>
      <c r="AC88" s="63">
        <v>1.9771029299999998E-5</v>
      </c>
      <c r="AD88" s="63">
        <v>2.07585966E-5</v>
      </c>
      <c r="AE88" s="13" t="s">
        <v>93</v>
      </c>
    </row>
    <row r="89" spans="1:31">
      <c r="A89" s="13" t="s">
        <v>324</v>
      </c>
      <c r="B89" s="13" t="s">
        <v>1</v>
      </c>
      <c r="C89" s="13" t="s">
        <v>219</v>
      </c>
      <c r="D89" s="13" t="str">
        <f>IFERROR(VLOOKUP(C89,ghg_sort!$A$86:$B$512,2,0),0)</f>
        <v>Agriculture</v>
      </c>
      <c r="E89" s="33" t="s">
        <v>213</v>
      </c>
      <c r="F89" s="13">
        <f>IFERROR(VLOOKUP($E89,ghg_sort!$A$3:$B$21,2,0),0)</f>
        <v>0</v>
      </c>
      <c r="G89" s="13">
        <f t="shared" si="5"/>
        <v>0</v>
      </c>
      <c r="H89" s="13">
        <f t="shared" si="5"/>
        <v>0</v>
      </c>
      <c r="I89" s="13">
        <f t="shared" si="5"/>
        <v>0</v>
      </c>
      <c r="J89" s="13">
        <f t="shared" si="4"/>
        <v>0</v>
      </c>
      <c r="K89" s="13">
        <f t="shared" si="4"/>
        <v>0</v>
      </c>
      <c r="L89" s="13">
        <f t="shared" si="4"/>
        <v>0</v>
      </c>
      <c r="M89" s="13">
        <f t="shared" si="4"/>
        <v>0</v>
      </c>
      <c r="N89" s="13">
        <f t="shared" si="4"/>
        <v>0</v>
      </c>
      <c r="O89" s="13">
        <f t="shared" si="4"/>
        <v>0</v>
      </c>
      <c r="P89" s="13">
        <f t="shared" si="2"/>
        <v>0</v>
      </c>
      <c r="Q89" s="13">
        <f t="shared" si="2"/>
        <v>0</v>
      </c>
      <c r="R89" s="13" t="s">
        <v>239</v>
      </c>
      <c r="T89" s="63">
        <v>1.4413000000000001E-6</v>
      </c>
      <c r="U89" s="63">
        <v>6.6580000000000005E-7</v>
      </c>
      <c r="V89" s="63">
        <v>3.4529191600000001E-7</v>
      </c>
      <c r="W89" s="63">
        <v>2.5557658300000001E-7</v>
      </c>
      <c r="X89" s="63">
        <v>1.8305421699999901E-7</v>
      </c>
      <c r="Y89" s="63">
        <v>1.20831721E-7</v>
      </c>
      <c r="Z89" s="63">
        <v>1.20511237E-7</v>
      </c>
      <c r="AA89" s="63">
        <v>1.25500437E-7</v>
      </c>
      <c r="AB89" s="63">
        <v>1.3003656299999999E-7</v>
      </c>
      <c r="AC89" s="63">
        <v>1.36360793E-7</v>
      </c>
      <c r="AD89" s="63">
        <v>1.4317217899999999E-7</v>
      </c>
      <c r="AE89" s="13" t="s">
        <v>93</v>
      </c>
    </row>
    <row r="90" spans="1:31">
      <c r="A90" s="13" t="s">
        <v>324</v>
      </c>
      <c r="B90" s="13" t="s">
        <v>1</v>
      </c>
      <c r="C90" s="13" t="s">
        <v>220</v>
      </c>
      <c r="D90" s="13" t="str">
        <f>IFERROR(VLOOKUP(C90,ghg_sort!$A$86:$B$512,2,0),0)</f>
        <v>Agriculture</v>
      </c>
      <c r="E90" s="33" t="s">
        <v>104</v>
      </c>
      <c r="F90" s="13">
        <f>IFERROR(VLOOKUP($E90,ghg_sort!$A$3:$B$21,2,0),0)</f>
        <v>25</v>
      </c>
      <c r="G90" s="13">
        <f t="shared" si="5"/>
        <v>1.1045722500000001</v>
      </c>
      <c r="H90" s="13">
        <f t="shared" si="5"/>
        <v>1.5813289749999977</v>
      </c>
      <c r="I90" s="13">
        <f t="shared" si="5"/>
        <v>1.97413145</v>
      </c>
      <c r="J90" s="13">
        <f t="shared" si="4"/>
        <v>1.9511843</v>
      </c>
      <c r="K90" s="13">
        <f t="shared" si="4"/>
        <v>2.0634842249999998</v>
      </c>
      <c r="L90" s="13">
        <f t="shared" si="4"/>
        <v>2.0067633749999976</v>
      </c>
      <c r="M90" s="13">
        <f t="shared" si="4"/>
        <v>1.9710397500000001</v>
      </c>
      <c r="N90" s="13">
        <f t="shared" si="4"/>
        <v>2.0036985749999974</v>
      </c>
      <c r="O90" s="13">
        <f t="shared" si="4"/>
        <v>2.0387732749999996</v>
      </c>
      <c r="P90" s="13">
        <f t="shared" si="2"/>
        <v>2.0430720500000001</v>
      </c>
      <c r="Q90" s="13">
        <f t="shared" si="2"/>
        <v>2.0113949999999998</v>
      </c>
      <c r="R90" s="13" t="s">
        <v>239</v>
      </c>
      <c r="T90" s="62">
        <v>4.4182890000000002E-2</v>
      </c>
      <c r="U90" s="62">
        <v>6.3253158999999906E-2</v>
      </c>
      <c r="V90" s="62">
        <v>7.8965257999999997E-2</v>
      </c>
      <c r="W90" s="62">
        <v>7.8047372000000004E-2</v>
      </c>
      <c r="X90" s="62">
        <v>8.2539369000000001E-2</v>
      </c>
      <c r="Y90" s="62">
        <v>8.0270534999999907E-2</v>
      </c>
      <c r="Z90" s="62">
        <v>7.8841590000000003E-2</v>
      </c>
      <c r="AA90" s="62">
        <v>8.0147942999999902E-2</v>
      </c>
      <c r="AB90" s="62">
        <v>8.1550930999999993E-2</v>
      </c>
      <c r="AC90" s="62">
        <v>8.1722881999999997E-2</v>
      </c>
      <c r="AD90" s="62">
        <v>8.0455799999999994E-2</v>
      </c>
      <c r="AE90" s="13" t="s">
        <v>93</v>
      </c>
    </row>
    <row r="91" spans="1:31">
      <c r="A91" s="13" t="s">
        <v>324</v>
      </c>
      <c r="B91" s="13" t="s">
        <v>1</v>
      </c>
      <c r="C91" s="13" t="s">
        <v>220</v>
      </c>
      <c r="D91" s="13" t="str">
        <f>IFERROR(VLOOKUP(C91,ghg_sort!$A$86:$B$512,2,0),0)</f>
        <v>Agriculture</v>
      </c>
      <c r="E91" s="33" t="s">
        <v>101</v>
      </c>
      <c r="F91" s="13">
        <f>IFERROR(VLOOKUP($E91,ghg_sort!$A$3:$B$21,2,0),0)</f>
        <v>298</v>
      </c>
      <c r="G91" s="13">
        <f t="shared" si="5"/>
        <v>0.43050882899999998</v>
      </c>
      <c r="H91" s="13">
        <f t="shared" si="5"/>
        <v>0.68532022540000004</v>
      </c>
      <c r="I91" s="13">
        <f t="shared" si="5"/>
        <v>0.86431151159999997</v>
      </c>
      <c r="J91" s="13">
        <f t="shared" si="4"/>
        <v>0.8562759714</v>
      </c>
      <c r="K91" s="13">
        <f t="shared" si="4"/>
        <v>0.90555691679999706</v>
      </c>
      <c r="L91" s="13">
        <f t="shared" si="4"/>
        <v>0.88066590059999994</v>
      </c>
      <c r="M91" s="13">
        <f t="shared" si="4"/>
        <v>0.86498996819999996</v>
      </c>
      <c r="N91" s="13">
        <f t="shared" si="4"/>
        <v>0.87932248680000002</v>
      </c>
      <c r="O91" s="13">
        <f t="shared" si="4"/>
        <v>0.89471281599999997</v>
      </c>
      <c r="P91" s="13">
        <f t="shared" si="2"/>
        <v>0.89659945399999996</v>
      </c>
      <c r="Q91" s="13">
        <f t="shared" si="2"/>
        <v>0.88269772420000003</v>
      </c>
      <c r="R91" s="13" t="s">
        <v>239</v>
      </c>
      <c r="T91" s="62">
        <v>1.4446604999999999E-3</v>
      </c>
      <c r="U91" s="62">
        <v>2.2997323000000002E-3</v>
      </c>
      <c r="V91" s="62">
        <v>2.9003741999999999E-3</v>
      </c>
      <c r="W91" s="62">
        <v>2.8734093E-3</v>
      </c>
      <c r="X91" s="62">
        <v>3.0387815999999902E-3</v>
      </c>
      <c r="Y91" s="62">
        <v>2.9552546999999998E-3</v>
      </c>
      <c r="Z91" s="62">
        <v>2.9026509E-3</v>
      </c>
      <c r="AA91" s="62">
        <v>2.9507466E-3</v>
      </c>
      <c r="AB91" s="62">
        <v>3.002392E-3</v>
      </c>
      <c r="AC91" s="62">
        <v>3.008723E-3</v>
      </c>
      <c r="AD91" s="62">
        <v>2.9620728999999999E-3</v>
      </c>
      <c r="AE91" s="13" t="s">
        <v>93</v>
      </c>
    </row>
    <row r="92" spans="1:31">
      <c r="A92" s="13" t="s">
        <v>324</v>
      </c>
      <c r="B92" s="13" t="s">
        <v>1</v>
      </c>
      <c r="C92" s="13" t="s">
        <v>220</v>
      </c>
      <c r="D92" s="13" t="str">
        <f>IFERROR(VLOOKUP(C92,ghg_sort!$A$86:$B$512,2,0),0)</f>
        <v>Agriculture</v>
      </c>
      <c r="E92" s="33" t="s">
        <v>202</v>
      </c>
      <c r="F92" s="13">
        <f>IFERROR(VLOOKUP($E92,ghg_sort!$A$3:$B$21,2,0),0)</f>
        <v>0</v>
      </c>
      <c r="G92" s="13">
        <f t="shared" si="5"/>
        <v>0</v>
      </c>
      <c r="H92" s="13">
        <f t="shared" si="5"/>
        <v>0</v>
      </c>
      <c r="I92" s="13">
        <f t="shared" si="5"/>
        <v>0</v>
      </c>
      <c r="J92" s="13">
        <f t="shared" si="4"/>
        <v>0</v>
      </c>
      <c r="K92" s="13">
        <f t="shared" si="4"/>
        <v>0</v>
      </c>
      <c r="L92" s="13">
        <f t="shared" si="4"/>
        <v>0</v>
      </c>
      <c r="M92" s="13">
        <f t="shared" si="4"/>
        <v>0</v>
      </c>
      <c r="N92" s="13">
        <f t="shared" si="4"/>
        <v>0</v>
      </c>
      <c r="O92" s="13">
        <f t="shared" si="4"/>
        <v>0</v>
      </c>
      <c r="P92" s="13">
        <f t="shared" si="2"/>
        <v>0</v>
      </c>
      <c r="Q92" s="13">
        <f t="shared" si="2"/>
        <v>0</v>
      </c>
      <c r="R92" s="13" t="s">
        <v>239</v>
      </c>
      <c r="T92" s="62">
        <v>1.30264322E-2</v>
      </c>
      <c r="U92" s="62">
        <v>1.85343395E-2</v>
      </c>
      <c r="V92" s="62">
        <v>1.8878089300000001E-2</v>
      </c>
      <c r="W92" s="62">
        <v>1.9834603900000001E-2</v>
      </c>
      <c r="X92" s="62">
        <v>2.1205234699999999E-2</v>
      </c>
      <c r="Y92" s="62">
        <v>2.2448577899999999E-2</v>
      </c>
      <c r="Z92" s="62">
        <v>2.3069438099999999E-2</v>
      </c>
      <c r="AA92" s="62">
        <v>2.3688517100000001E-2</v>
      </c>
      <c r="AB92" s="62">
        <v>2.4114175799999998E-2</v>
      </c>
      <c r="AC92" s="62">
        <v>2.4177673199999999E-2</v>
      </c>
      <c r="AD92" s="62">
        <v>2.3808511399999999E-2</v>
      </c>
      <c r="AE92" s="13" t="s">
        <v>93</v>
      </c>
    </row>
    <row r="93" spans="1:31">
      <c r="A93" s="13" t="s">
        <v>324</v>
      </c>
      <c r="B93" s="13" t="s">
        <v>1</v>
      </c>
      <c r="C93" s="13" t="s">
        <v>220</v>
      </c>
      <c r="D93" s="13" t="str">
        <f>IFERROR(VLOOKUP(C93,ghg_sort!$A$86:$B$512,2,0),0)</f>
        <v>Agriculture</v>
      </c>
      <c r="E93" s="33" t="s">
        <v>203</v>
      </c>
      <c r="F93" s="13">
        <f>IFERROR(VLOOKUP($E93,ghg_sort!$A$3:$B$21,2,0),0)</f>
        <v>0</v>
      </c>
      <c r="G93" s="13">
        <f t="shared" si="5"/>
        <v>0</v>
      </c>
      <c r="H93" s="13">
        <f t="shared" si="5"/>
        <v>0</v>
      </c>
      <c r="I93" s="13">
        <f t="shared" si="5"/>
        <v>0</v>
      </c>
      <c r="J93" s="13">
        <f t="shared" si="4"/>
        <v>0</v>
      </c>
      <c r="K93" s="13">
        <f t="shared" si="4"/>
        <v>0</v>
      </c>
      <c r="L93" s="13">
        <f t="shared" si="4"/>
        <v>0</v>
      </c>
      <c r="M93" s="13">
        <f t="shared" si="4"/>
        <v>0</v>
      </c>
      <c r="N93" s="13">
        <f t="shared" si="4"/>
        <v>0</v>
      </c>
      <c r="O93" s="13">
        <f t="shared" si="4"/>
        <v>0</v>
      </c>
      <c r="P93" s="13">
        <f t="shared" si="2"/>
        <v>0</v>
      </c>
      <c r="Q93" s="13">
        <f t="shared" si="2"/>
        <v>0</v>
      </c>
      <c r="R93" s="13" t="s">
        <v>239</v>
      </c>
      <c r="T93" s="62">
        <v>5.0825574999999899E-3</v>
      </c>
      <c r="U93" s="62">
        <v>1.06111743E-2</v>
      </c>
      <c r="V93" s="62">
        <v>1.35981927999999E-2</v>
      </c>
      <c r="W93" s="62">
        <v>1.40513705E-2</v>
      </c>
      <c r="X93" s="62">
        <v>1.50222894E-2</v>
      </c>
      <c r="Y93" s="62">
        <v>1.5903190099999999E-2</v>
      </c>
      <c r="Z93" s="62">
        <v>1.6343052100000002E-2</v>
      </c>
      <c r="AA93" s="62">
        <v>1.6781643199999901E-2</v>
      </c>
      <c r="AB93" s="62">
        <v>1.70831592999999E-2</v>
      </c>
      <c r="AC93" s="62">
        <v>1.7128108E-2</v>
      </c>
      <c r="AD93" s="62">
        <v>1.68666513E-2</v>
      </c>
      <c r="AE93" s="13" t="s">
        <v>93</v>
      </c>
    </row>
    <row r="94" spans="1:31">
      <c r="A94" s="13" t="s">
        <v>324</v>
      </c>
      <c r="B94" s="13" t="s">
        <v>1</v>
      </c>
      <c r="C94" s="13" t="s">
        <v>220</v>
      </c>
      <c r="D94" s="13" t="str">
        <f>IFERROR(VLOOKUP(C94,ghg_sort!$A$86:$B$512,2,0),0)</f>
        <v>Agriculture</v>
      </c>
      <c r="E94" s="33" t="s">
        <v>204</v>
      </c>
      <c r="F94" s="13">
        <f>IFERROR(VLOOKUP($E94,ghg_sort!$A$3:$B$21,2,0),0)</f>
        <v>0</v>
      </c>
      <c r="G94" s="13">
        <f t="shared" si="5"/>
        <v>0</v>
      </c>
      <c r="H94" s="13">
        <f t="shared" si="5"/>
        <v>0</v>
      </c>
      <c r="I94" s="13">
        <f t="shared" si="5"/>
        <v>0</v>
      </c>
      <c r="J94" s="13">
        <f t="shared" si="4"/>
        <v>0</v>
      </c>
      <c r="K94" s="13">
        <f t="shared" si="4"/>
        <v>0</v>
      </c>
      <c r="L94" s="13">
        <f t="shared" si="4"/>
        <v>0</v>
      </c>
      <c r="M94" s="13">
        <f t="shared" si="4"/>
        <v>0</v>
      </c>
      <c r="N94" s="13">
        <f t="shared" si="4"/>
        <v>0</v>
      </c>
      <c r="O94" s="13">
        <f t="shared" si="4"/>
        <v>0</v>
      </c>
      <c r="P94" s="13">
        <f t="shared" si="2"/>
        <v>0</v>
      </c>
      <c r="Q94" s="13">
        <f t="shared" si="2"/>
        <v>0</v>
      </c>
      <c r="R94" s="13" t="s">
        <v>239</v>
      </c>
      <c r="T94" s="63">
        <v>6.0514949999999998E-4</v>
      </c>
      <c r="U94" s="62">
        <v>1.0794641999999899E-3</v>
      </c>
      <c r="V94" s="62">
        <v>1.3692972000000001E-3</v>
      </c>
      <c r="W94" s="62">
        <v>1.3476688999999899E-3</v>
      </c>
      <c r="X94" s="62">
        <v>1.4407909500000001E-3</v>
      </c>
      <c r="Y94" s="62">
        <v>1.52527001E-3</v>
      </c>
      <c r="Z94" s="62">
        <v>1.56746676E-3</v>
      </c>
      <c r="AA94" s="62">
        <v>1.6095241199999999E-3</v>
      </c>
      <c r="AB94" s="62">
        <v>1.6384484E-3</v>
      </c>
      <c r="AC94" s="62">
        <v>1.6427586999999901E-3</v>
      </c>
      <c r="AD94" s="62">
        <v>1.61767649E-3</v>
      </c>
      <c r="AE94" s="13" t="s">
        <v>93</v>
      </c>
    </row>
    <row r="95" spans="1:31">
      <c r="A95" s="13" t="s">
        <v>324</v>
      </c>
      <c r="B95" s="13" t="s">
        <v>1</v>
      </c>
      <c r="C95" s="13" t="s">
        <v>221</v>
      </c>
      <c r="D95" s="13" t="str">
        <f>IFERROR(VLOOKUP(C95,ghg_sort!$A$86:$B$512,2,0),0)</f>
        <v>Agriculture</v>
      </c>
      <c r="E95" s="33" t="s">
        <v>104</v>
      </c>
      <c r="F95" s="13">
        <f>IFERROR(VLOOKUP($E95,ghg_sort!$A$3:$B$21,2,0),0)</f>
        <v>25</v>
      </c>
      <c r="G95" s="13">
        <f t="shared" si="5"/>
        <v>7.3674574999999992E-2</v>
      </c>
      <c r="H95" s="13">
        <f t="shared" si="5"/>
        <v>8.7879899999999997E-2</v>
      </c>
      <c r="I95" s="13">
        <f t="shared" si="5"/>
        <v>0.12721226999999999</v>
      </c>
      <c r="J95" s="13">
        <f t="shared" si="4"/>
        <v>0.11396817000000001</v>
      </c>
      <c r="K95" s="13">
        <f t="shared" si="4"/>
        <v>0.1190140725</v>
      </c>
      <c r="L95" s="13">
        <f t="shared" si="4"/>
        <v>0.11311668750000001</v>
      </c>
      <c r="M95" s="13">
        <f t="shared" si="4"/>
        <v>0.11005392</v>
      </c>
      <c r="N95" s="13">
        <f t="shared" si="4"/>
        <v>0.110492985</v>
      </c>
      <c r="O95" s="13">
        <f t="shared" si="4"/>
        <v>0.11121217</v>
      </c>
      <c r="P95" s="13">
        <f t="shared" si="2"/>
        <v>0.1102634675</v>
      </c>
      <c r="Q95" s="13">
        <f t="shared" si="2"/>
        <v>0.108055785</v>
      </c>
      <c r="R95" s="13" t="s">
        <v>239</v>
      </c>
      <c r="T95" s="62">
        <v>2.9469829999999998E-3</v>
      </c>
      <c r="U95" s="62">
        <v>3.5151959999999999E-3</v>
      </c>
      <c r="V95" s="62">
        <v>5.0884907999999996E-3</v>
      </c>
      <c r="W95" s="62">
        <v>4.5587268000000002E-3</v>
      </c>
      <c r="X95" s="62">
        <v>4.7605629000000002E-3</v>
      </c>
      <c r="Y95" s="62">
        <v>4.5246675000000002E-3</v>
      </c>
      <c r="Z95" s="62">
        <v>4.4021568000000002E-3</v>
      </c>
      <c r="AA95" s="62">
        <v>4.4197194E-3</v>
      </c>
      <c r="AB95" s="62">
        <v>4.4484868E-3</v>
      </c>
      <c r="AC95" s="62">
        <v>4.4105387000000001E-3</v>
      </c>
      <c r="AD95" s="62">
        <v>4.3222314000000003E-3</v>
      </c>
      <c r="AE95" s="13" t="s">
        <v>93</v>
      </c>
    </row>
    <row r="96" spans="1:31">
      <c r="A96" s="13" t="s">
        <v>324</v>
      </c>
      <c r="B96" s="13" t="s">
        <v>1</v>
      </c>
      <c r="C96" s="13" t="s">
        <v>221</v>
      </c>
      <c r="D96" s="13" t="str">
        <f>IFERROR(VLOOKUP(C96,ghg_sort!$A$86:$B$512,2,0),0)</f>
        <v>Agriculture</v>
      </c>
      <c r="E96" s="33" t="s">
        <v>101</v>
      </c>
      <c r="F96" s="13">
        <f>IFERROR(VLOOKUP($E96,ghg_sort!$A$3:$B$21,2,0),0)</f>
        <v>298</v>
      </c>
      <c r="G96" s="13">
        <f t="shared" si="5"/>
        <v>2.87148032E-2</v>
      </c>
      <c r="H96" s="13">
        <f t="shared" si="5"/>
        <v>3.8085502600000001E-2</v>
      </c>
      <c r="I96" s="13">
        <f t="shared" si="5"/>
        <v>5.5695872199999996E-2</v>
      </c>
      <c r="J96" s="13">
        <f t="shared" si="4"/>
        <v>5.0014770400000005E-2</v>
      </c>
      <c r="K96" s="13">
        <f t="shared" si="4"/>
        <v>5.2229060591999998E-2</v>
      </c>
      <c r="L96" s="13">
        <f t="shared" si="4"/>
        <v>4.9641191937999998E-2</v>
      </c>
      <c r="M96" s="13">
        <f t="shared" si="4"/>
        <v>4.8297040289999996E-2</v>
      </c>
      <c r="N96" s="13">
        <f t="shared" si="4"/>
        <v>4.8489850461999995E-2</v>
      </c>
      <c r="O96" s="13">
        <f t="shared" si="4"/>
        <v>4.8805271243999707E-2</v>
      </c>
      <c r="P96" s="13">
        <f t="shared" si="2"/>
        <v>4.8388831144E-2</v>
      </c>
      <c r="Q96" s="13">
        <f t="shared" si="2"/>
        <v>4.7420207175999998E-2</v>
      </c>
      <c r="R96" s="13" t="s">
        <v>239</v>
      </c>
      <c r="T96" s="63">
        <v>9.6358400000000002E-5</v>
      </c>
      <c r="U96" s="63">
        <v>1.278037E-4</v>
      </c>
      <c r="V96" s="63">
        <v>1.8689889999999999E-4</v>
      </c>
      <c r="W96" s="63">
        <v>1.6783480000000001E-4</v>
      </c>
      <c r="X96" s="63">
        <v>1.75265304E-4</v>
      </c>
      <c r="Y96" s="63">
        <v>1.6658118099999999E-4</v>
      </c>
      <c r="Z96" s="63">
        <v>1.6207060499999999E-4</v>
      </c>
      <c r="AA96" s="63">
        <v>1.6271761899999999E-4</v>
      </c>
      <c r="AB96" s="63">
        <v>1.6377607799999901E-4</v>
      </c>
      <c r="AC96" s="63">
        <v>1.6237862800000001E-4</v>
      </c>
      <c r="AD96" s="63">
        <v>1.5912821199999999E-4</v>
      </c>
      <c r="AE96" s="13" t="s">
        <v>93</v>
      </c>
    </row>
    <row r="97" spans="1:31">
      <c r="A97" s="13" t="s">
        <v>324</v>
      </c>
      <c r="B97" s="13" t="s">
        <v>1</v>
      </c>
      <c r="C97" s="13" t="s">
        <v>221</v>
      </c>
      <c r="D97" s="13" t="str">
        <f>IFERROR(VLOOKUP(C97,ghg_sort!$A$86:$B$512,2,0),0)</f>
        <v>Agriculture</v>
      </c>
      <c r="E97" s="33" t="s">
        <v>202</v>
      </c>
      <c r="F97" s="13">
        <f>IFERROR(VLOOKUP($E97,ghg_sort!$A$3:$B$21,2,0),0)</f>
        <v>0</v>
      </c>
      <c r="G97" s="13">
        <f t="shared" si="5"/>
        <v>0</v>
      </c>
      <c r="H97" s="13">
        <f t="shared" si="5"/>
        <v>0</v>
      </c>
      <c r="I97" s="13">
        <f t="shared" si="5"/>
        <v>0</v>
      </c>
      <c r="J97" s="13">
        <f t="shared" si="4"/>
        <v>0</v>
      </c>
      <c r="K97" s="13">
        <f t="shared" si="4"/>
        <v>0</v>
      </c>
      <c r="L97" s="13">
        <f t="shared" si="4"/>
        <v>0</v>
      </c>
      <c r="M97" s="13">
        <f t="shared" si="4"/>
        <v>0</v>
      </c>
      <c r="N97" s="13">
        <f t="shared" si="4"/>
        <v>0</v>
      </c>
      <c r="O97" s="13">
        <f t="shared" si="4"/>
        <v>0</v>
      </c>
      <c r="P97" s="13">
        <f t="shared" si="2"/>
        <v>0</v>
      </c>
      <c r="Q97" s="13">
        <f t="shared" si="2"/>
        <v>0</v>
      </c>
      <c r="R97" s="13" t="s">
        <v>239</v>
      </c>
      <c r="T97" s="63">
        <v>8.6885949999999999E-4</v>
      </c>
      <c r="U97" s="62">
        <v>1.0300178999999999E-3</v>
      </c>
      <c r="V97" s="62">
        <v>1.2164958999999901E-3</v>
      </c>
      <c r="W97" s="62">
        <v>1.1585339999999999E-3</v>
      </c>
      <c r="X97" s="62">
        <v>1.22303997E-3</v>
      </c>
      <c r="Y97" s="62">
        <v>1.26537239E-3</v>
      </c>
      <c r="Z97" s="62">
        <v>1.2880942999999999E-3</v>
      </c>
      <c r="AA97" s="62">
        <v>1.30629523E-3</v>
      </c>
      <c r="AB97" s="62">
        <v>1.31539799E-3</v>
      </c>
      <c r="AC97" s="62">
        <v>1.3048590399999901E-3</v>
      </c>
      <c r="AD97" s="62">
        <v>1.27903647E-3</v>
      </c>
      <c r="AE97" s="13" t="s">
        <v>93</v>
      </c>
    </row>
    <row r="98" spans="1:31">
      <c r="A98" s="13" t="s">
        <v>324</v>
      </c>
      <c r="B98" s="13" t="s">
        <v>1</v>
      </c>
      <c r="C98" s="13" t="s">
        <v>221</v>
      </c>
      <c r="D98" s="13" t="str">
        <f>IFERROR(VLOOKUP(C98,ghg_sort!$A$86:$B$512,2,0),0)</f>
        <v>Agriculture</v>
      </c>
      <c r="E98" s="33" t="s">
        <v>203</v>
      </c>
      <c r="F98" s="13">
        <f>IFERROR(VLOOKUP($E98,ghg_sort!$A$3:$B$21,2,0),0)</f>
        <v>0</v>
      </c>
      <c r="G98" s="13">
        <f t="shared" si="5"/>
        <v>0</v>
      </c>
      <c r="H98" s="13">
        <f t="shared" si="5"/>
        <v>0</v>
      </c>
      <c r="I98" s="13">
        <f t="shared" si="5"/>
        <v>0</v>
      </c>
      <c r="J98" s="13">
        <f t="shared" si="4"/>
        <v>0</v>
      </c>
      <c r="K98" s="13">
        <f t="shared" si="4"/>
        <v>0</v>
      </c>
      <c r="L98" s="13">
        <f t="shared" si="4"/>
        <v>0</v>
      </c>
      <c r="M98" s="13">
        <f t="shared" si="4"/>
        <v>0</v>
      </c>
      <c r="N98" s="13">
        <f t="shared" si="4"/>
        <v>0</v>
      </c>
      <c r="O98" s="13">
        <f t="shared" si="4"/>
        <v>0</v>
      </c>
      <c r="P98" s="13">
        <f t="shared" si="2"/>
        <v>0</v>
      </c>
      <c r="Q98" s="13">
        <f t="shared" si="2"/>
        <v>0</v>
      </c>
      <c r="R98" s="13" t="s">
        <v>239</v>
      </c>
      <c r="T98" s="63">
        <v>3.3900379999999999E-4</v>
      </c>
      <c r="U98" s="63">
        <v>5.8969890000000003E-4</v>
      </c>
      <c r="V98" s="63">
        <v>8.7626519999999995E-4</v>
      </c>
      <c r="W98" s="63">
        <v>8.2073669999999999E-4</v>
      </c>
      <c r="X98" s="63">
        <v>8.6643099999999997E-4</v>
      </c>
      <c r="Y98" s="63">
        <v>8.9642399999999896E-4</v>
      </c>
      <c r="Z98" s="63">
        <v>9.1251992999999995E-4</v>
      </c>
      <c r="AA98" s="63">
        <v>9.2541364999999896E-4</v>
      </c>
      <c r="AB98" s="63">
        <v>9.3186240000000002E-4</v>
      </c>
      <c r="AC98" s="63">
        <v>9.2439585000000002E-4</v>
      </c>
      <c r="AD98" s="63">
        <v>9.0610497000000005E-4</v>
      </c>
      <c r="AE98" s="13" t="s">
        <v>93</v>
      </c>
    </row>
    <row r="99" spans="1:31">
      <c r="A99" s="13" t="s">
        <v>324</v>
      </c>
      <c r="B99" s="13" t="s">
        <v>1</v>
      </c>
      <c r="C99" s="13" t="s">
        <v>221</v>
      </c>
      <c r="D99" s="13" t="str">
        <f>IFERROR(VLOOKUP(C99,ghg_sort!$A$86:$B$512,2,0),0)</f>
        <v>Agriculture</v>
      </c>
      <c r="E99" s="33" t="s">
        <v>204</v>
      </c>
      <c r="F99" s="13">
        <f>IFERROR(VLOOKUP($E99,ghg_sort!$A$3:$B$21,2,0),0)</f>
        <v>0</v>
      </c>
      <c r="G99" s="13">
        <f t="shared" si="5"/>
        <v>0</v>
      </c>
      <c r="H99" s="13">
        <f t="shared" si="5"/>
        <v>0</v>
      </c>
      <c r="I99" s="13">
        <f t="shared" si="5"/>
        <v>0</v>
      </c>
      <c r="J99" s="13">
        <f t="shared" si="4"/>
        <v>0</v>
      </c>
      <c r="K99" s="13">
        <f t="shared" si="4"/>
        <v>0</v>
      </c>
      <c r="L99" s="13">
        <f t="shared" si="4"/>
        <v>0</v>
      </c>
      <c r="M99" s="13">
        <f t="shared" si="4"/>
        <v>0</v>
      </c>
      <c r="N99" s="13">
        <f t="shared" si="4"/>
        <v>0</v>
      </c>
      <c r="O99" s="13">
        <f t="shared" si="4"/>
        <v>0</v>
      </c>
      <c r="P99" s="13">
        <f t="shared" si="2"/>
        <v>0</v>
      </c>
      <c r="Q99" s="13">
        <f t="shared" si="2"/>
        <v>0</v>
      </c>
      <c r="R99" s="13" t="s">
        <v>239</v>
      </c>
      <c r="T99" s="63">
        <v>4.03631E-5</v>
      </c>
      <c r="U99" s="63">
        <v>5.9989499999999999E-5</v>
      </c>
      <c r="V99" s="63">
        <v>8.8236699999999995E-5</v>
      </c>
      <c r="W99" s="63">
        <v>7.8716999999999999E-5</v>
      </c>
      <c r="X99" s="63">
        <v>8.3099528000000003E-5</v>
      </c>
      <c r="Y99" s="63">
        <v>8.5976198E-5</v>
      </c>
      <c r="Z99" s="63">
        <v>8.7519963000000001E-5</v>
      </c>
      <c r="AA99" s="63">
        <v>8.8756522999999999E-5</v>
      </c>
      <c r="AB99" s="63">
        <v>8.9375052E-5</v>
      </c>
      <c r="AC99" s="63">
        <v>8.8659045999999999E-5</v>
      </c>
      <c r="AD99" s="63">
        <v>8.6904744999999998E-5</v>
      </c>
      <c r="AE99" s="13" t="s">
        <v>93</v>
      </c>
    </row>
    <row r="100" spans="1:31">
      <c r="A100" s="13" t="s">
        <v>324</v>
      </c>
      <c r="B100" s="13" t="s">
        <v>1</v>
      </c>
      <c r="C100" s="13" t="s">
        <v>222</v>
      </c>
      <c r="D100" s="13" t="str">
        <f>IFERROR(VLOOKUP(C100,ghg_sort!$A$86:$B$512,2,0),0)</f>
        <v>Agriculture</v>
      </c>
      <c r="E100" s="33" t="s">
        <v>206</v>
      </c>
      <c r="F100" s="13">
        <f>IFERROR(VLOOKUP($E100,ghg_sort!$A$3:$B$21,2,0),0)</f>
        <v>0</v>
      </c>
      <c r="G100" s="13">
        <f t="shared" si="5"/>
        <v>0</v>
      </c>
      <c r="H100" s="13">
        <f t="shared" si="5"/>
        <v>0</v>
      </c>
      <c r="I100" s="13">
        <f t="shared" si="5"/>
        <v>0</v>
      </c>
      <c r="J100" s="13">
        <f t="shared" si="4"/>
        <v>0</v>
      </c>
      <c r="K100" s="13">
        <f t="shared" si="4"/>
        <v>0</v>
      </c>
      <c r="L100" s="13">
        <f t="shared" si="4"/>
        <v>0</v>
      </c>
      <c r="M100" s="13">
        <f t="shared" si="4"/>
        <v>0</v>
      </c>
      <c r="N100" s="13">
        <f t="shared" si="4"/>
        <v>0</v>
      </c>
      <c r="O100" s="13">
        <f t="shared" si="4"/>
        <v>0</v>
      </c>
      <c r="P100" s="13">
        <f t="shared" si="2"/>
        <v>0</v>
      </c>
      <c r="Q100" s="13">
        <f t="shared" si="2"/>
        <v>0</v>
      </c>
      <c r="R100" s="13" t="s">
        <v>239</v>
      </c>
      <c r="T100" s="63">
        <v>1.3966909999999999E-4</v>
      </c>
      <c r="U100" s="63">
        <v>1.345966E-4</v>
      </c>
      <c r="V100" s="62">
        <v>2.2459899999999998E-3</v>
      </c>
      <c r="W100" s="62">
        <v>2.1643859999999999E-3</v>
      </c>
      <c r="X100" s="62">
        <v>1.5292789999999999E-3</v>
      </c>
      <c r="Y100" s="63">
        <v>9.3344200000000004E-4</v>
      </c>
      <c r="Z100" s="63">
        <v>8.8836989999999897E-4</v>
      </c>
      <c r="AA100" s="63">
        <v>8.830709E-4</v>
      </c>
      <c r="AB100" s="63">
        <v>8.7188839999999897E-4</v>
      </c>
      <c r="AC100" s="63">
        <v>8.5357930000000003E-4</v>
      </c>
      <c r="AD100" s="63">
        <v>8.268212E-4</v>
      </c>
      <c r="AE100" s="13" t="s">
        <v>93</v>
      </c>
    </row>
    <row r="101" spans="1:31">
      <c r="A101" s="13" t="s">
        <v>324</v>
      </c>
      <c r="B101" s="13" t="s">
        <v>1</v>
      </c>
      <c r="C101" s="13" t="s">
        <v>222</v>
      </c>
      <c r="D101" s="13" t="str">
        <f>IFERROR(VLOOKUP(C101,ghg_sort!$A$86:$B$512,2,0),0)</f>
        <v>Agriculture</v>
      </c>
      <c r="E101" s="33" t="s">
        <v>104</v>
      </c>
      <c r="F101" s="13">
        <f>IFERROR(VLOOKUP($E101,ghg_sort!$A$3:$B$21,2,0),0)</f>
        <v>25</v>
      </c>
      <c r="G101" s="13">
        <f t="shared" si="5"/>
        <v>6.5327525</v>
      </c>
      <c r="H101" s="13">
        <f t="shared" si="5"/>
        <v>5.1434999999999755</v>
      </c>
      <c r="I101" s="13">
        <f t="shared" si="5"/>
        <v>4.6835000000000004</v>
      </c>
      <c r="J101" s="13">
        <f t="shared" si="4"/>
        <v>4.2815000000000003</v>
      </c>
      <c r="K101" s="13">
        <f t="shared" si="4"/>
        <v>4.3905500000000002</v>
      </c>
      <c r="L101" s="13">
        <f t="shared" si="4"/>
        <v>4.2161774999999997</v>
      </c>
      <c r="M101" s="13">
        <f t="shared" si="4"/>
        <v>4.1304924999999999</v>
      </c>
      <c r="N101" s="13">
        <f t="shared" si="4"/>
        <v>4.0041250000000002</v>
      </c>
      <c r="O101" s="13">
        <f t="shared" si="4"/>
        <v>3.7688075000000003</v>
      </c>
      <c r="P101" s="13">
        <f t="shared" si="2"/>
        <v>3.4782849999999996</v>
      </c>
      <c r="Q101" s="13">
        <f t="shared" si="2"/>
        <v>3.2123124999999755</v>
      </c>
      <c r="R101" s="13" t="s">
        <v>239</v>
      </c>
      <c r="T101" s="62">
        <v>0.26131009999999999</v>
      </c>
      <c r="U101" s="62">
        <v>0.20573999999999901</v>
      </c>
      <c r="V101" s="62">
        <v>0.18734000000000001</v>
      </c>
      <c r="W101" s="62">
        <v>0.17126</v>
      </c>
      <c r="X101" s="62">
        <v>0.175622</v>
      </c>
      <c r="Y101" s="62">
        <v>0.16864709999999999</v>
      </c>
      <c r="Z101" s="62">
        <v>0.1652197</v>
      </c>
      <c r="AA101" s="62">
        <v>0.160165</v>
      </c>
      <c r="AB101" s="62">
        <v>0.15075230000000001</v>
      </c>
      <c r="AC101" s="62">
        <v>0.13913139999999999</v>
      </c>
      <c r="AD101" s="62">
        <v>0.12849249999999901</v>
      </c>
      <c r="AE101" s="13" t="s">
        <v>93</v>
      </c>
    </row>
    <row r="102" spans="1:31">
      <c r="A102" s="13" t="s">
        <v>324</v>
      </c>
      <c r="B102" s="13" t="s">
        <v>1</v>
      </c>
      <c r="C102" s="13" t="s">
        <v>222</v>
      </c>
      <c r="D102" s="13" t="str">
        <f>IFERROR(VLOOKUP(C102,ghg_sort!$A$86:$B$512,2,0),0)</f>
        <v>Agriculture</v>
      </c>
      <c r="E102" s="33" t="s">
        <v>105</v>
      </c>
      <c r="F102" s="13">
        <f>IFERROR(VLOOKUP($E102,ghg_sort!$A$3:$B$21,2,0),0)</f>
        <v>25</v>
      </c>
      <c r="G102" s="13">
        <f t="shared" si="5"/>
        <v>2.7095800000000003E-2</v>
      </c>
      <c r="H102" s="13">
        <f t="shared" si="5"/>
        <v>2.611175E-2</v>
      </c>
      <c r="I102" s="13">
        <f t="shared" si="5"/>
        <v>2.69789E-2</v>
      </c>
      <c r="J102" s="13">
        <f t="shared" si="4"/>
        <v>2.59987E-2</v>
      </c>
      <c r="K102" s="13">
        <f t="shared" si="4"/>
        <v>1.8369739999999999E-2</v>
      </c>
      <c r="L102" s="13">
        <f t="shared" si="4"/>
        <v>1.1212522499999999E-2</v>
      </c>
      <c r="M102" s="13">
        <f t="shared" si="4"/>
        <v>1.06711325E-2</v>
      </c>
      <c r="N102" s="13">
        <f t="shared" si="4"/>
        <v>1.0607499999999975E-2</v>
      </c>
      <c r="O102" s="13">
        <f t="shared" si="4"/>
        <v>1.047316E-2</v>
      </c>
      <c r="P102" s="13">
        <f t="shared" si="2"/>
        <v>1.02532275E-2</v>
      </c>
      <c r="Q102" s="13">
        <f t="shared" si="2"/>
        <v>9.9318124999999997E-3</v>
      </c>
      <c r="R102" s="13" t="s">
        <v>239</v>
      </c>
      <c r="T102" s="62">
        <v>1.0838320000000001E-3</v>
      </c>
      <c r="U102" s="62">
        <v>1.04447E-3</v>
      </c>
      <c r="V102" s="62">
        <v>1.079156E-3</v>
      </c>
      <c r="W102" s="62">
        <v>1.039948E-3</v>
      </c>
      <c r="X102" s="63">
        <v>7.347896E-4</v>
      </c>
      <c r="Y102" s="63">
        <v>4.4850089999999999E-4</v>
      </c>
      <c r="Z102" s="63">
        <v>4.2684530000000002E-4</v>
      </c>
      <c r="AA102" s="63">
        <v>4.2429999999999898E-4</v>
      </c>
      <c r="AB102" s="63">
        <v>4.1892639999999999E-4</v>
      </c>
      <c r="AC102" s="63">
        <v>4.101291E-4</v>
      </c>
      <c r="AD102" s="63">
        <v>3.9727250000000001E-4</v>
      </c>
      <c r="AE102" s="13" t="s">
        <v>93</v>
      </c>
    </row>
    <row r="103" spans="1:31">
      <c r="A103" s="13" t="s">
        <v>324</v>
      </c>
      <c r="B103" s="13" t="s">
        <v>1</v>
      </c>
      <c r="C103" s="13" t="s">
        <v>222</v>
      </c>
      <c r="D103" s="13" t="str">
        <f>IFERROR(VLOOKUP(C103,ghg_sort!$A$86:$B$512,2,0),0)</f>
        <v>Agriculture</v>
      </c>
      <c r="E103" s="33" t="s">
        <v>207</v>
      </c>
      <c r="F103" s="13">
        <f>IFERROR(VLOOKUP($E103,ghg_sort!$A$3:$B$21,2,0),0)</f>
        <v>0</v>
      </c>
      <c r="G103" s="13">
        <f t="shared" si="5"/>
        <v>0</v>
      </c>
      <c r="H103" s="13">
        <f t="shared" si="5"/>
        <v>0</v>
      </c>
      <c r="I103" s="13">
        <f t="shared" si="5"/>
        <v>0</v>
      </c>
      <c r="J103" s="13">
        <f t="shared" si="4"/>
        <v>0</v>
      </c>
      <c r="K103" s="13">
        <f t="shared" si="4"/>
        <v>0</v>
      </c>
      <c r="L103" s="13">
        <f t="shared" si="4"/>
        <v>0</v>
      </c>
      <c r="M103" s="13">
        <f t="shared" si="4"/>
        <v>0</v>
      </c>
      <c r="N103" s="13">
        <f t="shared" si="4"/>
        <v>0</v>
      </c>
      <c r="O103" s="13">
        <f t="shared" si="4"/>
        <v>0</v>
      </c>
      <c r="P103" s="13">
        <f t="shared" si="2"/>
        <v>0</v>
      </c>
      <c r="Q103" s="13">
        <f t="shared" si="2"/>
        <v>0</v>
      </c>
      <c r="R103" s="13" t="s">
        <v>239</v>
      </c>
      <c r="T103" s="62">
        <v>1.8995000000000001E-2</v>
      </c>
      <c r="U103" s="62">
        <v>1.8305140000000001E-2</v>
      </c>
      <c r="V103" s="62">
        <v>1.8913050000000001E-2</v>
      </c>
      <c r="W103" s="62">
        <v>1.822588E-2</v>
      </c>
      <c r="X103" s="62">
        <v>1.287777E-2</v>
      </c>
      <c r="Y103" s="62">
        <v>7.8603360000000008E-3</v>
      </c>
      <c r="Z103" s="62">
        <v>7.4807889999999998E-3</v>
      </c>
      <c r="AA103" s="62">
        <v>7.4361749999999997E-3</v>
      </c>
      <c r="AB103" s="62">
        <v>7.3420070000000002E-3</v>
      </c>
      <c r="AC103" s="62">
        <v>7.1878350000000001E-3</v>
      </c>
      <c r="AD103" s="62">
        <v>6.9625039999999996E-3</v>
      </c>
      <c r="AE103" s="13" t="s">
        <v>93</v>
      </c>
    </row>
    <row r="104" spans="1:31">
      <c r="A104" s="13" t="s">
        <v>324</v>
      </c>
      <c r="B104" s="13" t="s">
        <v>1</v>
      </c>
      <c r="C104" s="13" t="s">
        <v>222</v>
      </c>
      <c r="D104" s="13" t="str">
        <f>IFERROR(VLOOKUP(C104,ghg_sort!$A$86:$B$512,2,0),0)</f>
        <v>Agriculture</v>
      </c>
      <c r="E104" s="33" t="s">
        <v>208</v>
      </c>
      <c r="F104" s="13">
        <f>IFERROR(VLOOKUP($E104,ghg_sort!$A$3:$B$21,2,0),0)</f>
        <v>0</v>
      </c>
      <c r="G104" s="13">
        <f t="shared" si="5"/>
        <v>0</v>
      </c>
      <c r="H104" s="13">
        <f t="shared" si="5"/>
        <v>0</v>
      </c>
      <c r="I104" s="13">
        <f t="shared" si="5"/>
        <v>0</v>
      </c>
      <c r="J104" s="13">
        <f t="shared" si="4"/>
        <v>0</v>
      </c>
      <c r="K104" s="13">
        <f t="shared" si="4"/>
        <v>0</v>
      </c>
      <c r="L104" s="13">
        <f t="shared" si="4"/>
        <v>0</v>
      </c>
      <c r="M104" s="13">
        <f t="shared" si="4"/>
        <v>0</v>
      </c>
      <c r="N104" s="13">
        <f t="shared" si="4"/>
        <v>0</v>
      </c>
      <c r="O104" s="13">
        <f t="shared" si="4"/>
        <v>0</v>
      </c>
      <c r="P104" s="13">
        <f t="shared" si="4"/>
        <v>0</v>
      </c>
      <c r="Q104" s="13">
        <f t="shared" si="4"/>
        <v>0</v>
      </c>
      <c r="R104" s="13" t="s">
        <v>239</v>
      </c>
      <c r="T104" s="63">
        <v>4.3973349999999999E-4</v>
      </c>
      <c r="U104" s="63">
        <v>4.2443949999999901E-4</v>
      </c>
      <c r="V104" s="63">
        <v>4.3853529999999998E-4</v>
      </c>
      <c r="W104" s="63">
        <v>4.2260249999999898E-4</v>
      </c>
      <c r="X104" s="63">
        <v>2.9859560000000001E-4</v>
      </c>
      <c r="Y104" s="63">
        <v>1.822568E-4</v>
      </c>
      <c r="Z104" s="63">
        <v>1.73456399999999E-4</v>
      </c>
      <c r="AA104" s="63">
        <v>1.724218E-4</v>
      </c>
      <c r="AB104" s="63">
        <v>1.7023839999999999E-4</v>
      </c>
      <c r="AC104" s="63">
        <v>1.666634E-4</v>
      </c>
      <c r="AD104" s="63">
        <v>1.6143909999999999E-4</v>
      </c>
      <c r="AE104" s="13" t="s">
        <v>93</v>
      </c>
    </row>
    <row r="105" spans="1:31">
      <c r="A105" s="13" t="s">
        <v>324</v>
      </c>
      <c r="B105" s="13" t="s">
        <v>1</v>
      </c>
      <c r="C105" s="13" t="s">
        <v>222</v>
      </c>
      <c r="D105" s="13" t="str">
        <f>IFERROR(VLOOKUP(C105,ghg_sort!$A$86:$B$512,2,0),0)</f>
        <v>Agriculture</v>
      </c>
      <c r="E105" s="33" t="s">
        <v>101</v>
      </c>
      <c r="F105" s="13">
        <f>IFERROR(VLOOKUP($E105,ghg_sort!$A$3:$B$21,2,0),0)</f>
        <v>298</v>
      </c>
      <c r="G105" s="13">
        <f t="shared" si="5"/>
        <v>2.4388841500000003</v>
      </c>
      <c r="H105" s="13">
        <f t="shared" si="5"/>
        <v>2.8359408400000001</v>
      </c>
      <c r="I105" s="13">
        <f t="shared" si="5"/>
        <v>2.2496738179999998</v>
      </c>
      <c r="J105" s="13">
        <f t="shared" si="4"/>
        <v>2.3810334099999997</v>
      </c>
      <c r="K105" s="13">
        <f t="shared" si="4"/>
        <v>2.4416779000000002</v>
      </c>
      <c r="L105" s="13">
        <f t="shared" si="4"/>
        <v>2.3447048260000001</v>
      </c>
      <c r="M105" s="13">
        <f t="shared" si="4"/>
        <v>2.2970579039999999</v>
      </c>
      <c r="N105" s="13">
        <f t="shared" si="4"/>
        <v>2.2267805639999998</v>
      </c>
      <c r="O105" s="13">
        <f t="shared" si="4"/>
        <v>2.0959150559999968</v>
      </c>
      <c r="P105" s="13">
        <f t="shared" si="4"/>
        <v>1.9343510779999999</v>
      </c>
      <c r="Q105" s="13">
        <f t="shared" si="4"/>
        <v>1.7864319240000002</v>
      </c>
      <c r="R105" s="13" t="s">
        <v>239</v>
      </c>
      <c r="T105" s="62">
        <v>8.1841750000000001E-3</v>
      </c>
      <c r="U105" s="62">
        <v>9.5165800000000002E-3</v>
      </c>
      <c r="V105" s="62">
        <v>7.5492409999999999E-3</v>
      </c>
      <c r="W105" s="62">
        <v>7.9900449999999994E-3</v>
      </c>
      <c r="X105" s="62">
        <v>8.1935500000000008E-3</v>
      </c>
      <c r="Y105" s="62">
        <v>7.8681370000000007E-3</v>
      </c>
      <c r="Z105" s="62">
        <v>7.708248E-3</v>
      </c>
      <c r="AA105" s="62">
        <v>7.4724179999999998E-3</v>
      </c>
      <c r="AB105" s="62">
        <v>7.0332719999999897E-3</v>
      </c>
      <c r="AC105" s="62">
        <v>6.4911109999999999E-3</v>
      </c>
      <c r="AD105" s="62">
        <v>5.9947380000000003E-3</v>
      </c>
      <c r="AE105" s="13" t="s">
        <v>93</v>
      </c>
    </row>
    <row r="106" spans="1:31">
      <c r="A106" s="13" t="s">
        <v>324</v>
      </c>
      <c r="B106" s="13" t="s">
        <v>1</v>
      </c>
      <c r="C106" s="13" t="s">
        <v>222</v>
      </c>
      <c r="D106" s="13" t="str">
        <f>IFERROR(VLOOKUP(C106,ghg_sort!$A$86:$B$512,2,0),0)</f>
        <v>Agriculture</v>
      </c>
      <c r="E106" s="33" t="s">
        <v>102</v>
      </c>
      <c r="F106" s="13">
        <f>IFERROR(VLOOKUP($E106,ghg_sort!$A$3:$B$21,2,0),0)</f>
        <v>298</v>
      </c>
      <c r="G106" s="13">
        <f t="shared" si="5"/>
        <v>5.5495049999999997E-3</v>
      </c>
      <c r="H106" s="13">
        <f t="shared" si="5"/>
        <v>5.3479676000000006E-3</v>
      </c>
      <c r="I106" s="13">
        <f t="shared" si="5"/>
        <v>5.5255755999999998E-3</v>
      </c>
      <c r="J106" s="13">
        <f t="shared" si="4"/>
        <v>5.3248130000000003E-3</v>
      </c>
      <c r="K106" s="13">
        <f t="shared" si="4"/>
        <v>3.7623274799999701E-3</v>
      </c>
      <c r="L106" s="13">
        <f t="shared" si="4"/>
        <v>2.2964481960000001E-3</v>
      </c>
      <c r="M106" s="13">
        <f t="shared" si="4"/>
        <v>2.1855615019999971E-3</v>
      </c>
      <c r="N106" s="13">
        <f t="shared" si="4"/>
        <v>2.1725260880000002E-3</v>
      </c>
      <c r="O106" s="13">
        <f t="shared" si="4"/>
        <v>2.1450177079999971E-3</v>
      </c>
      <c r="P106" s="13">
        <f t="shared" si="4"/>
        <v>2.0999726239999969E-3</v>
      </c>
      <c r="Q106" s="13">
        <f t="shared" si="4"/>
        <v>2.0341426360000001E-3</v>
      </c>
      <c r="R106" s="13" t="s">
        <v>239</v>
      </c>
      <c r="T106" s="63">
        <v>1.86225E-5</v>
      </c>
      <c r="U106" s="63">
        <v>1.7946200000000001E-5</v>
      </c>
      <c r="V106" s="63">
        <v>1.85422E-5</v>
      </c>
      <c r="W106" s="63">
        <v>1.78685E-5</v>
      </c>
      <c r="X106" s="63">
        <v>1.26252599999999E-5</v>
      </c>
      <c r="Y106" s="63">
        <v>7.7062019999999996E-6</v>
      </c>
      <c r="Z106" s="63">
        <v>7.3340989999999902E-6</v>
      </c>
      <c r="AA106" s="63">
        <v>7.2903560000000002E-6</v>
      </c>
      <c r="AB106" s="63">
        <v>7.1980459999999902E-6</v>
      </c>
      <c r="AC106" s="63">
        <v>7.0468879999999897E-6</v>
      </c>
      <c r="AD106" s="63">
        <v>6.8259820000000003E-6</v>
      </c>
      <c r="AE106" s="13" t="s">
        <v>93</v>
      </c>
    </row>
    <row r="107" spans="1:31">
      <c r="A107" s="13" t="s">
        <v>324</v>
      </c>
      <c r="B107" s="13" t="s">
        <v>1</v>
      </c>
      <c r="C107" s="13" t="s">
        <v>222</v>
      </c>
      <c r="D107" s="13" t="str">
        <f>IFERROR(VLOOKUP(C107,ghg_sort!$A$86:$B$512,2,0),0)</f>
        <v>Agriculture</v>
      </c>
      <c r="E107" s="33" t="s">
        <v>202</v>
      </c>
      <c r="F107" s="13">
        <f>IFERROR(VLOOKUP($E107,ghg_sort!$A$3:$B$21,2,0),0)</f>
        <v>0</v>
      </c>
      <c r="G107" s="13">
        <f t="shared" si="5"/>
        <v>0</v>
      </c>
      <c r="H107" s="13">
        <f t="shared" si="5"/>
        <v>0</v>
      </c>
      <c r="I107" s="13">
        <f t="shared" si="5"/>
        <v>0</v>
      </c>
      <c r="J107" s="13">
        <f t="shared" si="4"/>
        <v>0</v>
      </c>
      <c r="K107" s="13">
        <f t="shared" si="4"/>
        <v>0</v>
      </c>
      <c r="L107" s="13">
        <f t="shared" si="4"/>
        <v>0</v>
      </c>
      <c r="M107" s="13">
        <f t="shared" si="4"/>
        <v>0</v>
      </c>
      <c r="N107" s="13">
        <f t="shared" si="4"/>
        <v>0</v>
      </c>
      <c r="O107" s="13">
        <f t="shared" si="4"/>
        <v>0</v>
      </c>
      <c r="P107" s="13">
        <f t="shared" si="4"/>
        <v>0</v>
      </c>
      <c r="Q107" s="13">
        <f t="shared" si="4"/>
        <v>0</v>
      </c>
      <c r="R107" s="13" t="s">
        <v>239</v>
      </c>
      <c r="T107" s="62">
        <v>4.7147380000000003E-2</v>
      </c>
      <c r="U107" s="62">
        <v>5.7618330000000002E-2</v>
      </c>
      <c r="V107" s="62">
        <v>5.0001799999999999E-2</v>
      </c>
      <c r="W107" s="62">
        <v>5.0234979999999999E-2</v>
      </c>
      <c r="X107" s="62">
        <v>5.1566059999999997E-2</v>
      </c>
      <c r="Y107" s="62">
        <v>5.1683679999999899E-2</v>
      </c>
      <c r="Z107" s="62">
        <v>5.1547320000000001E-2</v>
      </c>
      <c r="AA107" s="62">
        <v>5.1239789999999903E-2</v>
      </c>
      <c r="AB107" s="62">
        <v>5.0590969999999999E-2</v>
      </c>
      <c r="AC107" s="62">
        <v>4.9528549999999998E-2</v>
      </c>
      <c r="AD107" s="62">
        <v>4.7975990000000003E-2</v>
      </c>
      <c r="AE107" s="13" t="s">
        <v>93</v>
      </c>
    </row>
    <row r="108" spans="1:31">
      <c r="A108" s="13" t="s">
        <v>324</v>
      </c>
      <c r="B108" s="13" t="s">
        <v>1</v>
      </c>
      <c r="C108" s="13" t="s">
        <v>222</v>
      </c>
      <c r="D108" s="13" t="str">
        <f>IFERROR(VLOOKUP(C108,ghg_sort!$A$86:$B$512,2,0),0)</f>
        <v>Agriculture</v>
      </c>
      <c r="E108" s="33" t="s">
        <v>209</v>
      </c>
      <c r="F108" s="13">
        <f>IFERROR(VLOOKUP($E108,ghg_sort!$A$3:$B$21,2,0),0)</f>
        <v>0</v>
      </c>
      <c r="G108" s="13">
        <f t="shared" si="5"/>
        <v>0</v>
      </c>
      <c r="H108" s="13">
        <f t="shared" si="5"/>
        <v>0</v>
      </c>
      <c r="I108" s="13">
        <f t="shared" si="5"/>
        <v>0</v>
      </c>
      <c r="J108" s="13">
        <f t="shared" si="4"/>
        <v>0</v>
      </c>
      <c r="K108" s="13">
        <f t="shared" si="4"/>
        <v>0</v>
      </c>
      <c r="L108" s="13">
        <f t="shared" si="4"/>
        <v>0</v>
      </c>
      <c r="M108" s="13">
        <f t="shared" si="4"/>
        <v>0</v>
      </c>
      <c r="N108" s="13">
        <f t="shared" si="4"/>
        <v>0</v>
      </c>
      <c r="O108" s="13">
        <f t="shared" si="4"/>
        <v>0</v>
      </c>
      <c r="P108" s="13">
        <f t="shared" si="4"/>
        <v>0</v>
      </c>
      <c r="Q108" s="13">
        <f t="shared" si="4"/>
        <v>0</v>
      </c>
      <c r="R108" s="13" t="s">
        <v>239</v>
      </c>
      <c r="T108" s="63">
        <v>4.0410929999999998E-4</v>
      </c>
      <c r="U108" s="63">
        <v>3.8943220000000001E-4</v>
      </c>
      <c r="V108" s="63">
        <v>4.0236610000000001E-4</v>
      </c>
      <c r="W108" s="63">
        <v>3.8774729999999899E-4</v>
      </c>
      <c r="X108" s="63">
        <v>2.7396810000000001E-4</v>
      </c>
      <c r="Y108" s="63">
        <v>1.672248E-4</v>
      </c>
      <c r="Z108" s="63">
        <v>1.59150199999999E-4</v>
      </c>
      <c r="AA108" s="63">
        <v>1.582008E-4</v>
      </c>
      <c r="AB108" s="63">
        <v>1.561976E-4</v>
      </c>
      <c r="AC108" s="63">
        <v>1.52917499999999E-4</v>
      </c>
      <c r="AD108" s="63">
        <v>1.4812399999999999E-4</v>
      </c>
      <c r="AE108" s="13" t="s">
        <v>93</v>
      </c>
    </row>
    <row r="109" spans="1:31">
      <c r="A109" s="13" t="s">
        <v>324</v>
      </c>
      <c r="B109" s="13" t="s">
        <v>1</v>
      </c>
      <c r="C109" s="13" t="s">
        <v>222</v>
      </c>
      <c r="D109" s="13" t="str">
        <f>IFERROR(VLOOKUP(C109,ghg_sort!$A$86:$B$512,2,0),0)</f>
        <v>Agriculture</v>
      </c>
      <c r="E109" s="33" t="s">
        <v>210</v>
      </c>
      <c r="F109" s="13">
        <f>IFERROR(VLOOKUP($E109,ghg_sort!$A$3:$B$21,2,0),0)</f>
        <v>0</v>
      </c>
      <c r="G109" s="13">
        <f t="shared" si="5"/>
        <v>0</v>
      </c>
      <c r="H109" s="13">
        <f t="shared" si="5"/>
        <v>0</v>
      </c>
      <c r="I109" s="13">
        <f t="shared" si="5"/>
        <v>0</v>
      </c>
      <c r="J109" s="13">
        <f t="shared" si="4"/>
        <v>0</v>
      </c>
      <c r="K109" s="13">
        <f t="shared" si="4"/>
        <v>0</v>
      </c>
      <c r="L109" s="13">
        <f t="shared" si="4"/>
        <v>0</v>
      </c>
      <c r="M109" s="13">
        <f t="shared" si="4"/>
        <v>0</v>
      </c>
      <c r="N109" s="13">
        <f t="shared" si="4"/>
        <v>0</v>
      </c>
      <c r="O109" s="13">
        <f t="shared" ref="O109:Q172" si="6">AB109*$F109</f>
        <v>0</v>
      </c>
      <c r="P109" s="13">
        <f t="shared" si="6"/>
        <v>0</v>
      </c>
      <c r="Q109" s="13">
        <f t="shared" si="6"/>
        <v>0</v>
      </c>
      <c r="R109" s="13" t="s">
        <v>239</v>
      </c>
      <c r="T109" s="62">
        <v>4.5533589999999999E-3</v>
      </c>
      <c r="U109" s="62">
        <v>4.3803469999999997E-3</v>
      </c>
      <c r="V109" s="62">
        <v>4.5258199999999998E-3</v>
      </c>
      <c r="W109" s="62">
        <v>4.3613799999999998E-3</v>
      </c>
      <c r="X109" s="62">
        <v>3.0816020000000001E-3</v>
      </c>
      <c r="Y109" s="62">
        <v>1.8809440000000001E-3</v>
      </c>
      <c r="Z109" s="62">
        <v>1.7901219999999999E-3</v>
      </c>
      <c r="AA109" s="62">
        <v>1.779444E-3</v>
      </c>
      <c r="AB109" s="62">
        <v>1.7569109999999899E-3</v>
      </c>
      <c r="AC109" s="62">
        <v>1.72001799999999E-3</v>
      </c>
      <c r="AD109" s="62">
        <v>1.6660990000000001E-3</v>
      </c>
      <c r="AE109" s="13" t="s">
        <v>93</v>
      </c>
    </row>
    <row r="110" spans="1:31">
      <c r="A110" s="13" t="s">
        <v>324</v>
      </c>
      <c r="B110" s="13" t="s">
        <v>1</v>
      </c>
      <c r="C110" s="13" t="s">
        <v>222</v>
      </c>
      <c r="D110" s="13" t="str">
        <f>IFERROR(VLOOKUP(C110,ghg_sort!$A$86:$B$512,2,0),0)</f>
        <v>Agriculture</v>
      </c>
      <c r="E110" s="33" t="s">
        <v>204</v>
      </c>
      <c r="F110" s="13">
        <f>IFERROR(VLOOKUP($E110,ghg_sort!$A$3:$B$21,2,0),0)</f>
        <v>0</v>
      </c>
      <c r="G110" s="13">
        <f t="shared" si="5"/>
        <v>0</v>
      </c>
      <c r="H110" s="13">
        <f t="shared" si="5"/>
        <v>0</v>
      </c>
      <c r="I110" s="13">
        <f t="shared" si="5"/>
        <v>0</v>
      </c>
      <c r="J110" s="13">
        <f t="shared" si="5"/>
        <v>0</v>
      </c>
      <c r="K110" s="13">
        <f t="shared" si="5"/>
        <v>0</v>
      </c>
      <c r="L110" s="13">
        <f t="shared" si="5"/>
        <v>0</v>
      </c>
      <c r="M110" s="13">
        <f t="shared" si="5"/>
        <v>0</v>
      </c>
      <c r="N110" s="13">
        <f t="shared" si="5"/>
        <v>0</v>
      </c>
      <c r="O110" s="13">
        <f t="shared" si="6"/>
        <v>0</v>
      </c>
      <c r="P110" s="13">
        <f t="shared" si="6"/>
        <v>0</v>
      </c>
      <c r="Q110" s="13">
        <f t="shared" si="6"/>
        <v>0</v>
      </c>
      <c r="R110" s="13" t="s">
        <v>239</v>
      </c>
      <c r="T110" s="62">
        <v>3.9547050000000002E-3</v>
      </c>
      <c r="U110" s="62">
        <v>3.7050099999999999E-3</v>
      </c>
      <c r="V110" s="62">
        <v>3.4040439999999902E-3</v>
      </c>
      <c r="W110" s="62">
        <v>2.9073549999999999E-3</v>
      </c>
      <c r="X110" s="62">
        <v>2.9843959999999998E-3</v>
      </c>
      <c r="Y110" s="62">
        <v>2.9911959999999998E-3</v>
      </c>
      <c r="Z110" s="62">
        <v>2.983309E-3</v>
      </c>
      <c r="AA110" s="62">
        <v>2.9655099999999898E-3</v>
      </c>
      <c r="AB110" s="62">
        <v>2.9279620000000001E-3</v>
      </c>
      <c r="AC110" s="62">
        <v>2.8664719999999901E-3</v>
      </c>
      <c r="AD110" s="62">
        <v>2.77662E-3</v>
      </c>
      <c r="AE110" s="13" t="s">
        <v>93</v>
      </c>
    </row>
    <row r="111" spans="1:31">
      <c r="A111" s="13" t="s">
        <v>324</v>
      </c>
      <c r="B111" s="13" t="s">
        <v>1</v>
      </c>
      <c r="C111" s="13" t="s">
        <v>222</v>
      </c>
      <c r="D111" s="13" t="str">
        <f>IFERROR(VLOOKUP(C111,ghg_sort!$A$86:$B$512,2,0),0)</f>
        <v>Agriculture</v>
      </c>
      <c r="E111" s="33" t="s">
        <v>211</v>
      </c>
      <c r="F111" s="13">
        <f>IFERROR(VLOOKUP($E111,ghg_sort!$A$3:$B$21,2,0),0)</f>
        <v>0</v>
      </c>
      <c r="G111" s="13">
        <f t="shared" si="5"/>
        <v>0</v>
      </c>
      <c r="H111" s="13">
        <f t="shared" si="5"/>
        <v>0</v>
      </c>
      <c r="I111" s="13">
        <f t="shared" si="5"/>
        <v>0</v>
      </c>
      <c r="J111" s="13">
        <f t="shared" si="5"/>
        <v>0</v>
      </c>
      <c r="K111" s="13">
        <f t="shared" si="5"/>
        <v>0</v>
      </c>
      <c r="L111" s="13">
        <f t="shared" si="5"/>
        <v>0</v>
      </c>
      <c r="M111" s="13">
        <f t="shared" si="5"/>
        <v>0</v>
      </c>
      <c r="N111" s="13">
        <f t="shared" si="5"/>
        <v>0</v>
      </c>
      <c r="O111" s="13">
        <f t="shared" si="6"/>
        <v>0</v>
      </c>
      <c r="P111" s="13">
        <f t="shared" si="6"/>
        <v>0</v>
      </c>
      <c r="Q111" s="13">
        <f t="shared" si="6"/>
        <v>0</v>
      </c>
      <c r="R111" s="13" t="s">
        <v>239</v>
      </c>
      <c r="T111" s="63">
        <v>5.7916109999999995E-4</v>
      </c>
      <c r="U111" s="63">
        <v>5.5812759999999896E-4</v>
      </c>
      <c r="V111" s="63">
        <v>5.7666299999999896E-4</v>
      </c>
      <c r="W111" s="63">
        <v>5.5571079999999903E-4</v>
      </c>
      <c r="X111" s="63">
        <v>3.9264649999999998E-4</v>
      </c>
      <c r="Y111" s="63">
        <v>2.39663299999999E-4</v>
      </c>
      <c r="Z111" s="63">
        <v>2.280909E-4</v>
      </c>
      <c r="AA111" s="63">
        <v>2.267301E-4</v>
      </c>
      <c r="AB111" s="63">
        <v>2.2385920000000001E-4</v>
      </c>
      <c r="AC111" s="63">
        <v>2.1915819999999999E-4</v>
      </c>
      <c r="AD111" s="63">
        <v>2.12288299999999E-4</v>
      </c>
      <c r="AE111" s="13" t="s">
        <v>93</v>
      </c>
    </row>
    <row r="112" spans="1:31">
      <c r="A112" s="13" t="s">
        <v>324</v>
      </c>
      <c r="B112" s="13" t="s">
        <v>1</v>
      </c>
      <c r="C112" s="13" t="s">
        <v>222</v>
      </c>
      <c r="D112" s="13" t="str">
        <f>IFERROR(VLOOKUP(C112,ghg_sort!$A$86:$B$512,2,0),0)</f>
        <v>Agriculture</v>
      </c>
      <c r="E112" s="33" t="s">
        <v>212</v>
      </c>
      <c r="F112" s="13">
        <f>IFERROR(VLOOKUP($E112,ghg_sort!$A$3:$B$21,2,0),0)</f>
        <v>0</v>
      </c>
      <c r="G112" s="13">
        <f t="shared" si="5"/>
        <v>0</v>
      </c>
      <c r="H112" s="13">
        <f t="shared" si="5"/>
        <v>0</v>
      </c>
      <c r="I112" s="13">
        <f t="shared" si="5"/>
        <v>0</v>
      </c>
      <c r="J112" s="13">
        <f t="shared" si="5"/>
        <v>0</v>
      </c>
      <c r="K112" s="13">
        <f t="shared" si="5"/>
        <v>0</v>
      </c>
      <c r="L112" s="13">
        <f t="shared" si="5"/>
        <v>0</v>
      </c>
      <c r="M112" s="13">
        <f t="shared" si="5"/>
        <v>0</v>
      </c>
      <c r="N112" s="13">
        <f t="shared" si="5"/>
        <v>0</v>
      </c>
      <c r="O112" s="13">
        <f t="shared" si="6"/>
        <v>0</v>
      </c>
      <c r="P112" s="13">
        <f t="shared" si="6"/>
        <v>0</v>
      </c>
      <c r="Q112" s="13">
        <f t="shared" si="6"/>
        <v>0</v>
      </c>
      <c r="R112" s="13" t="s">
        <v>239</v>
      </c>
      <c r="T112" s="63">
        <v>4.2831849999999899E-4</v>
      </c>
      <c r="U112" s="63">
        <v>4.1276219999999899E-4</v>
      </c>
      <c r="V112" s="62">
        <v>1.0754959999999999E-2</v>
      </c>
      <c r="W112" s="62">
        <v>1.03641999999999E-2</v>
      </c>
      <c r="X112" s="62">
        <v>7.3229739999999899E-3</v>
      </c>
      <c r="Y112" s="62">
        <v>4.4697959999999998E-3</v>
      </c>
      <c r="Z112" s="62">
        <v>4.2539769999999999E-3</v>
      </c>
      <c r="AA112" s="62">
        <v>4.2286060000000002E-3</v>
      </c>
      <c r="AB112" s="62">
        <v>4.1750479999999998E-3</v>
      </c>
      <c r="AC112" s="62">
        <v>4.0873769999999997E-3</v>
      </c>
      <c r="AD112" s="62">
        <v>3.9592509999999996E-3</v>
      </c>
      <c r="AE112" s="13" t="s">
        <v>93</v>
      </c>
    </row>
    <row r="113" spans="1:31">
      <c r="A113" s="13" t="s">
        <v>324</v>
      </c>
      <c r="B113" s="13" t="s">
        <v>1</v>
      </c>
      <c r="C113" s="13" t="s">
        <v>222</v>
      </c>
      <c r="D113" s="13" t="str">
        <f>IFERROR(VLOOKUP(C113,ghg_sort!$A$86:$B$512,2,0),0)</f>
        <v>Agriculture</v>
      </c>
      <c r="E113" s="33" t="s">
        <v>213</v>
      </c>
      <c r="F113" s="13">
        <f>IFERROR(VLOOKUP($E113,ghg_sort!$A$3:$B$21,2,0),0)</f>
        <v>0</v>
      </c>
      <c r="G113" s="13">
        <f t="shared" si="5"/>
        <v>0</v>
      </c>
      <c r="H113" s="13">
        <f t="shared" si="5"/>
        <v>0</v>
      </c>
      <c r="I113" s="13">
        <f t="shared" si="5"/>
        <v>0</v>
      </c>
      <c r="J113" s="13">
        <f t="shared" si="5"/>
        <v>0</v>
      </c>
      <c r="K113" s="13">
        <f t="shared" si="5"/>
        <v>0</v>
      </c>
      <c r="L113" s="13">
        <f t="shared" si="5"/>
        <v>0</v>
      </c>
      <c r="M113" s="13">
        <f t="shared" si="5"/>
        <v>0</v>
      </c>
      <c r="N113" s="13">
        <f t="shared" si="5"/>
        <v>0</v>
      </c>
      <c r="O113" s="13">
        <f t="shared" si="6"/>
        <v>0</v>
      </c>
      <c r="P113" s="13">
        <f t="shared" si="6"/>
        <v>0</v>
      </c>
      <c r="Q113" s="13">
        <f t="shared" si="6"/>
        <v>0</v>
      </c>
      <c r="R113" s="13" t="s">
        <v>239</v>
      </c>
      <c r="T113" s="63">
        <v>7.4490219999999893E-5</v>
      </c>
      <c r="U113" s="63">
        <v>7.1784820000000006E-5</v>
      </c>
      <c r="V113" s="63">
        <v>7.4168820000000002E-5</v>
      </c>
      <c r="W113" s="63">
        <v>7.1474040000000003E-5</v>
      </c>
      <c r="X113" s="63">
        <v>5.0501089999999901E-5</v>
      </c>
      <c r="Y113" s="63">
        <v>3.082485E-5</v>
      </c>
      <c r="Z113" s="63">
        <v>2.9336449999999999E-5</v>
      </c>
      <c r="AA113" s="63">
        <v>2.9161429999999899E-5</v>
      </c>
      <c r="AB113" s="63">
        <v>2.8792119999999901E-5</v>
      </c>
      <c r="AC113" s="63">
        <v>2.81875099999999E-5</v>
      </c>
      <c r="AD113" s="63">
        <v>2.7303909999999999E-5</v>
      </c>
      <c r="AE113" s="13" t="s">
        <v>93</v>
      </c>
    </row>
    <row r="114" spans="1:31">
      <c r="A114" s="13" t="s">
        <v>324</v>
      </c>
      <c r="B114" s="13" t="s">
        <v>1</v>
      </c>
      <c r="C114" s="13" t="s">
        <v>223</v>
      </c>
      <c r="D114" s="13" t="str">
        <f>IFERROR(VLOOKUP(C114,ghg_sort!$A$86:$B$512,2,0),0)</f>
        <v>Agriculture</v>
      </c>
      <c r="E114" s="33" t="s">
        <v>206</v>
      </c>
      <c r="F114" s="13">
        <f>IFERROR(VLOOKUP($E114,ghg_sort!$A$3:$B$21,2,0),0)</f>
        <v>0</v>
      </c>
      <c r="G114" s="13">
        <f t="shared" si="5"/>
        <v>0</v>
      </c>
      <c r="H114" s="13">
        <f t="shared" si="5"/>
        <v>0</v>
      </c>
      <c r="I114" s="13">
        <f t="shared" si="5"/>
        <v>0</v>
      </c>
      <c r="J114" s="13">
        <f t="shared" si="5"/>
        <v>0</v>
      </c>
      <c r="K114" s="13">
        <f t="shared" si="5"/>
        <v>0</v>
      </c>
      <c r="L114" s="13">
        <f t="shared" si="5"/>
        <v>0</v>
      </c>
      <c r="M114" s="13">
        <f t="shared" si="5"/>
        <v>0</v>
      </c>
      <c r="N114" s="13">
        <f t="shared" si="5"/>
        <v>0</v>
      </c>
      <c r="O114" s="13">
        <f t="shared" si="6"/>
        <v>0</v>
      </c>
      <c r="P114" s="13">
        <f t="shared" si="6"/>
        <v>0</v>
      </c>
      <c r="Q114" s="13">
        <f t="shared" si="6"/>
        <v>0</v>
      </c>
      <c r="R114" s="13" t="s">
        <v>239</v>
      </c>
      <c r="T114" s="63">
        <v>2.6869999999999999E-6</v>
      </c>
      <c r="U114" s="63">
        <v>3.12249999999999E-6</v>
      </c>
      <c r="V114" s="63">
        <v>4.8011669999999998E-5</v>
      </c>
      <c r="W114" s="63">
        <v>4.6304109999999997E-5</v>
      </c>
      <c r="X114" s="63">
        <v>3.3617110000000001E-5</v>
      </c>
      <c r="Y114" s="63">
        <v>2.1434929999999999E-5</v>
      </c>
      <c r="Z114" s="63">
        <v>2.0755899999999999E-5</v>
      </c>
      <c r="AA114" s="63">
        <v>2.1058309999999999E-5</v>
      </c>
      <c r="AB114" s="63">
        <v>2.1153900000000001E-5</v>
      </c>
      <c r="AC114" s="63">
        <v>2.1219620000000001E-5</v>
      </c>
      <c r="AD114" s="63">
        <v>2.1151529999999899E-5</v>
      </c>
      <c r="AE114" s="13" t="s">
        <v>93</v>
      </c>
    </row>
    <row r="115" spans="1:31">
      <c r="A115" s="13" t="s">
        <v>324</v>
      </c>
      <c r="B115" s="13" t="s">
        <v>1</v>
      </c>
      <c r="C115" s="13" t="s">
        <v>223</v>
      </c>
      <c r="D115" s="13" t="str">
        <f>IFERROR(VLOOKUP(C115,ghg_sort!$A$86:$B$512,2,0),0)</f>
        <v>Agriculture</v>
      </c>
      <c r="E115" s="33" t="s">
        <v>105</v>
      </c>
      <c r="F115" s="13">
        <f>IFERROR(VLOOKUP($E115,ghg_sort!$A$3:$B$21,2,0),0)</f>
        <v>25</v>
      </c>
      <c r="G115" s="13">
        <f t="shared" si="5"/>
        <v>5.2127750000000007E-4</v>
      </c>
      <c r="H115" s="13">
        <f t="shared" si="5"/>
        <v>6.0576499999999748E-4</v>
      </c>
      <c r="I115" s="13">
        <f t="shared" si="5"/>
        <v>5.7671774999999996E-4</v>
      </c>
      <c r="J115" s="13">
        <f t="shared" si="5"/>
        <v>5.5620725000000005E-4</v>
      </c>
      <c r="K115" s="13">
        <f t="shared" si="5"/>
        <v>4.0381000000000005E-4</v>
      </c>
      <c r="L115" s="13">
        <f t="shared" si="5"/>
        <v>2.574775E-4</v>
      </c>
      <c r="M115" s="13">
        <f t="shared" si="5"/>
        <v>2.4932074999999996E-4</v>
      </c>
      <c r="N115" s="13">
        <f t="shared" si="5"/>
        <v>2.529535E-4</v>
      </c>
      <c r="O115" s="13">
        <f t="shared" si="6"/>
        <v>2.5410124999999999E-4</v>
      </c>
      <c r="P115" s="13">
        <f t="shared" si="6"/>
        <v>2.5489125000000001E-4</v>
      </c>
      <c r="Q115" s="13">
        <f t="shared" si="6"/>
        <v>2.5407324999999998E-4</v>
      </c>
      <c r="R115" s="13" t="s">
        <v>239</v>
      </c>
      <c r="T115" s="63">
        <v>2.0851100000000001E-5</v>
      </c>
      <c r="U115" s="63">
        <v>2.42305999999999E-5</v>
      </c>
      <c r="V115" s="63">
        <v>2.3068709999999999E-5</v>
      </c>
      <c r="W115" s="63">
        <v>2.2248290000000001E-5</v>
      </c>
      <c r="X115" s="63">
        <v>1.6152400000000001E-5</v>
      </c>
      <c r="Y115" s="63">
        <v>1.0299099999999999E-5</v>
      </c>
      <c r="Z115" s="63">
        <v>9.9728299999999992E-6</v>
      </c>
      <c r="AA115" s="63">
        <v>1.011814E-5</v>
      </c>
      <c r="AB115" s="63">
        <v>1.016405E-5</v>
      </c>
      <c r="AC115" s="63">
        <v>1.019565E-5</v>
      </c>
      <c r="AD115" s="63">
        <v>1.0162929999999999E-5</v>
      </c>
      <c r="AE115" s="13" t="s">
        <v>93</v>
      </c>
    </row>
    <row r="116" spans="1:31">
      <c r="A116" s="13" t="s">
        <v>324</v>
      </c>
      <c r="B116" s="13" t="s">
        <v>1</v>
      </c>
      <c r="C116" s="13" t="s">
        <v>223</v>
      </c>
      <c r="D116" s="13" t="str">
        <f>IFERROR(VLOOKUP(C116,ghg_sort!$A$86:$B$512,2,0),0)</f>
        <v>Agriculture</v>
      </c>
      <c r="E116" s="33" t="s">
        <v>207</v>
      </c>
      <c r="F116" s="13">
        <f>IFERROR(VLOOKUP($E116,ghg_sort!$A$3:$B$21,2,0),0)</f>
        <v>0</v>
      </c>
      <c r="G116" s="13">
        <f t="shared" si="5"/>
        <v>0</v>
      </c>
      <c r="H116" s="13">
        <f t="shared" si="5"/>
        <v>0</v>
      </c>
      <c r="I116" s="13">
        <f t="shared" si="5"/>
        <v>0</v>
      </c>
      <c r="J116" s="13">
        <f t="shared" si="5"/>
        <v>0</v>
      </c>
      <c r="K116" s="13">
        <f t="shared" si="5"/>
        <v>0</v>
      </c>
      <c r="L116" s="13">
        <f t="shared" si="5"/>
        <v>0</v>
      </c>
      <c r="M116" s="13">
        <f t="shared" si="5"/>
        <v>0</v>
      </c>
      <c r="N116" s="13">
        <f t="shared" si="5"/>
        <v>0</v>
      </c>
      <c r="O116" s="13">
        <f t="shared" si="6"/>
        <v>0</v>
      </c>
      <c r="P116" s="13">
        <f t="shared" si="6"/>
        <v>0</v>
      </c>
      <c r="Q116" s="13">
        <f t="shared" si="6"/>
        <v>0</v>
      </c>
      <c r="R116" s="13" t="s">
        <v>239</v>
      </c>
      <c r="T116" s="63">
        <v>3.6543220000000002E-4</v>
      </c>
      <c r="U116" s="63">
        <v>4.2465990000000001E-4</v>
      </c>
      <c r="V116" s="63">
        <v>4.0429669999999997E-4</v>
      </c>
      <c r="W116" s="63">
        <v>3.899183E-4</v>
      </c>
      <c r="X116" s="63">
        <v>2.8308320000000001E-4</v>
      </c>
      <c r="Y116" s="63">
        <v>1.8049949999999999E-4</v>
      </c>
      <c r="Z116" s="63">
        <v>1.7478139999999999E-4</v>
      </c>
      <c r="AA116" s="63">
        <v>1.7732809999999999E-4</v>
      </c>
      <c r="AB116" s="63">
        <v>1.78133E-4</v>
      </c>
      <c r="AC116" s="63">
        <v>1.7868649999999901E-4</v>
      </c>
      <c r="AD116" s="63">
        <v>1.78112999999999E-4</v>
      </c>
      <c r="AE116" s="13" t="s">
        <v>93</v>
      </c>
    </row>
    <row r="117" spans="1:31">
      <c r="A117" s="13" t="s">
        <v>324</v>
      </c>
      <c r="B117" s="13" t="s">
        <v>1</v>
      </c>
      <c r="C117" s="13" t="s">
        <v>223</v>
      </c>
      <c r="D117" s="13" t="str">
        <f>IFERROR(VLOOKUP(C117,ghg_sort!$A$86:$B$512,2,0),0)</f>
        <v>Agriculture</v>
      </c>
      <c r="E117" s="33" t="s">
        <v>208</v>
      </c>
      <c r="F117" s="13">
        <f>IFERROR(VLOOKUP($E117,ghg_sort!$A$3:$B$21,2,0),0)</f>
        <v>0</v>
      </c>
      <c r="G117" s="13">
        <f t="shared" si="5"/>
        <v>0</v>
      </c>
      <c r="H117" s="13">
        <f t="shared" si="5"/>
        <v>0</v>
      </c>
      <c r="I117" s="13">
        <f t="shared" si="5"/>
        <v>0</v>
      </c>
      <c r="J117" s="13">
        <f t="shared" si="5"/>
        <v>0</v>
      </c>
      <c r="K117" s="13">
        <f t="shared" si="5"/>
        <v>0</v>
      </c>
      <c r="L117" s="13">
        <f t="shared" si="5"/>
        <v>0</v>
      </c>
      <c r="M117" s="13">
        <f t="shared" si="5"/>
        <v>0</v>
      </c>
      <c r="N117" s="13">
        <f t="shared" si="5"/>
        <v>0</v>
      </c>
      <c r="O117" s="13">
        <f t="shared" si="6"/>
        <v>0</v>
      </c>
      <c r="P117" s="13">
        <f t="shared" si="6"/>
        <v>0</v>
      </c>
      <c r="Q117" s="13">
        <f t="shared" si="6"/>
        <v>0</v>
      </c>
      <c r="R117" s="13" t="s">
        <v>239</v>
      </c>
      <c r="T117" s="63">
        <v>8.4596999999999997E-6</v>
      </c>
      <c r="U117" s="63">
        <v>9.8464999999999997E-6</v>
      </c>
      <c r="V117" s="63">
        <v>9.3743499999999994E-6</v>
      </c>
      <c r="W117" s="63">
        <v>9.0409599999999992E-6</v>
      </c>
      <c r="X117" s="63">
        <v>6.5637899999999999E-6</v>
      </c>
      <c r="Y117" s="63">
        <v>4.1852140000000001E-6</v>
      </c>
      <c r="Z117" s="63">
        <v>4.0526229999999902E-6</v>
      </c>
      <c r="AA117" s="63">
        <v>4.111679E-6</v>
      </c>
      <c r="AB117" s="63">
        <v>4.1303369999999996E-6</v>
      </c>
      <c r="AC117" s="63">
        <v>4.1431680000000004E-6</v>
      </c>
      <c r="AD117" s="63">
        <v>4.1298650000000001E-6</v>
      </c>
      <c r="AE117" s="13" t="s">
        <v>93</v>
      </c>
    </row>
    <row r="118" spans="1:31">
      <c r="A118" s="13" t="s">
        <v>324</v>
      </c>
      <c r="B118" s="13" t="s">
        <v>1</v>
      </c>
      <c r="C118" s="13" t="s">
        <v>223</v>
      </c>
      <c r="D118" s="13" t="str">
        <f>IFERROR(VLOOKUP(C118,ghg_sort!$A$86:$B$512,2,0),0)</f>
        <v>Agriculture</v>
      </c>
      <c r="E118" s="33" t="s">
        <v>101</v>
      </c>
      <c r="F118" s="13">
        <f>IFERROR(VLOOKUP($E118,ghg_sort!$A$3:$B$21,2,0),0)</f>
        <v>298</v>
      </c>
      <c r="G118" s="13">
        <f t="shared" si="5"/>
        <v>9.0999068000000002E-2</v>
      </c>
      <c r="H118" s="13">
        <f t="shared" si="5"/>
        <v>0.1204032644</v>
      </c>
      <c r="I118" s="13">
        <f t="shared" si="5"/>
        <v>0.1089986852</v>
      </c>
      <c r="J118" s="13">
        <f t="shared" si="5"/>
        <v>0.12502938659999971</v>
      </c>
      <c r="K118" s="13">
        <f t="shared" si="5"/>
        <v>0.12923625259999971</v>
      </c>
      <c r="L118" s="13">
        <f t="shared" si="5"/>
        <v>0.1302455488</v>
      </c>
      <c r="M118" s="13">
        <f t="shared" si="5"/>
        <v>0.12643666179999968</v>
      </c>
      <c r="N118" s="13">
        <f t="shared" si="5"/>
        <v>0.12732437399999999</v>
      </c>
      <c r="O118" s="13">
        <f t="shared" si="6"/>
        <v>0.12779035660000002</v>
      </c>
      <c r="P118" s="13">
        <f t="shared" si="6"/>
        <v>0.12797404379999999</v>
      </c>
      <c r="Q118" s="13">
        <f t="shared" si="6"/>
        <v>0.1247265887999997</v>
      </c>
      <c r="R118" s="13" t="s">
        <v>239</v>
      </c>
      <c r="T118" s="63">
        <v>3.05366E-4</v>
      </c>
      <c r="U118" s="63">
        <v>4.040378E-4</v>
      </c>
      <c r="V118" s="63">
        <v>3.657674E-4</v>
      </c>
      <c r="W118" s="63">
        <v>4.1956169999999898E-4</v>
      </c>
      <c r="X118" s="63">
        <v>4.33678699999999E-4</v>
      </c>
      <c r="Y118" s="63">
        <v>4.3706559999999998E-4</v>
      </c>
      <c r="Z118" s="63">
        <v>4.2428409999999898E-4</v>
      </c>
      <c r="AA118" s="63">
        <v>4.2726299999999999E-4</v>
      </c>
      <c r="AB118" s="63">
        <v>4.2882670000000001E-4</v>
      </c>
      <c r="AC118" s="63">
        <v>4.2944309999999998E-4</v>
      </c>
      <c r="AD118" s="63">
        <v>4.18545599999999E-4</v>
      </c>
      <c r="AE118" s="13" t="s">
        <v>93</v>
      </c>
    </row>
    <row r="119" spans="1:31">
      <c r="A119" s="13" t="s">
        <v>324</v>
      </c>
      <c r="B119" s="13" t="s">
        <v>1</v>
      </c>
      <c r="C119" s="13" t="s">
        <v>223</v>
      </c>
      <c r="D119" s="13" t="str">
        <f>IFERROR(VLOOKUP(C119,ghg_sort!$A$86:$B$512,2,0),0)</f>
        <v>Agriculture</v>
      </c>
      <c r="E119" s="33" t="s">
        <v>102</v>
      </c>
      <c r="F119" s="13">
        <f>IFERROR(VLOOKUP($E119,ghg_sort!$A$3:$B$21,2,0),0)</f>
        <v>298</v>
      </c>
      <c r="G119" s="13">
        <f t="shared" si="5"/>
        <v>1.0677339999999971E-4</v>
      </c>
      <c r="H119" s="13">
        <f t="shared" si="5"/>
        <v>1.2405740000000001E-4</v>
      </c>
      <c r="I119" s="13">
        <f t="shared" si="5"/>
        <v>1.181084558E-4</v>
      </c>
      <c r="J119" s="13">
        <f t="shared" si="5"/>
        <v>1.139080861999997E-4</v>
      </c>
      <c r="K119" s="13">
        <f t="shared" si="5"/>
        <v>8.2697950200000007E-5</v>
      </c>
      <c r="L119" s="13">
        <f t="shared" si="5"/>
        <v>5.2729699400000001E-5</v>
      </c>
      <c r="M119" s="13">
        <f t="shared" si="5"/>
        <v>5.1059230599999999E-5</v>
      </c>
      <c r="N119" s="13">
        <f t="shared" si="5"/>
        <v>5.18032173999997E-5</v>
      </c>
      <c r="O119" s="13">
        <f t="shared" si="6"/>
        <v>5.2038518199999999E-5</v>
      </c>
      <c r="P119" s="13">
        <f t="shared" si="6"/>
        <v>5.22003322E-5</v>
      </c>
      <c r="Q119" s="13">
        <f t="shared" si="6"/>
        <v>5.2032945599999702E-5</v>
      </c>
      <c r="R119" s="13" t="s">
        <v>239</v>
      </c>
      <c r="T119" s="63">
        <v>3.5829999999999902E-7</v>
      </c>
      <c r="U119" s="63">
        <v>4.1629999999999999E-7</v>
      </c>
      <c r="V119" s="63">
        <v>3.9633709999999998E-7</v>
      </c>
      <c r="W119" s="63">
        <v>3.8224189999999902E-7</v>
      </c>
      <c r="X119" s="63">
        <v>2.7750990000000001E-7</v>
      </c>
      <c r="Y119" s="63">
        <v>1.769453E-7</v>
      </c>
      <c r="Z119" s="63">
        <v>1.7133969999999999E-7</v>
      </c>
      <c r="AA119" s="63">
        <v>1.7383629999999899E-7</v>
      </c>
      <c r="AB119" s="63">
        <v>1.746259E-7</v>
      </c>
      <c r="AC119" s="63">
        <v>1.7516890000000001E-7</v>
      </c>
      <c r="AD119" s="63">
        <v>1.74607199999999E-7</v>
      </c>
      <c r="AE119" s="13" t="s">
        <v>93</v>
      </c>
    </row>
    <row r="120" spans="1:31">
      <c r="A120" s="13" t="s">
        <v>324</v>
      </c>
      <c r="B120" s="13" t="s">
        <v>1</v>
      </c>
      <c r="C120" s="13" t="s">
        <v>223</v>
      </c>
      <c r="D120" s="13" t="str">
        <f>IFERROR(VLOOKUP(C120,ghg_sort!$A$86:$B$512,2,0),0)</f>
        <v>Agriculture</v>
      </c>
      <c r="E120" s="33" t="s">
        <v>202</v>
      </c>
      <c r="F120" s="13">
        <f>IFERROR(VLOOKUP($E120,ghg_sort!$A$3:$B$21,2,0),0)</f>
        <v>0</v>
      </c>
      <c r="G120" s="13">
        <f t="shared" si="5"/>
        <v>0</v>
      </c>
      <c r="H120" s="13">
        <f t="shared" si="5"/>
        <v>0</v>
      </c>
      <c r="I120" s="13">
        <f t="shared" si="5"/>
        <v>0</v>
      </c>
      <c r="J120" s="13">
        <f t="shared" si="5"/>
        <v>0</v>
      </c>
      <c r="K120" s="13">
        <f t="shared" si="5"/>
        <v>0</v>
      </c>
      <c r="L120" s="13">
        <f t="shared" si="5"/>
        <v>0</v>
      </c>
      <c r="M120" s="13">
        <f t="shared" si="5"/>
        <v>0</v>
      </c>
      <c r="N120" s="13">
        <f t="shared" si="5"/>
        <v>0</v>
      </c>
      <c r="O120" s="13">
        <f t="shared" si="6"/>
        <v>0</v>
      </c>
      <c r="P120" s="13">
        <f t="shared" si="6"/>
        <v>0</v>
      </c>
      <c r="Q120" s="13">
        <f t="shared" si="6"/>
        <v>0</v>
      </c>
      <c r="R120" s="13" t="s">
        <v>239</v>
      </c>
      <c r="T120" s="62">
        <v>1.7591499999999999E-3</v>
      </c>
      <c r="U120" s="62">
        <v>2.4462440000000002E-3</v>
      </c>
      <c r="V120" s="62">
        <v>2.4226309999999902E-3</v>
      </c>
      <c r="W120" s="62">
        <v>2.6378669999999999E-3</v>
      </c>
      <c r="X120" s="62">
        <v>2.782269E-3</v>
      </c>
      <c r="Y120" s="62">
        <v>2.9130580000000001E-3</v>
      </c>
      <c r="Z120" s="62">
        <v>2.9560769999999901E-3</v>
      </c>
      <c r="AA120" s="62">
        <v>2.9991420000000002E-3</v>
      </c>
      <c r="AB120" s="62">
        <v>3.0127600000000002E-3</v>
      </c>
      <c r="AC120" s="62">
        <v>3.0221190000000002E-3</v>
      </c>
      <c r="AD120" s="62">
        <v>3.0124150000000001E-3</v>
      </c>
      <c r="AE120" s="13" t="s">
        <v>93</v>
      </c>
    </row>
    <row r="121" spans="1:31">
      <c r="A121" s="13" t="s">
        <v>324</v>
      </c>
      <c r="B121" s="13" t="s">
        <v>1</v>
      </c>
      <c r="C121" s="13" t="s">
        <v>223</v>
      </c>
      <c r="D121" s="13" t="str">
        <f>IFERROR(VLOOKUP(C121,ghg_sort!$A$86:$B$512,2,0),0)</f>
        <v>Agriculture</v>
      </c>
      <c r="E121" s="33" t="s">
        <v>209</v>
      </c>
      <c r="F121" s="13">
        <f>IFERROR(VLOOKUP($E121,ghg_sort!$A$3:$B$21,2,0),0)</f>
        <v>0</v>
      </c>
      <c r="G121" s="13">
        <f t="shared" si="5"/>
        <v>0</v>
      </c>
      <c r="H121" s="13">
        <f t="shared" si="5"/>
        <v>0</v>
      </c>
      <c r="I121" s="13">
        <f t="shared" si="5"/>
        <v>0</v>
      </c>
      <c r="J121" s="13">
        <f t="shared" si="5"/>
        <v>0</v>
      </c>
      <c r="K121" s="13">
        <f t="shared" si="5"/>
        <v>0</v>
      </c>
      <c r="L121" s="13">
        <f t="shared" si="5"/>
        <v>0</v>
      </c>
      <c r="M121" s="13">
        <f t="shared" si="5"/>
        <v>0</v>
      </c>
      <c r="N121" s="13">
        <f t="shared" si="5"/>
        <v>0</v>
      </c>
      <c r="O121" s="13">
        <f t="shared" si="6"/>
        <v>0</v>
      </c>
      <c r="P121" s="13">
        <f t="shared" si="6"/>
        <v>0</v>
      </c>
      <c r="Q121" s="13">
        <f t="shared" si="6"/>
        <v>0</v>
      </c>
      <c r="R121" s="13" t="s">
        <v>239</v>
      </c>
      <c r="T121" s="63">
        <v>7.7743999999999996E-6</v>
      </c>
      <c r="U121" s="63">
        <v>9.0344999999999996E-6</v>
      </c>
      <c r="V121" s="63">
        <v>8.6012899999999994E-6</v>
      </c>
      <c r="W121" s="63">
        <v>8.2953899999999995E-6</v>
      </c>
      <c r="X121" s="63">
        <v>6.0225000000000004E-6</v>
      </c>
      <c r="Y121" s="63">
        <v>3.8400749999999998E-6</v>
      </c>
      <c r="Z121" s="63">
        <v>3.7184249999999999E-6</v>
      </c>
      <c r="AA121" s="63">
        <v>3.7725950000000002E-6</v>
      </c>
      <c r="AB121" s="63">
        <v>3.7897189999999998E-6</v>
      </c>
      <c r="AC121" s="63">
        <v>3.8014970000000001E-6</v>
      </c>
      <c r="AD121" s="63">
        <v>3.78930299999999E-6</v>
      </c>
      <c r="AE121" s="13" t="s">
        <v>93</v>
      </c>
    </row>
    <row r="122" spans="1:31">
      <c r="A122" s="13" t="s">
        <v>324</v>
      </c>
      <c r="B122" s="13" t="s">
        <v>1</v>
      </c>
      <c r="C122" s="13" t="s">
        <v>223</v>
      </c>
      <c r="D122" s="13" t="str">
        <f>IFERROR(VLOOKUP(C122,ghg_sort!$A$86:$B$512,2,0),0)</f>
        <v>Agriculture</v>
      </c>
      <c r="E122" s="33" t="s">
        <v>210</v>
      </c>
      <c r="F122" s="13">
        <f>IFERROR(VLOOKUP($E122,ghg_sort!$A$3:$B$21,2,0),0)</f>
        <v>0</v>
      </c>
      <c r="G122" s="13">
        <f t="shared" si="5"/>
        <v>0</v>
      </c>
      <c r="H122" s="13">
        <f t="shared" si="5"/>
        <v>0</v>
      </c>
      <c r="I122" s="13">
        <f t="shared" si="5"/>
        <v>0</v>
      </c>
      <c r="J122" s="13">
        <f t="shared" si="5"/>
        <v>0</v>
      </c>
      <c r="K122" s="13">
        <f t="shared" si="5"/>
        <v>0</v>
      </c>
      <c r="L122" s="13">
        <f t="shared" si="5"/>
        <v>0</v>
      </c>
      <c r="M122" s="13">
        <f t="shared" si="5"/>
        <v>0</v>
      </c>
      <c r="N122" s="13">
        <f t="shared" si="5"/>
        <v>0</v>
      </c>
      <c r="O122" s="13">
        <f t="shared" si="6"/>
        <v>0</v>
      </c>
      <c r="P122" s="13">
        <f t="shared" si="6"/>
        <v>0</v>
      </c>
      <c r="Q122" s="13">
        <f t="shared" si="6"/>
        <v>0</v>
      </c>
      <c r="R122" s="13" t="s">
        <v>239</v>
      </c>
      <c r="T122" s="63">
        <v>8.7598999999999999E-5</v>
      </c>
      <c r="U122" s="63">
        <v>1.016193E-4</v>
      </c>
      <c r="V122" s="63">
        <v>9.6746499999999898E-5</v>
      </c>
      <c r="W122" s="63">
        <v>9.3305800000000004E-5</v>
      </c>
      <c r="X122" s="63">
        <v>6.77406E-5</v>
      </c>
      <c r="Y122" s="63">
        <v>4.3192789999999997E-5</v>
      </c>
      <c r="Z122" s="63">
        <v>4.1824450000000002E-5</v>
      </c>
      <c r="AA122" s="63">
        <v>4.243389E-5</v>
      </c>
      <c r="AB122" s="63">
        <v>4.26264899999999E-5</v>
      </c>
      <c r="AC122" s="63">
        <v>4.2758909999999901E-5</v>
      </c>
      <c r="AD122" s="63">
        <v>4.262171E-5</v>
      </c>
      <c r="AE122" s="13" t="s">
        <v>93</v>
      </c>
    </row>
    <row r="123" spans="1:31">
      <c r="A123" s="13" t="s">
        <v>324</v>
      </c>
      <c r="B123" s="13" t="s">
        <v>1</v>
      </c>
      <c r="C123" s="13" t="s">
        <v>223</v>
      </c>
      <c r="D123" s="13" t="str">
        <f>IFERROR(VLOOKUP(C123,ghg_sort!$A$86:$B$512,2,0),0)</f>
        <v>Agriculture</v>
      </c>
      <c r="E123" s="33" t="s">
        <v>204</v>
      </c>
      <c r="F123" s="13">
        <f>IFERROR(VLOOKUP($E123,ghg_sort!$A$3:$B$21,2,0),0)</f>
        <v>0</v>
      </c>
      <c r="G123" s="13">
        <f t="shared" si="5"/>
        <v>0</v>
      </c>
      <c r="H123" s="13">
        <f t="shared" si="5"/>
        <v>0</v>
      </c>
      <c r="I123" s="13">
        <f t="shared" si="5"/>
        <v>0</v>
      </c>
      <c r="J123" s="13">
        <f t="shared" si="5"/>
        <v>0</v>
      </c>
      <c r="K123" s="13">
        <f t="shared" si="5"/>
        <v>0</v>
      </c>
      <c r="L123" s="13">
        <f t="shared" si="5"/>
        <v>0</v>
      </c>
      <c r="M123" s="13">
        <f t="shared" si="5"/>
        <v>0</v>
      </c>
      <c r="N123" s="13">
        <f t="shared" si="5"/>
        <v>0</v>
      </c>
      <c r="O123" s="13">
        <f t="shared" si="6"/>
        <v>0</v>
      </c>
      <c r="P123" s="13">
        <f t="shared" si="6"/>
        <v>0</v>
      </c>
      <c r="Q123" s="13">
        <f t="shared" si="6"/>
        <v>0</v>
      </c>
      <c r="R123" s="13" t="s">
        <v>239</v>
      </c>
      <c r="T123" s="63">
        <v>1.4755700000000001E-4</v>
      </c>
      <c r="U123" s="63">
        <v>1.573003E-4</v>
      </c>
      <c r="V123" s="63">
        <v>1.64928799999999E-4</v>
      </c>
      <c r="W123" s="63">
        <v>1.5266699999999999E-4</v>
      </c>
      <c r="X123" s="63">
        <v>1.610243E-4</v>
      </c>
      <c r="Y123" s="63">
        <v>1.6859399999999999E-4</v>
      </c>
      <c r="Z123" s="63">
        <v>1.7108299999999999E-4</v>
      </c>
      <c r="AA123" s="63">
        <v>1.73575799999999E-4</v>
      </c>
      <c r="AB123" s="63">
        <v>1.7436369999999999E-4</v>
      </c>
      <c r="AC123" s="63">
        <v>1.7490529999999999E-4</v>
      </c>
      <c r="AD123" s="63">
        <v>1.7434419999999901E-4</v>
      </c>
      <c r="AE123" s="13" t="s">
        <v>93</v>
      </c>
    </row>
    <row r="124" spans="1:31">
      <c r="A124" s="13" t="s">
        <v>324</v>
      </c>
      <c r="B124" s="13" t="s">
        <v>1</v>
      </c>
      <c r="C124" s="13" t="s">
        <v>223</v>
      </c>
      <c r="D124" s="13" t="str">
        <f>IFERROR(VLOOKUP(C124,ghg_sort!$A$86:$B$512,2,0),0)</f>
        <v>Agriculture</v>
      </c>
      <c r="E124" s="33" t="s">
        <v>211</v>
      </c>
      <c r="F124" s="13">
        <f>IFERROR(VLOOKUP($E124,ghg_sort!$A$3:$B$21,2,0),0)</f>
        <v>0</v>
      </c>
      <c r="G124" s="13">
        <f t="shared" si="5"/>
        <v>0</v>
      </c>
      <c r="H124" s="13">
        <f t="shared" si="5"/>
        <v>0</v>
      </c>
      <c r="I124" s="13">
        <f t="shared" si="5"/>
        <v>0</v>
      </c>
      <c r="J124" s="13">
        <f t="shared" si="5"/>
        <v>0</v>
      </c>
      <c r="K124" s="13">
        <f t="shared" si="5"/>
        <v>0</v>
      </c>
      <c r="L124" s="13">
        <f t="shared" si="5"/>
        <v>0</v>
      </c>
      <c r="M124" s="13">
        <f t="shared" si="5"/>
        <v>0</v>
      </c>
      <c r="N124" s="13">
        <f t="shared" si="5"/>
        <v>0</v>
      </c>
      <c r="O124" s="13">
        <f t="shared" si="6"/>
        <v>0</v>
      </c>
      <c r="P124" s="13">
        <f t="shared" si="6"/>
        <v>0</v>
      </c>
      <c r="Q124" s="13">
        <f t="shared" si="6"/>
        <v>0</v>
      </c>
      <c r="R124" s="13" t="s">
        <v>239</v>
      </c>
      <c r="T124" s="63">
        <v>1.11421E-5</v>
      </c>
      <c r="U124" s="63">
        <v>1.29479E-5</v>
      </c>
      <c r="V124" s="63">
        <v>1.232702E-5</v>
      </c>
      <c r="W124" s="63">
        <v>1.188863E-5</v>
      </c>
      <c r="X124" s="63">
        <v>8.63123E-6</v>
      </c>
      <c r="Y124" s="63">
        <v>5.5034429999999998E-6</v>
      </c>
      <c r="Z124" s="63">
        <v>5.3290889999999901E-6</v>
      </c>
      <c r="AA124" s="63">
        <v>5.4067500000000004E-6</v>
      </c>
      <c r="AB124" s="63">
        <v>5.4312799999999901E-6</v>
      </c>
      <c r="AC124" s="63">
        <v>5.4481569999999996E-6</v>
      </c>
      <c r="AD124" s="63">
        <v>5.4306750000000003E-6</v>
      </c>
      <c r="AE124" s="13" t="s">
        <v>93</v>
      </c>
    </row>
    <row r="125" spans="1:31">
      <c r="A125" s="13" t="s">
        <v>324</v>
      </c>
      <c r="B125" s="13" t="s">
        <v>1</v>
      </c>
      <c r="C125" s="13" t="s">
        <v>223</v>
      </c>
      <c r="D125" s="13" t="str">
        <f>IFERROR(VLOOKUP(C125,ghg_sort!$A$86:$B$512,2,0),0)</f>
        <v>Agriculture</v>
      </c>
      <c r="E125" s="33" t="s">
        <v>212</v>
      </c>
      <c r="F125" s="13">
        <f>IFERROR(VLOOKUP($E125,ghg_sort!$A$3:$B$21,2,0),0)</f>
        <v>0</v>
      </c>
      <c r="G125" s="13">
        <f t="shared" si="5"/>
        <v>0</v>
      </c>
      <c r="H125" s="13">
        <f t="shared" si="5"/>
        <v>0</v>
      </c>
      <c r="I125" s="13">
        <f t="shared" si="5"/>
        <v>0</v>
      </c>
      <c r="J125" s="13">
        <f t="shared" si="5"/>
        <v>0</v>
      </c>
      <c r="K125" s="13">
        <f t="shared" si="5"/>
        <v>0</v>
      </c>
      <c r="L125" s="13">
        <f t="shared" si="5"/>
        <v>0</v>
      </c>
      <c r="M125" s="13">
        <f t="shared" si="5"/>
        <v>0</v>
      </c>
      <c r="N125" s="13">
        <f t="shared" si="5"/>
        <v>0</v>
      </c>
      <c r="O125" s="13">
        <f t="shared" si="6"/>
        <v>0</v>
      </c>
      <c r="P125" s="13">
        <f t="shared" si="6"/>
        <v>0</v>
      </c>
      <c r="Q125" s="13">
        <f t="shared" si="6"/>
        <v>0</v>
      </c>
      <c r="R125" s="13" t="s">
        <v>239</v>
      </c>
      <c r="T125" s="63">
        <v>8.2400999999999993E-6</v>
      </c>
      <c r="U125" s="63">
        <v>9.5757000000000005E-6</v>
      </c>
      <c r="V125" s="63">
        <v>2.299046E-4</v>
      </c>
      <c r="W125" s="63">
        <v>2.2172819999999999E-4</v>
      </c>
      <c r="X125" s="63">
        <v>1.6097609999999999E-4</v>
      </c>
      <c r="Y125" s="63">
        <v>1.026416E-4</v>
      </c>
      <c r="Z125" s="63">
        <v>9.9390100000000002E-5</v>
      </c>
      <c r="AA125" s="63">
        <v>1.00838099999999E-4</v>
      </c>
      <c r="AB125" s="63">
        <v>1.0129589999999999E-4</v>
      </c>
      <c r="AC125" s="63">
        <v>1.016106E-4</v>
      </c>
      <c r="AD125" s="63">
        <v>1.012846E-4</v>
      </c>
      <c r="AE125" s="13" t="s">
        <v>93</v>
      </c>
    </row>
    <row r="126" spans="1:31">
      <c r="A126" s="13" t="s">
        <v>324</v>
      </c>
      <c r="B126" s="13" t="s">
        <v>1</v>
      </c>
      <c r="C126" s="13" t="s">
        <v>223</v>
      </c>
      <c r="D126" s="13" t="str">
        <f>IFERROR(VLOOKUP(C126,ghg_sort!$A$86:$B$512,2,0),0)</f>
        <v>Agriculture</v>
      </c>
      <c r="E126" s="33" t="s">
        <v>213</v>
      </c>
      <c r="F126" s="13">
        <f>IFERROR(VLOOKUP($E126,ghg_sort!$A$3:$B$21,2,0),0)</f>
        <v>0</v>
      </c>
      <c r="G126" s="13">
        <f t="shared" si="5"/>
        <v>0</v>
      </c>
      <c r="H126" s="13">
        <f t="shared" si="5"/>
        <v>0</v>
      </c>
      <c r="I126" s="13">
        <f t="shared" si="5"/>
        <v>0</v>
      </c>
      <c r="J126" s="13">
        <f t="shared" si="5"/>
        <v>0</v>
      </c>
      <c r="K126" s="13">
        <f t="shared" si="5"/>
        <v>0</v>
      </c>
      <c r="L126" s="13">
        <f t="shared" si="5"/>
        <v>0</v>
      </c>
      <c r="M126" s="13">
        <f t="shared" si="5"/>
        <v>0</v>
      </c>
      <c r="N126" s="13">
        <f t="shared" ref="N126:N157" si="7">AA126*$F126</f>
        <v>0</v>
      </c>
      <c r="O126" s="13">
        <f t="shared" si="6"/>
        <v>0</v>
      </c>
      <c r="P126" s="13">
        <f t="shared" si="6"/>
        <v>0</v>
      </c>
      <c r="Q126" s="13">
        <f t="shared" si="6"/>
        <v>0</v>
      </c>
      <c r="R126" s="13" t="s">
        <v>239</v>
      </c>
      <c r="T126" s="63">
        <v>1.4330999999999899E-6</v>
      </c>
      <c r="U126" s="63">
        <v>1.6654E-6</v>
      </c>
      <c r="V126" s="63">
        <v>1.585541E-6</v>
      </c>
      <c r="W126" s="63">
        <v>1.5291520000000001E-6</v>
      </c>
      <c r="X126" s="63">
        <v>1.1101759999999999E-6</v>
      </c>
      <c r="Y126" s="63">
        <v>7.0786999999999899E-7</v>
      </c>
      <c r="Z126" s="63">
        <v>6.8544399999999998E-7</v>
      </c>
      <c r="AA126" s="63">
        <v>6.9543199999999998E-7</v>
      </c>
      <c r="AB126" s="63">
        <v>6.9858799999999996E-7</v>
      </c>
      <c r="AC126" s="63">
        <v>7.0075899999999996E-7</v>
      </c>
      <c r="AD126" s="63">
        <v>6.9850999999999897E-7</v>
      </c>
      <c r="AE126" s="13" t="s">
        <v>93</v>
      </c>
    </row>
    <row r="127" spans="1:31">
      <c r="A127" s="13" t="s">
        <v>324</v>
      </c>
      <c r="B127" s="13" t="s">
        <v>1</v>
      </c>
      <c r="C127" s="13" t="s">
        <v>224</v>
      </c>
      <c r="D127" s="13" t="str">
        <f>IFERROR(VLOOKUP(C127,ghg_sort!$A$86:$B$512,2,0),0)</f>
        <v>Agriculture</v>
      </c>
      <c r="E127" s="33" t="s">
        <v>104</v>
      </c>
      <c r="F127" s="13">
        <f>IFERROR(VLOOKUP($E127,ghg_sort!$A$3:$B$21,2,0),0)</f>
        <v>25</v>
      </c>
      <c r="G127" s="13">
        <f t="shared" ref="G127:M163" si="8">T127*$F127</f>
        <v>1.9216240000000002E-2</v>
      </c>
      <c r="H127" s="13">
        <f t="shared" si="8"/>
        <v>3.3804214999999999E-2</v>
      </c>
      <c r="I127" s="13">
        <f t="shared" si="8"/>
        <v>2.1192517500000001E-2</v>
      </c>
      <c r="J127" s="13">
        <f t="shared" si="8"/>
        <v>1.2404274999999999E-2</v>
      </c>
      <c r="K127" s="13">
        <f t="shared" si="8"/>
        <v>1.370871525E-2</v>
      </c>
      <c r="L127" s="13">
        <f t="shared" si="8"/>
        <v>1.5278026E-2</v>
      </c>
      <c r="M127" s="13">
        <f t="shared" si="8"/>
        <v>1.667781325E-2</v>
      </c>
      <c r="N127" s="13">
        <f t="shared" si="7"/>
        <v>1.8320267250000001E-2</v>
      </c>
      <c r="O127" s="13">
        <f t="shared" si="6"/>
        <v>2.0067975500000002E-2</v>
      </c>
      <c r="P127" s="13">
        <f t="shared" si="6"/>
        <v>2.12903225E-2</v>
      </c>
      <c r="Q127" s="13">
        <f t="shared" si="6"/>
        <v>2.2751199E-2</v>
      </c>
      <c r="R127" s="13" t="s">
        <v>239</v>
      </c>
      <c r="T127" s="63">
        <v>7.6864960000000003E-4</v>
      </c>
      <c r="U127" s="62">
        <v>1.3521685999999999E-3</v>
      </c>
      <c r="V127" s="63">
        <v>8.4770069999999997E-4</v>
      </c>
      <c r="W127" s="63">
        <v>4.96171E-4</v>
      </c>
      <c r="X127" s="63">
        <v>5.4834860999999999E-4</v>
      </c>
      <c r="Y127" s="63">
        <v>6.1112104000000001E-4</v>
      </c>
      <c r="Z127" s="63">
        <v>6.6711253000000003E-4</v>
      </c>
      <c r="AA127" s="63">
        <v>7.3281069000000003E-4</v>
      </c>
      <c r="AB127" s="63">
        <v>8.0271902000000005E-4</v>
      </c>
      <c r="AC127" s="63">
        <v>8.5161290000000005E-4</v>
      </c>
      <c r="AD127" s="63">
        <v>9.1004796000000005E-4</v>
      </c>
      <c r="AE127" s="13" t="s">
        <v>93</v>
      </c>
    </row>
    <row r="128" spans="1:31">
      <c r="A128" s="13" t="s">
        <v>324</v>
      </c>
      <c r="B128" s="13" t="s">
        <v>1</v>
      </c>
      <c r="C128" s="13" t="s">
        <v>224</v>
      </c>
      <c r="D128" s="13" t="str">
        <f>IFERROR(VLOOKUP(C128,ghg_sort!$A$86:$B$512,2,0),0)</f>
        <v>Agriculture</v>
      </c>
      <c r="E128" s="33" t="s">
        <v>101</v>
      </c>
      <c r="F128" s="13">
        <f>IFERROR(VLOOKUP($E128,ghg_sort!$A$3:$B$21,2,0),0)</f>
        <v>298</v>
      </c>
      <c r="G128" s="13">
        <f t="shared" si="8"/>
        <v>7.4895743999999704E-3</v>
      </c>
      <c r="H128" s="13">
        <f t="shared" si="8"/>
        <v>1.46500972E-2</v>
      </c>
      <c r="I128" s="13">
        <f t="shared" si="8"/>
        <v>9.2784683999999999E-3</v>
      </c>
      <c r="J128" s="13">
        <f t="shared" si="8"/>
        <v>5.4435659999999995E-3</v>
      </c>
      <c r="K128" s="13">
        <f t="shared" si="8"/>
        <v>6.0159979846E-3</v>
      </c>
      <c r="L128" s="13">
        <f t="shared" si="8"/>
        <v>6.7047112380000003E-3</v>
      </c>
      <c r="M128" s="13">
        <f t="shared" si="8"/>
        <v>7.3189757771999998E-3</v>
      </c>
      <c r="N128" s="13">
        <f t="shared" si="7"/>
        <v>8.0397714423999702E-3</v>
      </c>
      <c r="O128" s="13">
        <f t="shared" si="6"/>
        <v>8.8067346682000006E-3</v>
      </c>
      <c r="P128" s="13">
        <f t="shared" si="6"/>
        <v>9.3431662561999987E-3</v>
      </c>
      <c r="Q128" s="13">
        <f t="shared" si="6"/>
        <v>9.9842559507999987E-3</v>
      </c>
      <c r="R128" s="13" t="s">
        <v>239</v>
      </c>
      <c r="T128" s="63">
        <v>2.5132799999999899E-5</v>
      </c>
      <c r="U128" s="63">
        <v>4.91614E-5</v>
      </c>
      <c r="V128" s="63">
        <v>3.1135800000000001E-5</v>
      </c>
      <c r="W128" s="63">
        <v>1.8267E-5</v>
      </c>
      <c r="X128" s="63">
        <v>2.0187912700000001E-5</v>
      </c>
      <c r="Y128" s="63">
        <v>2.2499031000000001E-5</v>
      </c>
      <c r="Z128" s="63">
        <v>2.45603214E-5</v>
      </c>
      <c r="AA128" s="63">
        <v>2.69790987999999E-5</v>
      </c>
      <c r="AB128" s="63">
        <v>2.95528009E-5</v>
      </c>
      <c r="AC128" s="63">
        <v>3.1352906899999997E-5</v>
      </c>
      <c r="AD128" s="63">
        <v>3.3504214599999998E-5</v>
      </c>
      <c r="AE128" s="13" t="s">
        <v>93</v>
      </c>
    </row>
    <row r="129" spans="1:31">
      <c r="A129" s="13" t="s">
        <v>324</v>
      </c>
      <c r="B129" s="13" t="s">
        <v>1</v>
      </c>
      <c r="C129" s="13" t="s">
        <v>224</v>
      </c>
      <c r="D129" s="13" t="str">
        <f>IFERROR(VLOOKUP(C129,ghg_sort!$A$86:$B$512,2,0),0)</f>
        <v>Agriculture</v>
      </c>
      <c r="E129" s="33" t="s">
        <v>202</v>
      </c>
      <c r="F129" s="13">
        <f>IFERROR(VLOOKUP($E129,ghg_sort!$A$3:$B$21,2,0),0)</f>
        <v>0</v>
      </c>
      <c r="G129" s="13">
        <f t="shared" si="8"/>
        <v>0</v>
      </c>
      <c r="H129" s="13">
        <f t="shared" si="8"/>
        <v>0</v>
      </c>
      <c r="I129" s="13">
        <f t="shared" si="8"/>
        <v>0</v>
      </c>
      <c r="J129" s="13">
        <f t="shared" si="8"/>
        <v>0</v>
      </c>
      <c r="K129" s="13">
        <f t="shared" si="8"/>
        <v>0</v>
      </c>
      <c r="L129" s="13">
        <f t="shared" si="8"/>
        <v>0</v>
      </c>
      <c r="M129" s="13">
        <f t="shared" si="8"/>
        <v>0</v>
      </c>
      <c r="N129" s="13">
        <f t="shared" si="7"/>
        <v>0</v>
      </c>
      <c r="O129" s="13">
        <f t="shared" si="6"/>
        <v>0</v>
      </c>
      <c r="P129" s="13">
        <f t="shared" si="6"/>
        <v>0</v>
      </c>
      <c r="Q129" s="13">
        <f t="shared" si="6"/>
        <v>0</v>
      </c>
      <c r="R129" s="13" t="s">
        <v>239</v>
      </c>
      <c r="T129" s="63">
        <v>2.2662060000000001E-4</v>
      </c>
      <c r="U129" s="63">
        <v>3.9621049999999998E-4</v>
      </c>
      <c r="V129" s="63">
        <v>2.026586E-4</v>
      </c>
      <c r="W129" s="63">
        <v>1.2609449999999899E-4</v>
      </c>
      <c r="X129" s="63">
        <v>1.4087603399999901E-4</v>
      </c>
      <c r="Y129" s="63">
        <v>1.70906636E-4</v>
      </c>
      <c r="Z129" s="63">
        <v>1.9519976699999901E-4</v>
      </c>
      <c r="AA129" s="63">
        <v>2.16589468E-4</v>
      </c>
      <c r="AB129" s="63">
        <v>2.3736022000000001E-4</v>
      </c>
      <c r="AC129" s="63">
        <v>2.51949193E-4</v>
      </c>
      <c r="AD129" s="63">
        <v>2.69301543E-4</v>
      </c>
      <c r="AE129" s="13" t="s">
        <v>93</v>
      </c>
    </row>
    <row r="130" spans="1:31">
      <c r="A130" s="13" t="s">
        <v>324</v>
      </c>
      <c r="B130" s="13" t="s">
        <v>1</v>
      </c>
      <c r="C130" s="13" t="s">
        <v>224</v>
      </c>
      <c r="D130" s="13" t="str">
        <f>IFERROR(VLOOKUP(C130,ghg_sort!$A$86:$B$512,2,0),0)</f>
        <v>Agriculture</v>
      </c>
      <c r="E130" s="33" t="s">
        <v>203</v>
      </c>
      <c r="F130" s="13">
        <f>IFERROR(VLOOKUP($E130,ghg_sort!$A$3:$B$21,2,0),0)</f>
        <v>0</v>
      </c>
      <c r="G130" s="13">
        <f t="shared" si="8"/>
        <v>0</v>
      </c>
      <c r="H130" s="13">
        <f t="shared" si="8"/>
        <v>0</v>
      </c>
      <c r="I130" s="13">
        <f t="shared" si="8"/>
        <v>0</v>
      </c>
      <c r="J130" s="13">
        <f t="shared" si="8"/>
        <v>0</v>
      </c>
      <c r="K130" s="13">
        <f t="shared" si="8"/>
        <v>0</v>
      </c>
      <c r="L130" s="13">
        <f t="shared" si="8"/>
        <v>0</v>
      </c>
      <c r="M130" s="13">
        <f t="shared" si="8"/>
        <v>0</v>
      </c>
      <c r="N130" s="13">
        <f t="shared" si="7"/>
        <v>0</v>
      </c>
      <c r="O130" s="13">
        <f t="shared" si="6"/>
        <v>0</v>
      </c>
      <c r="P130" s="13">
        <f t="shared" si="6"/>
        <v>0</v>
      </c>
      <c r="Q130" s="13">
        <f t="shared" si="6"/>
        <v>0</v>
      </c>
      <c r="R130" s="13" t="s">
        <v>239</v>
      </c>
      <c r="T130" s="63">
        <v>8.84212E-5</v>
      </c>
      <c r="U130" s="63">
        <v>2.2683619999999999E-4</v>
      </c>
      <c r="V130" s="63">
        <v>1.459787E-4</v>
      </c>
      <c r="W130" s="63">
        <v>8.9328899999999896E-5</v>
      </c>
      <c r="X130" s="63">
        <v>9.9800560999999994E-5</v>
      </c>
      <c r="Y130" s="63">
        <v>1.21075034E-4</v>
      </c>
      <c r="Z130" s="63">
        <v>1.3828534600000001E-4</v>
      </c>
      <c r="AA130" s="63">
        <v>1.53438364E-4</v>
      </c>
      <c r="AB130" s="63">
        <v>1.68152475E-4</v>
      </c>
      <c r="AC130" s="63">
        <v>1.78488677999999E-4</v>
      </c>
      <c r="AD130" s="63">
        <v>1.90781177E-4</v>
      </c>
      <c r="AE130" s="13" t="s">
        <v>93</v>
      </c>
    </row>
    <row r="131" spans="1:31">
      <c r="A131" s="13" t="s">
        <v>324</v>
      </c>
      <c r="B131" s="13" t="s">
        <v>1</v>
      </c>
      <c r="C131" s="13" t="s">
        <v>224</v>
      </c>
      <c r="D131" s="13" t="str">
        <f>IFERROR(VLOOKUP(C131,ghg_sort!$A$86:$B$512,2,0),0)</f>
        <v>Agriculture</v>
      </c>
      <c r="E131" s="33" t="s">
        <v>204</v>
      </c>
      <c r="F131" s="13">
        <f>IFERROR(VLOOKUP($E131,ghg_sort!$A$3:$B$21,2,0),0)</f>
        <v>0</v>
      </c>
      <c r="G131" s="13">
        <f t="shared" si="8"/>
        <v>0</v>
      </c>
      <c r="H131" s="13">
        <f t="shared" si="8"/>
        <v>0</v>
      </c>
      <c r="I131" s="13">
        <f t="shared" si="8"/>
        <v>0</v>
      </c>
      <c r="J131" s="13">
        <f t="shared" si="8"/>
        <v>0</v>
      </c>
      <c r="K131" s="13">
        <f t="shared" si="8"/>
        <v>0</v>
      </c>
      <c r="L131" s="13">
        <f t="shared" si="8"/>
        <v>0</v>
      </c>
      <c r="M131" s="13">
        <f t="shared" si="8"/>
        <v>0</v>
      </c>
      <c r="N131" s="13">
        <f t="shared" si="7"/>
        <v>0</v>
      </c>
      <c r="O131" s="13">
        <f t="shared" si="6"/>
        <v>0</v>
      </c>
      <c r="P131" s="13">
        <f t="shared" si="6"/>
        <v>0</v>
      </c>
      <c r="Q131" s="13">
        <f t="shared" si="6"/>
        <v>0</v>
      </c>
      <c r="R131" s="13" t="s">
        <v>239</v>
      </c>
      <c r="T131" s="63">
        <v>1.0527699999999999E-5</v>
      </c>
      <c r="U131" s="63">
        <v>2.30758E-5</v>
      </c>
      <c r="V131" s="63">
        <v>1.46995E-5</v>
      </c>
      <c r="W131" s="63">
        <v>8.5674999999999904E-6</v>
      </c>
      <c r="X131" s="63">
        <v>9.5718279000000004E-6</v>
      </c>
      <c r="Y131" s="63">
        <v>1.1612262799999999E-5</v>
      </c>
      <c r="Z131" s="63">
        <v>1.3262889499999999E-5</v>
      </c>
      <c r="AA131" s="63">
        <v>1.4716179300000001E-5</v>
      </c>
      <c r="AB131" s="63">
        <v>1.6127463900000001E-5</v>
      </c>
      <c r="AC131" s="63">
        <v>1.7118682100000002E-5</v>
      </c>
      <c r="AD131" s="63">
        <v>1.8297728100000001E-5</v>
      </c>
      <c r="AE131" s="13" t="s">
        <v>93</v>
      </c>
    </row>
    <row r="132" spans="1:31">
      <c r="A132" s="13" t="s">
        <v>324</v>
      </c>
      <c r="B132" s="13" t="s">
        <v>1</v>
      </c>
      <c r="C132" s="13" t="s">
        <v>225</v>
      </c>
      <c r="D132" s="13" t="str">
        <f>IFERROR(VLOOKUP(C132,ghg_sort!$A$86:$B$512,2,0),0)</f>
        <v>Agriculture</v>
      </c>
      <c r="E132" s="33" t="s">
        <v>83</v>
      </c>
      <c r="F132" s="13">
        <f>IFERROR(VLOOKUP($E132,ghg_sort!$A$3:$B$21,2,0),0)</f>
        <v>0</v>
      </c>
      <c r="G132" s="13">
        <f t="shared" si="8"/>
        <v>0</v>
      </c>
      <c r="H132" s="13">
        <f t="shared" si="8"/>
        <v>0</v>
      </c>
      <c r="I132" s="13">
        <f t="shared" si="8"/>
        <v>0</v>
      </c>
      <c r="J132" s="13">
        <f t="shared" si="8"/>
        <v>0</v>
      </c>
      <c r="K132" s="13">
        <f t="shared" si="8"/>
        <v>0</v>
      </c>
      <c r="L132" s="13">
        <f t="shared" si="8"/>
        <v>0</v>
      </c>
      <c r="M132" s="13">
        <f t="shared" si="8"/>
        <v>0</v>
      </c>
      <c r="N132" s="13">
        <f t="shared" si="7"/>
        <v>0</v>
      </c>
      <c r="O132" s="13">
        <f t="shared" si="6"/>
        <v>0</v>
      </c>
      <c r="P132" s="13">
        <f t="shared" si="6"/>
        <v>0</v>
      </c>
      <c r="Q132" s="13">
        <f t="shared" si="6"/>
        <v>0</v>
      </c>
      <c r="R132" s="13" t="s">
        <v>239</v>
      </c>
      <c r="T132" s="63">
        <v>2.0811009999999999E-4</v>
      </c>
      <c r="U132" s="63">
        <v>2.6835162000000002E-4</v>
      </c>
      <c r="V132" s="63">
        <v>2.7506043487000002E-4</v>
      </c>
      <c r="W132" s="63">
        <v>3.8987529999999899E-4</v>
      </c>
      <c r="X132" s="63">
        <v>4.1416127999999999E-4</v>
      </c>
      <c r="Y132" s="63">
        <v>3.9174629999999999E-4</v>
      </c>
      <c r="Z132" s="63">
        <v>3.5162440000000001E-4</v>
      </c>
      <c r="AA132" s="63">
        <v>3.7055448999999998E-4</v>
      </c>
      <c r="AB132" s="63">
        <v>3.3353553999999999E-4</v>
      </c>
      <c r="AC132" s="63">
        <v>3.2220970000000003E-4</v>
      </c>
      <c r="AD132" s="63">
        <v>2.8658560999999898E-4</v>
      </c>
      <c r="AE132" s="13" t="s">
        <v>93</v>
      </c>
    </row>
    <row r="133" spans="1:31">
      <c r="A133" s="13" t="s">
        <v>324</v>
      </c>
      <c r="B133" s="13" t="s">
        <v>1</v>
      </c>
      <c r="C133" s="13" t="s">
        <v>225</v>
      </c>
      <c r="D133" s="13" t="str">
        <f>IFERROR(VLOOKUP(C133,ghg_sort!$A$86:$B$512,2,0),0)</f>
        <v>Agriculture</v>
      </c>
      <c r="E133" s="33" t="s">
        <v>84</v>
      </c>
      <c r="F133" s="13">
        <f>IFERROR(VLOOKUP($E133,ghg_sort!$A$3:$B$21,2,0),0)</f>
        <v>25</v>
      </c>
      <c r="G133" s="13">
        <f t="shared" si="8"/>
        <v>3.4054540000000001E-2</v>
      </c>
      <c r="H133" s="13">
        <f t="shared" si="8"/>
        <v>4.4202959999999999E-2</v>
      </c>
      <c r="I133" s="13">
        <f t="shared" si="8"/>
        <v>4.5376724374999997E-2</v>
      </c>
      <c r="J133" s="13">
        <f t="shared" si="8"/>
        <v>7.3254970000000003E-2</v>
      </c>
      <c r="K133" s="13">
        <f t="shared" si="8"/>
        <v>7.9335299999999748E-2</v>
      </c>
      <c r="L133" s="13">
        <f t="shared" si="8"/>
        <v>7.4008859999999996E-2</v>
      </c>
      <c r="M133" s="13">
        <f t="shared" si="8"/>
        <v>6.4320525000000003E-2</v>
      </c>
      <c r="N133" s="13">
        <f t="shared" si="7"/>
        <v>6.904974500000001E-2</v>
      </c>
      <c r="O133" s="13">
        <f t="shared" si="6"/>
        <v>6.0100279999999992E-2</v>
      </c>
      <c r="P133" s="13">
        <f t="shared" si="6"/>
        <v>5.7401770000000005E-2</v>
      </c>
      <c r="Q133" s="13">
        <f t="shared" si="6"/>
        <v>4.87411975E-2</v>
      </c>
      <c r="R133" s="13" t="s">
        <v>239</v>
      </c>
      <c r="T133" s="62">
        <v>1.3621816000000001E-3</v>
      </c>
      <c r="U133" s="62">
        <v>1.7681184000000001E-3</v>
      </c>
      <c r="V133" s="62">
        <v>1.815068975E-3</v>
      </c>
      <c r="W133" s="62">
        <v>2.9301988E-3</v>
      </c>
      <c r="X133" s="62">
        <v>3.17341199999999E-3</v>
      </c>
      <c r="Y133" s="62">
        <v>2.9603543999999998E-3</v>
      </c>
      <c r="Z133" s="62">
        <v>2.5728209999999999E-3</v>
      </c>
      <c r="AA133" s="62">
        <v>2.7619898000000001E-3</v>
      </c>
      <c r="AB133" s="62">
        <v>2.4040111999999998E-3</v>
      </c>
      <c r="AC133" s="62">
        <v>2.2960708000000002E-3</v>
      </c>
      <c r="AD133" s="62">
        <v>1.9496479E-3</v>
      </c>
      <c r="AE133" s="13" t="s">
        <v>93</v>
      </c>
    </row>
    <row r="134" spans="1:31">
      <c r="A134" s="13" t="s">
        <v>324</v>
      </c>
      <c r="B134" s="13" t="s">
        <v>1</v>
      </c>
      <c r="C134" s="13" t="s">
        <v>225</v>
      </c>
      <c r="D134" s="13" t="str">
        <f>IFERROR(VLOOKUP(C134,ghg_sort!$A$86:$B$512,2,0),0)</f>
        <v>Agriculture</v>
      </c>
      <c r="E134" s="33" t="s">
        <v>85</v>
      </c>
      <c r="F134" s="13">
        <f>IFERROR(VLOOKUP($E134,ghg_sort!$A$3:$B$21,2,0),0)</f>
        <v>0</v>
      </c>
      <c r="G134" s="13">
        <f t="shared" si="8"/>
        <v>0</v>
      </c>
      <c r="H134" s="13">
        <f t="shared" si="8"/>
        <v>0</v>
      </c>
      <c r="I134" s="13">
        <f t="shared" si="8"/>
        <v>0</v>
      </c>
      <c r="J134" s="13">
        <f t="shared" si="8"/>
        <v>0</v>
      </c>
      <c r="K134" s="13">
        <f t="shared" si="8"/>
        <v>0</v>
      </c>
      <c r="L134" s="13">
        <f t="shared" si="8"/>
        <v>0</v>
      </c>
      <c r="M134" s="13">
        <f t="shared" si="8"/>
        <v>0</v>
      </c>
      <c r="N134" s="13">
        <f t="shared" si="7"/>
        <v>0</v>
      </c>
      <c r="O134" s="13">
        <f t="shared" si="6"/>
        <v>0</v>
      </c>
      <c r="P134" s="13">
        <f t="shared" si="6"/>
        <v>0</v>
      </c>
      <c r="Q134" s="13">
        <f t="shared" si="6"/>
        <v>0</v>
      </c>
      <c r="R134" s="13" t="s">
        <v>239</v>
      </c>
      <c r="T134" s="62">
        <v>3.6486437999999899E-2</v>
      </c>
      <c r="U134" s="62">
        <v>4.7093305999999897E-2</v>
      </c>
      <c r="V134" s="62">
        <v>4.828124927E-2</v>
      </c>
      <c r="W134" s="62">
        <v>6.8802675999999993E-2</v>
      </c>
      <c r="X134" s="62">
        <v>7.3152850000000005E-2</v>
      </c>
      <c r="Y134" s="62">
        <v>6.9149430999999997E-2</v>
      </c>
      <c r="Z134" s="62">
        <v>6.1977497999999999E-2</v>
      </c>
      <c r="AA134" s="62">
        <v>6.5367896999999994E-2</v>
      </c>
      <c r="AB134" s="62">
        <v>5.8750113E-2</v>
      </c>
      <c r="AC134" s="62">
        <v>5.6726993000000003E-2</v>
      </c>
      <c r="AD134" s="62">
        <v>5.0356694E-2</v>
      </c>
      <c r="AE134" s="13" t="s">
        <v>93</v>
      </c>
    </row>
    <row r="135" spans="1:31">
      <c r="A135" s="13" t="s">
        <v>324</v>
      </c>
      <c r="B135" s="13" t="s">
        <v>1</v>
      </c>
      <c r="C135" s="13" t="s">
        <v>225</v>
      </c>
      <c r="D135" s="13" t="str">
        <f>IFERROR(VLOOKUP(C135,ghg_sort!$A$86:$B$512,2,0),0)</f>
        <v>Agriculture</v>
      </c>
      <c r="E135" s="33" t="s">
        <v>226</v>
      </c>
      <c r="F135" s="13">
        <f>IFERROR(VLOOKUP($E135,ghg_sort!$A$3:$B$21,2,0),0)</f>
        <v>0</v>
      </c>
      <c r="G135" s="13">
        <f t="shared" si="8"/>
        <v>0</v>
      </c>
      <c r="H135" s="13">
        <f t="shared" si="8"/>
        <v>0</v>
      </c>
      <c r="I135" s="13">
        <f t="shared" si="8"/>
        <v>0</v>
      </c>
      <c r="J135" s="13">
        <f t="shared" si="8"/>
        <v>0</v>
      </c>
      <c r="K135" s="13">
        <f t="shared" si="8"/>
        <v>0</v>
      </c>
      <c r="L135" s="13">
        <f t="shared" si="8"/>
        <v>0</v>
      </c>
      <c r="M135" s="13">
        <f t="shared" si="8"/>
        <v>0</v>
      </c>
      <c r="N135" s="13">
        <f t="shared" si="7"/>
        <v>0</v>
      </c>
      <c r="O135" s="13">
        <f t="shared" si="6"/>
        <v>0</v>
      </c>
      <c r="P135" s="13">
        <f t="shared" si="6"/>
        <v>0</v>
      </c>
      <c r="Q135" s="13">
        <f t="shared" si="6"/>
        <v>0</v>
      </c>
      <c r="R135" s="13" t="s">
        <v>239</v>
      </c>
      <c r="T135" s="63">
        <v>9.0532109999999998E-4</v>
      </c>
      <c r="U135" s="62">
        <v>1.1471362000000001E-3</v>
      </c>
      <c r="V135" s="62">
        <v>1.1737729363999899E-3</v>
      </c>
      <c r="W135" s="62">
        <v>1.9741635999999999E-3</v>
      </c>
      <c r="X135" s="62">
        <v>2.1492919999999902E-3</v>
      </c>
      <c r="Y135" s="62">
        <v>1.9976917E-3</v>
      </c>
      <c r="Z135" s="62">
        <v>1.7209441999999999E-3</v>
      </c>
      <c r="AA135" s="62">
        <v>1.8571066000000001E-3</v>
      </c>
      <c r="AB135" s="62">
        <v>1.6013897E-3</v>
      </c>
      <c r="AC135" s="62">
        <v>1.5245495E-3</v>
      </c>
      <c r="AD135" s="62">
        <v>1.2767466E-3</v>
      </c>
      <c r="AE135" s="13" t="s">
        <v>93</v>
      </c>
    </row>
    <row r="136" spans="1:31">
      <c r="A136" s="13" t="s">
        <v>324</v>
      </c>
      <c r="B136" s="13" t="s">
        <v>1</v>
      </c>
      <c r="C136" s="13" t="s">
        <v>225</v>
      </c>
      <c r="D136" s="13" t="str">
        <f>IFERROR(VLOOKUP(C136,ghg_sort!$A$86:$B$512,2,0),0)</f>
        <v>Agriculture</v>
      </c>
      <c r="E136" s="33" t="s">
        <v>87</v>
      </c>
      <c r="F136" s="13">
        <f>IFERROR(VLOOKUP($E136,ghg_sort!$A$3:$B$21,2,0),0)</f>
        <v>298</v>
      </c>
      <c r="G136" s="13">
        <f t="shared" si="8"/>
        <v>2.1461364E-2</v>
      </c>
      <c r="H136" s="13">
        <f t="shared" si="8"/>
        <v>2.7156576100000003E-2</v>
      </c>
      <c r="I136" s="13">
        <f t="shared" si="8"/>
        <v>2.7714133283480002E-2</v>
      </c>
      <c r="J136" s="13">
        <f t="shared" si="8"/>
        <v>4.0995809340000001E-2</v>
      </c>
      <c r="K136" s="13">
        <f t="shared" si="8"/>
        <v>4.3811405719999995E-2</v>
      </c>
      <c r="L136" s="13">
        <f t="shared" si="8"/>
        <v>4.1269361419999706E-2</v>
      </c>
      <c r="M136" s="13">
        <f t="shared" si="8"/>
        <v>3.6689715300000002E-2</v>
      </c>
      <c r="N136" s="13">
        <f t="shared" si="7"/>
        <v>3.8882888019999999E-2</v>
      </c>
      <c r="O136" s="13">
        <f t="shared" si="6"/>
        <v>3.4655036860000002E-2</v>
      </c>
      <c r="P136" s="13">
        <f t="shared" si="6"/>
        <v>3.3369595979999701E-2</v>
      </c>
      <c r="Q136" s="13">
        <f t="shared" si="6"/>
        <v>2.9290792499999999E-2</v>
      </c>
      <c r="R136" s="13" t="s">
        <v>239</v>
      </c>
      <c r="T136" s="63">
        <v>7.2018000000000001E-5</v>
      </c>
      <c r="U136" s="63">
        <v>9.1129450000000006E-5</v>
      </c>
      <c r="V136" s="63">
        <v>9.3000447260000002E-5</v>
      </c>
      <c r="W136" s="63">
        <v>1.3756983E-4</v>
      </c>
      <c r="X136" s="63">
        <v>1.4701813999999999E-4</v>
      </c>
      <c r="Y136" s="63">
        <v>1.38487789999999E-4</v>
      </c>
      <c r="Z136" s="63">
        <v>1.2311985E-4</v>
      </c>
      <c r="AA136" s="63">
        <v>1.3047948999999999E-4</v>
      </c>
      <c r="AB136" s="63">
        <v>1.1629207E-4</v>
      </c>
      <c r="AC136" s="63">
        <v>1.11978509999999E-4</v>
      </c>
      <c r="AD136" s="63">
        <v>9.8291250000000002E-5</v>
      </c>
      <c r="AE136" s="13" t="s">
        <v>93</v>
      </c>
    </row>
    <row r="137" spans="1:31">
      <c r="A137" s="13" t="s">
        <v>324</v>
      </c>
      <c r="B137" s="13" t="s">
        <v>1</v>
      </c>
      <c r="C137" s="13" t="s">
        <v>225</v>
      </c>
      <c r="D137" s="13" t="str">
        <f>IFERROR(VLOOKUP(C137,ghg_sort!$A$86:$B$512,2,0),0)</f>
        <v>Agriculture</v>
      </c>
      <c r="E137" s="33" t="s">
        <v>88</v>
      </c>
      <c r="F137" s="13">
        <f>IFERROR(VLOOKUP($E137,ghg_sort!$A$3:$B$21,2,0),0)</f>
        <v>0</v>
      </c>
      <c r="G137" s="13">
        <f t="shared" si="8"/>
        <v>0</v>
      </c>
      <c r="H137" s="13">
        <f t="shared" si="8"/>
        <v>0</v>
      </c>
      <c r="I137" s="13">
        <f t="shared" si="8"/>
        <v>0</v>
      </c>
      <c r="J137" s="13">
        <f t="shared" si="8"/>
        <v>0</v>
      </c>
      <c r="K137" s="13">
        <f t="shared" si="8"/>
        <v>0</v>
      </c>
      <c r="L137" s="13">
        <f t="shared" si="8"/>
        <v>0</v>
      </c>
      <c r="M137" s="13">
        <f t="shared" si="8"/>
        <v>0</v>
      </c>
      <c r="N137" s="13">
        <f t="shared" si="7"/>
        <v>0</v>
      </c>
      <c r="O137" s="13">
        <f t="shared" si="6"/>
        <v>0</v>
      </c>
      <c r="P137" s="13">
        <f t="shared" si="6"/>
        <v>0</v>
      </c>
      <c r="Q137" s="13">
        <f t="shared" si="6"/>
        <v>0</v>
      </c>
      <c r="R137" s="13" t="s">
        <v>239</v>
      </c>
      <c r="T137" s="63">
        <v>3.4287195000000002E-4</v>
      </c>
      <c r="U137" s="63">
        <v>4.4428529000000003E-4</v>
      </c>
      <c r="V137" s="63">
        <v>4.5590529729999999E-4</v>
      </c>
      <c r="W137" s="63">
        <v>7.4862112000000005E-4</v>
      </c>
      <c r="X137" s="63">
        <v>8.1258155000000002E-4</v>
      </c>
      <c r="Y137" s="63">
        <v>7.5682381999999998E-4</v>
      </c>
      <c r="Z137" s="63">
        <v>6.5525407000000002E-4</v>
      </c>
      <c r="AA137" s="63">
        <v>7.0499205999999997E-4</v>
      </c>
      <c r="AB137" s="63">
        <v>6.1115807000000004E-4</v>
      </c>
      <c r="AC137" s="63">
        <v>5.8290364999999996E-4</v>
      </c>
      <c r="AD137" s="63">
        <v>4.9204936999999998E-4</v>
      </c>
      <c r="AE137" s="13" t="s">
        <v>93</v>
      </c>
    </row>
    <row r="138" spans="1:31">
      <c r="A138" s="13" t="s">
        <v>324</v>
      </c>
      <c r="B138" s="13" t="s">
        <v>1</v>
      </c>
      <c r="C138" s="13" t="s">
        <v>225</v>
      </c>
      <c r="D138" s="13" t="str">
        <f>IFERROR(VLOOKUP(C138,ghg_sort!$A$86:$B$512,2,0),0)</f>
        <v>Agriculture</v>
      </c>
      <c r="E138" s="33" t="s">
        <v>89</v>
      </c>
      <c r="F138" s="13">
        <f>IFERROR(VLOOKUP($E138,ghg_sort!$A$3:$B$21,2,0),0)</f>
        <v>0</v>
      </c>
      <c r="G138" s="13">
        <f t="shared" si="8"/>
        <v>0</v>
      </c>
      <c r="H138" s="13">
        <f t="shared" si="8"/>
        <v>0</v>
      </c>
      <c r="I138" s="13">
        <f t="shared" si="8"/>
        <v>0</v>
      </c>
      <c r="J138" s="13">
        <f t="shared" si="8"/>
        <v>0</v>
      </c>
      <c r="K138" s="13">
        <f t="shared" si="8"/>
        <v>0</v>
      </c>
      <c r="L138" s="13">
        <f t="shared" si="8"/>
        <v>0</v>
      </c>
      <c r="M138" s="13">
        <f t="shared" si="8"/>
        <v>0</v>
      </c>
      <c r="N138" s="13">
        <f t="shared" si="7"/>
        <v>0</v>
      </c>
      <c r="O138" s="13">
        <f t="shared" si="6"/>
        <v>0</v>
      </c>
      <c r="P138" s="13">
        <f t="shared" si="6"/>
        <v>0</v>
      </c>
      <c r="Q138" s="13">
        <f t="shared" si="6"/>
        <v>0</v>
      </c>
      <c r="R138" s="13" t="s">
        <v>239</v>
      </c>
      <c r="T138" s="62">
        <v>6.4266441999999901E-3</v>
      </c>
      <c r="U138" s="62">
        <v>8.42423629999999E-3</v>
      </c>
      <c r="V138" s="62">
        <v>8.6509853889999901E-3</v>
      </c>
      <c r="W138" s="62">
        <v>1.2907079599999999E-2</v>
      </c>
      <c r="X138" s="62">
        <v>1.3819284899999999E-2</v>
      </c>
      <c r="Y138" s="62">
        <v>1.29973077E-2</v>
      </c>
      <c r="Z138" s="62">
        <v>1.15152055E-2</v>
      </c>
      <c r="AA138" s="62">
        <v>1.22254807999999E-2</v>
      </c>
      <c r="AB138" s="62">
        <v>1.08572846999999E-2</v>
      </c>
      <c r="AC138" s="62">
        <v>1.0441432400000001E-2</v>
      </c>
      <c r="AD138" s="62">
        <v>9.1214541000000007E-3</v>
      </c>
      <c r="AE138" s="13" t="s">
        <v>93</v>
      </c>
    </row>
    <row r="139" spans="1:31">
      <c r="A139" s="13" t="s">
        <v>324</v>
      </c>
      <c r="B139" s="13" t="s">
        <v>1</v>
      </c>
      <c r="C139" s="13" t="s">
        <v>225</v>
      </c>
      <c r="D139" s="13" t="str">
        <f>IFERROR(VLOOKUP(C139,ghg_sort!$A$86:$B$512,2,0),0)</f>
        <v>Agriculture</v>
      </c>
      <c r="E139" s="33" t="s">
        <v>90</v>
      </c>
      <c r="F139" s="13">
        <f>IFERROR(VLOOKUP($E139,ghg_sort!$A$3:$B$21,2,0),0)</f>
        <v>0</v>
      </c>
      <c r="G139" s="13">
        <f t="shared" si="8"/>
        <v>0</v>
      </c>
      <c r="H139" s="13">
        <f t="shared" si="8"/>
        <v>0</v>
      </c>
      <c r="I139" s="13">
        <f t="shared" si="8"/>
        <v>0</v>
      </c>
      <c r="J139" s="13">
        <f t="shared" si="8"/>
        <v>0</v>
      </c>
      <c r="K139" s="13">
        <f t="shared" si="8"/>
        <v>0</v>
      </c>
      <c r="L139" s="13">
        <f t="shared" si="8"/>
        <v>0</v>
      </c>
      <c r="M139" s="13">
        <f t="shared" si="8"/>
        <v>0</v>
      </c>
      <c r="N139" s="13">
        <f t="shared" si="7"/>
        <v>0</v>
      </c>
      <c r="O139" s="13">
        <f t="shared" si="6"/>
        <v>0</v>
      </c>
      <c r="P139" s="13">
        <f t="shared" si="6"/>
        <v>0</v>
      </c>
      <c r="Q139" s="13">
        <f t="shared" si="6"/>
        <v>0</v>
      </c>
      <c r="R139" s="13" t="s">
        <v>239</v>
      </c>
      <c r="T139" s="63">
        <v>9.6389999999999996E-4</v>
      </c>
      <c r="U139" s="62">
        <v>1.1901911E-3</v>
      </c>
      <c r="V139" s="62">
        <v>1.2075641075E-3</v>
      </c>
      <c r="W139" s="62">
        <v>1.7834616999999899E-3</v>
      </c>
      <c r="X139" s="62">
        <v>1.9039624000000001E-3</v>
      </c>
      <c r="Y139" s="62">
        <v>1.7952207E-3</v>
      </c>
      <c r="Z139" s="62">
        <v>1.5993407999999999E-3</v>
      </c>
      <c r="AA139" s="62">
        <v>1.6932333E-3</v>
      </c>
      <c r="AB139" s="62">
        <v>1.512382E-3</v>
      </c>
      <c r="AC139" s="62">
        <v>1.457414E-3</v>
      </c>
      <c r="AD139" s="62">
        <v>1.28289299999999E-3</v>
      </c>
      <c r="AE139" s="13" t="s">
        <v>93</v>
      </c>
    </row>
    <row r="140" spans="1:31">
      <c r="A140" s="13" t="s">
        <v>324</v>
      </c>
      <c r="B140" s="13" t="s">
        <v>1</v>
      </c>
      <c r="C140" s="13" t="s">
        <v>225</v>
      </c>
      <c r="D140" s="13" t="str">
        <f>IFERROR(VLOOKUP(C140,ghg_sort!$A$86:$B$512,2,0),0)</f>
        <v>Agriculture</v>
      </c>
      <c r="E140" s="33" t="s">
        <v>91</v>
      </c>
      <c r="F140" s="13">
        <f>IFERROR(VLOOKUP($E140,ghg_sort!$A$3:$B$21,2,0),0)</f>
        <v>0</v>
      </c>
      <c r="G140" s="13">
        <f t="shared" si="8"/>
        <v>0</v>
      </c>
      <c r="H140" s="13">
        <f t="shared" si="8"/>
        <v>0</v>
      </c>
      <c r="I140" s="13">
        <f t="shared" si="8"/>
        <v>0</v>
      </c>
      <c r="J140" s="13">
        <f t="shared" si="8"/>
        <v>0</v>
      </c>
      <c r="K140" s="13">
        <f t="shared" si="8"/>
        <v>0</v>
      </c>
      <c r="L140" s="13">
        <f t="shared" si="8"/>
        <v>0</v>
      </c>
      <c r="M140" s="13">
        <f t="shared" si="8"/>
        <v>0</v>
      </c>
      <c r="N140" s="13">
        <f t="shared" si="7"/>
        <v>0</v>
      </c>
      <c r="O140" s="13">
        <f t="shared" si="6"/>
        <v>0</v>
      </c>
      <c r="P140" s="13">
        <f t="shared" si="6"/>
        <v>0</v>
      </c>
      <c r="Q140" s="13">
        <f t="shared" si="6"/>
        <v>0</v>
      </c>
      <c r="R140" s="13" t="s">
        <v>239</v>
      </c>
      <c r="T140" s="62">
        <v>3.6977167E-3</v>
      </c>
      <c r="U140" s="62">
        <v>4.8634713E-3</v>
      </c>
      <c r="V140" s="62">
        <v>5.0074025938999997E-3</v>
      </c>
      <c r="W140" s="62">
        <v>6.0277934999999998E-3</v>
      </c>
      <c r="X140" s="62">
        <v>6.2282887E-3</v>
      </c>
      <c r="Y140" s="62">
        <v>6.0086430000000001E-3</v>
      </c>
      <c r="Z140" s="62">
        <v>5.6339817000000004E-3</v>
      </c>
      <c r="AA140" s="62">
        <v>5.7913755000000003E-3</v>
      </c>
      <c r="AB140" s="62">
        <v>5.4469909000000004E-3</v>
      </c>
      <c r="AC140" s="62">
        <v>5.3367909999999996E-3</v>
      </c>
      <c r="AD140" s="62">
        <v>5.0114110000000003E-3</v>
      </c>
      <c r="AE140" s="13" t="s">
        <v>93</v>
      </c>
    </row>
    <row r="141" spans="1:31">
      <c r="A141" s="13" t="s">
        <v>324</v>
      </c>
      <c r="B141" s="13" t="s">
        <v>1</v>
      </c>
      <c r="C141" s="13" t="s">
        <v>225</v>
      </c>
      <c r="D141" s="13" t="str">
        <f>IFERROR(VLOOKUP(C141,ghg_sort!$A$86:$B$512,2,0),0)</f>
        <v>Agriculture</v>
      </c>
      <c r="E141" s="33" t="s">
        <v>92</v>
      </c>
      <c r="F141" s="13">
        <f>IFERROR(VLOOKUP($E141,ghg_sort!$A$3:$B$21,2,0),0)</f>
        <v>0</v>
      </c>
      <c r="G141" s="13">
        <f t="shared" si="8"/>
        <v>0</v>
      </c>
      <c r="H141" s="13">
        <f t="shared" si="8"/>
        <v>0</v>
      </c>
      <c r="I141" s="13">
        <f t="shared" si="8"/>
        <v>0</v>
      </c>
      <c r="J141" s="13">
        <f t="shared" si="8"/>
        <v>0</v>
      </c>
      <c r="K141" s="13">
        <f t="shared" si="8"/>
        <v>0</v>
      </c>
      <c r="L141" s="13">
        <f t="shared" si="8"/>
        <v>0</v>
      </c>
      <c r="M141" s="13">
        <f t="shared" si="8"/>
        <v>0</v>
      </c>
      <c r="N141" s="13">
        <f t="shared" si="7"/>
        <v>0</v>
      </c>
      <c r="O141" s="13">
        <f t="shared" si="6"/>
        <v>0</v>
      </c>
      <c r="P141" s="13">
        <f t="shared" si="6"/>
        <v>0</v>
      </c>
      <c r="Q141" s="13">
        <f t="shared" si="6"/>
        <v>0</v>
      </c>
      <c r="R141" s="13" t="s">
        <v>239</v>
      </c>
      <c r="T141" s="63">
        <v>4.3564472E-4</v>
      </c>
      <c r="U141" s="63">
        <v>5.6885498999999999E-4</v>
      </c>
      <c r="V141" s="63">
        <v>5.8473679450999998E-4</v>
      </c>
      <c r="W141" s="63">
        <v>6.7190353999999996E-4</v>
      </c>
      <c r="X141" s="63">
        <v>6.8774202999999996E-4</v>
      </c>
      <c r="Y141" s="63">
        <v>6.6807187999999996E-4</v>
      </c>
      <c r="Z141" s="63">
        <v>6.3557560999999896E-4</v>
      </c>
      <c r="AA141" s="63">
        <v>6.4809048999999895E-4</v>
      </c>
      <c r="AB141" s="63">
        <v>6.1829438999999999E-4</v>
      </c>
      <c r="AC141" s="63">
        <v>6.0847436999999995E-4</v>
      </c>
      <c r="AD141" s="63">
        <v>5.80673079999999E-4</v>
      </c>
      <c r="AE141" s="13" t="s">
        <v>93</v>
      </c>
    </row>
    <row r="142" spans="1:31">
      <c r="A142" s="13" t="s">
        <v>324</v>
      </c>
      <c r="B142" s="13" t="s">
        <v>1</v>
      </c>
      <c r="C142" s="13" t="s">
        <v>227</v>
      </c>
      <c r="D142" s="13" t="str">
        <f>IFERROR(VLOOKUP(C142,ghg_sort!$A$86:$B$512,2,0),0)</f>
        <v>Agriculture</v>
      </c>
      <c r="E142" s="33" t="s">
        <v>206</v>
      </c>
      <c r="F142" s="13">
        <f>IFERROR(VLOOKUP($E142,ghg_sort!$A$3:$B$21,2,0),0)</f>
        <v>0</v>
      </c>
      <c r="G142" s="13">
        <f t="shared" si="8"/>
        <v>0</v>
      </c>
      <c r="H142" s="13">
        <f t="shared" si="8"/>
        <v>0</v>
      </c>
      <c r="I142" s="13">
        <f t="shared" si="8"/>
        <v>0</v>
      </c>
      <c r="J142" s="13">
        <f t="shared" si="8"/>
        <v>0</v>
      </c>
      <c r="K142" s="13">
        <f t="shared" si="8"/>
        <v>0</v>
      </c>
      <c r="L142" s="13">
        <f t="shared" si="8"/>
        <v>0</v>
      </c>
      <c r="M142" s="13">
        <f t="shared" si="8"/>
        <v>0</v>
      </c>
      <c r="N142" s="13">
        <f t="shared" si="7"/>
        <v>0</v>
      </c>
      <c r="O142" s="13">
        <f t="shared" si="6"/>
        <v>0</v>
      </c>
      <c r="P142" s="13">
        <f t="shared" si="6"/>
        <v>0</v>
      </c>
      <c r="Q142" s="13">
        <f t="shared" si="6"/>
        <v>0</v>
      </c>
      <c r="R142" s="13" t="s">
        <v>239</v>
      </c>
      <c r="T142" s="63">
        <v>2.18E-8</v>
      </c>
      <c r="U142" s="63">
        <v>2.0029999999999999E-7</v>
      </c>
      <c r="V142" s="63">
        <v>1.1578279999999999E-5</v>
      </c>
      <c r="W142" s="63">
        <v>1.6238120000000001E-5</v>
      </c>
      <c r="X142" s="63">
        <v>1.127058E-5</v>
      </c>
      <c r="Y142" s="63">
        <v>7.6320999999999993E-6</v>
      </c>
      <c r="Z142" s="63">
        <v>7.5499999999999997E-6</v>
      </c>
      <c r="AA142" s="63">
        <v>8.1436600000000002E-6</v>
      </c>
      <c r="AB142" s="63">
        <v>8.72008E-6</v>
      </c>
      <c r="AC142" s="63">
        <v>9.4822000000000005E-6</v>
      </c>
      <c r="AD142" s="63">
        <v>1.0448630000000001E-5</v>
      </c>
      <c r="AE142" s="13" t="s">
        <v>93</v>
      </c>
    </row>
    <row r="143" spans="1:31">
      <c r="A143" s="13" t="s">
        <v>324</v>
      </c>
      <c r="B143" s="13" t="s">
        <v>1</v>
      </c>
      <c r="C143" s="13" t="s">
        <v>227</v>
      </c>
      <c r="D143" s="13" t="str">
        <f>IFERROR(VLOOKUP(C143,ghg_sort!$A$86:$B$512,2,0),0)</f>
        <v>Agriculture</v>
      </c>
      <c r="E143" s="33" t="s">
        <v>105</v>
      </c>
      <c r="F143" s="13">
        <f>IFERROR(VLOOKUP($E143,ghg_sort!$A$3:$B$21,2,0),0)</f>
        <v>25</v>
      </c>
      <c r="G143" s="13">
        <f t="shared" si="8"/>
        <v>4.2374999999999997E-6</v>
      </c>
      <c r="H143" s="13">
        <f t="shared" si="8"/>
        <v>3.8854999999999749E-5</v>
      </c>
      <c r="I143" s="13">
        <f t="shared" si="8"/>
        <v>1.3908074999999999E-4</v>
      </c>
      <c r="J143" s="13">
        <f t="shared" si="8"/>
        <v>1.9505600000000001E-4</v>
      </c>
      <c r="K143" s="13">
        <f t="shared" si="8"/>
        <v>1.3538474999999999E-4</v>
      </c>
      <c r="L143" s="13">
        <f t="shared" si="8"/>
        <v>9.1678499999999993E-5</v>
      </c>
      <c r="M143" s="13">
        <f t="shared" si="8"/>
        <v>9.0692250000000009E-5</v>
      </c>
      <c r="N143" s="13">
        <f t="shared" si="7"/>
        <v>9.7823249999999992E-5</v>
      </c>
      <c r="O143" s="13">
        <f t="shared" si="6"/>
        <v>1.0474750000000001E-4</v>
      </c>
      <c r="P143" s="13">
        <f t="shared" si="6"/>
        <v>1.1390199999999999E-4</v>
      </c>
      <c r="Q143" s="13">
        <f t="shared" si="6"/>
        <v>1.25511E-4</v>
      </c>
      <c r="R143" s="13" t="s">
        <v>239</v>
      </c>
      <c r="T143" s="63">
        <v>1.695E-7</v>
      </c>
      <c r="U143" s="63">
        <v>1.5541999999999899E-6</v>
      </c>
      <c r="V143" s="63">
        <v>5.5632299999999999E-6</v>
      </c>
      <c r="W143" s="63">
        <v>7.8022400000000007E-6</v>
      </c>
      <c r="X143" s="63">
        <v>5.41539E-6</v>
      </c>
      <c r="Y143" s="63">
        <v>3.6671399999999998E-6</v>
      </c>
      <c r="Z143" s="63">
        <v>3.6276900000000002E-6</v>
      </c>
      <c r="AA143" s="63">
        <v>3.9129299999999998E-6</v>
      </c>
      <c r="AB143" s="63">
        <v>4.1899000000000003E-6</v>
      </c>
      <c r="AC143" s="63">
        <v>4.5560799999999998E-6</v>
      </c>
      <c r="AD143" s="63">
        <v>5.0204399999999997E-6</v>
      </c>
      <c r="AE143" s="13" t="s">
        <v>93</v>
      </c>
    </row>
    <row r="144" spans="1:31">
      <c r="A144" s="13" t="s">
        <v>324</v>
      </c>
      <c r="B144" s="13" t="s">
        <v>1</v>
      </c>
      <c r="C144" s="13" t="s">
        <v>227</v>
      </c>
      <c r="D144" s="13" t="str">
        <f>IFERROR(VLOOKUP(C144,ghg_sort!$A$86:$B$512,2,0),0)</f>
        <v>Agriculture</v>
      </c>
      <c r="E144" s="33" t="s">
        <v>207</v>
      </c>
      <c r="F144" s="13">
        <f>IFERROR(VLOOKUP($E144,ghg_sort!$A$3:$B$21,2,0),0)</f>
        <v>0</v>
      </c>
      <c r="G144" s="13">
        <f t="shared" si="8"/>
        <v>0</v>
      </c>
      <c r="H144" s="13">
        <f t="shared" si="8"/>
        <v>0</v>
      </c>
      <c r="I144" s="13">
        <f t="shared" si="8"/>
        <v>0</v>
      </c>
      <c r="J144" s="13">
        <f t="shared" si="8"/>
        <v>0</v>
      </c>
      <c r="K144" s="13">
        <f t="shared" si="8"/>
        <v>0</v>
      </c>
      <c r="L144" s="13">
        <f t="shared" si="8"/>
        <v>0</v>
      </c>
      <c r="M144" s="13">
        <f t="shared" si="8"/>
        <v>0</v>
      </c>
      <c r="N144" s="13">
        <f t="shared" si="7"/>
        <v>0</v>
      </c>
      <c r="O144" s="13">
        <f t="shared" si="6"/>
        <v>0</v>
      </c>
      <c r="P144" s="13">
        <f t="shared" si="6"/>
        <v>0</v>
      </c>
      <c r="Q144" s="13">
        <f t="shared" si="6"/>
        <v>0</v>
      </c>
      <c r="R144" s="13" t="s">
        <v>239</v>
      </c>
      <c r="T144" s="63">
        <v>2.9706E-6</v>
      </c>
      <c r="U144" s="63">
        <v>2.7238099999999999E-5</v>
      </c>
      <c r="V144" s="63">
        <v>9.7498399999999995E-5</v>
      </c>
      <c r="W144" s="63">
        <v>1.3673799999999999E-4</v>
      </c>
      <c r="X144" s="63">
        <v>9.4907200000000005E-5</v>
      </c>
      <c r="Y144" s="63">
        <v>6.4268400000000003E-5</v>
      </c>
      <c r="Z144" s="63">
        <v>6.3577099999999998E-5</v>
      </c>
      <c r="AA144" s="63">
        <v>6.8576000000000002E-5</v>
      </c>
      <c r="AB144" s="63">
        <v>7.3430000000000007E-5</v>
      </c>
      <c r="AC144" s="63">
        <v>7.9847599999999998E-5</v>
      </c>
      <c r="AD144" s="63">
        <v>8.79857E-5</v>
      </c>
      <c r="AE144" s="13" t="s">
        <v>93</v>
      </c>
    </row>
    <row r="145" spans="1:31">
      <c r="A145" s="13" t="s">
        <v>324</v>
      </c>
      <c r="B145" s="13" t="s">
        <v>1</v>
      </c>
      <c r="C145" s="13" t="s">
        <v>227</v>
      </c>
      <c r="D145" s="13" t="str">
        <f>IFERROR(VLOOKUP(C145,ghg_sort!$A$86:$B$512,2,0),0)</f>
        <v>Agriculture</v>
      </c>
      <c r="E145" s="33" t="s">
        <v>208</v>
      </c>
      <c r="F145" s="13">
        <f>IFERROR(VLOOKUP($E145,ghg_sort!$A$3:$B$21,2,0),0)</f>
        <v>0</v>
      </c>
      <c r="G145" s="13">
        <f t="shared" si="8"/>
        <v>0</v>
      </c>
      <c r="H145" s="13">
        <f t="shared" si="8"/>
        <v>0</v>
      </c>
      <c r="I145" s="13">
        <f t="shared" si="8"/>
        <v>0</v>
      </c>
      <c r="J145" s="13">
        <f t="shared" si="8"/>
        <v>0</v>
      </c>
      <c r="K145" s="13">
        <f t="shared" si="8"/>
        <v>0</v>
      </c>
      <c r="L145" s="13">
        <f t="shared" si="8"/>
        <v>0</v>
      </c>
      <c r="M145" s="13">
        <f t="shared" si="8"/>
        <v>0</v>
      </c>
      <c r="N145" s="13">
        <f t="shared" si="7"/>
        <v>0</v>
      </c>
      <c r="O145" s="13">
        <f t="shared" si="6"/>
        <v>0</v>
      </c>
      <c r="P145" s="13">
        <f t="shared" si="6"/>
        <v>0</v>
      </c>
      <c r="Q145" s="13">
        <f t="shared" si="6"/>
        <v>0</v>
      </c>
      <c r="R145" s="13" t="s">
        <v>239</v>
      </c>
      <c r="T145" s="63">
        <v>6.8799999999999994E-8</v>
      </c>
      <c r="U145" s="63">
        <v>6.3160000000000002E-7</v>
      </c>
      <c r="V145" s="63">
        <v>2.2608029999999999E-6</v>
      </c>
      <c r="W145" s="63">
        <v>3.1706900000000001E-6</v>
      </c>
      <c r="X145" s="63">
        <v>2.2007220000000001E-6</v>
      </c>
      <c r="Y145" s="63">
        <v>1.490263E-6</v>
      </c>
      <c r="Z145" s="63">
        <v>1.4742319999999901E-6</v>
      </c>
      <c r="AA145" s="63">
        <v>1.5901489999999999E-6</v>
      </c>
      <c r="AB145" s="63">
        <v>1.7027039999999999E-6</v>
      </c>
      <c r="AC145" s="63">
        <v>1.8515110000000001E-6</v>
      </c>
      <c r="AD145" s="63">
        <v>2.0402209999999999E-6</v>
      </c>
      <c r="AE145" s="13" t="s">
        <v>93</v>
      </c>
    </row>
    <row r="146" spans="1:31">
      <c r="A146" s="13" t="s">
        <v>324</v>
      </c>
      <c r="B146" s="13" t="s">
        <v>1</v>
      </c>
      <c r="C146" s="13" t="s">
        <v>227</v>
      </c>
      <c r="D146" s="13" t="str">
        <f>IFERROR(VLOOKUP(C146,ghg_sort!$A$86:$B$512,2,0),0)</f>
        <v>Agriculture</v>
      </c>
      <c r="E146" s="33" t="s">
        <v>101</v>
      </c>
      <c r="F146" s="13">
        <f>IFERROR(VLOOKUP($E146,ghg_sort!$A$3:$B$21,2,0),0)</f>
        <v>298</v>
      </c>
      <c r="G146" s="13">
        <f t="shared" si="8"/>
        <v>6.9782660000000001E-4</v>
      </c>
      <c r="H146" s="13">
        <f t="shared" si="8"/>
        <v>7.5977782000000004E-3</v>
      </c>
      <c r="I146" s="13">
        <f t="shared" si="8"/>
        <v>2.33283936E-2</v>
      </c>
      <c r="J146" s="13">
        <f t="shared" si="8"/>
        <v>3.6367919999999998E-2</v>
      </c>
      <c r="K146" s="13">
        <f t="shared" si="8"/>
        <v>3.59385318E-2</v>
      </c>
      <c r="L146" s="13">
        <f t="shared" si="8"/>
        <v>3.8465810199999999E-2</v>
      </c>
      <c r="M146" s="13">
        <f t="shared" si="8"/>
        <v>3.8147784599999998E-2</v>
      </c>
      <c r="N146" s="13">
        <f t="shared" si="7"/>
        <v>4.0841138399999997E-2</v>
      </c>
      <c r="O146" s="13">
        <f t="shared" si="6"/>
        <v>4.3693594400000001E-2</v>
      </c>
      <c r="P146" s="13">
        <f t="shared" si="6"/>
        <v>4.7433255999999993E-2</v>
      </c>
      <c r="Q146" s="13">
        <f t="shared" si="6"/>
        <v>5.110551E-2</v>
      </c>
      <c r="R146" s="13" t="s">
        <v>239</v>
      </c>
      <c r="T146" s="63">
        <v>2.3417E-6</v>
      </c>
      <c r="U146" s="63">
        <v>2.5495900000000001E-5</v>
      </c>
      <c r="V146" s="63">
        <v>7.8283199999999996E-5</v>
      </c>
      <c r="W146" s="63">
        <v>1.2204E-4</v>
      </c>
      <c r="X146" s="63">
        <v>1.205991E-4</v>
      </c>
      <c r="Y146" s="63">
        <v>1.290799E-4</v>
      </c>
      <c r="Z146" s="63">
        <v>1.2801269999999999E-4</v>
      </c>
      <c r="AA146" s="63">
        <v>1.370508E-4</v>
      </c>
      <c r="AB146" s="63">
        <v>1.4662280000000001E-4</v>
      </c>
      <c r="AC146" s="63">
        <v>1.5917199999999999E-4</v>
      </c>
      <c r="AD146" s="63">
        <v>1.71495E-4</v>
      </c>
      <c r="AE146" s="13" t="s">
        <v>93</v>
      </c>
    </row>
    <row r="147" spans="1:31">
      <c r="A147" s="13" t="s">
        <v>324</v>
      </c>
      <c r="B147" s="13" t="s">
        <v>1</v>
      </c>
      <c r="C147" s="13" t="s">
        <v>227</v>
      </c>
      <c r="D147" s="13" t="str">
        <f>IFERROR(VLOOKUP(C147,ghg_sort!$A$86:$B$512,2,0),0)</f>
        <v>Agriculture</v>
      </c>
      <c r="E147" s="33" t="s">
        <v>102</v>
      </c>
      <c r="F147" s="13">
        <f>IFERROR(VLOOKUP($E147,ghg_sort!$A$3:$B$21,2,0),0)</f>
        <v>298</v>
      </c>
      <c r="G147" s="13">
        <f t="shared" si="8"/>
        <v>8.6420000000000002E-7</v>
      </c>
      <c r="H147" s="13">
        <f t="shared" si="8"/>
        <v>7.956600000000001E-6</v>
      </c>
      <c r="I147" s="13">
        <f t="shared" si="8"/>
        <v>2.84805156E-5</v>
      </c>
      <c r="J147" s="13">
        <f t="shared" si="8"/>
        <v>3.9942936600000002E-5</v>
      </c>
      <c r="K147" s="13">
        <f t="shared" si="8"/>
        <v>2.77236552E-5</v>
      </c>
      <c r="L147" s="13">
        <f t="shared" si="8"/>
        <v>1.8773642399999997E-5</v>
      </c>
      <c r="M147" s="13">
        <f t="shared" si="8"/>
        <v>1.8571687800000001E-5</v>
      </c>
      <c r="N147" s="13">
        <f t="shared" si="7"/>
        <v>2.0031947399999972E-5</v>
      </c>
      <c r="O147" s="13">
        <f t="shared" si="6"/>
        <v>2.1449861199999999E-5</v>
      </c>
      <c r="P147" s="13">
        <f t="shared" si="6"/>
        <v>2.3324519599999998E-5</v>
      </c>
      <c r="Q147" s="13">
        <f t="shared" si="6"/>
        <v>2.5701755000000002E-5</v>
      </c>
      <c r="R147" s="13" t="s">
        <v>239</v>
      </c>
      <c r="T147" s="63">
        <v>2.8999999999999999E-9</v>
      </c>
      <c r="U147" s="63">
        <v>2.6700000000000001E-8</v>
      </c>
      <c r="V147" s="63">
        <v>9.5572200000000001E-8</v>
      </c>
      <c r="W147" s="63">
        <v>1.3403669999999999E-7</v>
      </c>
      <c r="X147" s="63">
        <v>9.3032400000000004E-8</v>
      </c>
      <c r="Y147" s="63">
        <v>6.2998799999999996E-8</v>
      </c>
      <c r="Z147" s="63">
        <v>6.2321099999999998E-8</v>
      </c>
      <c r="AA147" s="63">
        <v>6.7221299999999901E-8</v>
      </c>
      <c r="AB147" s="63">
        <v>7.1979399999999994E-8</v>
      </c>
      <c r="AC147" s="63">
        <v>7.8270199999999996E-8</v>
      </c>
      <c r="AD147" s="63">
        <v>8.6247500000000005E-8</v>
      </c>
      <c r="AE147" s="13" t="s">
        <v>93</v>
      </c>
    </row>
    <row r="148" spans="1:31">
      <c r="A148" s="13" t="s">
        <v>324</v>
      </c>
      <c r="B148" s="13" t="s">
        <v>1</v>
      </c>
      <c r="C148" s="13" t="s">
        <v>227</v>
      </c>
      <c r="D148" s="13" t="str">
        <f>IFERROR(VLOOKUP(C148,ghg_sort!$A$86:$B$512,2,0),0)</f>
        <v>Agriculture</v>
      </c>
      <c r="E148" s="33" t="s">
        <v>202</v>
      </c>
      <c r="F148" s="13">
        <f>IFERROR(VLOOKUP($E148,ghg_sort!$A$3:$B$21,2,0),0)</f>
        <v>0</v>
      </c>
      <c r="G148" s="13">
        <f t="shared" si="8"/>
        <v>0</v>
      </c>
      <c r="H148" s="13">
        <f t="shared" si="8"/>
        <v>0</v>
      </c>
      <c r="I148" s="13">
        <f t="shared" si="8"/>
        <v>0</v>
      </c>
      <c r="J148" s="13">
        <f t="shared" si="8"/>
        <v>0</v>
      </c>
      <c r="K148" s="13">
        <f t="shared" si="8"/>
        <v>0</v>
      </c>
      <c r="L148" s="13">
        <f t="shared" si="8"/>
        <v>0</v>
      </c>
      <c r="M148" s="13">
        <f t="shared" si="8"/>
        <v>0</v>
      </c>
      <c r="N148" s="13">
        <f t="shared" si="7"/>
        <v>0</v>
      </c>
      <c r="O148" s="13">
        <f t="shared" si="6"/>
        <v>0</v>
      </c>
      <c r="P148" s="13">
        <f t="shared" si="6"/>
        <v>0</v>
      </c>
      <c r="Q148" s="13">
        <f t="shared" si="6"/>
        <v>0</v>
      </c>
      <c r="R148" s="13" t="s">
        <v>239</v>
      </c>
      <c r="T148" s="63">
        <v>1.34902999999999E-5</v>
      </c>
      <c r="U148" s="63">
        <v>1.543653E-4</v>
      </c>
      <c r="V148" s="63">
        <v>5.1850300000000002E-4</v>
      </c>
      <c r="W148" s="63">
        <v>7.6729000000000001E-4</v>
      </c>
      <c r="X148" s="63">
        <v>7.7370499999999997E-4</v>
      </c>
      <c r="Y148" s="63">
        <v>8.6032399999999998E-4</v>
      </c>
      <c r="Z148" s="63">
        <v>8.9188899999999998E-4</v>
      </c>
      <c r="AA148" s="63">
        <v>9.6201800000000003E-4</v>
      </c>
      <c r="AB148" s="63">
        <v>1.0301119999999999E-3</v>
      </c>
      <c r="AC148" s="63">
        <v>1.1201410000000001E-3</v>
      </c>
      <c r="AD148" s="63">
        <v>1.234307E-3</v>
      </c>
      <c r="AE148" s="13" t="s">
        <v>93</v>
      </c>
    </row>
    <row r="149" spans="1:31">
      <c r="A149" s="13" t="s">
        <v>324</v>
      </c>
      <c r="B149" s="13" t="s">
        <v>1</v>
      </c>
      <c r="C149" s="13" t="s">
        <v>227</v>
      </c>
      <c r="D149" s="13" t="str">
        <f>IFERROR(VLOOKUP(C149,ghg_sort!$A$86:$B$512,2,0),0)</f>
        <v>Agriculture</v>
      </c>
      <c r="E149" s="33" t="s">
        <v>209</v>
      </c>
      <c r="F149" s="13">
        <f>IFERROR(VLOOKUP($E149,ghg_sort!$A$3:$B$21,2,0),0)</f>
        <v>0</v>
      </c>
      <c r="G149" s="13">
        <f t="shared" si="8"/>
        <v>0</v>
      </c>
      <c r="H149" s="13">
        <f t="shared" si="8"/>
        <v>0</v>
      </c>
      <c r="I149" s="13">
        <f t="shared" si="8"/>
        <v>0</v>
      </c>
      <c r="J149" s="13">
        <f t="shared" si="8"/>
        <v>0</v>
      </c>
      <c r="K149" s="13">
        <f t="shared" si="8"/>
        <v>0</v>
      </c>
      <c r="L149" s="13">
        <f t="shared" si="8"/>
        <v>0</v>
      </c>
      <c r="M149" s="13">
        <f t="shared" si="8"/>
        <v>0</v>
      </c>
      <c r="N149" s="13">
        <f t="shared" si="7"/>
        <v>0</v>
      </c>
      <c r="O149" s="13">
        <f t="shared" si="6"/>
        <v>0</v>
      </c>
      <c r="P149" s="13">
        <f t="shared" si="6"/>
        <v>0</v>
      </c>
      <c r="Q149" s="13">
        <f t="shared" si="6"/>
        <v>0</v>
      </c>
      <c r="R149" s="13" t="s">
        <v>239</v>
      </c>
      <c r="T149" s="63">
        <v>6.3199999999999997E-8</v>
      </c>
      <c r="U149" s="63">
        <v>5.7950000000000002E-7</v>
      </c>
      <c r="V149" s="63">
        <v>2.0743159999999998E-6</v>
      </c>
      <c r="W149" s="63">
        <v>2.9091499999999999E-6</v>
      </c>
      <c r="X149" s="63">
        <v>2.019189E-6</v>
      </c>
      <c r="Y149" s="63">
        <v>1.3673320000000001E-6</v>
      </c>
      <c r="Z149" s="63">
        <v>1.352624E-6</v>
      </c>
      <c r="AA149" s="63">
        <v>1.458979E-6</v>
      </c>
      <c r="AB149" s="63">
        <v>1.56225E-6</v>
      </c>
      <c r="AC149" s="63">
        <v>1.698786E-6</v>
      </c>
      <c r="AD149" s="63">
        <v>1.8719259999999999E-6</v>
      </c>
      <c r="AE149" s="13" t="s">
        <v>93</v>
      </c>
    </row>
    <row r="150" spans="1:31">
      <c r="A150" s="13" t="s">
        <v>324</v>
      </c>
      <c r="B150" s="13" t="s">
        <v>1</v>
      </c>
      <c r="C150" s="13" t="s">
        <v>227</v>
      </c>
      <c r="D150" s="13" t="str">
        <f>IFERROR(VLOOKUP(C150,ghg_sort!$A$86:$B$512,2,0),0)</f>
        <v>Agriculture</v>
      </c>
      <c r="E150" s="33" t="s">
        <v>210</v>
      </c>
      <c r="F150" s="13">
        <f>IFERROR(VLOOKUP($E150,ghg_sort!$A$3:$B$21,2,0),0)</f>
        <v>0</v>
      </c>
      <c r="G150" s="13">
        <f t="shared" si="8"/>
        <v>0</v>
      </c>
      <c r="H150" s="13">
        <f t="shared" si="8"/>
        <v>0</v>
      </c>
      <c r="I150" s="13">
        <f t="shared" si="8"/>
        <v>0</v>
      </c>
      <c r="J150" s="13">
        <f t="shared" si="8"/>
        <v>0</v>
      </c>
      <c r="K150" s="13">
        <f t="shared" si="8"/>
        <v>0</v>
      </c>
      <c r="L150" s="13">
        <f t="shared" si="8"/>
        <v>0</v>
      </c>
      <c r="M150" s="13">
        <f t="shared" si="8"/>
        <v>0</v>
      </c>
      <c r="N150" s="13">
        <f t="shared" si="7"/>
        <v>0</v>
      </c>
      <c r="O150" s="13">
        <f t="shared" si="6"/>
        <v>0</v>
      </c>
      <c r="P150" s="13">
        <f t="shared" si="6"/>
        <v>0</v>
      </c>
      <c r="Q150" s="13">
        <f t="shared" si="6"/>
        <v>0</v>
      </c>
      <c r="R150" s="13" t="s">
        <v>239</v>
      </c>
      <c r="T150" s="63">
        <v>7.1209999999999897E-7</v>
      </c>
      <c r="U150" s="63">
        <v>6.5180000000000001E-6</v>
      </c>
      <c r="V150" s="63">
        <v>2.3331060000000002E-5</v>
      </c>
      <c r="W150" s="63">
        <v>3.2721100000000001E-5</v>
      </c>
      <c r="X150" s="63">
        <v>2.2711029999999999E-5</v>
      </c>
      <c r="Y150" s="63">
        <v>1.537925E-5</v>
      </c>
      <c r="Z150" s="63">
        <v>1.5213810000000001E-5</v>
      </c>
      <c r="AA150" s="63">
        <v>1.641009E-5</v>
      </c>
      <c r="AB150" s="63">
        <v>1.7571589999999999E-5</v>
      </c>
      <c r="AC150" s="63">
        <v>1.9107349999999999E-5</v>
      </c>
      <c r="AD150" s="63">
        <v>2.1054729999999999E-5</v>
      </c>
      <c r="AE150" s="13" t="s">
        <v>93</v>
      </c>
    </row>
    <row r="151" spans="1:31">
      <c r="A151" s="13" t="s">
        <v>324</v>
      </c>
      <c r="B151" s="13" t="s">
        <v>1</v>
      </c>
      <c r="C151" s="13" t="s">
        <v>227</v>
      </c>
      <c r="D151" s="13" t="str">
        <f>IFERROR(VLOOKUP(C151,ghg_sort!$A$86:$B$512,2,0),0)</f>
        <v>Agriculture</v>
      </c>
      <c r="E151" s="33" t="s">
        <v>204</v>
      </c>
      <c r="F151" s="13">
        <f>IFERROR(VLOOKUP($E151,ghg_sort!$A$3:$B$21,2,0),0)</f>
        <v>0</v>
      </c>
      <c r="G151" s="13">
        <f t="shared" si="8"/>
        <v>0</v>
      </c>
      <c r="H151" s="13">
        <f t="shared" si="8"/>
        <v>0</v>
      </c>
      <c r="I151" s="13">
        <f t="shared" si="8"/>
        <v>0</v>
      </c>
      <c r="J151" s="13">
        <f t="shared" si="8"/>
        <v>0</v>
      </c>
      <c r="K151" s="13">
        <f t="shared" si="8"/>
        <v>0</v>
      </c>
      <c r="L151" s="13">
        <f t="shared" si="8"/>
        <v>0</v>
      </c>
      <c r="M151" s="13">
        <f t="shared" si="8"/>
        <v>0</v>
      </c>
      <c r="N151" s="13">
        <f t="shared" si="7"/>
        <v>0</v>
      </c>
      <c r="O151" s="13">
        <f t="shared" si="6"/>
        <v>0</v>
      </c>
      <c r="P151" s="13">
        <f t="shared" si="6"/>
        <v>0</v>
      </c>
      <c r="Q151" s="13">
        <f t="shared" si="6"/>
        <v>0</v>
      </c>
      <c r="R151" s="13" t="s">
        <v>239</v>
      </c>
      <c r="T151" s="63">
        <v>1.1316000000000001E-6</v>
      </c>
      <c r="U151" s="63">
        <v>9.9260999999999997E-6</v>
      </c>
      <c r="V151" s="63">
        <v>3.5298800000000002E-5</v>
      </c>
      <c r="W151" s="63">
        <v>4.4406999999999997E-5</v>
      </c>
      <c r="X151" s="63">
        <v>4.4778299999999998E-5</v>
      </c>
      <c r="Y151" s="63">
        <v>4.9791399999999999E-5</v>
      </c>
      <c r="Z151" s="63">
        <v>5.16182E-5</v>
      </c>
      <c r="AA151" s="63">
        <v>5.5676900000000002E-5</v>
      </c>
      <c r="AB151" s="63">
        <v>5.9617899999999997E-5</v>
      </c>
      <c r="AC151" s="63">
        <v>6.4828300000000004E-5</v>
      </c>
      <c r="AD151" s="63">
        <v>7.1435700000000005E-5</v>
      </c>
      <c r="AE151" s="13" t="s">
        <v>93</v>
      </c>
    </row>
    <row r="152" spans="1:31">
      <c r="A152" s="13" t="s">
        <v>324</v>
      </c>
      <c r="B152" s="13" t="s">
        <v>1</v>
      </c>
      <c r="C152" s="13" t="s">
        <v>227</v>
      </c>
      <c r="D152" s="13" t="str">
        <f>IFERROR(VLOOKUP(C152,ghg_sort!$A$86:$B$512,2,0),0)</f>
        <v>Agriculture</v>
      </c>
      <c r="E152" s="33" t="s">
        <v>211</v>
      </c>
      <c r="F152" s="13">
        <f>IFERROR(VLOOKUP($E152,ghg_sort!$A$3:$B$21,2,0),0)</f>
        <v>0</v>
      </c>
      <c r="G152" s="13">
        <f t="shared" si="8"/>
        <v>0</v>
      </c>
      <c r="H152" s="13">
        <f t="shared" si="8"/>
        <v>0</v>
      </c>
      <c r="I152" s="13">
        <f t="shared" si="8"/>
        <v>0</v>
      </c>
      <c r="J152" s="13">
        <f t="shared" si="8"/>
        <v>0</v>
      </c>
      <c r="K152" s="13">
        <f t="shared" si="8"/>
        <v>0</v>
      </c>
      <c r="L152" s="13">
        <f t="shared" si="8"/>
        <v>0</v>
      </c>
      <c r="M152" s="13">
        <f t="shared" si="8"/>
        <v>0</v>
      </c>
      <c r="N152" s="13">
        <f t="shared" si="7"/>
        <v>0</v>
      </c>
      <c r="O152" s="13">
        <f t="shared" si="6"/>
        <v>0</v>
      </c>
      <c r="P152" s="13">
        <f t="shared" si="6"/>
        <v>0</v>
      </c>
      <c r="Q152" s="13">
        <f t="shared" si="6"/>
        <v>0</v>
      </c>
      <c r="R152" s="13" t="s">
        <v>239</v>
      </c>
      <c r="T152" s="63">
        <v>9.0600000000000004E-8</v>
      </c>
      <c r="U152" s="63">
        <v>8.3049999999999897E-7</v>
      </c>
      <c r="V152" s="63">
        <v>2.9727599999999999E-6</v>
      </c>
      <c r="W152" s="63">
        <v>4.1691999999999998E-6</v>
      </c>
      <c r="X152" s="63">
        <v>2.8937599999999999E-6</v>
      </c>
      <c r="Y152" s="63">
        <v>1.9595719999999999E-6</v>
      </c>
      <c r="Z152" s="63">
        <v>1.9384879999999998E-6</v>
      </c>
      <c r="AA152" s="63">
        <v>2.09091399999999E-6</v>
      </c>
      <c r="AB152" s="63">
        <v>2.2389120000000002E-6</v>
      </c>
      <c r="AC152" s="63">
        <v>2.4345889999999999E-6</v>
      </c>
      <c r="AD152" s="63">
        <v>2.6827190000000001E-6</v>
      </c>
      <c r="AE152" s="13" t="s">
        <v>93</v>
      </c>
    </row>
    <row r="153" spans="1:31">
      <c r="A153" s="13" t="s">
        <v>324</v>
      </c>
      <c r="B153" s="13" t="s">
        <v>1</v>
      </c>
      <c r="C153" s="13" t="s">
        <v>227</v>
      </c>
      <c r="D153" s="13" t="str">
        <f>IFERROR(VLOOKUP(C153,ghg_sort!$A$86:$B$512,2,0),0)</f>
        <v>Agriculture</v>
      </c>
      <c r="E153" s="33" t="s">
        <v>212</v>
      </c>
      <c r="F153" s="13">
        <f>IFERROR(VLOOKUP($E153,ghg_sort!$A$3:$B$21,2,0),0)</f>
        <v>0</v>
      </c>
      <c r="G153" s="13">
        <f t="shared" si="8"/>
        <v>0</v>
      </c>
      <c r="H153" s="13">
        <f t="shared" si="8"/>
        <v>0</v>
      </c>
      <c r="I153" s="13">
        <f t="shared" si="8"/>
        <v>0</v>
      </c>
      <c r="J153" s="13">
        <f t="shared" si="8"/>
        <v>0</v>
      </c>
      <c r="K153" s="13">
        <f t="shared" si="8"/>
        <v>0</v>
      </c>
      <c r="L153" s="13">
        <f t="shared" si="8"/>
        <v>0</v>
      </c>
      <c r="M153" s="13">
        <f t="shared" si="8"/>
        <v>0</v>
      </c>
      <c r="N153" s="13">
        <f t="shared" si="7"/>
        <v>0</v>
      </c>
      <c r="O153" s="13">
        <f t="shared" si="6"/>
        <v>0</v>
      </c>
      <c r="P153" s="13">
        <f t="shared" si="6"/>
        <v>0</v>
      </c>
      <c r="Q153" s="13">
        <f t="shared" si="6"/>
        <v>0</v>
      </c>
      <c r="R153" s="13" t="s">
        <v>239</v>
      </c>
      <c r="T153" s="63">
        <v>6.7000000000000004E-8</v>
      </c>
      <c r="U153" s="63">
        <v>6.1419999999999998E-7</v>
      </c>
      <c r="V153" s="63">
        <v>5.5442699999999997E-5</v>
      </c>
      <c r="W153" s="63">
        <v>7.77565E-5</v>
      </c>
      <c r="X153" s="63">
        <v>5.3969299999999998E-5</v>
      </c>
      <c r="Y153" s="63">
        <v>3.65465E-5</v>
      </c>
      <c r="Z153" s="63">
        <v>3.6153399999999998E-5</v>
      </c>
      <c r="AA153" s="63">
        <v>3.8995999999999997E-5</v>
      </c>
      <c r="AB153" s="63">
        <v>4.1756299999999999E-5</v>
      </c>
      <c r="AC153" s="63">
        <v>4.5405699999999998E-5</v>
      </c>
      <c r="AD153" s="63">
        <v>5.0033400000000001E-5</v>
      </c>
      <c r="AE153" s="13" t="s">
        <v>93</v>
      </c>
    </row>
    <row r="154" spans="1:31">
      <c r="A154" s="13" t="s">
        <v>324</v>
      </c>
      <c r="B154" s="13" t="s">
        <v>1</v>
      </c>
      <c r="C154" s="13" t="s">
        <v>227</v>
      </c>
      <c r="D154" s="13" t="str">
        <f>IFERROR(VLOOKUP(C154,ghg_sort!$A$86:$B$512,2,0),0)</f>
        <v>Agriculture</v>
      </c>
      <c r="E154" s="33" t="s">
        <v>213</v>
      </c>
      <c r="F154" s="13">
        <f>IFERROR(VLOOKUP($E154,ghg_sort!$A$3:$B$21,2,0),0)</f>
        <v>0</v>
      </c>
      <c r="G154" s="13">
        <f t="shared" si="8"/>
        <v>0</v>
      </c>
      <c r="H154" s="13">
        <f t="shared" si="8"/>
        <v>0</v>
      </c>
      <c r="I154" s="13">
        <f t="shared" si="8"/>
        <v>0</v>
      </c>
      <c r="J154" s="13">
        <f t="shared" si="8"/>
        <v>0</v>
      </c>
      <c r="K154" s="13">
        <f t="shared" si="8"/>
        <v>0</v>
      </c>
      <c r="L154" s="13">
        <f t="shared" si="8"/>
        <v>0</v>
      </c>
      <c r="M154" s="13">
        <f t="shared" si="8"/>
        <v>0</v>
      </c>
      <c r="N154" s="13">
        <f t="shared" si="7"/>
        <v>0</v>
      </c>
      <c r="O154" s="13">
        <f t="shared" si="6"/>
        <v>0</v>
      </c>
      <c r="P154" s="13">
        <f t="shared" si="6"/>
        <v>0</v>
      </c>
      <c r="Q154" s="13">
        <f t="shared" si="6"/>
        <v>0</v>
      </c>
      <c r="R154" s="13" t="s">
        <v>239</v>
      </c>
      <c r="T154" s="63">
        <v>1.16E-8</v>
      </c>
      <c r="U154" s="63">
        <v>1.068E-7</v>
      </c>
      <c r="V154" s="63">
        <v>3.8228899999999999E-7</v>
      </c>
      <c r="W154" s="63">
        <v>5.3614699999999996E-7</v>
      </c>
      <c r="X154" s="63">
        <v>3.7212900000000001E-7</v>
      </c>
      <c r="Y154" s="63">
        <v>2.5199549999999901E-7</v>
      </c>
      <c r="Z154" s="63">
        <v>2.4928439999999999E-7</v>
      </c>
      <c r="AA154" s="63">
        <v>2.6888499999999999E-7</v>
      </c>
      <c r="AB154" s="63">
        <v>2.8791770000000002E-7</v>
      </c>
      <c r="AC154" s="63">
        <v>3.1308E-7</v>
      </c>
      <c r="AD154" s="63">
        <v>3.4499000000000002E-7</v>
      </c>
      <c r="AE154" s="13" t="s">
        <v>93</v>
      </c>
    </row>
    <row r="155" spans="1:31">
      <c r="A155" s="13" t="s">
        <v>324</v>
      </c>
      <c r="B155" s="13" t="s">
        <v>1</v>
      </c>
      <c r="C155" s="13" t="s">
        <v>64</v>
      </c>
      <c r="D155" s="13" t="str">
        <f>IFERROR(VLOOKUP(C155,ghg_sort!$A$86:$B$512,2,0),0)</f>
        <v>Industry</v>
      </c>
      <c r="E155" s="33" t="s">
        <v>83</v>
      </c>
      <c r="F155" s="13">
        <f>IFERROR(VLOOKUP($E155,ghg_sort!$A$3:$B$21,2,0),0)</f>
        <v>0</v>
      </c>
      <c r="G155" s="13">
        <f t="shared" si="8"/>
        <v>0</v>
      </c>
      <c r="H155" s="13">
        <f t="shared" si="8"/>
        <v>0</v>
      </c>
      <c r="I155" s="13">
        <f t="shared" si="8"/>
        <v>0</v>
      </c>
      <c r="J155" s="13">
        <f t="shared" si="8"/>
        <v>0</v>
      </c>
      <c r="K155" s="13">
        <f t="shared" si="8"/>
        <v>0</v>
      </c>
      <c r="L155" s="13">
        <f t="shared" si="8"/>
        <v>0</v>
      </c>
      <c r="M155" s="13">
        <f t="shared" si="8"/>
        <v>0</v>
      </c>
      <c r="N155" s="13">
        <f t="shared" si="7"/>
        <v>0</v>
      </c>
      <c r="O155" s="13">
        <f t="shared" si="6"/>
        <v>0</v>
      </c>
      <c r="P155" s="13">
        <f t="shared" si="6"/>
        <v>0</v>
      </c>
      <c r="Q155" s="13">
        <f t="shared" si="6"/>
        <v>0</v>
      </c>
      <c r="R155" s="13" t="s">
        <v>239</v>
      </c>
      <c r="T155" s="62">
        <v>3.60925E-3</v>
      </c>
      <c r="U155" s="62">
        <v>5.0382600000000001E-3</v>
      </c>
      <c r="V155" s="62">
        <v>4.7232400000000001E-3</v>
      </c>
      <c r="W155" s="62">
        <v>2.5491899999999998E-3</v>
      </c>
      <c r="X155" s="62">
        <v>1.7478755E-3</v>
      </c>
      <c r="Y155" s="62">
        <v>1.3169744E-3</v>
      </c>
      <c r="Z155" s="63">
        <v>1.0937497E-3</v>
      </c>
      <c r="AA155" s="63">
        <v>8.5570692000000003E-4</v>
      </c>
      <c r="AB155" s="63">
        <v>6.1826890000000003E-4</v>
      </c>
      <c r="AC155" s="63">
        <v>4.2076219999999999E-4</v>
      </c>
      <c r="AD155" s="63">
        <v>1.2153465E-4</v>
      </c>
      <c r="AE155" s="13" t="s">
        <v>93</v>
      </c>
    </row>
    <row r="156" spans="1:31">
      <c r="A156" s="13" t="s">
        <v>324</v>
      </c>
      <c r="B156" s="13" t="s">
        <v>1</v>
      </c>
      <c r="C156" s="13" t="s">
        <v>64</v>
      </c>
      <c r="D156" s="13" t="str">
        <f>IFERROR(VLOOKUP(C156,ghg_sort!$A$86:$B$512,2,0),0)</f>
        <v>Industry</v>
      </c>
      <c r="E156" s="33" t="s">
        <v>84</v>
      </c>
      <c r="F156" s="13">
        <f>IFERROR(VLOOKUP($E156,ghg_sort!$A$3:$B$21,2,0),0)</f>
        <v>25</v>
      </c>
      <c r="G156" s="13">
        <f t="shared" si="8"/>
        <v>2.2499999999999999E-2</v>
      </c>
      <c r="H156" s="13">
        <f t="shared" si="8"/>
        <v>5.2500000000000003E-3</v>
      </c>
      <c r="I156" s="13">
        <f t="shared" si="8"/>
        <v>4.2500000000000003E-3</v>
      </c>
      <c r="J156" s="13">
        <f t="shared" si="8"/>
        <v>7.4999999999999997E-3</v>
      </c>
      <c r="K156" s="13">
        <f t="shared" si="8"/>
        <v>7.590624999999975E-3</v>
      </c>
      <c r="L156" s="13">
        <f t="shared" si="8"/>
        <v>1.2022825000000001E-2</v>
      </c>
      <c r="M156" s="13">
        <f t="shared" si="8"/>
        <v>1.4862087499999999E-2</v>
      </c>
      <c r="N156" s="13">
        <f t="shared" si="7"/>
        <v>1.5394321999999998E-2</v>
      </c>
      <c r="O156" s="13">
        <f t="shared" si="6"/>
        <v>1.2786932499999999E-2</v>
      </c>
      <c r="P156" s="13">
        <f t="shared" si="6"/>
        <v>8.8720475000000007E-3</v>
      </c>
      <c r="Q156" s="13">
        <f t="shared" si="6"/>
        <v>2.452774E-3</v>
      </c>
      <c r="R156" s="13" t="s">
        <v>239</v>
      </c>
      <c r="T156" s="63">
        <v>8.9999999999999998E-4</v>
      </c>
      <c r="U156" s="63">
        <v>2.1000000000000001E-4</v>
      </c>
      <c r="V156" s="63">
        <v>1.7000000000000001E-4</v>
      </c>
      <c r="W156" s="63">
        <v>2.9999999999999997E-4</v>
      </c>
      <c r="X156" s="63">
        <v>3.0362499999999899E-4</v>
      </c>
      <c r="Y156" s="63">
        <v>4.8091300000000002E-4</v>
      </c>
      <c r="Z156" s="63">
        <v>5.9448349999999999E-4</v>
      </c>
      <c r="AA156" s="63">
        <v>6.1577287999999995E-4</v>
      </c>
      <c r="AB156" s="63">
        <v>5.1147729999999998E-4</v>
      </c>
      <c r="AC156" s="63">
        <v>3.5488190000000001E-4</v>
      </c>
      <c r="AD156" s="63">
        <v>9.8110959999999993E-5</v>
      </c>
      <c r="AE156" s="13" t="s">
        <v>93</v>
      </c>
    </row>
    <row r="157" spans="1:31">
      <c r="A157" s="13" t="s">
        <v>324</v>
      </c>
      <c r="B157" s="13" t="s">
        <v>1</v>
      </c>
      <c r="C157" s="13" t="s">
        <v>64</v>
      </c>
      <c r="D157" s="13" t="str">
        <f>IFERROR(VLOOKUP(C157,ghg_sort!$A$86:$B$512,2,0),0)</f>
        <v>Industry</v>
      </c>
      <c r="E157" s="33" t="s">
        <v>85</v>
      </c>
      <c r="F157" s="13">
        <f>IFERROR(VLOOKUP($E157,ghg_sort!$A$3:$B$21,2,0),0)</f>
        <v>0</v>
      </c>
      <c r="G157" s="13">
        <f t="shared" si="8"/>
        <v>0</v>
      </c>
      <c r="H157" s="13">
        <f t="shared" si="8"/>
        <v>0</v>
      </c>
      <c r="I157" s="13">
        <f t="shared" si="8"/>
        <v>0</v>
      </c>
      <c r="J157" s="13">
        <f t="shared" si="8"/>
        <v>0</v>
      </c>
      <c r="K157" s="13">
        <f t="shared" si="8"/>
        <v>0</v>
      </c>
      <c r="L157" s="13">
        <f t="shared" si="8"/>
        <v>0</v>
      </c>
      <c r="M157" s="13">
        <f t="shared" si="8"/>
        <v>0</v>
      </c>
      <c r="N157" s="13">
        <f t="shared" si="7"/>
        <v>0</v>
      </c>
      <c r="O157" s="13">
        <f t="shared" si="6"/>
        <v>0</v>
      </c>
      <c r="P157" s="13">
        <f t="shared" si="6"/>
        <v>0</v>
      </c>
      <c r="Q157" s="13">
        <f t="shared" si="6"/>
        <v>0</v>
      </c>
      <c r="R157" s="13" t="s">
        <v>239</v>
      </c>
      <c r="T157" s="62">
        <v>2.8559999999999999E-2</v>
      </c>
      <c r="U157" s="62">
        <v>2.8709999999999999E-2</v>
      </c>
      <c r="V157" s="62">
        <v>3.2719999999999999E-2</v>
      </c>
      <c r="W157" s="62">
        <v>3.5869999999999999E-2</v>
      </c>
      <c r="X157" s="62">
        <v>2.47096196E-2</v>
      </c>
      <c r="Y157" s="62">
        <v>2.0159521944999901E-2</v>
      </c>
      <c r="Z157" s="62">
        <v>1.7908627161999899E-2</v>
      </c>
      <c r="AA157" s="62">
        <v>1.46789987981E-2</v>
      </c>
      <c r="AB157" s="62">
        <v>1.0607111056E-2</v>
      </c>
      <c r="AC157" s="62">
        <v>7.07279961599999E-3</v>
      </c>
      <c r="AD157" s="62">
        <v>1.9407430792999999E-3</v>
      </c>
      <c r="AE157" s="13" t="s">
        <v>93</v>
      </c>
    </row>
    <row r="158" spans="1:31">
      <c r="A158" s="13" t="s">
        <v>324</v>
      </c>
      <c r="B158" s="13" t="s">
        <v>1</v>
      </c>
      <c r="C158" s="13" t="s">
        <v>64</v>
      </c>
      <c r="D158" s="13" t="str">
        <f>IFERROR(VLOOKUP(C158,ghg_sort!$A$86:$B$512,2,0),0)</f>
        <v>Industry</v>
      </c>
      <c r="E158" s="12" t="s">
        <v>86</v>
      </c>
      <c r="F158" s="13">
        <f>IFERROR(VLOOKUP($E158,ghg_sort!$A$3:$B$21,2,0),0)</f>
        <v>3.6666666666666701</v>
      </c>
      <c r="G158" s="13">
        <f t="shared" si="8"/>
        <v>4.605773333333337</v>
      </c>
      <c r="H158" s="13">
        <f t="shared" si="8"/>
        <v>4.3082611000000046</v>
      </c>
      <c r="I158" s="13">
        <f t="shared" si="8"/>
        <v>3.7811659600000036</v>
      </c>
      <c r="J158" s="13">
        <f t="shared" si="8"/>
        <v>1.6353986733333312</v>
      </c>
      <c r="K158" s="13">
        <f t="shared" si="8"/>
        <v>1.6324233163333348</v>
      </c>
      <c r="L158" s="13">
        <f t="shared" si="8"/>
        <v>2.0963105753333355</v>
      </c>
      <c r="M158" s="13">
        <f t="shared" si="8"/>
        <v>2.2327706940000018</v>
      </c>
      <c r="N158" s="13">
        <f t="shared" ref="N158:N189" si="9">AA158*$F158</f>
        <v>2.1105919582000019</v>
      </c>
      <c r="O158" s="13">
        <f t="shared" si="6"/>
        <v>1.7525959220000016</v>
      </c>
      <c r="P158" s="13">
        <f t="shared" si="6"/>
        <v>1.2642574340000012</v>
      </c>
      <c r="Q158" s="13">
        <f t="shared" si="6"/>
        <v>0.38901185950000039</v>
      </c>
      <c r="R158" s="13" t="s">
        <v>239</v>
      </c>
      <c r="T158" s="62">
        <v>1.2561199999999999</v>
      </c>
      <c r="U158" s="62">
        <v>1.1749803000000001</v>
      </c>
      <c r="V158" s="62">
        <v>1.0312270800000001</v>
      </c>
      <c r="W158" s="62">
        <v>0.44601781999999901</v>
      </c>
      <c r="X158" s="62">
        <v>0.445206359</v>
      </c>
      <c r="Y158" s="62">
        <v>0.57172106600000006</v>
      </c>
      <c r="Z158" s="62">
        <v>0.60893746199999998</v>
      </c>
      <c r="AA158" s="62">
        <v>0.57561598859999996</v>
      </c>
      <c r="AB158" s="62">
        <v>0.47798070599999998</v>
      </c>
      <c r="AC158" s="62">
        <v>0.34479748199999999</v>
      </c>
      <c r="AD158" s="62">
        <v>0.1060941435</v>
      </c>
      <c r="AE158" s="13" t="s">
        <v>94</v>
      </c>
    </row>
    <row r="159" spans="1:31">
      <c r="A159" s="13" t="s">
        <v>324</v>
      </c>
      <c r="B159" s="13" t="s">
        <v>1</v>
      </c>
      <c r="C159" s="13" t="s">
        <v>64</v>
      </c>
      <c r="D159" s="13" t="str">
        <f>IFERROR(VLOOKUP(C159,ghg_sort!$A$86:$B$512,2,0),0)</f>
        <v>Industry</v>
      </c>
      <c r="E159" s="33" t="s">
        <v>87</v>
      </c>
      <c r="F159" s="13">
        <f>IFERROR(VLOOKUP($E159,ghg_sort!$A$3:$B$21,2,0),0)</f>
        <v>298</v>
      </c>
      <c r="G159" s="13">
        <f t="shared" si="8"/>
        <v>3.576E-2</v>
      </c>
      <c r="H159" s="13">
        <f t="shared" si="8"/>
        <v>5.0660000000000004E-2</v>
      </c>
      <c r="I159" s="13">
        <f t="shared" si="8"/>
        <v>4.7680000000000007E-2</v>
      </c>
      <c r="J159" s="13">
        <f t="shared" si="8"/>
        <v>2.6819999999999969E-2</v>
      </c>
      <c r="K159" s="13">
        <f t="shared" si="8"/>
        <v>2.6843398960000001E-2</v>
      </c>
      <c r="L159" s="13">
        <f t="shared" si="8"/>
        <v>3.6011121620000003E-2</v>
      </c>
      <c r="M159" s="13">
        <f t="shared" si="8"/>
        <v>3.9744495419999998E-2</v>
      </c>
      <c r="N159" s="13">
        <f t="shared" si="9"/>
        <v>3.8478156041999702E-2</v>
      </c>
      <c r="O159" s="13">
        <f t="shared" si="6"/>
        <v>3.1955800540000003E-2</v>
      </c>
      <c r="P159" s="13">
        <f t="shared" si="6"/>
        <v>2.2816310399999998E-2</v>
      </c>
      <c r="Q159" s="13">
        <f t="shared" si="6"/>
        <v>6.8265357239999996E-3</v>
      </c>
      <c r="R159" s="13" t="s">
        <v>239</v>
      </c>
      <c r="T159" s="63">
        <v>1.2E-4</v>
      </c>
      <c r="U159" s="63">
        <v>1.7000000000000001E-4</v>
      </c>
      <c r="V159" s="63">
        <v>1.6000000000000001E-4</v>
      </c>
      <c r="W159" s="63">
        <v>8.9999999999999897E-5</v>
      </c>
      <c r="X159" s="63">
        <v>9.0078519999999996E-5</v>
      </c>
      <c r="Y159" s="63">
        <v>1.2084269E-4</v>
      </c>
      <c r="Z159" s="63">
        <v>1.3337078999999999E-4</v>
      </c>
      <c r="AA159" s="63">
        <v>1.2912132899999901E-4</v>
      </c>
      <c r="AB159" s="63">
        <v>1.0723423E-4</v>
      </c>
      <c r="AC159" s="63">
        <v>7.6564799999999996E-5</v>
      </c>
      <c r="AD159" s="63">
        <v>2.2907837999999998E-5</v>
      </c>
      <c r="AE159" s="13" t="s">
        <v>93</v>
      </c>
    </row>
    <row r="160" spans="1:31">
      <c r="A160" s="13" t="s">
        <v>324</v>
      </c>
      <c r="B160" s="13" t="s">
        <v>1</v>
      </c>
      <c r="C160" s="13" t="s">
        <v>64</v>
      </c>
      <c r="D160" s="13" t="str">
        <f>IFERROR(VLOOKUP(C160,ghg_sort!$A$86:$B$512,2,0),0)</f>
        <v>Industry</v>
      </c>
      <c r="E160" s="33" t="s">
        <v>88</v>
      </c>
      <c r="F160" s="13">
        <f>IFERROR(VLOOKUP($E160,ghg_sort!$A$3:$B$21,2,0),0)</f>
        <v>0</v>
      </c>
      <c r="G160" s="13">
        <f t="shared" si="8"/>
        <v>0</v>
      </c>
      <c r="H160" s="13">
        <f t="shared" si="8"/>
        <v>0</v>
      </c>
      <c r="I160" s="13">
        <f t="shared" si="8"/>
        <v>0</v>
      </c>
      <c r="J160" s="13">
        <f t="shared" si="8"/>
        <v>0</v>
      </c>
      <c r="K160" s="13">
        <f t="shared" si="8"/>
        <v>0</v>
      </c>
      <c r="L160" s="13">
        <f t="shared" si="8"/>
        <v>0</v>
      </c>
      <c r="M160" s="13">
        <f t="shared" si="8"/>
        <v>0</v>
      </c>
      <c r="N160" s="13">
        <f t="shared" si="9"/>
        <v>0</v>
      </c>
      <c r="O160" s="13">
        <f t="shared" si="6"/>
        <v>0</v>
      </c>
      <c r="P160" s="13">
        <f t="shared" si="6"/>
        <v>0</v>
      </c>
      <c r="Q160" s="13">
        <f t="shared" si="6"/>
        <v>0</v>
      </c>
      <c r="R160" s="13" t="s">
        <v>239</v>
      </c>
      <c r="T160" s="63">
        <v>3.0000000000000001E-5</v>
      </c>
      <c r="U160" s="63">
        <v>3.0000000000000001E-5</v>
      </c>
      <c r="V160" s="63">
        <v>2.0000000000000002E-5</v>
      </c>
      <c r="W160" s="63">
        <v>5.0000000000000002E-5</v>
      </c>
      <c r="X160" s="63">
        <v>4.9682070000000001E-5</v>
      </c>
      <c r="Y160" s="63">
        <v>5.8736499999999901E-5</v>
      </c>
      <c r="Z160" s="63">
        <v>5.7975E-5</v>
      </c>
      <c r="AA160" s="63">
        <v>5.1802100000000003E-5</v>
      </c>
      <c r="AB160" s="63">
        <v>4.3012229999999997E-5</v>
      </c>
      <c r="AC160" s="63">
        <v>3.1819190000000001E-5</v>
      </c>
      <c r="AD160" s="63">
        <v>1.0387679999999899E-5</v>
      </c>
      <c r="AE160" s="13" t="s">
        <v>93</v>
      </c>
    </row>
    <row r="161" spans="1:31">
      <c r="A161" s="13" t="s">
        <v>324</v>
      </c>
      <c r="B161" s="13" t="s">
        <v>1</v>
      </c>
      <c r="C161" s="13" t="s">
        <v>64</v>
      </c>
      <c r="D161" s="13" t="str">
        <f>IFERROR(VLOOKUP(C161,ghg_sort!$A$86:$B$512,2,0),0)</f>
        <v>Industry</v>
      </c>
      <c r="E161" s="33" t="s">
        <v>89</v>
      </c>
      <c r="F161" s="13">
        <f>IFERROR(VLOOKUP($E161,ghg_sort!$A$3:$B$21,2,0),0)</f>
        <v>0</v>
      </c>
      <c r="G161" s="13">
        <f t="shared" si="8"/>
        <v>0</v>
      </c>
      <c r="H161" s="13">
        <f t="shared" si="8"/>
        <v>0</v>
      </c>
      <c r="I161" s="13">
        <f t="shared" si="8"/>
        <v>0</v>
      </c>
      <c r="J161" s="13">
        <f t="shared" si="8"/>
        <v>0</v>
      </c>
      <c r="K161" s="13">
        <f t="shared" si="8"/>
        <v>0</v>
      </c>
      <c r="L161" s="13">
        <f t="shared" si="8"/>
        <v>0</v>
      </c>
      <c r="M161" s="13">
        <f t="shared" si="8"/>
        <v>0</v>
      </c>
      <c r="N161" s="13">
        <f t="shared" si="9"/>
        <v>0</v>
      </c>
      <c r="O161" s="13">
        <f t="shared" si="6"/>
        <v>0</v>
      </c>
      <c r="P161" s="13">
        <f t="shared" si="6"/>
        <v>0</v>
      </c>
      <c r="Q161" s="13">
        <f t="shared" si="6"/>
        <v>0</v>
      </c>
      <c r="R161" s="13" t="s">
        <v>239</v>
      </c>
      <c r="T161" s="62">
        <v>1.6E-2</v>
      </c>
      <c r="U161" s="62">
        <v>1.1769999999999999E-2</v>
      </c>
      <c r="V161" s="62">
        <v>9.1400000000000006E-3</v>
      </c>
      <c r="W161" s="62">
        <v>1.095E-2</v>
      </c>
      <c r="X161" s="62">
        <v>7.5174739999999997E-3</v>
      </c>
      <c r="Y161" s="62">
        <v>5.7913184000000003E-3</v>
      </c>
      <c r="Z161" s="62">
        <v>4.9058605000000003E-3</v>
      </c>
      <c r="AA161" s="62">
        <v>3.8932265999999998E-3</v>
      </c>
      <c r="AB161" s="62">
        <v>2.8130538000000001E-3</v>
      </c>
      <c r="AC161" s="62">
        <v>1.90239649999999E-3</v>
      </c>
      <c r="AD161" s="63">
        <v>5.4105139999999999E-4</v>
      </c>
      <c r="AE161" s="13" t="s">
        <v>93</v>
      </c>
    </row>
    <row r="162" spans="1:31">
      <c r="A162" s="13" t="s">
        <v>324</v>
      </c>
      <c r="B162" s="13" t="s">
        <v>1</v>
      </c>
      <c r="C162" s="13" t="s">
        <v>64</v>
      </c>
      <c r="D162" s="13" t="str">
        <f>IFERROR(VLOOKUP(C162,ghg_sort!$A$86:$B$512,2,0),0)</f>
        <v>Industry</v>
      </c>
      <c r="E162" s="33" t="s">
        <v>90</v>
      </c>
      <c r="F162" s="13">
        <f>IFERROR(VLOOKUP($E162,ghg_sort!$A$3:$B$21,2,0),0)</f>
        <v>0</v>
      </c>
      <c r="G162" s="13">
        <f t="shared" si="8"/>
        <v>0</v>
      </c>
      <c r="H162" s="13">
        <f t="shared" si="8"/>
        <v>0</v>
      </c>
      <c r="I162" s="13">
        <f t="shared" si="8"/>
        <v>0</v>
      </c>
      <c r="J162" s="13">
        <f t="shared" si="8"/>
        <v>0</v>
      </c>
      <c r="K162" s="13">
        <f t="shared" si="8"/>
        <v>0</v>
      </c>
      <c r="L162" s="13">
        <f t="shared" si="8"/>
        <v>0</v>
      </c>
      <c r="M162" s="13">
        <f t="shared" si="8"/>
        <v>0</v>
      </c>
      <c r="N162" s="13">
        <f t="shared" si="9"/>
        <v>0</v>
      </c>
      <c r="O162" s="13">
        <f t="shared" si="6"/>
        <v>0</v>
      </c>
      <c r="P162" s="13">
        <f t="shared" si="6"/>
        <v>0</v>
      </c>
      <c r="Q162" s="13">
        <f t="shared" si="6"/>
        <v>0</v>
      </c>
      <c r="R162" s="13" t="s">
        <v>239</v>
      </c>
      <c r="T162" s="62">
        <v>5.2499999999999998E-2</v>
      </c>
      <c r="U162" s="62">
        <v>0.10158</v>
      </c>
      <c r="V162" s="62">
        <v>7.9339999999999994E-2</v>
      </c>
      <c r="W162" s="62">
        <v>5.2389999999999999E-2</v>
      </c>
      <c r="X162" s="62">
        <v>3.5972366110000001E-2</v>
      </c>
      <c r="Y162" s="62">
        <v>2.6390207882E-2</v>
      </c>
      <c r="Z162" s="62">
        <v>2.1430111107000001E-2</v>
      </c>
      <c r="AA162" s="62">
        <v>1.6573555024999999E-2</v>
      </c>
      <c r="AB162" s="62">
        <v>1.20997763449999E-2</v>
      </c>
      <c r="AC162" s="62">
        <v>8.347704999E-3</v>
      </c>
      <c r="AD162" s="62">
        <v>2.4729218599999999E-3</v>
      </c>
      <c r="AE162" s="13" t="s">
        <v>93</v>
      </c>
    </row>
    <row r="163" spans="1:31">
      <c r="A163" s="13" t="s">
        <v>324</v>
      </c>
      <c r="B163" s="13" t="s">
        <v>1</v>
      </c>
      <c r="C163" s="13" t="s">
        <v>64</v>
      </c>
      <c r="D163" s="13" t="str">
        <f>IFERROR(VLOOKUP(C163,ghg_sort!$A$86:$B$512,2,0),0)</f>
        <v>Industry</v>
      </c>
      <c r="E163" s="33" t="s">
        <v>91</v>
      </c>
      <c r="F163" s="13">
        <f>IFERROR(VLOOKUP($E163,ghg_sort!$A$3:$B$21,2,0),0)</f>
        <v>0</v>
      </c>
      <c r="G163" s="13">
        <f t="shared" si="8"/>
        <v>0</v>
      </c>
      <c r="H163" s="13">
        <f t="shared" si="8"/>
        <v>0</v>
      </c>
      <c r="I163" s="13">
        <f t="shared" si="8"/>
        <v>0</v>
      </c>
      <c r="J163" s="13">
        <f t="shared" ref="J163:Q208" si="10">W163*$F163</f>
        <v>0</v>
      </c>
      <c r="K163" s="13">
        <f t="shared" si="10"/>
        <v>0</v>
      </c>
      <c r="L163" s="13">
        <f t="shared" si="10"/>
        <v>0</v>
      </c>
      <c r="M163" s="13">
        <f t="shared" si="10"/>
        <v>0</v>
      </c>
      <c r="N163" s="13">
        <f t="shared" si="9"/>
        <v>0</v>
      </c>
      <c r="O163" s="13">
        <f t="shared" si="6"/>
        <v>0</v>
      </c>
      <c r="P163" s="13">
        <f t="shared" si="6"/>
        <v>0</v>
      </c>
      <c r="Q163" s="13">
        <f t="shared" si="6"/>
        <v>0</v>
      </c>
      <c r="R163" s="13" t="s">
        <v>239</v>
      </c>
      <c r="T163" s="62">
        <v>1.32E-3</v>
      </c>
      <c r="U163" s="62">
        <v>1.8600000000000001E-3</v>
      </c>
      <c r="V163" s="62">
        <v>1.74E-3</v>
      </c>
      <c r="W163" s="62">
        <v>1.3799999999999999E-3</v>
      </c>
      <c r="X163" s="63">
        <v>9.5527569999999905E-4</v>
      </c>
      <c r="Y163" s="63">
        <v>8.4114089999999997E-4</v>
      </c>
      <c r="Z163" s="63">
        <v>7.9037170000000002E-4</v>
      </c>
      <c r="AA163" s="63">
        <v>6.7094200999999996E-4</v>
      </c>
      <c r="AB163" s="63">
        <v>4.848702E-4</v>
      </c>
      <c r="AC163" s="63">
        <v>3.1849859999999902E-4</v>
      </c>
      <c r="AD163" s="63">
        <v>8.3934189999999999E-5</v>
      </c>
      <c r="AE163" s="13" t="s">
        <v>93</v>
      </c>
    </row>
    <row r="164" spans="1:31">
      <c r="A164" s="13" t="s">
        <v>324</v>
      </c>
      <c r="B164" s="13" t="s">
        <v>1</v>
      </c>
      <c r="C164" s="13" t="s">
        <v>64</v>
      </c>
      <c r="D164" s="13" t="str">
        <f>IFERROR(VLOOKUP(C164,ghg_sort!$A$86:$B$512,2,0),0)</f>
        <v>Industry</v>
      </c>
      <c r="E164" s="33" t="s">
        <v>92</v>
      </c>
      <c r="F164" s="13">
        <f>IFERROR(VLOOKUP($E164,ghg_sort!$A$3:$B$21,2,0),0)</f>
        <v>0</v>
      </c>
      <c r="G164" s="13">
        <f t="shared" ref="G164:L228" si="11">T164*$F164</f>
        <v>0</v>
      </c>
      <c r="H164" s="13">
        <f t="shared" si="11"/>
        <v>0</v>
      </c>
      <c r="I164" s="13">
        <f t="shared" si="11"/>
        <v>0</v>
      </c>
      <c r="J164" s="13">
        <f t="shared" si="10"/>
        <v>0</v>
      </c>
      <c r="K164" s="13">
        <f t="shared" si="10"/>
        <v>0</v>
      </c>
      <c r="L164" s="13">
        <f t="shared" si="10"/>
        <v>0</v>
      </c>
      <c r="M164" s="13">
        <f t="shared" si="10"/>
        <v>0</v>
      </c>
      <c r="N164" s="13">
        <f t="shared" si="9"/>
        <v>0</v>
      </c>
      <c r="O164" s="13">
        <f t="shared" si="6"/>
        <v>0</v>
      </c>
      <c r="P164" s="13">
        <f t="shared" si="6"/>
        <v>0</v>
      </c>
      <c r="Q164" s="13">
        <f t="shared" si="6"/>
        <v>0</v>
      </c>
      <c r="R164" s="13" t="s">
        <v>239</v>
      </c>
      <c r="T164" s="62">
        <v>1.18239E-2</v>
      </c>
      <c r="U164" s="62">
        <v>8.7990911769999999E-3</v>
      </c>
      <c r="V164" s="62">
        <v>4.4193080999999999E-3</v>
      </c>
      <c r="W164" s="63">
        <v>4.6679817E-5</v>
      </c>
      <c r="X164" s="63">
        <v>3.2416918982999998E-5</v>
      </c>
      <c r="Y164" s="63">
        <v>2.5046066165E-5</v>
      </c>
      <c r="Z164" s="63">
        <v>2.1458524532999999E-5</v>
      </c>
      <c r="AA164" s="63">
        <v>1.7467151617999999E-5</v>
      </c>
      <c r="AB164" s="63">
        <v>1.3057937513999899E-5</v>
      </c>
      <c r="AC164" s="63">
        <v>8.9860814739999997E-6</v>
      </c>
      <c r="AD164" s="63">
        <v>2.6010976999999899E-6</v>
      </c>
      <c r="AE164" s="13" t="s">
        <v>93</v>
      </c>
    </row>
    <row r="165" spans="1:31">
      <c r="A165" s="13" t="s">
        <v>324</v>
      </c>
      <c r="B165" s="13" t="s">
        <v>1</v>
      </c>
      <c r="C165" s="13" t="s">
        <v>189</v>
      </c>
      <c r="D165" s="13" t="str">
        <f>IFERROR(VLOOKUP(C165,ghg_sort!$A$86:$B$512,2,0),0)</f>
        <v>DAC</v>
      </c>
      <c r="E165" s="12" t="s">
        <v>86</v>
      </c>
      <c r="F165" s="13">
        <f>IFERROR(VLOOKUP($E165,ghg_sort!$A$3:$B$21,2,0),0)</f>
        <v>3.6666666666666701</v>
      </c>
      <c r="G165" s="13">
        <f t="shared" si="11"/>
        <v>0</v>
      </c>
      <c r="H165" s="13">
        <f t="shared" si="11"/>
        <v>0</v>
      </c>
      <c r="I165" s="13">
        <f t="shared" si="11"/>
        <v>0</v>
      </c>
      <c r="J165" s="13">
        <f t="shared" si="10"/>
        <v>0</v>
      </c>
      <c r="K165" s="13">
        <f t="shared" si="10"/>
        <v>0</v>
      </c>
      <c r="L165" s="13">
        <f t="shared" si="10"/>
        <v>0</v>
      </c>
      <c r="M165" s="13">
        <f t="shared" si="10"/>
        <v>0</v>
      </c>
      <c r="N165" s="13">
        <f t="shared" si="9"/>
        <v>0</v>
      </c>
      <c r="O165" s="13">
        <f t="shared" si="6"/>
        <v>0</v>
      </c>
      <c r="P165" s="13">
        <f t="shared" si="6"/>
        <v>0</v>
      </c>
      <c r="Q165" s="13">
        <f t="shared" si="6"/>
        <v>-3.7623666666666704</v>
      </c>
      <c r="R165" s="13" t="s">
        <v>239</v>
      </c>
      <c r="T165" s="62">
        <v>0</v>
      </c>
      <c r="U165" s="62">
        <v>0</v>
      </c>
      <c r="V165" s="62">
        <v>0</v>
      </c>
      <c r="W165" s="62">
        <v>0</v>
      </c>
      <c r="X165" s="62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2">
        <v>-1.0261</v>
      </c>
      <c r="AE165" s="13" t="s">
        <v>94</v>
      </c>
    </row>
    <row r="166" spans="1:31">
      <c r="A166" s="13" t="s">
        <v>324</v>
      </c>
      <c r="B166" s="13" t="s">
        <v>1</v>
      </c>
      <c r="C166" s="13" t="s">
        <v>142</v>
      </c>
      <c r="D166" s="13" t="str">
        <f>IFERROR(VLOOKUP(C166,ghg_sort!$A$86:$B$512,2,0),0)</f>
        <v>Electricity</v>
      </c>
      <c r="E166" s="12" t="s">
        <v>86</v>
      </c>
      <c r="F166" s="13">
        <f>IFERROR(VLOOKUP($E166,ghg_sort!$A$3:$B$21,2,0),0)</f>
        <v>3.6666666666666701</v>
      </c>
      <c r="G166" s="13">
        <f t="shared" si="11"/>
        <v>0</v>
      </c>
      <c r="H166" s="13">
        <f t="shared" si="11"/>
        <v>0</v>
      </c>
      <c r="I166" s="13">
        <f t="shared" si="11"/>
        <v>0</v>
      </c>
      <c r="J166" s="13">
        <f t="shared" si="10"/>
        <v>0</v>
      </c>
      <c r="K166" s="13">
        <f t="shared" si="10"/>
        <v>0.1209659000000001</v>
      </c>
      <c r="L166" s="13">
        <f t="shared" si="10"/>
        <v>0.54000100000000051</v>
      </c>
      <c r="M166" s="13">
        <f t="shared" si="10"/>
        <v>1.871965333333335</v>
      </c>
      <c r="N166" s="13">
        <f t="shared" si="9"/>
        <v>3.8945866666666702</v>
      </c>
      <c r="O166" s="13">
        <f t="shared" si="6"/>
        <v>6.3660300000000056</v>
      </c>
      <c r="P166" s="13">
        <f t="shared" si="6"/>
        <v>8.3772700000000082</v>
      </c>
      <c r="Q166" s="13">
        <f t="shared" si="6"/>
        <v>8.6211033333333411</v>
      </c>
      <c r="R166" s="13" t="s">
        <v>239</v>
      </c>
      <c r="T166" s="62">
        <v>0</v>
      </c>
      <c r="U166" s="62">
        <v>0</v>
      </c>
      <c r="V166" s="62">
        <v>0</v>
      </c>
      <c r="W166" s="62">
        <v>0</v>
      </c>
      <c r="X166" s="63">
        <v>3.2990699999999998E-2</v>
      </c>
      <c r="Y166" s="63">
        <v>0.14727299999999999</v>
      </c>
      <c r="Z166" s="63">
        <v>0.51053599999999999</v>
      </c>
      <c r="AA166" s="63">
        <v>1.06216</v>
      </c>
      <c r="AB166" s="63">
        <v>1.7361899999999999</v>
      </c>
      <c r="AC166" s="63">
        <v>2.28471</v>
      </c>
      <c r="AD166" s="63">
        <v>2.35121</v>
      </c>
      <c r="AE166" s="13" t="s">
        <v>94</v>
      </c>
    </row>
    <row r="167" spans="1:31">
      <c r="A167" s="13" t="s">
        <v>324</v>
      </c>
      <c r="B167" s="13" t="s">
        <v>1</v>
      </c>
      <c r="C167" s="13" t="s">
        <v>57</v>
      </c>
      <c r="D167" s="13" t="str">
        <f>IFERROR(VLOOKUP(C167,ghg_sort!$A$86:$B$512,2,0),0)</f>
        <v>Agriculture</v>
      </c>
      <c r="E167" s="33" t="s">
        <v>101</v>
      </c>
      <c r="F167" s="13">
        <f>IFERROR(VLOOKUP($E167,ghg_sort!$A$3:$B$21,2,0),0)</f>
        <v>298</v>
      </c>
      <c r="G167" s="13">
        <f t="shared" si="11"/>
        <v>0</v>
      </c>
      <c r="H167" s="13">
        <f t="shared" si="11"/>
        <v>0</v>
      </c>
      <c r="I167" s="13">
        <f t="shared" si="11"/>
        <v>0</v>
      </c>
      <c r="J167" s="13">
        <f t="shared" si="10"/>
        <v>0</v>
      </c>
      <c r="K167" s="13">
        <f t="shared" si="10"/>
        <v>7.5720080539999992E-4</v>
      </c>
      <c r="L167" s="13">
        <f t="shared" si="10"/>
        <v>3.124968358E-3</v>
      </c>
      <c r="M167" s="13">
        <f t="shared" si="10"/>
        <v>8.5129361999999702E-3</v>
      </c>
      <c r="N167" s="13">
        <f t="shared" si="9"/>
        <v>1.722076737999997E-2</v>
      </c>
      <c r="O167" s="13">
        <f t="shared" si="6"/>
        <v>2.7610439338E-2</v>
      </c>
      <c r="P167" s="13">
        <f t="shared" si="6"/>
        <v>4.1821316423999999E-2</v>
      </c>
      <c r="Q167" s="13">
        <f t="shared" si="6"/>
        <v>5.6222127981999999E-2</v>
      </c>
      <c r="R167" s="13" t="s">
        <v>239</v>
      </c>
      <c r="T167" s="62">
        <v>0</v>
      </c>
      <c r="U167" s="62">
        <v>0</v>
      </c>
      <c r="V167" s="62">
        <v>0</v>
      </c>
      <c r="W167" s="62">
        <v>0</v>
      </c>
      <c r="X167" s="63">
        <v>2.5409422999999998E-6</v>
      </c>
      <c r="Y167" s="63">
        <v>1.0486470999999999E-5</v>
      </c>
      <c r="Z167" s="63">
        <v>2.8566899999999901E-5</v>
      </c>
      <c r="AA167" s="63">
        <v>5.7787809999999902E-5</v>
      </c>
      <c r="AB167" s="63">
        <v>9.2652480999999996E-5</v>
      </c>
      <c r="AC167" s="63">
        <v>1.40339988E-4</v>
      </c>
      <c r="AD167" s="63">
        <v>1.8866485899999999E-4</v>
      </c>
      <c r="AE167" s="13" t="s">
        <v>93</v>
      </c>
    </row>
    <row r="168" spans="1:31">
      <c r="A168" s="13" t="s">
        <v>324</v>
      </c>
      <c r="B168" s="13" t="s">
        <v>1</v>
      </c>
      <c r="C168" s="13" t="s">
        <v>61</v>
      </c>
      <c r="D168" s="13" t="str">
        <f>IFERROR(VLOOKUP(C168,ghg_sort!$A$86:$B$512,2,0),0)</f>
        <v>Industry</v>
      </c>
      <c r="E168" s="12" t="s">
        <v>86</v>
      </c>
      <c r="F168" s="13">
        <f>IFERROR(VLOOKUP($E168,ghg_sort!$A$3:$B$21,2,0),0)</f>
        <v>3.6666666666666701</v>
      </c>
      <c r="G168" s="13">
        <f t="shared" si="11"/>
        <v>16.756666666666682</v>
      </c>
      <c r="H168" s="13">
        <f t="shared" si="11"/>
        <v>25.626333333333356</v>
      </c>
      <c r="I168" s="13">
        <f t="shared" si="11"/>
        <v>24.99566666666669</v>
      </c>
      <c r="J168" s="13">
        <f t="shared" si="10"/>
        <v>24.99566666666669</v>
      </c>
      <c r="K168" s="13">
        <f t="shared" si="10"/>
        <v>25.89722666666669</v>
      </c>
      <c r="L168" s="13">
        <f t="shared" si="10"/>
        <v>26.32770066666669</v>
      </c>
      <c r="M168" s="13">
        <f t="shared" si="10"/>
        <v>23.595590333333355</v>
      </c>
      <c r="N168" s="13">
        <f t="shared" si="9"/>
        <v>18.390489333333353</v>
      </c>
      <c r="O168" s="13">
        <f t="shared" si="6"/>
        <v>10.601275666666641</v>
      </c>
      <c r="P168" s="13">
        <f t="shared" si="6"/>
        <v>5.980925500000005</v>
      </c>
      <c r="Q168" s="13">
        <f t="shared" si="6"/>
        <v>1.9284506120000016</v>
      </c>
      <c r="R168" s="13" t="s">
        <v>239</v>
      </c>
      <c r="T168" s="63">
        <v>4.57</v>
      </c>
      <c r="U168" s="63">
        <v>6.9889999999999999</v>
      </c>
      <c r="V168" s="63">
        <v>6.8170000000000002</v>
      </c>
      <c r="W168" s="63">
        <v>6.8170000000000002</v>
      </c>
      <c r="X168" s="63">
        <v>7.0628799999999998</v>
      </c>
      <c r="Y168" s="63">
        <v>7.1802820000000001</v>
      </c>
      <c r="Z168" s="63">
        <v>6.4351609999999999</v>
      </c>
      <c r="AA168" s="63">
        <v>5.0155880000000002</v>
      </c>
      <c r="AB168" s="63">
        <v>2.8912569999999902</v>
      </c>
      <c r="AC168" s="63">
        <v>1.6311614999999999</v>
      </c>
      <c r="AD168" s="63">
        <v>0.52594107599999995</v>
      </c>
      <c r="AE168" s="13" t="s">
        <v>94</v>
      </c>
    </row>
    <row r="169" spans="1:31">
      <c r="A169" s="13" t="s">
        <v>324</v>
      </c>
      <c r="B169" s="13" t="s">
        <v>1</v>
      </c>
      <c r="C169" s="13" t="s">
        <v>56</v>
      </c>
      <c r="D169" s="13" t="str">
        <f>IFERROR(VLOOKUP(C169,ghg_sort!$A$86:$B$512,2,0),0)</f>
        <v>Industry</v>
      </c>
      <c r="E169" s="33" t="s">
        <v>83</v>
      </c>
      <c r="F169" s="13">
        <f>IFERROR(VLOOKUP($E169,ghg_sort!$A$3:$B$21,2,0),0)</f>
        <v>0</v>
      </c>
      <c r="G169" s="13">
        <f t="shared" si="11"/>
        <v>0</v>
      </c>
      <c r="H169" s="13">
        <f t="shared" si="11"/>
        <v>0</v>
      </c>
      <c r="I169" s="13">
        <f t="shared" si="11"/>
        <v>0</v>
      </c>
      <c r="J169" s="13">
        <f t="shared" si="10"/>
        <v>0</v>
      </c>
      <c r="K169" s="13">
        <f t="shared" si="10"/>
        <v>0</v>
      </c>
      <c r="L169" s="13">
        <f t="shared" si="10"/>
        <v>0</v>
      </c>
      <c r="M169" s="13">
        <f t="shared" si="10"/>
        <v>0</v>
      </c>
      <c r="N169" s="13">
        <f t="shared" si="9"/>
        <v>0</v>
      </c>
      <c r="O169" s="13">
        <f t="shared" si="6"/>
        <v>0</v>
      </c>
      <c r="P169" s="13">
        <f t="shared" si="6"/>
        <v>0</v>
      </c>
      <c r="Q169" s="13">
        <f t="shared" si="6"/>
        <v>0</v>
      </c>
      <c r="R169" s="13" t="s">
        <v>239</v>
      </c>
      <c r="T169" s="63">
        <v>6.7783260000000005E-4</v>
      </c>
      <c r="U169" s="63">
        <v>6.6252019999999995E-4</v>
      </c>
      <c r="V169" s="63">
        <v>4.147396E-4</v>
      </c>
      <c r="W169" s="63">
        <v>4.3127870000000002E-4</v>
      </c>
      <c r="X169" s="63">
        <v>3.3720397999999999E-4</v>
      </c>
      <c r="Y169" s="63">
        <v>2.8225889099999998E-4</v>
      </c>
      <c r="Z169" s="63">
        <v>2.9350208799999998E-4</v>
      </c>
      <c r="AA169" s="63">
        <v>2.7674157699999899E-4</v>
      </c>
      <c r="AB169" s="63">
        <v>2.1837937299999999E-4</v>
      </c>
      <c r="AC169" s="63">
        <v>1.6727864689999999E-4</v>
      </c>
      <c r="AD169" s="63">
        <v>4.8350719212999997E-5</v>
      </c>
      <c r="AE169" s="13" t="s">
        <v>93</v>
      </c>
    </row>
    <row r="170" spans="1:31">
      <c r="A170" s="13" t="s">
        <v>324</v>
      </c>
      <c r="B170" s="13" t="s">
        <v>1</v>
      </c>
      <c r="C170" s="13" t="s">
        <v>56</v>
      </c>
      <c r="D170" s="13" t="str">
        <f>IFERROR(VLOOKUP(C170,ghg_sort!$A$86:$B$512,2,0),0)</f>
        <v>Industry</v>
      </c>
      <c r="E170" s="33" t="s">
        <v>84</v>
      </c>
      <c r="F170" s="13">
        <f>IFERROR(VLOOKUP($E170,ghg_sort!$A$3:$B$21,2,0),0)</f>
        <v>25</v>
      </c>
      <c r="G170" s="13">
        <f t="shared" si="11"/>
        <v>1.0500000000000001E-2</v>
      </c>
      <c r="H170" s="13">
        <f t="shared" si="11"/>
        <v>0.01</v>
      </c>
      <c r="I170" s="13">
        <f t="shared" si="11"/>
        <v>2.5250000000000002E-2</v>
      </c>
      <c r="J170" s="13">
        <f t="shared" si="10"/>
        <v>2.2249999999999999E-2</v>
      </c>
      <c r="K170" s="13">
        <f t="shared" si="10"/>
        <v>2.40062843E-2</v>
      </c>
      <c r="L170" s="13">
        <f t="shared" si="10"/>
        <v>2.7820638000000002E-2</v>
      </c>
      <c r="M170" s="13">
        <f t="shared" si="10"/>
        <v>3.1308128499999748E-2</v>
      </c>
      <c r="N170" s="13">
        <f t="shared" si="9"/>
        <v>3.1208299800000002E-2</v>
      </c>
      <c r="O170" s="13">
        <f t="shared" si="6"/>
        <v>2.6402728474999752E-2</v>
      </c>
      <c r="P170" s="13">
        <f t="shared" si="6"/>
        <v>2.1269334705E-2</v>
      </c>
      <c r="Q170" s="13">
        <f t="shared" si="6"/>
        <v>1.13465492985E-2</v>
      </c>
      <c r="R170" s="13" t="s">
        <v>239</v>
      </c>
      <c r="T170" s="63">
        <v>4.2000000000000002E-4</v>
      </c>
      <c r="U170" s="63">
        <v>4.0000000000000002E-4</v>
      </c>
      <c r="V170" s="62">
        <v>1.01E-3</v>
      </c>
      <c r="W170" s="63">
        <v>8.8999999999999995E-4</v>
      </c>
      <c r="X170" s="63">
        <v>9.60251372E-4</v>
      </c>
      <c r="Y170" s="63">
        <v>1.1128255200000001E-3</v>
      </c>
      <c r="Z170" s="63">
        <v>1.25232513999999E-3</v>
      </c>
      <c r="AA170" s="63">
        <v>1.248331992E-3</v>
      </c>
      <c r="AB170" s="63">
        <v>1.0561091389999901E-3</v>
      </c>
      <c r="AC170" s="63">
        <v>8.5077338820000001E-4</v>
      </c>
      <c r="AD170" s="63">
        <v>4.5386197194000001E-4</v>
      </c>
      <c r="AE170" s="13" t="s">
        <v>93</v>
      </c>
    </row>
    <row r="171" spans="1:31">
      <c r="A171" s="13" t="s">
        <v>324</v>
      </c>
      <c r="B171" s="13" t="s">
        <v>1</v>
      </c>
      <c r="C171" s="13" t="s">
        <v>56</v>
      </c>
      <c r="D171" s="13" t="str">
        <f>IFERROR(VLOOKUP(C171,ghg_sort!$A$86:$B$512,2,0),0)</f>
        <v>Industry</v>
      </c>
      <c r="E171" s="33" t="s">
        <v>85</v>
      </c>
      <c r="F171" s="13">
        <f>IFERROR(VLOOKUP($E171,ghg_sort!$A$3:$B$21,2,0),0)</f>
        <v>0</v>
      </c>
      <c r="G171" s="13">
        <f t="shared" si="11"/>
        <v>0</v>
      </c>
      <c r="H171" s="13">
        <f t="shared" si="11"/>
        <v>0</v>
      </c>
      <c r="I171" s="13">
        <f t="shared" si="11"/>
        <v>0</v>
      </c>
      <c r="J171" s="13">
        <f t="shared" si="10"/>
        <v>0</v>
      </c>
      <c r="K171" s="13">
        <f t="shared" si="10"/>
        <v>0</v>
      </c>
      <c r="L171" s="13">
        <f t="shared" si="10"/>
        <v>0</v>
      </c>
      <c r="M171" s="13">
        <f t="shared" si="10"/>
        <v>0</v>
      </c>
      <c r="N171" s="13">
        <f t="shared" si="9"/>
        <v>0</v>
      </c>
      <c r="O171" s="13">
        <f t="shared" si="6"/>
        <v>0</v>
      </c>
      <c r="P171" s="13">
        <f t="shared" si="6"/>
        <v>0</v>
      </c>
      <c r="Q171" s="13">
        <f t="shared" si="6"/>
        <v>0</v>
      </c>
      <c r="R171" s="13" t="s">
        <v>239</v>
      </c>
      <c r="T171" s="62">
        <v>1.25E-3</v>
      </c>
      <c r="U171" s="63">
        <v>8.5999999999999998E-4</v>
      </c>
      <c r="V171" s="62">
        <v>1.2199999999999999E-3</v>
      </c>
      <c r="W171" s="62">
        <v>1.2700000000000001E-3</v>
      </c>
      <c r="X171" s="63">
        <v>9.8384980000000002E-4</v>
      </c>
      <c r="Y171" s="63">
        <v>7.9580206000000005E-4</v>
      </c>
      <c r="Z171" s="63">
        <v>8.2757747999999995E-4</v>
      </c>
      <c r="AA171" s="63">
        <v>8.0439367999999905E-4</v>
      </c>
      <c r="AB171" s="63">
        <v>6.7333604299999903E-4</v>
      </c>
      <c r="AC171" s="63">
        <v>5.3761313499999896E-4</v>
      </c>
      <c r="AD171" s="63">
        <v>2.0437436813000001E-4</v>
      </c>
      <c r="AE171" s="13" t="s">
        <v>93</v>
      </c>
    </row>
    <row r="172" spans="1:31">
      <c r="A172" s="13" t="s">
        <v>324</v>
      </c>
      <c r="B172" s="13" t="s">
        <v>1</v>
      </c>
      <c r="C172" s="13" t="s">
        <v>56</v>
      </c>
      <c r="D172" s="13" t="str">
        <f>IFERROR(VLOOKUP(C172,ghg_sort!$A$86:$B$512,2,0),0)</f>
        <v>Industry</v>
      </c>
      <c r="E172" s="12" t="s">
        <v>86</v>
      </c>
      <c r="F172" s="13">
        <f>IFERROR(VLOOKUP($E172,ghg_sort!$A$3:$B$21,2,0),0)</f>
        <v>3.6666666666666701</v>
      </c>
      <c r="G172" s="13">
        <f t="shared" si="11"/>
        <v>7.3113223333333401</v>
      </c>
      <c r="H172" s="13">
        <f t="shared" si="11"/>
        <v>6.0646820666666716</v>
      </c>
      <c r="I172" s="13">
        <f t="shared" si="11"/>
        <v>7.2354003333333399</v>
      </c>
      <c r="J172" s="13">
        <f t="shared" si="10"/>
        <v>5.8556776666666721</v>
      </c>
      <c r="K172" s="13">
        <f t="shared" si="10"/>
        <v>6.3418259666666721</v>
      </c>
      <c r="L172" s="13">
        <f t="shared" si="10"/>
        <v>7.3792664377666739</v>
      </c>
      <c r="M172" s="13">
        <f t="shared" si="10"/>
        <v>8.3753099180666748</v>
      </c>
      <c r="N172" s="13">
        <f t="shared" si="9"/>
        <v>8.6010070806000076</v>
      </c>
      <c r="O172" s="13">
        <f t="shared" si="6"/>
        <v>7.7222519458333405</v>
      </c>
      <c r="P172" s="13">
        <f t="shared" si="6"/>
        <v>6.6346651777999694</v>
      </c>
      <c r="Q172" s="13">
        <f t="shared" si="6"/>
        <v>3.6542260279800032</v>
      </c>
      <c r="R172" s="13" t="s">
        <v>239</v>
      </c>
      <c r="T172" s="63">
        <v>1.993997</v>
      </c>
      <c r="U172" s="63">
        <v>1.6540041999999999</v>
      </c>
      <c r="V172" s="63">
        <v>1.9732909999999999</v>
      </c>
      <c r="W172" s="63">
        <v>1.597003</v>
      </c>
      <c r="X172" s="63">
        <v>1.7295889</v>
      </c>
      <c r="Y172" s="63">
        <v>2.0125272103</v>
      </c>
      <c r="Z172" s="63">
        <v>2.2841754322000001</v>
      </c>
      <c r="AA172" s="63">
        <v>2.3457292037999999</v>
      </c>
      <c r="AB172" s="63">
        <v>2.1060687124999999</v>
      </c>
      <c r="AC172" s="63">
        <v>1.8094541393999899</v>
      </c>
      <c r="AD172" s="63">
        <v>0.99660709853999996</v>
      </c>
      <c r="AE172" s="13" t="s">
        <v>94</v>
      </c>
    </row>
    <row r="173" spans="1:31">
      <c r="A173" s="13" t="s">
        <v>324</v>
      </c>
      <c r="B173" s="13" t="s">
        <v>1</v>
      </c>
      <c r="C173" s="13" t="s">
        <v>56</v>
      </c>
      <c r="D173" s="13" t="str">
        <f>IFERROR(VLOOKUP(C173,ghg_sort!$A$86:$B$512,2,0),0)</f>
        <v>Industry</v>
      </c>
      <c r="E173" s="33" t="s">
        <v>87</v>
      </c>
      <c r="F173" s="13">
        <f>IFERROR(VLOOKUP($E173,ghg_sort!$A$3:$B$21,2,0),0)</f>
        <v>298</v>
      </c>
      <c r="G173" s="13">
        <f t="shared" si="11"/>
        <v>2.0859999999999997E-2</v>
      </c>
      <c r="H173" s="13">
        <f t="shared" si="11"/>
        <v>1.788E-2</v>
      </c>
      <c r="I173" s="13">
        <f t="shared" si="11"/>
        <v>2.0859999999999997E-2</v>
      </c>
      <c r="J173" s="13">
        <f t="shared" si="10"/>
        <v>2.3840000000000004E-2</v>
      </c>
      <c r="K173" s="13">
        <f t="shared" si="10"/>
        <v>2.5891614375999999E-2</v>
      </c>
      <c r="L173" s="13">
        <f t="shared" si="10"/>
        <v>3.1903829340000002E-2</v>
      </c>
      <c r="M173" s="13">
        <f t="shared" si="10"/>
        <v>3.8394509527999998E-2</v>
      </c>
      <c r="N173" s="13">
        <f t="shared" si="9"/>
        <v>4.0093505272E-2</v>
      </c>
      <c r="O173" s="13">
        <f t="shared" ref="O173:O189" si="12">AB173*$F173</f>
        <v>3.4181980633999999E-2</v>
      </c>
      <c r="P173" s="13">
        <f t="shared" ref="P173:P189" si="13">AC173*$F173</f>
        <v>2.7024958797600002E-2</v>
      </c>
      <c r="Q173" s="13">
        <f t="shared" ref="Q173:Q189" si="14">AD173*$F173</f>
        <v>8.8033573269199993E-3</v>
      </c>
      <c r="R173" s="13" t="s">
        <v>239</v>
      </c>
      <c r="T173" s="63">
        <v>6.9999999999999994E-5</v>
      </c>
      <c r="U173" s="63">
        <v>6.0000000000000002E-5</v>
      </c>
      <c r="V173" s="63">
        <v>6.9999999999999994E-5</v>
      </c>
      <c r="W173" s="63">
        <v>8.0000000000000007E-5</v>
      </c>
      <c r="X173" s="63">
        <v>8.6884611999999998E-5</v>
      </c>
      <c r="Y173" s="63">
        <v>1.0705983E-4</v>
      </c>
      <c r="Z173" s="63">
        <v>1.28840636E-4</v>
      </c>
      <c r="AA173" s="63">
        <v>1.3454196400000001E-4</v>
      </c>
      <c r="AB173" s="63">
        <v>1.14704633E-4</v>
      </c>
      <c r="AC173" s="63">
        <v>9.0687781200000001E-5</v>
      </c>
      <c r="AD173" s="63">
        <v>2.9541467539999999E-5</v>
      </c>
      <c r="AE173" s="13" t="s">
        <v>93</v>
      </c>
    </row>
    <row r="174" spans="1:31">
      <c r="A174" s="13" t="s">
        <v>324</v>
      </c>
      <c r="B174" s="13" t="s">
        <v>1</v>
      </c>
      <c r="C174" s="13" t="s">
        <v>56</v>
      </c>
      <c r="D174" s="13" t="str">
        <f>IFERROR(VLOOKUP(C174,ghg_sort!$A$86:$B$512,2,0),0)</f>
        <v>Industry</v>
      </c>
      <c r="E174" s="33" t="s">
        <v>88</v>
      </c>
      <c r="F174" s="13">
        <f>IFERROR(VLOOKUP($E174,ghg_sort!$A$3:$B$21,2,0),0)</f>
        <v>0</v>
      </c>
      <c r="G174" s="13">
        <f t="shared" si="11"/>
        <v>0</v>
      </c>
      <c r="H174" s="13">
        <f t="shared" si="11"/>
        <v>0</v>
      </c>
      <c r="I174" s="13">
        <f t="shared" si="11"/>
        <v>0</v>
      </c>
      <c r="J174" s="13">
        <f t="shared" si="10"/>
        <v>0</v>
      </c>
      <c r="K174" s="13">
        <f t="shared" si="10"/>
        <v>0</v>
      </c>
      <c r="L174" s="13">
        <f t="shared" si="10"/>
        <v>0</v>
      </c>
      <c r="M174" s="13">
        <f t="shared" si="10"/>
        <v>0</v>
      </c>
      <c r="N174" s="13">
        <f t="shared" si="9"/>
        <v>0</v>
      </c>
      <c r="O174" s="13">
        <f t="shared" si="12"/>
        <v>0</v>
      </c>
      <c r="P174" s="13">
        <f t="shared" si="13"/>
        <v>0</v>
      </c>
      <c r="Q174" s="13">
        <f t="shared" si="14"/>
        <v>0</v>
      </c>
      <c r="R174" s="13" t="s">
        <v>239</v>
      </c>
      <c r="T174" s="63">
        <v>1.2E-4</v>
      </c>
      <c r="U174" s="63">
        <v>1.7999999999999901E-4</v>
      </c>
      <c r="V174" s="63">
        <v>1.4999999999999999E-4</v>
      </c>
      <c r="W174" s="63">
        <v>1.7999999999999901E-4</v>
      </c>
      <c r="X174" s="63">
        <v>1.9587163E-4</v>
      </c>
      <c r="Y174" s="63">
        <v>2.42054409999999E-4</v>
      </c>
      <c r="Z174" s="63">
        <v>2.9324507999999998E-4</v>
      </c>
      <c r="AA174" s="63">
        <v>3.1340205999999998E-4</v>
      </c>
      <c r="AB174" s="63">
        <v>2.7711379400000003E-4</v>
      </c>
      <c r="AC174" s="63">
        <v>2.25240774999999E-4</v>
      </c>
      <c r="AD174" s="63">
        <v>7.6027371099999901E-5</v>
      </c>
      <c r="AE174" s="13" t="s">
        <v>93</v>
      </c>
    </row>
    <row r="175" spans="1:31">
      <c r="A175" s="13" t="s">
        <v>324</v>
      </c>
      <c r="B175" s="13" t="s">
        <v>1</v>
      </c>
      <c r="C175" s="13" t="s">
        <v>56</v>
      </c>
      <c r="D175" s="13" t="str">
        <f>IFERROR(VLOOKUP(C175,ghg_sort!$A$86:$B$512,2,0),0)</f>
        <v>Industry</v>
      </c>
      <c r="E175" s="33" t="s">
        <v>89</v>
      </c>
      <c r="F175" s="13">
        <f>IFERROR(VLOOKUP($E175,ghg_sort!$A$3:$B$21,2,0),0)</f>
        <v>0</v>
      </c>
      <c r="G175" s="13">
        <f t="shared" si="11"/>
        <v>0</v>
      </c>
      <c r="H175" s="13">
        <f t="shared" si="11"/>
        <v>0</v>
      </c>
      <c r="I175" s="13">
        <f t="shared" si="11"/>
        <v>0</v>
      </c>
      <c r="J175" s="13">
        <f t="shared" si="10"/>
        <v>0</v>
      </c>
      <c r="K175" s="13">
        <f t="shared" si="10"/>
        <v>0</v>
      </c>
      <c r="L175" s="13">
        <f t="shared" si="10"/>
        <v>0</v>
      </c>
      <c r="M175" s="13">
        <f t="shared" si="10"/>
        <v>0</v>
      </c>
      <c r="N175" s="13">
        <f t="shared" si="9"/>
        <v>0</v>
      </c>
      <c r="O175" s="13">
        <f t="shared" si="12"/>
        <v>0</v>
      </c>
      <c r="P175" s="13">
        <f t="shared" si="13"/>
        <v>0</v>
      </c>
      <c r="Q175" s="13">
        <f t="shared" si="14"/>
        <v>0</v>
      </c>
      <c r="R175" s="13" t="s">
        <v>239</v>
      </c>
      <c r="T175" s="63">
        <v>2.5999999999999998E-4</v>
      </c>
      <c r="U175" s="63">
        <v>1.4999999999999999E-4</v>
      </c>
      <c r="V175" s="63">
        <v>1.7000000000000001E-4</v>
      </c>
      <c r="W175" s="63">
        <v>1.7000000000000001E-4</v>
      </c>
      <c r="X175" s="63">
        <v>1.4724091199999999E-4</v>
      </c>
      <c r="Y175" s="63">
        <v>1.5714262E-4</v>
      </c>
      <c r="Z175" s="63">
        <v>1.842383E-4</v>
      </c>
      <c r="AA175" s="63">
        <v>1.9035283200000001E-4</v>
      </c>
      <c r="AB175" s="63">
        <v>1.64018269E-4</v>
      </c>
      <c r="AC175" s="63">
        <v>1.31745831199999E-4</v>
      </c>
      <c r="AD175" s="63">
        <v>4.9845535240000001E-5</v>
      </c>
      <c r="AE175" s="13" t="s">
        <v>93</v>
      </c>
    </row>
    <row r="176" spans="1:31">
      <c r="A176" s="13" t="s">
        <v>324</v>
      </c>
      <c r="B176" s="13" t="s">
        <v>1</v>
      </c>
      <c r="C176" s="13" t="s">
        <v>56</v>
      </c>
      <c r="D176" s="13" t="str">
        <f>IFERROR(VLOOKUP(C176,ghg_sort!$A$86:$B$512,2,0),0)</f>
        <v>Industry</v>
      </c>
      <c r="E176" s="33" t="s">
        <v>90</v>
      </c>
      <c r="F176" s="13">
        <f>IFERROR(VLOOKUP($E176,ghg_sort!$A$3:$B$21,2,0),0)</f>
        <v>0</v>
      </c>
      <c r="G176" s="13">
        <f t="shared" si="11"/>
        <v>0</v>
      </c>
      <c r="H176" s="13">
        <f t="shared" si="11"/>
        <v>0</v>
      </c>
      <c r="I176" s="13">
        <f t="shared" si="11"/>
        <v>0</v>
      </c>
      <c r="J176" s="13">
        <f t="shared" si="10"/>
        <v>0</v>
      </c>
      <c r="K176" s="13">
        <f t="shared" si="10"/>
        <v>0</v>
      </c>
      <c r="L176" s="13">
        <f t="shared" si="10"/>
        <v>0</v>
      </c>
      <c r="M176" s="13">
        <f t="shared" si="10"/>
        <v>0</v>
      </c>
      <c r="N176" s="13">
        <f t="shared" si="9"/>
        <v>0</v>
      </c>
      <c r="O176" s="13">
        <f t="shared" si="12"/>
        <v>0</v>
      </c>
      <c r="P176" s="13">
        <f t="shared" si="13"/>
        <v>0</v>
      </c>
      <c r="Q176" s="13">
        <f t="shared" si="14"/>
        <v>0</v>
      </c>
      <c r="R176" s="13" t="s">
        <v>239</v>
      </c>
      <c r="T176" s="63">
        <v>1.8959999999999901E-2</v>
      </c>
      <c r="U176" s="62">
        <v>9.1599999999999997E-3</v>
      </c>
      <c r="V176" s="63">
        <v>1.264E-2</v>
      </c>
      <c r="W176" s="62">
        <v>1.0789999999999999E-2</v>
      </c>
      <c r="X176" s="62">
        <v>8.0478200000000007E-3</v>
      </c>
      <c r="Y176" s="62">
        <v>5.7108000999999999E-3</v>
      </c>
      <c r="Z176" s="63">
        <v>5.2759325999999999E-3</v>
      </c>
      <c r="AA176" s="63">
        <v>4.71321419999999E-3</v>
      </c>
      <c r="AB176" s="63">
        <v>3.6780868500000002E-3</v>
      </c>
      <c r="AC176" s="63">
        <v>2.8389022910000001E-3</v>
      </c>
      <c r="AD176" s="63">
        <v>1.1293453587999901E-3</v>
      </c>
      <c r="AE176" s="13" t="s">
        <v>93</v>
      </c>
    </row>
    <row r="177" spans="1:31">
      <c r="A177" s="13" t="s">
        <v>324</v>
      </c>
      <c r="B177" s="13" t="s">
        <v>1</v>
      </c>
      <c r="C177" s="13" t="s">
        <v>56</v>
      </c>
      <c r="D177" s="13" t="str">
        <f>IFERROR(VLOOKUP(C177,ghg_sort!$A$86:$B$512,2,0),0)</f>
        <v>Industry</v>
      </c>
      <c r="E177" s="33" t="s">
        <v>91</v>
      </c>
      <c r="F177" s="13">
        <f>IFERROR(VLOOKUP($E177,ghg_sort!$A$3:$B$21,2,0),0)</f>
        <v>0</v>
      </c>
      <c r="G177" s="13">
        <f t="shared" si="11"/>
        <v>0</v>
      </c>
      <c r="H177" s="13">
        <f t="shared" si="11"/>
        <v>0</v>
      </c>
      <c r="I177" s="13">
        <f t="shared" si="11"/>
        <v>0</v>
      </c>
      <c r="J177" s="13">
        <f t="shared" si="10"/>
        <v>0</v>
      </c>
      <c r="K177" s="13">
        <f t="shared" si="10"/>
        <v>0</v>
      </c>
      <c r="L177" s="13">
        <f t="shared" si="10"/>
        <v>0</v>
      </c>
      <c r="M177" s="13">
        <f t="shared" si="10"/>
        <v>0</v>
      </c>
      <c r="N177" s="13">
        <f t="shared" si="9"/>
        <v>0</v>
      </c>
      <c r="O177" s="13">
        <f t="shared" si="12"/>
        <v>0</v>
      </c>
      <c r="P177" s="13">
        <f t="shared" si="13"/>
        <v>0</v>
      </c>
      <c r="Q177" s="13">
        <f t="shared" si="14"/>
        <v>0</v>
      </c>
      <c r="R177" s="13" t="s">
        <v>239</v>
      </c>
      <c r="T177" s="63">
        <v>7.2000000000000005E-4</v>
      </c>
      <c r="U177" s="62">
        <v>1.2600000000000001E-3</v>
      </c>
      <c r="V177" s="63">
        <v>8.4000000000000003E-4</v>
      </c>
      <c r="W177" s="62">
        <v>2.2799999999999999E-3</v>
      </c>
      <c r="X177" s="62">
        <v>1.70674641E-3</v>
      </c>
      <c r="Y177" s="62">
        <v>1.3532819130000001E-3</v>
      </c>
      <c r="Z177" s="63">
        <v>1.3887907969999901E-3</v>
      </c>
      <c r="AA177" s="63">
        <v>1.2810074210000001E-3</v>
      </c>
      <c r="AB177" s="63">
        <v>9.67769424999999E-4</v>
      </c>
      <c r="AC177" s="63">
        <v>7.1711352909999897E-4</v>
      </c>
      <c r="AD177" s="63">
        <v>1.9207271957900001E-4</v>
      </c>
      <c r="AE177" s="13" t="s">
        <v>93</v>
      </c>
    </row>
    <row r="178" spans="1:31">
      <c r="A178" s="13" t="s">
        <v>324</v>
      </c>
      <c r="B178" s="13" t="s">
        <v>1</v>
      </c>
      <c r="C178" s="13" t="s">
        <v>56</v>
      </c>
      <c r="D178" s="13" t="str">
        <f>IFERROR(VLOOKUP(C178,ghg_sort!$A$86:$B$512,2,0),0)</f>
        <v>Industry</v>
      </c>
      <c r="E178" s="33" t="s">
        <v>92</v>
      </c>
      <c r="F178" s="13">
        <f>IFERROR(VLOOKUP($E178,ghg_sort!$A$3:$B$21,2,0),0)</f>
        <v>0</v>
      </c>
      <c r="G178" s="13">
        <f t="shared" si="11"/>
        <v>0</v>
      </c>
      <c r="H178" s="13">
        <f t="shared" si="11"/>
        <v>0</v>
      </c>
      <c r="I178" s="13">
        <f t="shared" si="11"/>
        <v>0</v>
      </c>
      <c r="J178" s="13">
        <f t="shared" si="10"/>
        <v>0</v>
      </c>
      <c r="K178" s="13">
        <f t="shared" si="10"/>
        <v>0</v>
      </c>
      <c r="L178" s="13">
        <f t="shared" si="10"/>
        <v>0</v>
      </c>
      <c r="M178" s="13">
        <f t="shared" si="10"/>
        <v>0</v>
      </c>
      <c r="N178" s="13">
        <f t="shared" si="9"/>
        <v>0</v>
      </c>
      <c r="O178" s="13">
        <f t="shared" si="12"/>
        <v>0</v>
      </c>
      <c r="P178" s="13">
        <f t="shared" si="13"/>
        <v>0</v>
      </c>
      <c r="Q178" s="13">
        <f t="shared" si="14"/>
        <v>0</v>
      </c>
      <c r="R178" s="13" t="s">
        <v>239</v>
      </c>
      <c r="T178" s="62">
        <v>5.4744053799999998E-2</v>
      </c>
      <c r="U178" s="62">
        <v>7.1907422699999998E-3</v>
      </c>
      <c r="V178" s="62">
        <v>6.1273737999999996E-3</v>
      </c>
      <c r="W178" s="62">
        <v>2.3294593500000002E-3</v>
      </c>
      <c r="X178" s="62">
        <v>1.769037541E-3</v>
      </c>
      <c r="Y178" s="62">
        <v>1.2506296949999899E-3</v>
      </c>
      <c r="Z178" s="63">
        <v>1.11920908199999E-3</v>
      </c>
      <c r="AA178" s="63">
        <v>9.3662852699999996E-4</v>
      </c>
      <c r="AB178" s="63">
        <v>7.5767349300000003E-4</v>
      </c>
      <c r="AC178" s="63">
        <v>5.9798358599999902E-4</v>
      </c>
      <c r="AD178" s="63">
        <v>1.89381384999999E-4</v>
      </c>
      <c r="AE178" s="13" t="s">
        <v>93</v>
      </c>
    </row>
    <row r="179" spans="1:31">
      <c r="A179" s="13" t="s">
        <v>324</v>
      </c>
      <c r="B179" s="13" t="s">
        <v>1</v>
      </c>
      <c r="C179" s="13" t="s">
        <v>20</v>
      </c>
      <c r="D179" s="13" t="str">
        <f>IFERROR(VLOOKUP(C179,ghg_sort!$A$86:$B$512,2,0),0)</f>
        <v>Industry</v>
      </c>
      <c r="E179" s="12" t="s">
        <v>86</v>
      </c>
      <c r="F179" s="13">
        <f>IFERROR(VLOOKUP($E179,ghg_sort!$A$3:$B$21,2,0),0)</f>
        <v>3.6666666666666701</v>
      </c>
      <c r="G179" s="13">
        <f t="shared" si="11"/>
        <v>1.6988876666666681</v>
      </c>
      <c r="H179" s="13">
        <f t="shared" si="11"/>
        <v>8.5437000000000065</v>
      </c>
      <c r="I179" s="13">
        <f t="shared" si="11"/>
        <v>12.500565000000011</v>
      </c>
      <c r="J179" s="13">
        <f t="shared" si="10"/>
        <v>15.819514333333348</v>
      </c>
      <c r="K179" s="13">
        <f t="shared" si="10"/>
        <v>15.633933333333347</v>
      </c>
      <c r="L179" s="13">
        <f t="shared" si="10"/>
        <v>14.546163903333348</v>
      </c>
      <c r="M179" s="13">
        <f t="shared" si="10"/>
        <v>15.378111503333347</v>
      </c>
      <c r="N179" s="13">
        <f t="shared" si="9"/>
        <v>15.912141410000014</v>
      </c>
      <c r="O179" s="13">
        <f t="shared" si="12"/>
        <v>13.218062572000012</v>
      </c>
      <c r="P179" s="13">
        <f t="shared" si="13"/>
        <v>8.6814756196666742</v>
      </c>
      <c r="Q179" s="13">
        <f t="shared" si="14"/>
        <v>9.0222651332000083</v>
      </c>
      <c r="R179" s="13" t="s">
        <v>239</v>
      </c>
      <c r="T179" s="63">
        <v>0.46333299999999999</v>
      </c>
      <c r="U179" s="63">
        <v>2.3300999999999998</v>
      </c>
      <c r="V179" s="63">
        <v>3.4092449999999999</v>
      </c>
      <c r="W179" s="63">
        <v>4.3144130000000001</v>
      </c>
      <c r="X179" s="63">
        <v>4.2637999999999998</v>
      </c>
      <c r="Y179" s="63">
        <v>3.9671356100000001</v>
      </c>
      <c r="Z179" s="63">
        <v>4.1940304099999999</v>
      </c>
      <c r="AA179" s="63">
        <v>4.3396749300000002</v>
      </c>
      <c r="AB179" s="63">
        <v>3.6049261559999999</v>
      </c>
      <c r="AC179" s="63">
        <v>2.367675169</v>
      </c>
      <c r="AD179" s="63">
        <v>2.4606177636000002</v>
      </c>
      <c r="AE179" s="13" t="s">
        <v>94</v>
      </c>
    </row>
    <row r="180" spans="1:31">
      <c r="A180" s="13" t="s">
        <v>324</v>
      </c>
      <c r="B180" s="13" t="s">
        <v>1</v>
      </c>
      <c r="C180" s="13" t="s">
        <v>143</v>
      </c>
      <c r="D180" s="13" t="str">
        <f>IFERROR(VLOOKUP(C180,ghg_sort!$A$86:$B$512,2,0),0)</f>
        <v>Building</v>
      </c>
      <c r="E180" s="33" t="s">
        <v>84</v>
      </c>
      <c r="F180" s="13">
        <f>IFERROR(VLOOKUP($E180,ghg_sort!$A$3:$B$21,2,0),0)</f>
        <v>25</v>
      </c>
      <c r="G180" s="13">
        <f t="shared" si="11"/>
        <v>2.2799224999999999E-3</v>
      </c>
      <c r="H180" s="13">
        <f t="shared" si="11"/>
        <v>5.9421500000000002E-3</v>
      </c>
      <c r="I180" s="13">
        <f t="shared" si="11"/>
        <v>6.1396249999999992E-3</v>
      </c>
      <c r="J180" s="13">
        <f t="shared" si="10"/>
        <v>8.0964249999999991E-3</v>
      </c>
      <c r="K180" s="13">
        <f t="shared" si="10"/>
        <v>8.3933250000000001E-3</v>
      </c>
      <c r="L180" s="13">
        <f t="shared" si="10"/>
        <v>7.8245499999999996E-3</v>
      </c>
      <c r="M180" s="13">
        <f t="shared" si="10"/>
        <v>7.1830499999999999E-3</v>
      </c>
      <c r="N180" s="13">
        <f t="shared" si="9"/>
        <v>5.9338000000000004E-3</v>
      </c>
      <c r="O180" s="13">
        <f t="shared" si="12"/>
        <v>4.2407249999999999E-3</v>
      </c>
      <c r="P180" s="13">
        <f t="shared" si="13"/>
        <v>2.82045E-3</v>
      </c>
      <c r="Q180" s="13">
        <f t="shared" si="14"/>
        <v>7.5947250000000003E-4</v>
      </c>
      <c r="R180" s="13" t="s">
        <v>239</v>
      </c>
      <c r="T180" s="63">
        <v>9.1196899999999994E-5</v>
      </c>
      <c r="U180" s="63">
        <v>2.37686E-4</v>
      </c>
      <c r="V180" s="63">
        <v>2.4558499999999999E-4</v>
      </c>
      <c r="W180" s="63">
        <v>3.2385699999999999E-4</v>
      </c>
      <c r="X180" s="63">
        <v>3.3573300000000001E-4</v>
      </c>
      <c r="Y180" s="63">
        <v>3.1298200000000001E-4</v>
      </c>
      <c r="Z180" s="63">
        <v>2.8732200000000001E-4</v>
      </c>
      <c r="AA180" s="63">
        <v>2.37352E-4</v>
      </c>
      <c r="AB180" s="63">
        <v>1.69629E-4</v>
      </c>
      <c r="AC180" s="63">
        <v>1.12818E-4</v>
      </c>
      <c r="AD180" s="63">
        <v>3.0378900000000001E-5</v>
      </c>
      <c r="AE180" s="13" t="s">
        <v>93</v>
      </c>
    </row>
    <row r="181" spans="1:31">
      <c r="A181" s="13" t="s">
        <v>324</v>
      </c>
      <c r="B181" s="13" t="s">
        <v>1</v>
      </c>
      <c r="C181" s="13" t="s">
        <v>143</v>
      </c>
      <c r="D181" s="13" t="str">
        <f>IFERROR(VLOOKUP(C181,ghg_sort!$A$86:$B$512,2,0),0)</f>
        <v>Building</v>
      </c>
      <c r="E181" s="33" t="s">
        <v>85</v>
      </c>
      <c r="F181" s="13">
        <f>IFERROR(VLOOKUP($E181,ghg_sort!$A$3:$B$21,2,0),0)</f>
        <v>0</v>
      </c>
      <c r="G181" s="13">
        <f t="shared" si="11"/>
        <v>0</v>
      </c>
      <c r="H181" s="13">
        <f t="shared" si="11"/>
        <v>0</v>
      </c>
      <c r="I181" s="13">
        <f t="shared" si="11"/>
        <v>0</v>
      </c>
      <c r="J181" s="13">
        <f t="shared" si="10"/>
        <v>0</v>
      </c>
      <c r="K181" s="13">
        <f t="shared" si="10"/>
        <v>0</v>
      </c>
      <c r="L181" s="13">
        <f t="shared" si="10"/>
        <v>0</v>
      </c>
      <c r="M181" s="13">
        <f t="shared" si="10"/>
        <v>0</v>
      </c>
      <c r="N181" s="13">
        <f t="shared" si="9"/>
        <v>0</v>
      </c>
      <c r="O181" s="13">
        <f t="shared" si="12"/>
        <v>0</v>
      </c>
      <c r="P181" s="13">
        <f t="shared" si="13"/>
        <v>0</v>
      </c>
      <c r="Q181" s="13">
        <f t="shared" si="14"/>
        <v>0</v>
      </c>
      <c r="R181" s="13" t="s">
        <v>239</v>
      </c>
      <c r="T181" s="63">
        <v>3.5904299999999999E-6</v>
      </c>
      <c r="U181" s="63">
        <v>4.73937E-5</v>
      </c>
      <c r="V181" s="63">
        <v>5.2420299999999997E-5</v>
      </c>
      <c r="W181" s="63">
        <v>6.8936299999999999E-5</v>
      </c>
      <c r="X181" s="63">
        <v>7.1464200000000006E-5</v>
      </c>
      <c r="Y181" s="63">
        <v>6.6621500000000006E-5</v>
      </c>
      <c r="Z181" s="63">
        <v>6.1159499999999996E-5</v>
      </c>
      <c r="AA181" s="63">
        <v>5.0522799999999997E-5</v>
      </c>
      <c r="AB181" s="63">
        <v>3.6107299999999999E-5</v>
      </c>
      <c r="AC181" s="63">
        <v>2.4014499999999999E-5</v>
      </c>
      <c r="AD181" s="63">
        <v>6.4664599999999996E-6</v>
      </c>
      <c r="AE181" s="13" t="s">
        <v>93</v>
      </c>
    </row>
    <row r="182" spans="1:31">
      <c r="A182" s="13" t="s">
        <v>324</v>
      </c>
      <c r="B182" s="13" t="s">
        <v>1</v>
      </c>
      <c r="C182" s="13" t="s">
        <v>143</v>
      </c>
      <c r="D182" s="13" t="str">
        <f>IFERROR(VLOOKUP(C182,ghg_sort!$A$86:$B$512,2,0),0)</f>
        <v>Building</v>
      </c>
      <c r="E182" s="12" t="s">
        <v>86</v>
      </c>
      <c r="F182" s="13">
        <f>IFERROR(VLOOKUP($E182,ghg_sort!$A$3:$B$21,2,0),0)</f>
        <v>3.6666666666666701</v>
      </c>
      <c r="G182" s="13">
        <f t="shared" si="11"/>
        <v>2.2222236666666687E-2</v>
      </c>
      <c r="H182" s="13">
        <f t="shared" si="11"/>
        <v>0.4887116666666671</v>
      </c>
      <c r="I182" s="13">
        <f t="shared" si="11"/>
        <v>0.56483166666666718</v>
      </c>
      <c r="J182" s="13">
        <f t="shared" si="10"/>
        <v>0.58806733333333383</v>
      </c>
      <c r="K182" s="13">
        <f t="shared" si="10"/>
        <v>0.60963100000000059</v>
      </c>
      <c r="L182" s="13">
        <f t="shared" si="10"/>
        <v>0.56832233333333382</v>
      </c>
      <c r="M182" s="13">
        <f t="shared" si="10"/>
        <v>0.52172633333333385</v>
      </c>
      <c r="N182" s="13">
        <f t="shared" si="9"/>
        <v>0.4309910000000004</v>
      </c>
      <c r="O182" s="13">
        <f t="shared" si="12"/>
        <v>0.30801650000000025</v>
      </c>
      <c r="P182" s="13">
        <f t="shared" si="13"/>
        <v>0.20485776666666686</v>
      </c>
      <c r="Q182" s="13">
        <f t="shared" si="14"/>
        <v>5.5162800000000047E-2</v>
      </c>
      <c r="R182" s="13" t="s">
        <v>239</v>
      </c>
      <c r="T182" s="62">
        <v>6.0606100000000001E-3</v>
      </c>
      <c r="U182" s="62">
        <v>0.13328499999999999</v>
      </c>
      <c r="V182" s="62">
        <v>0.15404499999999999</v>
      </c>
      <c r="W182" s="62">
        <v>0.160382</v>
      </c>
      <c r="X182" s="62">
        <v>0.16626299999999999</v>
      </c>
      <c r="Y182" s="62">
        <v>0.154997</v>
      </c>
      <c r="Z182" s="62">
        <v>0.142289</v>
      </c>
      <c r="AA182" s="62">
        <v>0.11754299999999999</v>
      </c>
      <c r="AB182" s="62">
        <v>8.4004499999999996E-2</v>
      </c>
      <c r="AC182" s="62">
        <v>5.5870299999999998E-2</v>
      </c>
      <c r="AD182" s="62">
        <v>1.5044399999999999E-2</v>
      </c>
      <c r="AE182" s="13" t="s">
        <v>94</v>
      </c>
    </row>
    <row r="183" spans="1:31">
      <c r="A183" s="13" t="s">
        <v>324</v>
      </c>
      <c r="B183" s="13" t="s">
        <v>1</v>
      </c>
      <c r="C183" s="13" t="s">
        <v>143</v>
      </c>
      <c r="D183" s="13" t="str">
        <f>IFERROR(VLOOKUP(C183,ghg_sort!$A$86:$B$512,2,0),0)</f>
        <v>Building</v>
      </c>
      <c r="E183" s="33" t="s">
        <v>228</v>
      </c>
      <c r="F183" s="13">
        <f>IFERROR(VLOOKUP($E183,ghg_sort!$A$3:$B$21,2,0),0)</f>
        <v>3.5</v>
      </c>
      <c r="G183" s="13">
        <f t="shared" si="11"/>
        <v>0</v>
      </c>
      <c r="H183" s="13">
        <f t="shared" si="11"/>
        <v>0.8851675</v>
      </c>
      <c r="I183" s="13">
        <f t="shared" si="11"/>
        <v>2.2011395</v>
      </c>
      <c r="J183" s="13">
        <f t="shared" si="10"/>
        <v>2.5098254999999998</v>
      </c>
      <c r="K183" s="13">
        <f t="shared" si="10"/>
        <v>2.6211115</v>
      </c>
      <c r="L183" s="13">
        <f t="shared" si="10"/>
        <v>2.067107</v>
      </c>
      <c r="M183" s="13">
        <f t="shared" si="10"/>
        <v>1.6642395000000001</v>
      </c>
      <c r="N183" s="13">
        <f t="shared" si="9"/>
        <v>1.2974430000000001</v>
      </c>
      <c r="O183" s="13">
        <f t="shared" si="12"/>
        <v>1.2944504999999999</v>
      </c>
      <c r="P183" s="13">
        <f t="shared" si="13"/>
        <v>0.8379875</v>
      </c>
      <c r="Q183" s="13">
        <f t="shared" si="14"/>
        <v>0.79808049999999997</v>
      </c>
      <c r="R183" s="13" t="s">
        <v>239</v>
      </c>
      <c r="T183" s="62">
        <v>0</v>
      </c>
      <c r="U183" s="62">
        <v>0.25290499999999999</v>
      </c>
      <c r="V183" s="62">
        <v>0.62889700000000004</v>
      </c>
      <c r="W183" s="62">
        <v>0.71709299999999998</v>
      </c>
      <c r="X183" s="62">
        <v>0.74888900000000003</v>
      </c>
      <c r="Y183" s="62">
        <v>0.59060199999999996</v>
      </c>
      <c r="Z183" s="62">
        <v>0.475497</v>
      </c>
      <c r="AA183" s="62">
        <v>0.37069800000000003</v>
      </c>
      <c r="AB183" s="62">
        <v>0.36984299999999998</v>
      </c>
      <c r="AC183" s="62">
        <v>0.239425</v>
      </c>
      <c r="AD183" s="62">
        <v>0.228023</v>
      </c>
      <c r="AE183" s="13" t="s">
        <v>131</v>
      </c>
    </row>
    <row r="184" spans="1:31">
      <c r="A184" s="13" t="s">
        <v>324</v>
      </c>
      <c r="B184" s="13" t="s">
        <v>1</v>
      </c>
      <c r="C184" s="13" t="s">
        <v>143</v>
      </c>
      <c r="D184" s="13" t="str">
        <f>IFERROR(VLOOKUP(C184,ghg_sort!$A$86:$B$512,2,0),0)</f>
        <v>Building</v>
      </c>
      <c r="E184" s="33" t="s">
        <v>97</v>
      </c>
      <c r="F184" s="13">
        <f>IFERROR(VLOOKUP($E184,ghg_sort!$A$3:$B$21,2,0),0)</f>
        <v>1.4300000000000002</v>
      </c>
      <c r="G184" s="13">
        <f t="shared" si="11"/>
        <v>0</v>
      </c>
      <c r="H184" s="13">
        <f t="shared" si="11"/>
        <v>2.1349757000000005</v>
      </c>
      <c r="I184" s="13">
        <f t="shared" si="11"/>
        <v>4.1020551000000003</v>
      </c>
      <c r="J184" s="13">
        <f t="shared" si="10"/>
        <v>4.6773298000000008</v>
      </c>
      <c r="K184" s="13">
        <f t="shared" si="10"/>
        <v>4.8847227000000011</v>
      </c>
      <c r="L184" s="13">
        <f t="shared" si="10"/>
        <v>3.8522770000000008</v>
      </c>
      <c r="M184" s="13">
        <f t="shared" si="10"/>
        <v>3.1014841000000004</v>
      </c>
      <c r="N184" s="13">
        <f t="shared" si="9"/>
        <v>2.4179155000000003</v>
      </c>
      <c r="O184" s="13">
        <f t="shared" si="12"/>
        <v>2.4123528000000003</v>
      </c>
      <c r="P184" s="13">
        <f t="shared" si="13"/>
        <v>1.5616744</v>
      </c>
      <c r="Q184" s="13">
        <f t="shared" si="14"/>
        <v>1.4873001000000003</v>
      </c>
      <c r="R184" s="13" t="s">
        <v>239</v>
      </c>
      <c r="T184" s="62">
        <v>0</v>
      </c>
      <c r="U184" s="62">
        <v>1.49299</v>
      </c>
      <c r="V184" s="62">
        <v>2.8685700000000001</v>
      </c>
      <c r="W184" s="62">
        <v>3.2708599999999999</v>
      </c>
      <c r="X184" s="62">
        <v>3.4158900000000001</v>
      </c>
      <c r="Y184" s="62">
        <v>2.6939000000000002</v>
      </c>
      <c r="Z184" s="62">
        <v>2.1688700000000001</v>
      </c>
      <c r="AA184" s="62">
        <v>1.69085</v>
      </c>
      <c r="AB184" s="62">
        <v>1.68696</v>
      </c>
      <c r="AC184" s="62">
        <v>1.0920799999999999</v>
      </c>
      <c r="AD184" s="62">
        <v>1.0400700000000001</v>
      </c>
      <c r="AE184" s="13" t="s">
        <v>131</v>
      </c>
    </row>
    <row r="185" spans="1:31">
      <c r="A185" s="13" t="s">
        <v>324</v>
      </c>
      <c r="B185" s="13" t="s">
        <v>1</v>
      </c>
      <c r="C185" s="13" t="s">
        <v>143</v>
      </c>
      <c r="D185" s="13" t="str">
        <f>IFERROR(VLOOKUP(C185,ghg_sort!$A$86:$B$512,2,0),0)</f>
        <v>Building</v>
      </c>
      <c r="E185" s="33" t="s">
        <v>98</v>
      </c>
      <c r="F185" s="13">
        <f>IFERROR(VLOOKUP($E185,ghg_sort!$A$3:$B$21,2,0),0)</f>
        <v>4.47</v>
      </c>
      <c r="G185" s="13">
        <f t="shared" si="11"/>
        <v>0</v>
      </c>
      <c r="H185" s="13">
        <f t="shared" si="11"/>
        <v>1.3904963099999998</v>
      </c>
      <c r="I185" s="13">
        <f t="shared" si="11"/>
        <v>3.0452634899999995</v>
      </c>
      <c r="J185" s="13">
        <f t="shared" si="10"/>
        <v>3.47232729</v>
      </c>
      <c r="K185" s="13">
        <f t="shared" si="10"/>
        <v>3.62629197</v>
      </c>
      <c r="L185" s="13">
        <f t="shared" si="10"/>
        <v>2.8598300099999996</v>
      </c>
      <c r="M185" s="13">
        <f t="shared" si="10"/>
        <v>2.3024657099999999</v>
      </c>
      <c r="N185" s="13">
        <f t="shared" si="9"/>
        <v>1.79500449</v>
      </c>
      <c r="O185" s="13">
        <f t="shared" si="12"/>
        <v>1.7908652700000001</v>
      </c>
      <c r="P185" s="13">
        <f t="shared" si="13"/>
        <v>1.1593481399999999</v>
      </c>
      <c r="Q185" s="13">
        <f t="shared" si="14"/>
        <v>1.1041391700000001</v>
      </c>
      <c r="R185" s="13" t="s">
        <v>239</v>
      </c>
      <c r="T185" s="62">
        <v>0</v>
      </c>
      <c r="U185" s="62">
        <v>0.31107299999999999</v>
      </c>
      <c r="V185" s="63">
        <v>0.68126699999999996</v>
      </c>
      <c r="W185" s="62">
        <v>0.77680700000000003</v>
      </c>
      <c r="X185" s="62">
        <v>0.81125100000000006</v>
      </c>
      <c r="Y185" s="62">
        <v>0.63978299999999999</v>
      </c>
      <c r="Z185" s="62">
        <v>0.51509300000000002</v>
      </c>
      <c r="AA185" s="63">
        <v>0.40156700000000001</v>
      </c>
      <c r="AB185" s="63">
        <v>0.40064100000000002</v>
      </c>
      <c r="AC185" s="63">
        <v>0.25936199999999998</v>
      </c>
      <c r="AD185" s="63">
        <v>0.24701100000000001</v>
      </c>
      <c r="AE185" s="13" t="s">
        <v>131</v>
      </c>
    </row>
    <row r="186" spans="1:31">
      <c r="A186" s="13" t="s">
        <v>324</v>
      </c>
      <c r="B186" s="13" t="s">
        <v>1</v>
      </c>
      <c r="C186" s="13" t="s">
        <v>143</v>
      </c>
      <c r="D186" s="13" t="str">
        <f>IFERROR(VLOOKUP(C186,ghg_sort!$A$86:$B$512,2,0),0)</f>
        <v>Building</v>
      </c>
      <c r="E186" s="33" t="s">
        <v>99</v>
      </c>
      <c r="F186" s="13">
        <f>IFERROR(VLOOKUP($E186,ghg_sort!$A$3:$B$21,2,0),0)</f>
        <v>14.8</v>
      </c>
      <c r="G186" s="13">
        <f t="shared" si="11"/>
        <v>0</v>
      </c>
      <c r="H186" s="13">
        <f t="shared" si="11"/>
        <v>3.4354056000000001E-2</v>
      </c>
      <c r="I186" s="13">
        <f t="shared" si="11"/>
        <v>1.3831266E-2</v>
      </c>
      <c r="J186" s="13">
        <f t="shared" si="10"/>
        <v>1.5771028000000003E-2</v>
      </c>
      <c r="K186" s="13">
        <f t="shared" si="10"/>
        <v>1.6470180000000001E-2</v>
      </c>
      <c r="L186" s="13">
        <f t="shared" si="10"/>
        <v>1.2989042400000001E-2</v>
      </c>
      <c r="M186" s="13">
        <f t="shared" si="10"/>
        <v>1.0457561600000002E-2</v>
      </c>
      <c r="N186" s="13">
        <f t="shared" si="9"/>
        <v>8.1527131999999999E-3</v>
      </c>
      <c r="O186" s="13">
        <f t="shared" si="12"/>
        <v>8.1339172000000001E-3</v>
      </c>
      <c r="P186" s="13">
        <f t="shared" si="13"/>
        <v>5.2656476000000002E-3</v>
      </c>
      <c r="Q186" s="13">
        <f t="shared" si="14"/>
        <v>5.0148764000000007E-3</v>
      </c>
      <c r="R186" s="13" t="s">
        <v>239</v>
      </c>
      <c r="T186" s="62">
        <v>0</v>
      </c>
      <c r="U186" s="62">
        <v>2.3212200000000001E-3</v>
      </c>
      <c r="V186" s="63">
        <v>9.3454499999999995E-4</v>
      </c>
      <c r="W186" s="62">
        <v>1.06561E-3</v>
      </c>
      <c r="X186" s="62">
        <v>1.1128500000000001E-3</v>
      </c>
      <c r="Y186" s="63">
        <v>8.7763800000000003E-4</v>
      </c>
      <c r="Z186" s="63">
        <v>7.0659200000000003E-4</v>
      </c>
      <c r="AA186" s="63">
        <v>5.5085900000000001E-4</v>
      </c>
      <c r="AB186" s="63">
        <v>5.4958899999999996E-4</v>
      </c>
      <c r="AC186" s="63">
        <v>3.5578699999999999E-4</v>
      </c>
      <c r="AD186" s="63">
        <v>3.3884300000000002E-4</v>
      </c>
      <c r="AE186" s="13" t="s">
        <v>131</v>
      </c>
    </row>
    <row r="187" spans="1:31">
      <c r="A187" s="13" t="s">
        <v>324</v>
      </c>
      <c r="B187" s="13" t="s">
        <v>1</v>
      </c>
      <c r="C187" s="13" t="s">
        <v>143</v>
      </c>
      <c r="D187" s="13" t="str">
        <f>IFERROR(VLOOKUP(C187,ghg_sort!$A$86:$B$512,2,0),0)</f>
        <v>Building</v>
      </c>
      <c r="E187" s="33" t="s">
        <v>100</v>
      </c>
      <c r="F187" s="13">
        <f>IFERROR(VLOOKUP($E187,ghg_sort!$A$3:$B$21,2,0),0)</f>
        <v>0.67500000000000004</v>
      </c>
      <c r="G187" s="13">
        <f t="shared" si="11"/>
        <v>0</v>
      </c>
      <c r="H187" s="13">
        <f t="shared" si="11"/>
        <v>1.5278895000000001E-2</v>
      </c>
      <c r="I187" s="13">
        <f t="shared" si="11"/>
        <v>3.3444427500000005E-2</v>
      </c>
      <c r="J187" s="13">
        <f t="shared" si="10"/>
        <v>3.8134665000000005E-2</v>
      </c>
      <c r="K187" s="13">
        <f t="shared" si="10"/>
        <v>3.982554E-2</v>
      </c>
      <c r="L187" s="13">
        <f t="shared" si="10"/>
        <v>3.1407952500000003E-2</v>
      </c>
      <c r="M187" s="13">
        <f t="shared" si="10"/>
        <v>2.5286715000000005E-2</v>
      </c>
      <c r="N187" s="13">
        <f t="shared" si="9"/>
        <v>1.971351E-2</v>
      </c>
      <c r="O187" s="13">
        <f t="shared" si="12"/>
        <v>1.9668082500000003E-2</v>
      </c>
      <c r="P187" s="13">
        <f t="shared" si="13"/>
        <v>1.2732525000000001E-2</v>
      </c>
      <c r="Q187" s="13">
        <f t="shared" si="14"/>
        <v>1.2126105000000002E-2</v>
      </c>
      <c r="R187" s="13" t="s">
        <v>239</v>
      </c>
      <c r="T187" s="62">
        <v>0</v>
      </c>
      <c r="U187" s="63">
        <v>2.26354E-2</v>
      </c>
      <c r="V187" s="63">
        <v>4.9547300000000002E-2</v>
      </c>
      <c r="W187" s="63">
        <v>5.6495799999999999E-2</v>
      </c>
      <c r="X187" s="63">
        <v>5.9000799999999999E-2</v>
      </c>
      <c r="Y187" s="63">
        <v>4.6530299999999997E-2</v>
      </c>
      <c r="Z187" s="63">
        <v>3.7461800000000003E-2</v>
      </c>
      <c r="AA187" s="63">
        <v>2.9205200000000001E-2</v>
      </c>
      <c r="AB187" s="63">
        <v>2.9137900000000001E-2</v>
      </c>
      <c r="AC187" s="63">
        <v>1.8863000000000001E-2</v>
      </c>
      <c r="AD187" s="63">
        <v>1.7964600000000001E-2</v>
      </c>
      <c r="AE187" s="13" t="s">
        <v>131</v>
      </c>
    </row>
    <row r="188" spans="1:31">
      <c r="A188" s="13" t="s">
        <v>324</v>
      </c>
      <c r="B188" s="13" t="s">
        <v>1</v>
      </c>
      <c r="C188" s="13" t="s">
        <v>143</v>
      </c>
      <c r="D188" s="13" t="str">
        <f>IFERROR(VLOOKUP(C188,ghg_sort!$A$86:$B$512,2,0),0)</f>
        <v>Building</v>
      </c>
      <c r="E188" s="33" t="s">
        <v>87</v>
      </c>
      <c r="F188" s="13">
        <f>IFERROR(VLOOKUP($E188,ghg_sort!$A$3:$B$21,2,0),0)</f>
        <v>298</v>
      </c>
      <c r="G188" s="13">
        <f t="shared" si="11"/>
        <v>0</v>
      </c>
      <c r="H188" s="13">
        <f t="shared" si="11"/>
        <v>8.5595731999999999E-4</v>
      </c>
      <c r="I188" s="13">
        <f t="shared" si="11"/>
        <v>8.5595731999999999E-4</v>
      </c>
      <c r="J188" s="13">
        <f t="shared" si="10"/>
        <v>8.5595731999999999E-4</v>
      </c>
      <c r="K188" s="13">
        <f t="shared" si="10"/>
        <v>8.8734864000000009E-4</v>
      </c>
      <c r="L188" s="13">
        <f t="shared" si="10"/>
        <v>8.2721522000000006E-4</v>
      </c>
      <c r="M188" s="13">
        <f t="shared" si="10"/>
        <v>7.5939638000000007E-4</v>
      </c>
      <c r="N188" s="13">
        <f t="shared" si="9"/>
        <v>6.2732576000000008E-4</v>
      </c>
      <c r="O188" s="13">
        <f t="shared" si="12"/>
        <v>4.4833205999999999E-4</v>
      </c>
      <c r="P188" s="13">
        <f t="shared" si="13"/>
        <v>2.9817880000000002E-4</v>
      </c>
      <c r="Q188" s="13">
        <f t="shared" si="14"/>
        <v>8.0291927999999999E-5</v>
      </c>
      <c r="R188" s="13" t="s">
        <v>239</v>
      </c>
      <c r="T188" s="62">
        <v>0</v>
      </c>
      <c r="U188" s="63">
        <v>2.8723399999999998E-6</v>
      </c>
      <c r="V188" s="63">
        <v>2.8723399999999998E-6</v>
      </c>
      <c r="W188" s="63">
        <v>2.8723399999999998E-6</v>
      </c>
      <c r="X188" s="63">
        <v>2.9776800000000002E-6</v>
      </c>
      <c r="Y188" s="63">
        <v>2.7758900000000001E-6</v>
      </c>
      <c r="Z188" s="63">
        <v>2.5483100000000001E-6</v>
      </c>
      <c r="AA188" s="63">
        <v>2.1051200000000001E-6</v>
      </c>
      <c r="AB188" s="63">
        <v>1.50447E-6</v>
      </c>
      <c r="AC188" s="63">
        <v>1.0006E-6</v>
      </c>
      <c r="AD188" s="63">
        <v>2.69436E-7</v>
      </c>
      <c r="AE188" s="13" t="s">
        <v>93</v>
      </c>
    </row>
    <row r="189" spans="1:31">
      <c r="A189" s="13" t="s">
        <v>324</v>
      </c>
      <c r="B189" s="13" t="s">
        <v>1</v>
      </c>
      <c r="C189" s="13" t="s">
        <v>143</v>
      </c>
      <c r="D189" s="13" t="str">
        <f>IFERROR(VLOOKUP(C189,ghg_sort!$A$86:$B$512,2,0),0)</f>
        <v>Building</v>
      </c>
      <c r="E189" s="33" t="s">
        <v>88</v>
      </c>
      <c r="F189" s="13">
        <f>IFERROR(VLOOKUP($E189,ghg_sort!$A$3:$B$21,2,0),0)</f>
        <v>0</v>
      </c>
      <c r="G189" s="13">
        <f t="shared" si="11"/>
        <v>0</v>
      </c>
      <c r="H189" s="13">
        <f t="shared" si="11"/>
        <v>0</v>
      </c>
      <c r="I189" s="13">
        <f t="shared" si="11"/>
        <v>0</v>
      </c>
      <c r="J189" s="13">
        <f t="shared" si="10"/>
        <v>0</v>
      </c>
      <c r="K189" s="13">
        <f t="shared" si="10"/>
        <v>0</v>
      </c>
      <c r="L189" s="13">
        <f t="shared" si="10"/>
        <v>0</v>
      </c>
      <c r="M189" s="13">
        <f t="shared" si="10"/>
        <v>0</v>
      </c>
      <c r="N189" s="13">
        <f t="shared" si="9"/>
        <v>0</v>
      </c>
      <c r="O189" s="13">
        <f t="shared" si="12"/>
        <v>0</v>
      </c>
      <c r="P189" s="13">
        <f t="shared" si="13"/>
        <v>0</v>
      </c>
      <c r="Q189" s="13">
        <f t="shared" si="14"/>
        <v>0</v>
      </c>
      <c r="R189" s="13" t="s">
        <v>239</v>
      </c>
      <c r="T189" s="62">
        <v>0</v>
      </c>
      <c r="U189" s="63">
        <v>7.1808599999999999E-7</v>
      </c>
      <c r="V189" s="63">
        <v>7.1808599999999999E-7</v>
      </c>
      <c r="W189" s="63">
        <v>2.15426E-6</v>
      </c>
      <c r="X189" s="63">
        <v>2.23326E-6</v>
      </c>
      <c r="Y189" s="63">
        <v>2.0819200000000001E-6</v>
      </c>
      <c r="Z189" s="63">
        <v>1.91123E-6</v>
      </c>
      <c r="AA189" s="63">
        <v>1.5788400000000001E-6</v>
      </c>
      <c r="AB189" s="63">
        <v>1.12835E-6</v>
      </c>
      <c r="AC189" s="63">
        <v>7.50452E-7</v>
      </c>
      <c r="AD189" s="63">
        <v>2.0207699999999999E-7</v>
      </c>
      <c r="AE189" s="13" t="s">
        <v>93</v>
      </c>
    </row>
    <row r="190" spans="1:31">
      <c r="A190" s="13" t="s">
        <v>324</v>
      </c>
      <c r="B190" s="13" t="s">
        <v>1</v>
      </c>
      <c r="C190" s="13" t="s">
        <v>143</v>
      </c>
      <c r="D190" s="13" t="str">
        <f>IFERROR(VLOOKUP(C190,ghg_sort!$A$86:$B$512,2,0),0)</f>
        <v>Building</v>
      </c>
      <c r="E190" s="33" t="s">
        <v>89</v>
      </c>
      <c r="F190" s="13">
        <f>IFERROR(VLOOKUP($E190,ghg_sort!$A$3:$B$21,2,0),0)</f>
        <v>0</v>
      </c>
      <c r="G190" s="13">
        <f t="shared" si="11"/>
        <v>0</v>
      </c>
      <c r="H190" s="13">
        <f t="shared" si="11"/>
        <v>0</v>
      </c>
      <c r="I190" s="13">
        <f t="shared" si="11"/>
        <v>0</v>
      </c>
      <c r="J190" s="13">
        <f t="shared" si="10"/>
        <v>0</v>
      </c>
      <c r="K190" s="13">
        <f t="shared" si="10"/>
        <v>0</v>
      </c>
      <c r="L190" s="13">
        <f t="shared" si="10"/>
        <v>0</v>
      </c>
      <c r="M190" s="13">
        <f t="shared" si="10"/>
        <v>0</v>
      </c>
      <c r="N190" s="13">
        <f t="shared" si="10"/>
        <v>0</v>
      </c>
      <c r="O190" s="13">
        <f t="shared" si="10"/>
        <v>0</v>
      </c>
      <c r="P190" s="13">
        <f t="shared" si="10"/>
        <v>0</v>
      </c>
      <c r="Q190" s="13">
        <f t="shared" si="10"/>
        <v>0</v>
      </c>
      <c r="R190" s="13" t="s">
        <v>239</v>
      </c>
      <c r="T190" s="63">
        <v>0</v>
      </c>
      <c r="U190" s="63">
        <v>2.15426E-6</v>
      </c>
      <c r="V190" s="63">
        <v>2.8723399999999998E-6</v>
      </c>
      <c r="W190" s="63">
        <v>4.30852E-6</v>
      </c>
      <c r="X190" s="63">
        <v>4.4665200000000001E-6</v>
      </c>
      <c r="Y190" s="63">
        <v>4.1638400000000001E-6</v>
      </c>
      <c r="Z190" s="63">
        <v>3.8224699999999998E-6</v>
      </c>
      <c r="AA190" s="63">
        <v>3.1576800000000001E-6</v>
      </c>
      <c r="AB190" s="63">
        <v>2.2567100000000002E-6</v>
      </c>
      <c r="AC190" s="63">
        <v>1.5009000000000001E-6</v>
      </c>
      <c r="AD190" s="63">
        <v>4.0415399999999998E-7</v>
      </c>
      <c r="AE190" s="13" t="s">
        <v>93</v>
      </c>
    </row>
    <row r="191" spans="1:31">
      <c r="A191" s="13" t="s">
        <v>324</v>
      </c>
      <c r="B191" s="13" t="s">
        <v>1</v>
      </c>
      <c r="C191" s="13" t="s">
        <v>143</v>
      </c>
      <c r="D191" s="13" t="str">
        <f>IFERROR(VLOOKUP(C191,ghg_sort!$A$86:$B$512,2,0),0)</f>
        <v>Building</v>
      </c>
      <c r="E191" s="33" t="s">
        <v>90</v>
      </c>
      <c r="F191" s="13">
        <f>IFERROR(VLOOKUP($E191,ghg_sort!$A$3:$B$21,2,0),0)</f>
        <v>0</v>
      </c>
      <c r="G191" s="13">
        <f t="shared" si="11"/>
        <v>0</v>
      </c>
      <c r="H191" s="13">
        <f t="shared" si="11"/>
        <v>0</v>
      </c>
      <c r="I191" s="13">
        <f t="shared" si="11"/>
        <v>0</v>
      </c>
      <c r="J191" s="13">
        <f t="shared" si="10"/>
        <v>0</v>
      </c>
      <c r="K191" s="13">
        <f t="shared" si="10"/>
        <v>0</v>
      </c>
      <c r="L191" s="13">
        <f t="shared" si="10"/>
        <v>0</v>
      </c>
      <c r="M191" s="13">
        <f t="shared" si="10"/>
        <v>0</v>
      </c>
      <c r="N191" s="13">
        <f t="shared" si="10"/>
        <v>0</v>
      </c>
      <c r="O191" s="13">
        <f t="shared" si="10"/>
        <v>0</v>
      </c>
      <c r="P191" s="13">
        <f t="shared" si="10"/>
        <v>0</v>
      </c>
      <c r="Q191" s="13">
        <f t="shared" si="10"/>
        <v>0</v>
      </c>
      <c r="R191" s="13" t="s">
        <v>239</v>
      </c>
      <c r="T191" s="63">
        <v>1.43617E-5</v>
      </c>
      <c r="U191" s="63">
        <v>2.8292600000000002E-4</v>
      </c>
      <c r="V191" s="63">
        <v>3.9422900000000001E-4</v>
      </c>
      <c r="W191" s="63">
        <v>3.76277E-4</v>
      </c>
      <c r="X191" s="63">
        <v>3.90076E-4</v>
      </c>
      <c r="Y191" s="63">
        <v>3.6364200000000001E-4</v>
      </c>
      <c r="Z191" s="63">
        <v>3.3382900000000001E-4</v>
      </c>
      <c r="AA191" s="63">
        <v>2.7577E-4</v>
      </c>
      <c r="AB191" s="63">
        <v>1.9708599999999999E-4</v>
      </c>
      <c r="AC191" s="63">
        <v>1.3107900000000001E-4</v>
      </c>
      <c r="AD191" s="63">
        <v>3.5296100000000002E-5</v>
      </c>
      <c r="AE191" s="13" t="s">
        <v>93</v>
      </c>
    </row>
    <row r="192" spans="1:31">
      <c r="A192" s="13" t="s">
        <v>324</v>
      </c>
      <c r="B192" s="13" t="s">
        <v>1</v>
      </c>
      <c r="C192" s="13" t="s">
        <v>143</v>
      </c>
      <c r="D192" s="13" t="str">
        <f>IFERROR(VLOOKUP(C192,ghg_sort!$A$86:$B$512,2,0),0)</f>
        <v>Building</v>
      </c>
      <c r="E192" s="33" t="s">
        <v>92</v>
      </c>
      <c r="F192" s="13">
        <f>IFERROR(VLOOKUP($E192,ghg_sort!$A$3:$B$21,2,0),0)</f>
        <v>0</v>
      </c>
      <c r="G192" s="13">
        <f t="shared" si="11"/>
        <v>0</v>
      </c>
      <c r="H192" s="13">
        <f t="shared" si="11"/>
        <v>0</v>
      </c>
      <c r="I192" s="13">
        <f t="shared" si="11"/>
        <v>0</v>
      </c>
      <c r="J192" s="13">
        <f t="shared" si="10"/>
        <v>0</v>
      </c>
      <c r="K192" s="13">
        <f t="shared" si="10"/>
        <v>0</v>
      </c>
      <c r="L192" s="13">
        <f t="shared" si="10"/>
        <v>0</v>
      </c>
      <c r="M192" s="13">
        <f t="shared" si="10"/>
        <v>0</v>
      </c>
      <c r="N192" s="13">
        <f t="shared" si="10"/>
        <v>0</v>
      </c>
      <c r="O192" s="13">
        <f t="shared" si="10"/>
        <v>0</v>
      </c>
      <c r="P192" s="13">
        <f t="shared" si="10"/>
        <v>0</v>
      </c>
      <c r="Q192" s="13">
        <f t="shared" si="10"/>
        <v>0</v>
      </c>
      <c r="R192" s="13" t="s">
        <v>239</v>
      </c>
      <c r="T192" s="63">
        <v>4.9718600000000002E-8</v>
      </c>
      <c r="U192" s="63">
        <v>7.4903899999999996E-7</v>
      </c>
      <c r="V192" s="63">
        <v>3.1027500000000001E-6</v>
      </c>
      <c r="W192" s="63">
        <v>1.28727E-6</v>
      </c>
      <c r="X192" s="63">
        <v>1.33448E-6</v>
      </c>
      <c r="Y192" s="63">
        <v>1.24405E-6</v>
      </c>
      <c r="Z192" s="63">
        <v>1.1420499999999999E-6</v>
      </c>
      <c r="AA192" s="63">
        <v>9.4343000000000002E-7</v>
      </c>
      <c r="AB192" s="63">
        <v>6.7424399999999999E-7</v>
      </c>
      <c r="AC192" s="63">
        <v>4.4843099999999997E-7</v>
      </c>
      <c r="AD192" s="63">
        <v>1.2075099999999999E-7</v>
      </c>
      <c r="AE192" s="13" t="s">
        <v>93</v>
      </c>
    </row>
    <row r="193" spans="1:31">
      <c r="A193" s="13" t="s">
        <v>324</v>
      </c>
      <c r="B193" s="13" t="s">
        <v>1</v>
      </c>
      <c r="C193" s="13" t="s">
        <v>144</v>
      </c>
      <c r="D193" s="13" t="str">
        <f>IFERROR(VLOOKUP(C193,ghg_sort!$A$86:$B$512,2,0),0)</f>
        <v>Building</v>
      </c>
      <c r="E193" s="33" t="s">
        <v>83</v>
      </c>
      <c r="F193" s="13">
        <f>IFERROR(VLOOKUP($E193,ghg_sort!$A$3:$B$21,2,0),0)</f>
        <v>0</v>
      </c>
      <c r="G193" s="13">
        <f t="shared" si="11"/>
        <v>0</v>
      </c>
      <c r="H193" s="13">
        <f t="shared" si="11"/>
        <v>0</v>
      </c>
      <c r="I193" s="13">
        <f t="shared" si="11"/>
        <v>0</v>
      </c>
      <c r="J193" s="13">
        <f t="shared" si="10"/>
        <v>0</v>
      </c>
      <c r="K193" s="13">
        <f t="shared" si="10"/>
        <v>0</v>
      </c>
      <c r="L193" s="13">
        <f t="shared" si="10"/>
        <v>0</v>
      </c>
      <c r="M193" s="13">
        <f t="shared" si="10"/>
        <v>0</v>
      </c>
      <c r="N193" s="13">
        <f t="shared" si="10"/>
        <v>0</v>
      </c>
      <c r="O193" s="13">
        <f t="shared" si="10"/>
        <v>0</v>
      </c>
      <c r="P193" s="13">
        <f t="shared" si="10"/>
        <v>0</v>
      </c>
      <c r="Q193" s="13">
        <f t="shared" si="10"/>
        <v>0</v>
      </c>
      <c r="R193" s="13" t="s">
        <v>239</v>
      </c>
      <c r="T193" s="62">
        <v>2.847273E-3</v>
      </c>
      <c r="U193" s="62">
        <v>1.7607580000000001E-3</v>
      </c>
      <c r="V193" s="62">
        <v>1.7894499999999999E-3</v>
      </c>
      <c r="W193" s="62">
        <v>4.27977999999999E-3</v>
      </c>
      <c r="X193" s="62">
        <v>3.7847860000000001E-3</v>
      </c>
      <c r="Y193" s="62">
        <v>2.6465759999999999E-3</v>
      </c>
      <c r="Z193" s="63">
        <v>1.7091647E-3</v>
      </c>
      <c r="AA193" s="63">
        <v>8.8810009999999999E-4</v>
      </c>
      <c r="AB193" s="63">
        <v>3.2114079999999998E-4</v>
      </c>
      <c r="AC193" s="63">
        <v>1.161424E-4</v>
      </c>
      <c r="AD193" s="63">
        <v>7.8763299999999999E-6</v>
      </c>
      <c r="AE193" s="13" t="s">
        <v>93</v>
      </c>
    </row>
    <row r="194" spans="1:31">
      <c r="A194" s="13" t="s">
        <v>324</v>
      </c>
      <c r="B194" s="13" t="s">
        <v>1</v>
      </c>
      <c r="C194" s="13" t="s">
        <v>144</v>
      </c>
      <c r="D194" s="13" t="str">
        <f>IFERROR(VLOOKUP(C194,ghg_sort!$A$86:$B$512,2,0),0)</f>
        <v>Building</v>
      </c>
      <c r="E194" s="33" t="s">
        <v>84</v>
      </c>
      <c r="F194" s="13">
        <f>IFERROR(VLOOKUP($E194,ghg_sort!$A$3:$B$21,2,0),0)</f>
        <v>25</v>
      </c>
      <c r="G194" s="13">
        <f t="shared" si="11"/>
        <v>5.7499799999999997E-2</v>
      </c>
      <c r="H194" s="13">
        <f t="shared" si="11"/>
        <v>5.2977025000000004E-2</v>
      </c>
      <c r="I194" s="13">
        <f t="shared" si="11"/>
        <v>5.4438424999999992E-2</v>
      </c>
      <c r="J194" s="13">
        <f t="shared" si="10"/>
        <v>7.6899059999999991E-2</v>
      </c>
      <c r="K194" s="13">
        <f t="shared" si="10"/>
        <v>0.10611996999999974</v>
      </c>
      <c r="L194" s="13">
        <f t="shared" si="10"/>
        <v>0.10784585250000001</v>
      </c>
      <c r="M194" s="13">
        <f t="shared" si="10"/>
        <v>0.10948796749999999</v>
      </c>
      <c r="N194" s="13">
        <f t="shared" si="10"/>
        <v>0.10337721999999999</v>
      </c>
      <c r="O194" s="13">
        <f t="shared" si="10"/>
        <v>8.7792392499999997E-2</v>
      </c>
      <c r="P194" s="13">
        <f t="shared" si="10"/>
        <v>6.6535751500000004E-2</v>
      </c>
      <c r="Q194" s="13">
        <f t="shared" si="10"/>
        <v>1.869519E-2</v>
      </c>
      <c r="R194" s="13" t="s">
        <v>239</v>
      </c>
      <c r="T194" s="62">
        <v>2.2999919999999998E-3</v>
      </c>
      <c r="U194" s="62">
        <v>2.1190810000000001E-3</v>
      </c>
      <c r="V194" s="62">
        <v>2.1775369999999998E-3</v>
      </c>
      <c r="W194" s="62">
        <v>3.0759623999999999E-3</v>
      </c>
      <c r="X194" s="62">
        <v>4.24479879999999E-3</v>
      </c>
      <c r="Y194" s="62">
        <v>4.3138341000000004E-3</v>
      </c>
      <c r="Z194" s="62">
        <v>4.3795186999999996E-3</v>
      </c>
      <c r="AA194" s="62">
        <v>4.1350887999999997E-3</v>
      </c>
      <c r="AB194" s="62">
        <v>3.5116956999999998E-3</v>
      </c>
      <c r="AC194" s="62">
        <v>2.66143006E-3</v>
      </c>
      <c r="AD194" s="63">
        <v>7.4780759999999995E-4</v>
      </c>
      <c r="AE194" s="13" t="s">
        <v>93</v>
      </c>
    </row>
    <row r="195" spans="1:31">
      <c r="A195" s="13" t="s">
        <v>324</v>
      </c>
      <c r="B195" s="13" t="s">
        <v>1</v>
      </c>
      <c r="C195" s="13" t="s">
        <v>144</v>
      </c>
      <c r="D195" s="13" t="str">
        <f>IFERROR(VLOOKUP(C195,ghg_sort!$A$86:$B$512,2,0),0)</f>
        <v>Building</v>
      </c>
      <c r="E195" s="33" t="s">
        <v>85</v>
      </c>
      <c r="F195" s="13">
        <f>IFERROR(VLOOKUP($E195,ghg_sort!$A$3:$B$21,2,0),0)</f>
        <v>0</v>
      </c>
      <c r="G195" s="13">
        <f t="shared" si="11"/>
        <v>0</v>
      </c>
      <c r="H195" s="13">
        <f t="shared" si="11"/>
        <v>0</v>
      </c>
      <c r="I195" s="13">
        <f t="shared" si="11"/>
        <v>0</v>
      </c>
      <c r="J195" s="13">
        <f t="shared" si="10"/>
        <v>0</v>
      </c>
      <c r="K195" s="13">
        <f t="shared" si="10"/>
        <v>0</v>
      </c>
      <c r="L195" s="13">
        <f t="shared" si="10"/>
        <v>0</v>
      </c>
      <c r="M195" s="13">
        <f t="shared" si="10"/>
        <v>0</v>
      </c>
      <c r="N195" s="13">
        <f t="shared" si="10"/>
        <v>0</v>
      </c>
      <c r="O195" s="13">
        <f t="shared" si="10"/>
        <v>0</v>
      </c>
      <c r="P195" s="13">
        <f t="shared" si="10"/>
        <v>0</v>
      </c>
      <c r="Q195" s="13">
        <f t="shared" si="10"/>
        <v>0</v>
      </c>
      <c r="R195" s="13" t="s">
        <v>239</v>
      </c>
      <c r="T195" s="62">
        <v>4.0436949000000003E-3</v>
      </c>
      <c r="U195" s="62">
        <v>2.335873E-3</v>
      </c>
      <c r="V195" s="62">
        <v>1.8404440000000001E-3</v>
      </c>
      <c r="W195" s="62">
        <v>3.2230139999999902E-3</v>
      </c>
      <c r="X195" s="62">
        <v>2.8726939999999999E-3</v>
      </c>
      <c r="Y195" s="62">
        <v>2.2662699999999999E-3</v>
      </c>
      <c r="Z195" s="62">
        <v>1.8171369999999999E-3</v>
      </c>
      <c r="AA195" s="63">
        <v>1.361148E-3</v>
      </c>
      <c r="AB195" s="63">
        <v>9.4294739999999902E-4</v>
      </c>
      <c r="AC195" s="63">
        <v>6.4101369999999998E-4</v>
      </c>
      <c r="AD195" s="63">
        <v>1.63088359999999E-4</v>
      </c>
      <c r="AE195" s="13" t="s">
        <v>93</v>
      </c>
    </row>
    <row r="196" spans="1:31">
      <c r="A196" s="13" t="s">
        <v>324</v>
      </c>
      <c r="B196" s="13" t="s">
        <v>1</v>
      </c>
      <c r="C196" s="13" t="s">
        <v>144</v>
      </c>
      <c r="D196" s="13" t="str">
        <f>IFERROR(VLOOKUP(C196,ghg_sort!$A$86:$B$512,2,0),0)</f>
        <v>Building</v>
      </c>
      <c r="E196" s="12" t="s">
        <v>86</v>
      </c>
      <c r="F196" s="13">
        <f>IFERROR(VLOOKUP($E196,ghg_sort!$A$3:$B$21,2,0),0)</f>
        <v>3.6666666666666701</v>
      </c>
      <c r="G196" s="13">
        <f t="shared" si="11"/>
        <v>11.53162010000001</v>
      </c>
      <c r="H196" s="13">
        <f t="shared" si="11"/>
        <v>14.592303000000014</v>
      </c>
      <c r="I196" s="13">
        <f t="shared" si="11"/>
        <v>12.335436666666677</v>
      </c>
      <c r="J196" s="13">
        <f t="shared" si="10"/>
        <v>14.33890333333331</v>
      </c>
      <c r="K196" s="13">
        <f t="shared" si="10"/>
        <v>15.576898333333347</v>
      </c>
      <c r="L196" s="13">
        <f t="shared" si="10"/>
        <v>16.187435000000015</v>
      </c>
      <c r="M196" s="13">
        <f t="shared" si="10"/>
        <v>14.704844000000012</v>
      </c>
      <c r="N196" s="13">
        <f t="shared" si="10"/>
        <v>11.832329666666679</v>
      </c>
      <c r="O196" s="13">
        <f t="shared" si="10"/>
        <v>8.3686863333333417</v>
      </c>
      <c r="P196" s="13">
        <f t="shared" si="10"/>
        <v>5.5913132000000054</v>
      </c>
      <c r="Q196" s="13">
        <f t="shared" si="10"/>
        <v>1.3961332000000013</v>
      </c>
      <c r="R196" s="13" t="s">
        <v>239</v>
      </c>
      <c r="T196" s="63">
        <v>3.1449872999999999</v>
      </c>
      <c r="U196" s="63">
        <v>3.9797189999999998</v>
      </c>
      <c r="V196" s="63">
        <v>3.3642099999999999</v>
      </c>
      <c r="W196" s="63">
        <v>3.9106099999999899</v>
      </c>
      <c r="X196" s="63">
        <v>4.2482449999999998</v>
      </c>
      <c r="Y196" s="63">
        <v>4.4147550000000004</v>
      </c>
      <c r="Z196" s="63">
        <v>4.0104119999999996</v>
      </c>
      <c r="AA196" s="63">
        <v>3.2269990000000002</v>
      </c>
      <c r="AB196" s="63">
        <v>2.2823690000000001</v>
      </c>
      <c r="AC196" s="63">
        <v>1.5249036</v>
      </c>
      <c r="AD196" s="63">
        <v>0.38076359999999998</v>
      </c>
      <c r="AE196" s="13" t="s">
        <v>94</v>
      </c>
    </row>
    <row r="197" spans="1:31">
      <c r="A197" s="13" t="s">
        <v>324</v>
      </c>
      <c r="B197" s="13" t="s">
        <v>1</v>
      </c>
      <c r="C197" s="13" t="s">
        <v>144</v>
      </c>
      <c r="D197" s="13" t="str">
        <f>IFERROR(VLOOKUP(C197,ghg_sort!$A$86:$B$512,2,0),0)</f>
        <v>Building</v>
      </c>
      <c r="E197" s="33" t="s">
        <v>87</v>
      </c>
      <c r="F197" s="13">
        <f>IFERROR(VLOOKUP($E197,ghg_sort!$A$3:$B$21,2,0),0)</f>
        <v>298</v>
      </c>
      <c r="G197" s="13">
        <f t="shared" si="11"/>
        <v>8.5924425999999998E-2</v>
      </c>
      <c r="H197" s="13">
        <f t="shared" si="11"/>
        <v>9.3760038000000004E-2</v>
      </c>
      <c r="I197" s="13">
        <f t="shared" si="11"/>
        <v>0.101401354</v>
      </c>
      <c r="J197" s="13">
        <f t="shared" si="10"/>
        <v>0.16415011139999999</v>
      </c>
      <c r="K197" s="13">
        <f t="shared" si="10"/>
        <v>0.2156285386</v>
      </c>
      <c r="L197" s="13">
        <f t="shared" si="10"/>
        <v>0.2469107012</v>
      </c>
      <c r="M197" s="13">
        <f t="shared" si="10"/>
        <v>0.20026401619999973</v>
      </c>
      <c r="N197" s="13">
        <f t="shared" si="10"/>
        <v>0.1263992032</v>
      </c>
      <c r="O197" s="13">
        <f t="shared" si="10"/>
        <v>5.6487643299999994E-2</v>
      </c>
      <c r="P197" s="13">
        <f t="shared" si="10"/>
        <v>2.5233430119999997E-2</v>
      </c>
      <c r="Q197" s="13">
        <f t="shared" si="10"/>
        <v>3.3683357199999998E-3</v>
      </c>
      <c r="R197" s="13" t="s">
        <v>239</v>
      </c>
      <c r="T197" s="63">
        <v>2.88337E-4</v>
      </c>
      <c r="U197" s="63">
        <v>3.14631E-4</v>
      </c>
      <c r="V197" s="63">
        <v>3.4027299999999999E-4</v>
      </c>
      <c r="W197" s="63">
        <v>5.5083930000000001E-4</v>
      </c>
      <c r="X197" s="63">
        <v>7.2358570000000003E-4</v>
      </c>
      <c r="Y197" s="63">
        <v>8.2855940000000001E-4</v>
      </c>
      <c r="Z197" s="63">
        <v>6.7202689999999905E-4</v>
      </c>
      <c r="AA197" s="63">
        <v>4.2415839999999997E-4</v>
      </c>
      <c r="AB197" s="63">
        <v>1.8955584999999999E-4</v>
      </c>
      <c r="AC197" s="63">
        <v>8.4675939999999996E-5</v>
      </c>
      <c r="AD197" s="63">
        <v>1.130314E-5</v>
      </c>
      <c r="AE197" s="13" t="s">
        <v>93</v>
      </c>
    </row>
    <row r="198" spans="1:31">
      <c r="A198" s="13" t="s">
        <v>324</v>
      </c>
      <c r="B198" s="13" t="s">
        <v>1</v>
      </c>
      <c r="C198" s="13" t="s">
        <v>144</v>
      </c>
      <c r="D198" s="13" t="str">
        <f>IFERROR(VLOOKUP(C198,ghg_sort!$A$86:$B$512,2,0),0)</f>
        <v>Building</v>
      </c>
      <c r="E198" s="33" t="s">
        <v>88</v>
      </c>
      <c r="F198" s="13">
        <f>IFERROR(VLOOKUP($E198,ghg_sort!$A$3:$B$21,2,0),0)</f>
        <v>0</v>
      </c>
      <c r="G198" s="13">
        <f t="shared" si="11"/>
        <v>0</v>
      </c>
      <c r="H198" s="13">
        <f t="shared" si="11"/>
        <v>0</v>
      </c>
      <c r="I198" s="13">
        <f t="shared" si="11"/>
        <v>0</v>
      </c>
      <c r="J198" s="13">
        <f t="shared" si="10"/>
        <v>0</v>
      </c>
      <c r="K198" s="13">
        <f t="shared" si="10"/>
        <v>0</v>
      </c>
      <c r="L198" s="13">
        <f t="shared" si="10"/>
        <v>0</v>
      </c>
      <c r="M198" s="13">
        <f t="shared" si="10"/>
        <v>0</v>
      </c>
      <c r="N198" s="13">
        <f t="shared" si="10"/>
        <v>0</v>
      </c>
      <c r="O198" s="13">
        <f t="shared" si="10"/>
        <v>0</v>
      </c>
      <c r="P198" s="13">
        <f t="shared" si="10"/>
        <v>0</v>
      </c>
      <c r="Q198" s="13">
        <f t="shared" si="10"/>
        <v>0</v>
      </c>
      <c r="R198" s="13" t="s">
        <v>239</v>
      </c>
      <c r="T198" s="63">
        <v>3.2094100000000002E-5</v>
      </c>
      <c r="U198" s="63">
        <v>1.9563589999999999E-5</v>
      </c>
      <c r="V198" s="63">
        <v>1.4808989999999999E-5</v>
      </c>
      <c r="W198" s="63">
        <v>8.9766499999999893E-5</v>
      </c>
      <c r="X198" s="63">
        <v>1.09983119999999E-4</v>
      </c>
      <c r="Y198" s="63">
        <v>1.2108877E-4</v>
      </c>
      <c r="Z198" s="63">
        <v>1.03305839999999E-4</v>
      </c>
      <c r="AA198" s="63">
        <v>7.3379269999999995E-5</v>
      </c>
      <c r="AB198" s="63">
        <v>4.267761E-5</v>
      </c>
      <c r="AC198" s="63">
        <v>2.51276E-5</v>
      </c>
      <c r="AD198" s="63">
        <v>5.4923820000000001E-6</v>
      </c>
      <c r="AE198" s="13" t="s">
        <v>93</v>
      </c>
    </row>
    <row r="199" spans="1:31">
      <c r="A199" s="13" t="s">
        <v>324</v>
      </c>
      <c r="B199" s="13" t="s">
        <v>1</v>
      </c>
      <c r="C199" s="13" t="s">
        <v>144</v>
      </c>
      <c r="D199" s="13" t="str">
        <f>IFERROR(VLOOKUP(C199,ghg_sort!$A$86:$B$512,2,0),0)</f>
        <v>Building</v>
      </c>
      <c r="E199" s="33" t="s">
        <v>89</v>
      </c>
      <c r="F199" s="13">
        <f>IFERROR(VLOOKUP($E199,ghg_sort!$A$3:$B$21,2,0),0)</f>
        <v>0</v>
      </c>
      <c r="G199" s="13">
        <f t="shared" si="11"/>
        <v>0</v>
      </c>
      <c r="H199" s="13">
        <f t="shared" si="11"/>
        <v>0</v>
      </c>
      <c r="I199" s="13">
        <f t="shared" si="11"/>
        <v>0</v>
      </c>
      <c r="J199" s="13">
        <f t="shared" si="10"/>
        <v>0</v>
      </c>
      <c r="K199" s="13">
        <f t="shared" si="10"/>
        <v>0</v>
      </c>
      <c r="L199" s="13">
        <f t="shared" si="10"/>
        <v>0</v>
      </c>
      <c r="M199" s="13">
        <f t="shared" si="10"/>
        <v>0</v>
      </c>
      <c r="N199" s="13">
        <f t="shared" si="10"/>
        <v>0</v>
      </c>
      <c r="O199" s="13">
        <f t="shared" si="10"/>
        <v>0</v>
      </c>
      <c r="P199" s="13">
        <f t="shared" si="10"/>
        <v>0</v>
      </c>
      <c r="Q199" s="13">
        <f t="shared" si="10"/>
        <v>0</v>
      </c>
      <c r="R199" s="13" t="s">
        <v>239</v>
      </c>
      <c r="T199" s="63">
        <v>8.4786099999999999E-4</v>
      </c>
      <c r="U199" s="63">
        <v>4.2412199999999998E-4</v>
      </c>
      <c r="V199" s="63">
        <v>3.8714000000000001E-4</v>
      </c>
      <c r="W199" s="63">
        <v>8.5775789999999999E-4</v>
      </c>
      <c r="X199" s="63">
        <v>7.1704859999999996E-4</v>
      </c>
      <c r="Y199" s="63">
        <v>5.2583809999999997E-4</v>
      </c>
      <c r="Z199" s="63">
        <v>3.6917470000000002E-4</v>
      </c>
      <c r="AA199" s="63">
        <v>2.24368999999999E-4</v>
      </c>
      <c r="AB199" s="63">
        <v>1.139959E-4</v>
      </c>
      <c r="AC199" s="63">
        <v>5.9859309999999999E-5</v>
      </c>
      <c r="AD199" s="63">
        <v>1.1209460000000001E-5</v>
      </c>
      <c r="AE199" s="13" t="s">
        <v>93</v>
      </c>
    </row>
    <row r="200" spans="1:31">
      <c r="A200" s="13" t="s">
        <v>324</v>
      </c>
      <c r="B200" s="13" t="s">
        <v>1</v>
      </c>
      <c r="C200" s="13" t="s">
        <v>144</v>
      </c>
      <c r="D200" s="13" t="str">
        <f>IFERROR(VLOOKUP(C200,ghg_sort!$A$86:$B$512,2,0),0)</f>
        <v>Building</v>
      </c>
      <c r="E200" s="33" t="s">
        <v>90</v>
      </c>
      <c r="F200" s="13">
        <f>IFERROR(VLOOKUP($E200,ghg_sort!$A$3:$B$21,2,0),0)</f>
        <v>0</v>
      </c>
      <c r="G200" s="13">
        <f t="shared" si="11"/>
        <v>0</v>
      </c>
      <c r="H200" s="13">
        <f t="shared" si="11"/>
        <v>0</v>
      </c>
      <c r="I200" s="13">
        <f t="shared" si="11"/>
        <v>0</v>
      </c>
      <c r="J200" s="13">
        <f t="shared" si="10"/>
        <v>0</v>
      </c>
      <c r="K200" s="13">
        <f t="shared" si="10"/>
        <v>0</v>
      </c>
      <c r="L200" s="13">
        <f t="shared" si="10"/>
        <v>0</v>
      </c>
      <c r="M200" s="13">
        <f t="shared" si="10"/>
        <v>0</v>
      </c>
      <c r="N200" s="13">
        <f t="shared" si="10"/>
        <v>0</v>
      </c>
      <c r="O200" s="13">
        <f t="shared" si="10"/>
        <v>0</v>
      </c>
      <c r="P200" s="13">
        <f t="shared" si="10"/>
        <v>0</v>
      </c>
      <c r="Q200" s="13">
        <f t="shared" si="10"/>
        <v>0</v>
      </c>
      <c r="R200" s="13" t="s">
        <v>239</v>
      </c>
      <c r="T200" s="62">
        <v>1.530368E-2</v>
      </c>
      <c r="U200" s="62">
        <v>1.14630599999999E-2</v>
      </c>
      <c r="V200" s="62">
        <v>9.6534599999999905E-3</v>
      </c>
      <c r="W200" s="62">
        <v>1.03311599999999E-2</v>
      </c>
      <c r="X200" s="62">
        <v>9.4668100000000008E-3</v>
      </c>
      <c r="Y200" s="62">
        <v>9.7831499999999991E-3</v>
      </c>
      <c r="Z200" s="62">
        <v>8.9396100000000006E-3</v>
      </c>
      <c r="AA200" s="62">
        <v>7.2541499999999896E-3</v>
      </c>
      <c r="AB200" s="62">
        <v>5.1905390000000001E-3</v>
      </c>
      <c r="AC200" s="62">
        <v>3.5157610000000001E-3</v>
      </c>
      <c r="AD200" s="63">
        <v>8.9164379999999996E-4</v>
      </c>
      <c r="AE200" s="13" t="s">
        <v>93</v>
      </c>
    </row>
    <row r="201" spans="1:31">
      <c r="A201" s="13" t="s">
        <v>324</v>
      </c>
      <c r="B201" s="13" t="s">
        <v>1</v>
      </c>
      <c r="C201" s="13" t="s">
        <v>144</v>
      </c>
      <c r="D201" s="13" t="str">
        <f>IFERROR(VLOOKUP(C201,ghg_sort!$A$86:$B$512,2,0),0)</f>
        <v>Building</v>
      </c>
      <c r="E201" s="33" t="s">
        <v>91</v>
      </c>
      <c r="F201" s="13">
        <f>IFERROR(VLOOKUP($E201,ghg_sort!$A$3:$B$21,2,0),0)</f>
        <v>0</v>
      </c>
      <c r="G201" s="13">
        <f t="shared" si="11"/>
        <v>0</v>
      </c>
      <c r="H201" s="13">
        <f t="shared" si="11"/>
        <v>0</v>
      </c>
      <c r="I201" s="13">
        <f t="shared" si="11"/>
        <v>0</v>
      </c>
      <c r="J201" s="13">
        <f t="shared" si="10"/>
        <v>0</v>
      </c>
      <c r="K201" s="13">
        <f t="shared" si="10"/>
        <v>0</v>
      </c>
      <c r="L201" s="13">
        <f t="shared" si="10"/>
        <v>0</v>
      </c>
      <c r="M201" s="13">
        <f t="shared" si="10"/>
        <v>0</v>
      </c>
      <c r="N201" s="13">
        <f t="shared" si="10"/>
        <v>0</v>
      </c>
      <c r="O201" s="13">
        <f t="shared" si="10"/>
        <v>0</v>
      </c>
      <c r="P201" s="13">
        <f t="shared" si="10"/>
        <v>0</v>
      </c>
      <c r="Q201" s="13">
        <f t="shared" si="10"/>
        <v>0</v>
      </c>
      <c r="R201" s="13" t="s">
        <v>239</v>
      </c>
      <c r="T201" s="62">
        <v>1.5663299999999999E-3</v>
      </c>
      <c r="U201" s="62">
        <v>2.3646169999999998E-3</v>
      </c>
      <c r="V201" s="62">
        <v>3.6324309999999898E-3</v>
      </c>
      <c r="W201" s="62">
        <v>1.0054356E-2</v>
      </c>
      <c r="X201" s="62">
        <v>9.5754020000000002E-3</v>
      </c>
      <c r="Y201" s="62">
        <v>6.77977599999999E-3</v>
      </c>
      <c r="Z201" s="62">
        <v>4.3727595999999997E-3</v>
      </c>
      <c r="AA201" s="63">
        <v>2.2558993000000001E-3</v>
      </c>
      <c r="AB201" s="63">
        <v>7.9216460000000003E-4</v>
      </c>
      <c r="AC201" s="63">
        <v>2.8589175000000002E-4</v>
      </c>
      <c r="AD201" s="63">
        <v>2.0846600000000001E-5</v>
      </c>
      <c r="AE201" s="13" t="s">
        <v>93</v>
      </c>
    </row>
    <row r="202" spans="1:31">
      <c r="A202" s="13" t="s">
        <v>324</v>
      </c>
      <c r="B202" s="13" t="s">
        <v>1</v>
      </c>
      <c r="C202" s="13" t="s">
        <v>144</v>
      </c>
      <c r="D202" s="13" t="str">
        <f>IFERROR(VLOOKUP(C202,ghg_sort!$A$86:$B$512,2,0),0)</f>
        <v>Building</v>
      </c>
      <c r="E202" s="33" t="s">
        <v>92</v>
      </c>
      <c r="F202" s="13">
        <f>IFERROR(VLOOKUP($E202,ghg_sort!$A$3:$B$21,2,0),0)</f>
        <v>0</v>
      </c>
      <c r="G202" s="13">
        <f t="shared" si="11"/>
        <v>0</v>
      </c>
      <c r="H202" s="13">
        <f t="shared" si="11"/>
        <v>0</v>
      </c>
      <c r="I202" s="13">
        <f t="shared" si="11"/>
        <v>0</v>
      </c>
      <c r="J202" s="13">
        <f t="shared" si="10"/>
        <v>0</v>
      </c>
      <c r="K202" s="13">
        <f t="shared" si="10"/>
        <v>0</v>
      </c>
      <c r="L202" s="13">
        <f t="shared" si="10"/>
        <v>0</v>
      </c>
      <c r="M202" s="13">
        <f t="shared" si="10"/>
        <v>0</v>
      </c>
      <c r="N202" s="13">
        <f t="shared" si="10"/>
        <v>0</v>
      </c>
      <c r="O202" s="13">
        <f t="shared" si="10"/>
        <v>0</v>
      </c>
      <c r="P202" s="13">
        <f t="shared" si="10"/>
        <v>0</v>
      </c>
      <c r="Q202" s="13">
        <f t="shared" si="10"/>
        <v>0</v>
      </c>
      <c r="R202" s="13" t="s">
        <v>239</v>
      </c>
      <c r="T202" s="62">
        <v>7.3074880009999996E-3</v>
      </c>
      <c r="U202" s="62">
        <v>2.4704751799999999E-3</v>
      </c>
      <c r="V202" s="63">
        <v>4.7803327999999898E-3</v>
      </c>
      <c r="W202" s="62">
        <v>2.2094174000000001E-3</v>
      </c>
      <c r="X202" s="63">
        <v>1.1617954999999999E-3</v>
      </c>
      <c r="Y202" s="63">
        <v>9.3315270000000005E-4</v>
      </c>
      <c r="Z202" s="63">
        <v>7.0833300000000001E-4</v>
      </c>
      <c r="AA202" s="63">
        <v>4.3947189999999899E-4</v>
      </c>
      <c r="AB202" s="63">
        <v>2.004055E-4</v>
      </c>
      <c r="AC202" s="63">
        <v>7.9834100000000002E-5</v>
      </c>
      <c r="AD202" s="63">
        <v>6.57946E-6</v>
      </c>
      <c r="AE202" s="13" t="s">
        <v>93</v>
      </c>
    </row>
    <row r="203" spans="1:31">
      <c r="A203" s="13" t="s">
        <v>324</v>
      </c>
      <c r="B203" s="13" t="s">
        <v>1</v>
      </c>
      <c r="C203" s="13" t="s">
        <v>145</v>
      </c>
      <c r="D203" s="13" t="str">
        <f>IFERROR(VLOOKUP(C203,ghg_sort!$A$86:$B$512,2,0),0)</f>
        <v>Building</v>
      </c>
      <c r="E203" s="33" t="s">
        <v>83</v>
      </c>
      <c r="F203" s="13">
        <f>IFERROR(VLOOKUP($E203,ghg_sort!$A$3:$B$21,2,0),0)</f>
        <v>0</v>
      </c>
      <c r="G203" s="13">
        <f t="shared" si="11"/>
        <v>0</v>
      </c>
      <c r="H203" s="13">
        <f t="shared" si="11"/>
        <v>0</v>
      </c>
      <c r="I203" s="13">
        <f t="shared" si="11"/>
        <v>0</v>
      </c>
      <c r="J203" s="13">
        <f t="shared" si="10"/>
        <v>0</v>
      </c>
      <c r="K203" s="13">
        <f t="shared" si="10"/>
        <v>0</v>
      </c>
      <c r="L203" s="13">
        <f t="shared" si="10"/>
        <v>0</v>
      </c>
      <c r="M203" s="13">
        <f t="shared" si="10"/>
        <v>0</v>
      </c>
      <c r="N203" s="13">
        <f t="shared" si="10"/>
        <v>0</v>
      </c>
      <c r="O203" s="13">
        <f t="shared" si="10"/>
        <v>0</v>
      </c>
      <c r="P203" s="13">
        <f t="shared" si="10"/>
        <v>0</v>
      </c>
      <c r="Q203" s="13">
        <f t="shared" si="10"/>
        <v>0</v>
      </c>
      <c r="R203" s="13" t="s">
        <v>239</v>
      </c>
      <c r="T203" s="62">
        <v>3.3025208E-3</v>
      </c>
      <c r="U203" s="62">
        <v>1.3627797E-3</v>
      </c>
      <c r="V203" s="63">
        <v>7.5371800000000001E-4</v>
      </c>
      <c r="W203" s="62">
        <v>1.1180960000000001E-3</v>
      </c>
      <c r="X203" s="63">
        <v>8.5308900000000002E-4</v>
      </c>
      <c r="Y203" s="63">
        <v>4.8889799999999998E-4</v>
      </c>
      <c r="Z203" s="63">
        <v>3.0259199999999899E-4</v>
      </c>
      <c r="AA203" s="63">
        <v>1.4892909999999999E-4</v>
      </c>
      <c r="AB203" s="63">
        <v>5.5325799999999998E-5</v>
      </c>
      <c r="AC203" s="63">
        <v>1.64721999999999E-5</v>
      </c>
      <c r="AD203" s="63">
        <v>3.9593000000000003E-7</v>
      </c>
      <c r="AE203" s="13" t="s">
        <v>93</v>
      </c>
    </row>
    <row r="204" spans="1:31">
      <c r="A204" s="13" t="s">
        <v>324</v>
      </c>
      <c r="B204" s="13" t="s">
        <v>1</v>
      </c>
      <c r="C204" s="13" t="s">
        <v>145</v>
      </c>
      <c r="D204" s="13" t="str">
        <f>IFERROR(VLOOKUP(C204,ghg_sort!$A$86:$B$512,2,0),0)</f>
        <v>Building</v>
      </c>
      <c r="E204" s="33" t="s">
        <v>84</v>
      </c>
      <c r="F204" s="13">
        <f>IFERROR(VLOOKUP($E204,ghg_sort!$A$3:$B$21,2,0),0)</f>
        <v>25</v>
      </c>
      <c r="G204" s="13">
        <f t="shared" si="11"/>
        <v>5.6220299999999744E-2</v>
      </c>
      <c r="H204" s="13">
        <f t="shared" si="11"/>
        <v>3.3330974999999999E-2</v>
      </c>
      <c r="I204" s="13">
        <f t="shared" si="11"/>
        <v>3.2921825000000002E-2</v>
      </c>
      <c r="J204" s="13">
        <f t="shared" si="10"/>
        <v>4.2754449999999999E-2</v>
      </c>
      <c r="K204" s="13">
        <f t="shared" si="10"/>
        <v>5.1056615E-2</v>
      </c>
      <c r="L204" s="13">
        <f t="shared" si="10"/>
        <v>5.5578522499999755E-2</v>
      </c>
      <c r="M204" s="13">
        <f t="shared" si="10"/>
        <v>5.5945612499999998E-2</v>
      </c>
      <c r="N204" s="13">
        <f t="shared" si="10"/>
        <v>4.82868625E-2</v>
      </c>
      <c r="O204" s="13">
        <f t="shared" si="10"/>
        <v>3.4402740499999751E-2</v>
      </c>
      <c r="P204" s="13">
        <f t="shared" si="10"/>
        <v>2.1724430249999999E-2</v>
      </c>
      <c r="Q204" s="13">
        <f t="shared" si="10"/>
        <v>4.5690106249999998E-3</v>
      </c>
      <c r="R204" s="13" t="s">
        <v>239</v>
      </c>
      <c r="T204" s="62">
        <v>2.2488119999999898E-3</v>
      </c>
      <c r="U204" s="62">
        <v>1.333239E-3</v>
      </c>
      <c r="V204" s="62">
        <v>1.3168730000000001E-3</v>
      </c>
      <c r="W204" s="62">
        <v>1.7101779999999999E-3</v>
      </c>
      <c r="X204" s="62">
        <v>2.0422646E-3</v>
      </c>
      <c r="Y204" s="63">
        <v>2.2231408999999901E-3</v>
      </c>
      <c r="Z204" s="63">
        <v>2.2378245E-3</v>
      </c>
      <c r="AA204" s="63">
        <v>1.9314745E-3</v>
      </c>
      <c r="AB204" s="63">
        <v>1.3761096199999901E-3</v>
      </c>
      <c r="AC204" s="63">
        <v>8.6897720999999997E-4</v>
      </c>
      <c r="AD204" s="63">
        <v>1.82760425E-4</v>
      </c>
      <c r="AE204" s="13" t="s">
        <v>93</v>
      </c>
    </row>
    <row r="205" spans="1:31">
      <c r="A205" s="13" t="s">
        <v>324</v>
      </c>
      <c r="B205" s="13" t="s">
        <v>1</v>
      </c>
      <c r="C205" s="13" t="s">
        <v>145</v>
      </c>
      <c r="D205" s="13" t="str">
        <f>IFERROR(VLOOKUP(C205,ghg_sort!$A$86:$B$512,2,0),0)</f>
        <v>Building</v>
      </c>
      <c r="E205" s="33" t="s">
        <v>85</v>
      </c>
      <c r="F205" s="13">
        <f>IFERROR(VLOOKUP($E205,ghg_sort!$A$3:$B$21,2,0),0)</f>
        <v>0</v>
      </c>
      <c r="G205" s="13">
        <f t="shared" si="11"/>
        <v>0</v>
      </c>
      <c r="H205" s="13">
        <f t="shared" si="11"/>
        <v>0</v>
      </c>
      <c r="I205" s="13">
        <f t="shared" si="11"/>
        <v>0</v>
      </c>
      <c r="J205" s="13">
        <f t="shared" si="10"/>
        <v>0</v>
      </c>
      <c r="K205" s="13">
        <f t="shared" si="10"/>
        <v>0</v>
      </c>
      <c r="L205" s="13">
        <f t="shared" si="10"/>
        <v>0</v>
      </c>
      <c r="M205" s="13">
        <f t="shared" si="10"/>
        <v>0</v>
      </c>
      <c r="N205" s="13">
        <f t="shared" si="10"/>
        <v>0</v>
      </c>
      <c r="O205" s="13">
        <f t="shared" si="10"/>
        <v>0</v>
      </c>
      <c r="P205" s="13">
        <f t="shared" si="10"/>
        <v>0</v>
      </c>
      <c r="Q205" s="13">
        <f t="shared" si="10"/>
        <v>0</v>
      </c>
      <c r="R205" s="13" t="s">
        <v>239</v>
      </c>
      <c r="T205" s="62">
        <v>4.7827145999999997E-3</v>
      </c>
      <c r="U205" s="62">
        <v>2.2367329999999999E-3</v>
      </c>
      <c r="V205" s="62">
        <v>1.3871339999999999E-3</v>
      </c>
      <c r="W205" s="62">
        <v>1.4880499999999899E-3</v>
      </c>
      <c r="X205" s="62">
        <v>1.2624349999999999E-3</v>
      </c>
      <c r="Y205" s="63">
        <v>1.0133709999999899E-3</v>
      </c>
      <c r="Z205" s="63">
        <v>8.5964730000000005E-4</v>
      </c>
      <c r="AA205" s="63">
        <v>6.2931580000000003E-4</v>
      </c>
      <c r="AB205" s="63">
        <v>3.8568329999999999E-4</v>
      </c>
      <c r="AC205" s="63">
        <v>2.1208507E-4</v>
      </c>
      <c r="AD205" s="63">
        <v>3.9063180999999997E-5</v>
      </c>
      <c r="AE205" s="13" t="s">
        <v>93</v>
      </c>
    </row>
    <row r="206" spans="1:31">
      <c r="A206" s="13" t="s">
        <v>324</v>
      </c>
      <c r="B206" s="13" t="s">
        <v>1</v>
      </c>
      <c r="C206" s="13" t="s">
        <v>145</v>
      </c>
      <c r="D206" s="13" t="str">
        <f>IFERROR(VLOOKUP(C206,ghg_sort!$A$86:$B$512,2,0),0)</f>
        <v>Building</v>
      </c>
      <c r="E206" s="12" t="s">
        <v>86</v>
      </c>
      <c r="F206" s="13">
        <f>IFERROR(VLOOKUP($E206,ghg_sort!$A$3:$B$21,2,0),0)</f>
        <v>3.6666666666666701</v>
      </c>
      <c r="G206" s="13">
        <f t="shared" si="11"/>
        <v>13.468369566666679</v>
      </c>
      <c r="H206" s="13">
        <f t="shared" si="11"/>
        <v>14.051402933333346</v>
      </c>
      <c r="I206" s="13">
        <f t="shared" si="11"/>
        <v>10.20656450000001</v>
      </c>
      <c r="J206" s="13">
        <f t="shared" si="10"/>
        <v>9.372590333333342</v>
      </c>
      <c r="K206" s="13">
        <f t="shared" si="10"/>
        <v>10.407562000000009</v>
      </c>
      <c r="L206" s="13">
        <f t="shared" si="10"/>
        <v>9.3024836666666744</v>
      </c>
      <c r="M206" s="13">
        <f t="shared" si="10"/>
        <v>7.9591710000000067</v>
      </c>
      <c r="N206" s="13">
        <f t="shared" si="10"/>
        <v>5.8035292333333022</v>
      </c>
      <c r="O206" s="13">
        <f t="shared" si="10"/>
        <v>3.5014510666666703</v>
      </c>
      <c r="P206" s="13">
        <f t="shared" si="10"/>
        <v>1.873471233333335</v>
      </c>
      <c r="Q206" s="13">
        <f t="shared" si="10"/>
        <v>0.33378408800000031</v>
      </c>
      <c r="R206" s="13" t="s">
        <v>239</v>
      </c>
      <c r="T206" s="63">
        <v>3.6731916999999998</v>
      </c>
      <c r="U206" s="63">
        <v>3.8322007999999999</v>
      </c>
      <c r="V206" s="63">
        <v>2.7836085000000002</v>
      </c>
      <c r="W206" s="63">
        <v>2.5561609999999999</v>
      </c>
      <c r="X206" s="63">
        <v>2.8384260000000001</v>
      </c>
      <c r="Y206" s="63">
        <v>2.5370409999999999</v>
      </c>
      <c r="Z206" s="63">
        <v>2.1706829999999999</v>
      </c>
      <c r="AA206" s="63">
        <v>1.58278069999999</v>
      </c>
      <c r="AB206" s="63">
        <v>0.95494120000000005</v>
      </c>
      <c r="AC206" s="63">
        <v>0.51094669999999998</v>
      </c>
      <c r="AD206" s="63">
        <v>9.1032024000000003E-2</v>
      </c>
      <c r="AE206" s="13" t="s">
        <v>94</v>
      </c>
    </row>
    <row r="207" spans="1:31">
      <c r="A207" s="13" t="s">
        <v>324</v>
      </c>
      <c r="B207" s="13" t="s">
        <v>1</v>
      </c>
      <c r="C207" s="13" t="s">
        <v>145</v>
      </c>
      <c r="D207" s="13" t="str">
        <f>IFERROR(VLOOKUP(C207,ghg_sort!$A$86:$B$512,2,0),0)</f>
        <v>Building</v>
      </c>
      <c r="E207" s="33" t="s">
        <v>87</v>
      </c>
      <c r="F207" s="13">
        <f>IFERROR(VLOOKUP($E207,ghg_sort!$A$3:$B$21,2,0),0)</f>
        <v>298</v>
      </c>
      <c r="G207" s="13">
        <f t="shared" si="11"/>
        <v>9.2875574000000002E-2</v>
      </c>
      <c r="H207" s="13">
        <f t="shared" si="11"/>
        <v>7.2264016599999994E-2</v>
      </c>
      <c r="I207" s="13">
        <f t="shared" si="11"/>
        <v>4.9722700599999996E-2</v>
      </c>
      <c r="J207" s="13">
        <f t="shared" si="10"/>
        <v>4.0613943200000002E-2</v>
      </c>
      <c r="K207" s="13">
        <f t="shared" si="10"/>
        <v>4.5696959000000002E-2</v>
      </c>
      <c r="L207" s="13">
        <f t="shared" si="10"/>
        <v>4.5017131600000003E-2</v>
      </c>
      <c r="M207" s="13">
        <f t="shared" si="10"/>
        <v>3.61546414E-2</v>
      </c>
      <c r="N207" s="13">
        <f t="shared" si="10"/>
        <v>2.25698644E-2</v>
      </c>
      <c r="O207" s="13">
        <f t="shared" si="10"/>
        <v>1.04255002E-2</v>
      </c>
      <c r="P207" s="13">
        <f t="shared" si="10"/>
        <v>4.4064187200000002E-3</v>
      </c>
      <c r="Q207" s="13">
        <f t="shared" si="10"/>
        <v>5.53005156E-4</v>
      </c>
      <c r="R207" s="13" t="s">
        <v>239</v>
      </c>
      <c r="T207" s="63">
        <v>3.11663E-4</v>
      </c>
      <c r="U207" s="63">
        <v>2.424967E-4</v>
      </c>
      <c r="V207" s="63">
        <v>1.6685469999999999E-4</v>
      </c>
      <c r="W207" s="63">
        <v>1.3628840000000001E-4</v>
      </c>
      <c r="X207" s="63">
        <v>1.533455E-4</v>
      </c>
      <c r="Y207" s="63">
        <v>1.510642E-4</v>
      </c>
      <c r="Z207" s="63">
        <v>1.213243E-4</v>
      </c>
      <c r="AA207" s="63">
        <v>7.5737799999999998E-5</v>
      </c>
      <c r="AB207" s="63">
        <v>3.4984899999999998E-5</v>
      </c>
      <c r="AC207" s="63">
        <v>1.4786639999999999E-5</v>
      </c>
      <c r="AD207" s="63">
        <v>1.8557220000000001E-6</v>
      </c>
      <c r="AE207" s="13" t="s">
        <v>93</v>
      </c>
    </row>
    <row r="208" spans="1:31">
      <c r="A208" s="13" t="s">
        <v>324</v>
      </c>
      <c r="B208" s="13" t="s">
        <v>1</v>
      </c>
      <c r="C208" s="13" t="s">
        <v>145</v>
      </c>
      <c r="D208" s="13" t="str">
        <f>IFERROR(VLOOKUP(C208,ghg_sort!$A$86:$B$512,2,0),0)</f>
        <v>Building</v>
      </c>
      <c r="E208" s="33" t="s">
        <v>88</v>
      </c>
      <c r="F208" s="13">
        <f>IFERROR(VLOOKUP($E208,ghg_sort!$A$3:$B$21,2,0),0)</f>
        <v>0</v>
      </c>
      <c r="G208" s="13">
        <f t="shared" si="11"/>
        <v>0</v>
      </c>
      <c r="H208" s="13">
        <f t="shared" si="11"/>
        <v>0</v>
      </c>
      <c r="I208" s="13">
        <f t="shared" si="11"/>
        <v>0</v>
      </c>
      <c r="J208" s="13">
        <f t="shared" si="10"/>
        <v>0</v>
      </c>
      <c r="K208" s="13">
        <f t="shared" si="10"/>
        <v>0</v>
      </c>
      <c r="L208" s="13">
        <f t="shared" si="10"/>
        <v>0</v>
      </c>
      <c r="M208" s="13">
        <f t="shared" ref="M208:Q259" si="15">Z208*$F208</f>
        <v>0</v>
      </c>
      <c r="N208" s="13">
        <f t="shared" si="15"/>
        <v>0</v>
      </c>
      <c r="O208" s="13">
        <f t="shared" si="15"/>
        <v>0</v>
      </c>
      <c r="P208" s="13">
        <f t="shared" si="15"/>
        <v>0</v>
      </c>
      <c r="Q208" s="13">
        <f t="shared" si="15"/>
        <v>0</v>
      </c>
      <c r="R208" s="13" t="s">
        <v>239</v>
      </c>
      <c r="T208" s="63">
        <v>3.7905899999999999E-5</v>
      </c>
      <c r="U208" s="63">
        <v>1.9718329999999999E-5</v>
      </c>
      <c r="V208" s="63">
        <v>4.4729299999999902E-6</v>
      </c>
      <c r="W208" s="63">
        <v>3.80793E-5</v>
      </c>
      <c r="X208" s="63">
        <v>4.2649459999999901E-5</v>
      </c>
      <c r="Y208" s="63">
        <v>3.9895999999999999E-5</v>
      </c>
      <c r="Z208" s="63">
        <v>3.3849880000000001E-5</v>
      </c>
      <c r="AA208" s="63">
        <v>2.3917230000000001E-5</v>
      </c>
      <c r="AB208" s="63">
        <v>1.3733220000000001E-5</v>
      </c>
      <c r="AC208" s="63">
        <v>7.1631659999999998E-6</v>
      </c>
      <c r="AD208" s="63">
        <v>1.2417417E-6</v>
      </c>
      <c r="AE208" s="13" t="s">
        <v>93</v>
      </c>
    </row>
    <row r="209" spans="1:31">
      <c r="A209" s="13" t="s">
        <v>324</v>
      </c>
      <c r="B209" s="13" t="s">
        <v>1</v>
      </c>
      <c r="C209" s="13" t="s">
        <v>145</v>
      </c>
      <c r="D209" s="13" t="str">
        <f>IFERROR(VLOOKUP(C209,ghg_sort!$A$86:$B$512,2,0),0)</f>
        <v>Building</v>
      </c>
      <c r="E209" s="33" t="s">
        <v>89</v>
      </c>
      <c r="F209" s="13">
        <f>IFERROR(VLOOKUP($E209,ghg_sort!$A$3:$B$21,2,0),0)</f>
        <v>0</v>
      </c>
      <c r="G209" s="13">
        <f t="shared" si="11"/>
        <v>0</v>
      </c>
      <c r="H209" s="13">
        <f t="shared" si="11"/>
        <v>0</v>
      </c>
      <c r="I209" s="13">
        <f t="shared" si="11"/>
        <v>0</v>
      </c>
      <c r="J209" s="13">
        <f t="shared" si="11"/>
        <v>0</v>
      </c>
      <c r="K209" s="13">
        <f t="shared" si="11"/>
        <v>0</v>
      </c>
      <c r="L209" s="13">
        <f t="shared" si="11"/>
        <v>0</v>
      </c>
      <c r="M209" s="13">
        <f t="shared" si="15"/>
        <v>0</v>
      </c>
      <c r="N209" s="13">
        <f t="shared" si="15"/>
        <v>0</v>
      </c>
      <c r="O209" s="13">
        <f t="shared" si="15"/>
        <v>0</v>
      </c>
      <c r="P209" s="13">
        <f t="shared" si="15"/>
        <v>0</v>
      </c>
      <c r="Q209" s="13">
        <f t="shared" si="15"/>
        <v>0</v>
      </c>
      <c r="R209" s="13" t="s">
        <v>239</v>
      </c>
      <c r="T209" s="62">
        <v>1.002139E-3</v>
      </c>
      <c r="U209" s="63">
        <v>4.1372380000000001E-4</v>
      </c>
      <c r="V209" s="63">
        <v>2.7998769999999898E-4</v>
      </c>
      <c r="W209" s="63">
        <v>3.3793359999999999E-4</v>
      </c>
      <c r="X209" s="63">
        <v>2.6263239999999998E-4</v>
      </c>
      <c r="Y209" s="63">
        <v>1.9086999999999999E-4</v>
      </c>
      <c r="Z209" s="63">
        <v>1.441201E-4</v>
      </c>
      <c r="AA209" s="63">
        <v>9.0444299999999997E-5</v>
      </c>
      <c r="AB209" s="63">
        <v>4.550938E-5</v>
      </c>
      <c r="AC209" s="63">
        <v>1.953561E-5</v>
      </c>
      <c r="AD209" s="63">
        <v>2.49477849999999E-6</v>
      </c>
      <c r="AE209" s="13" t="s">
        <v>93</v>
      </c>
    </row>
    <row r="210" spans="1:31">
      <c r="A210" s="13" t="s">
        <v>324</v>
      </c>
      <c r="B210" s="13" t="s">
        <v>1</v>
      </c>
      <c r="C210" s="13" t="s">
        <v>145</v>
      </c>
      <c r="D210" s="13" t="str">
        <f>IFERROR(VLOOKUP(C210,ghg_sort!$A$86:$B$512,2,0),0)</f>
        <v>Building</v>
      </c>
      <c r="E210" s="33" t="s">
        <v>90</v>
      </c>
      <c r="F210" s="13">
        <f>IFERROR(VLOOKUP($E210,ghg_sort!$A$3:$B$21,2,0),0)</f>
        <v>0</v>
      </c>
      <c r="G210" s="13">
        <f t="shared" si="11"/>
        <v>0</v>
      </c>
      <c r="H210" s="13">
        <f t="shared" si="11"/>
        <v>0</v>
      </c>
      <c r="I210" s="13">
        <f t="shared" si="11"/>
        <v>0</v>
      </c>
      <c r="J210" s="13">
        <f t="shared" si="11"/>
        <v>0</v>
      </c>
      <c r="K210" s="13">
        <f t="shared" si="11"/>
        <v>0</v>
      </c>
      <c r="L210" s="13">
        <f t="shared" si="11"/>
        <v>0</v>
      </c>
      <c r="M210" s="13">
        <f t="shared" si="15"/>
        <v>0</v>
      </c>
      <c r="N210" s="13">
        <f t="shared" si="15"/>
        <v>0</v>
      </c>
      <c r="O210" s="13">
        <f t="shared" si="15"/>
        <v>0</v>
      </c>
      <c r="P210" s="13">
        <f t="shared" si="15"/>
        <v>0</v>
      </c>
      <c r="Q210" s="13">
        <f t="shared" si="15"/>
        <v>0</v>
      </c>
      <c r="R210" s="13" t="s">
        <v>239</v>
      </c>
      <c r="T210" s="62">
        <v>1.7971958499999999E-2</v>
      </c>
      <c r="U210" s="63">
        <v>1.168403E-2</v>
      </c>
      <c r="V210" s="63">
        <v>8.4823099999999998E-3</v>
      </c>
      <c r="W210" s="62">
        <v>6.8925599999999998E-3</v>
      </c>
      <c r="X210" s="63">
        <v>5.9239440000000004E-3</v>
      </c>
      <c r="Y210" s="63">
        <v>5.0426749999999999E-3</v>
      </c>
      <c r="Z210" s="63">
        <v>4.3748709999999998E-3</v>
      </c>
      <c r="AA210" s="63">
        <v>3.2810197999999999E-3</v>
      </c>
      <c r="AB210" s="63">
        <v>2.0576237E-3</v>
      </c>
      <c r="AC210" s="63">
        <v>1.1430955199999899E-3</v>
      </c>
      <c r="AD210" s="63">
        <v>2.1248144200000001E-4</v>
      </c>
      <c r="AE210" s="13" t="s">
        <v>93</v>
      </c>
    </row>
    <row r="211" spans="1:31">
      <c r="A211" s="13" t="s">
        <v>324</v>
      </c>
      <c r="B211" s="13" t="s">
        <v>1</v>
      </c>
      <c r="C211" s="13" t="s">
        <v>145</v>
      </c>
      <c r="D211" s="13" t="str">
        <f>IFERROR(VLOOKUP(C211,ghg_sort!$A$86:$B$512,2,0),0)</f>
        <v>Building</v>
      </c>
      <c r="E211" s="33" t="s">
        <v>91</v>
      </c>
      <c r="F211" s="13">
        <f>IFERROR(VLOOKUP($E211,ghg_sort!$A$3:$B$21,2,0),0)</f>
        <v>0</v>
      </c>
      <c r="G211" s="13">
        <f t="shared" si="11"/>
        <v>0</v>
      </c>
      <c r="H211" s="13">
        <f t="shared" si="11"/>
        <v>0</v>
      </c>
      <c r="I211" s="13">
        <f t="shared" si="11"/>
        <v>0</v>
      </c>
      <c r="J211" s="13">
        <f t="shared" si="11"/>
        <v>0</v>
      </c>
      <c r="K211" s="13">
        <f t="shared" si="11"/>
        <v>0</v>
      </c>
      <c r="L211" s="13">
        <f t="shared" si="11"/>
        <v>0</v>
      </c>
      <c r="M211" s="13">
        <f t="shared" si="15"/>
        <v>0</v>
      </c>
      <c r="N211" s="13">
        <f t="shared" si="15"/>
        <v>0</v>
      </c>
      <c r="O211" s="13">
        <f t="shared" si="15"/>
        <v>0</v>
      </c>
      <c r="P211" s="13">
        <f t="shared" si="15"/>
        <v>0</v>
      </c>
      <c r="Q211" s="13">
        <f t="shared" si="15"/>
        <v>0</v>
      </c>
      <c r="R211" s="13" t="s">
        <v>239</v>
      </c>
      <c r="T211" s="62">
        <v>1.60367E-3</v>
      </c>
      <c r="U211" s="63">
        <v>9.0538299999999995E-4</v>
      </c>
      <c r="V211" s="63">
        <v>7.1756900000000004E-4</v>
      </c>
      <c r="W211" s="62">
        <v>1.4556440000000001E-3</v>
      </c>
      <c r="X211" s="63">
        <v>1.16081E-3</v>
      </c>
      <c r="Y211" s="63">
        <v>7.9334299999999996E-4</v>
      </c>
      <c r="Z211" s="63">
        <v>5.0582699999999895E-4</v>
      </c>
      <c r="AA211" s="63">
        <v>2.4478359999999998E-4</v>
      </c>
      <c r="AB211" s="63">
        <v>7.8545600000000002E-5</v>
      </c>
      <c r="AC211" s="63">
        <v>2.3835040000000001E-5</v>
      </c>
      <c r="AD211" s="63">
        <v>1.0479200000000001E-6</v>
      </c>
      <c r="AE211" s="13" t="s">
        <v>93</v>
      </c>
    </row>
    <row r="212" spans="1:31">
      <c r="A212" s="13" t="s">
        <v>324</v>
      </c>
      <c r="B212" s="13" t="s">
        <v>1</v>
      </c>
      <c r="C212" s="13" t="s">
        <v>145</v>
      </c>
      <c r="D212" s="13" t="str">
        <f>IFERROR(VLOOKUP(C212,ghg_sort!$A$86:$B$512,2,0),0)</f>
        <v>Building</v>
      </c>
      <c r="E212" s="33" t="s">
        <v>92</v>
      </c>
      <c r="F212" s="13">
        <f>IFERROR(VLOOKUP($E212,ghg_sort!$A$3:$B$21,2,0),0)</f>
        <v>0</v>
      </c>
      <c r="G212" s="13">
        <f t="shared" si="11"/>
        <v>0</v>
      </c>
      <c r="H212" s="13">
        <f t="shared" si="11"/>
        <v>0</v>
      </c>
      <c r="I212" s="13">
        <f t="shared" si="11"/>
        <v>0</v>
      </c>
      <c r="J212" s="13">
        <f t="shared" si="11"/>
        <v>0</v>
      </c>
      <c r="K212" s="13">
        <f t="shared" si="11"/>
        <v>0</v>
      </c>
      <c r="L212" s="13">
        <f t="shared" si="11"/>
        <v>0</v>
      </c>
      <c r="M212" s="13">
        <f t="shared" si="15"/>
        <v>0</v>
      </c>
      <c r="N212" s="13">
        <f t="shared" si="15"/>
        <v>0</v>
      </c>
      <c r="O212" s="13">
        <f t="shared" si="15"/>
        <v>0</v>
      </c>
      <c r="P212" s="13">
        <f t="shared" si="15"/>
        <v>0</v>
      </c>
      <c r="Q212" s="13">
        <f t="shared" si="15"/>
        <v>0</v>
      </c>
      <c r="R212" s="13" t="s">
        <v>239</v>
      </c>
      <c r="T212" s="63">
        <v>8.922077657E-3</v>
      </c>
      <c r="U212" s="63">
        <v>2.8654565999999999E-3</v>
      </c>
      <c r="V212" s="62">
        <v>5.2990362999999997E-3</v>
      </c>
      <c r="W212" s="63">
        <v>2.2178661100000002E-3</v>
      </c>
      <c r="X212" s="63">
        <v>1.6247882700000001E-3</v>
      </c>
      <c r="Y212" s="63">
        <v>7.5606011000000002E-4</v>
      </c>
      <c r="Z212" s="63">
        <v>4.5058990999999999E-4</v>
      </c>
      <c r="AA212" s="63">
        <v>2.2909300000000001E-4</v>
      </c>
      <c r="AB212" s="63">
        <v>9.1342189999999994E-5</v>
      </c>
      <c r="AC212" s="63">
        <v>2.6870296999999899E-5</v>
      </c>
      <c r="AD212" s="63">
        <v>7.6447639999999999E-7</v>
      </c>
      <c r="AE212" s="13" t="s">
        <v>93</v>
      </c>
    </row>
    <row r="213" spans="1:31">
      <c r="A213" s="13" t="s">
        <v>324</v>
      </c>
      <c r="B213" s="13" t="s">
        <v>1</v>
      </c>
      <c r="C213" s="13" t="s">
        <v>67</v>
      </c>
      <c r="D213" s="13" t="str">
        <f>IFERROR(VLOOKUP(C213,ghg_sort!$A$86:$B$512,2,0),0)</f>
        <v>Industry</v>
      </c>
      <c r="E213" s="33" t="s">
        <v>83</v>
      </c>
      <c r="F213" s="13">
        <f>IFERROR(VLOOKUP($E213,ghg_sort!$A$3:$B$21,2,0),0)</f>
        <v>0</v>
      </c>
      <c r="G213" s="13">
        <f t="shared" si="11"/>
        <v>0</v>
      </c>
      <c r="H213" s="13">
        <f t="shared" si="11"/>
        <v>0</v>
      </c>
      <c r="I213" s="13">
        <f t="shared" si="11"/>
        <v>0</v>
      </c>
      <c r="J213" s="13">
        <f t="shared" si="11"/>
        <v>0</v>
      </c>
      <c r="K213" s="13">
        <f t="shared" si="11"/>
        <v>0</v>
      </c>
      <c r="L213" s="13">
        <f t="shared" si="11"/>
        <v>0</v>
      </c>
      <c r="M213" s="13">
        <f t="shared" si="15"/>
        <v>0</v>
      </c>
      <c r="N213" s="13">
        <f t="shared" si="15"/>
        <v>0</v>
      </c>
      <c r="O213" s="13">
        <f t="shared" si="15"/>
        <v>0</v>
      </c>
      <c r="P213" s="13">
        <f t="shared" si="15"/>
        <v>0</v>
      </c>
      <c r="Q213" s="13">
        <f t="shared" si="15"/>
        <v>0</v>
      </c>
      <c r="R213" s="13" t="s">
        <v>239</v>
      </c>
      <c r="T213" s="63">
        <v>7.4510899999999998E-4</v>
      </c>
      <c r="U213" s="63">
        <v>8.63809E-4</v>
      </c>
      <c r="V213" s="63">
        <v>1.52341E-3</v>
      </c>
      <c r="W213" s="63">
        <v>3.7956390000000001E-5</v>
      </c>
      <c r="X213" s="63">
        <v>5.1994336999999999E-5</v>
      </c>
      <c r="Y213" s="63">
        <v>1.2505731599999999E-4</v>
      </c>
      <c r="Z213" s="63">
        <v>2.17067881299999E-4</v>
      </c>
      <c r="AA213" s="63">
        <v>2.8235325890000002E-4</v>
      </c>
      <c r="AB213" s="63">
        <v>2.692209683E-4</v>
      </c>
      <c r="AC213" s="63">
        <v>2.1961907919999999E-4</v>
      </c>
      <c r="AD213" s="63">
        <v>9.4734709699999999E-5</v>
      </c>
      <c r="AE213" s="13" t="s">
        <v>93</v>
      </c>
    </row>
    <row r="214" spans="1:31">
      <c r="A214" s="13" t="s">
        <v>324</v>
      </c>
      <c r="B214" s="13" t="s">
        <v>1</v>
      </c>
      <c r="C214" s="13" t="s">
        <v>67</v>
      </c>
      <c r="D214" s="13" t="str">
        <f>IFERROR(VLOOKUP(C214,ghg_sort!$A$86:$B$512,2,0),0)</f>
        <v>Industry</v>
      </c>
      <c r="E214" s="33" t="s">
        <v>84</v>
      </c>
      <c r="F214" s="13">
        <f>IFERROR(VLOOKUP($E214,ghg_sort!$A$3:$B$21,2,0),0)</f>
        <v>25</v>
      </c>
      <c r="G214" s="13">
        <f t="shared" si="11"/>
        <v>1.25E-3</v>
      </c>
      <c r="H214" s="13">
        <f t="shared" si="11"/>
        <v>5.0000000000000001E-4</v>
      </c>
      <c r="I214" s="13">
        <f t="shared" si="11"/>
        <v>7.5000000000000002E-4</v>
      </c>
      <c r="J214" s="13">
        <f t="shared" si="11"/>
        <v>1.25E-3</v>
      </c>
      <c r="K214" s="13">
        <f t="shared" si="11"/>
        <v>1.438833E-3</v>
      </c>
      <c r="L214" s="13">
        <f t="shared" si="11"/>
        <v>2.3781137499999999E-3</v>
      </c>
      <c r="M214" s="13">
        <f t="shared" si="15"/>
        <v>3.5205412499999997E-3</v>
      </c>
      <c r="N214" s="13">
        <f t="shared" si="15"/>
        <v>4.3094988000000004E-3</v>
      </c>
      <c r="O214" s="13">
        <f t="shared" si="15"/>
        <v>4.0688582499999997E-3</v>
      </c>
      <c r="P214" s="13">
        <f t="shared" si="15"/>
        <v>3.3156089999999997E-3</v>
      </c>
      <c r="Q214" s="13">
        <f t="shared" si="15"/>
        <v>1.448994675E-3</v>
      </c>
      <c r="R214" s="13" t="s">
        <v>239</v>
      </c>
      <c r="T214" s="63">
        <v>5.0000000000000002E-5</v>
      </c>
      <c r="U214" s="63">
        <v>2.0000000000000002E-5</v>
      </c>
      <c r="V214" s="63">
        <v>3.0000000000000001E-5</v>
      </c>
      <c r="W214" s="63">
        <v>5.0000000000000002E-5</v>
      </c>
      <c r="X214" s="63">
        <v>5.7553319999999998E-5</v>
      </c>
      <c r="Y214" s="63">
        <v>9.5124550000000004E-5</v>
      </c>
      <c r="Z214" s="63">
        <v>1.4082164999999999E-4</v>
      </c>
      <c r="AA214" s="63">
        <v>1.72379952E-4</v>
      </c>
      <c r="AB214" s="63">
        <v>1.6275432999999999E-4</v>
      </c>
      <c r="AC214" s="63">
        <v>1.3262435999999999E-4</v>
      </c>
      <c r="AD214" s="63">
        <v>5.7959786999999998E-5</v>
      </c>
      <c r="AE214" s="13" t="s">
        <v>93</v>
      </c>
    </row>
    <row r="215" spans="1:31">
      <c r="A215" s="13" t="s">
        <v>324</v>
      </c>
      <c r="B215" s="13" t="s">
        <v>1</v>
      </c>
      <c r="C215" s="13" t="s">
        <v>67</v>
      </c>
      <c r="D215" s="13" t="str">
        <f>IFERROR(VLOOKUP(C215,ghg_sort!$A$86:$B$512,2,0),0)</f>
        <v>Industry</v>
      </c>
      <c r="E215" s="33" t="s">
        <v>85</v>
      </c>
      <c r="F215" s="13">
        <f>IFERROR(VLOOKUP($E215,ghg_sort!$A$3:$B$21,2,0),0)</f>
        <v>0</v>
      </c>
      <c r="G215" s="13">
        <f t="shared" si="11"/>
        <v>0</v>
      </c>
      <c r="H215" s="13">
        <f t="shared" si="11"/>
        <v>0</v>
      </c>
      <c r="I215" s="13">
        <f t="shared" si="11"/>
        <v>0</v>
      </c>
      <c r="J215" s="13">
        <f t="shared" si="11"/>
        <v>0</v>
      </c>
      <c r="K215" s="13">
        <f t="shared" si="11"/>
        <v>0</v>
      </c>
      <c r="L215" s="13">
        <f t="shared" si="11"/>
        <v>0</v>
      </c>
      <c r="M215" s="13">
        <f t="shared" si="15"/>
        <v>0</v>
      </c>
      <c r="N215" s="13">
        <f t="shared" si="15"/>
        <v>0</v>
      </c>
      <c r="O215" s="13">
        <f t="shared" si="15"/>
        <v>0</v>
      </c>
      <c r="P215" s="13">
        <f t="shared" si="15"/>
        <v>0</v>
      </c>
      <c r="Q215" s="13">
        <f t="shared" si="15"/>
        <v>0</v>
      </c>
      <c r="R215" s="13" t="s">
        <v>239</v>
      </c>
      <c r="T215" s="62">
        <v>3.64E-3</v>
      </c>
      <c r="U215" s="62">
        <v>4.0499999999999998E-3</v>
      </c>
      <c r="V215" s="62">
        <v>8.6599999999999993E-3</v>
      </c>
      <c r="W215" s="62">
        <v>9.92E-3</v>
      </c>
      <c r="X215" s="62">
        <v>7.9838649999999997E-3</v>
      </c>
      <c r="Y215" s="62">
        <v>8.7057647999999998E-3</v>
      </c>
      <c r="Z215" s="62">
        <v>1.1745668399999999E-2</v>
      </c>
      <c r="AA215" s="62">
        <v>1.40781356E-2</v>
      </c>
      <c r="AB215" s="62">
        <v>1.34492300999999E-2</v>
      </c>
      <c r="AC215" s="62">
        <v>1.14953499E-2</v>
      </c>
      <c r="AD215" s="62">
        <v>5.9690484999999904E-3</v>
      </c>
      <c r="AE215" s="13" t="s">
        <v>93</v>
      </c>
    </row>
    <row r="216" spans="1:31">
      <c r="A216" s="13" t="s">
        <v>324</v>
      </c>
      <c r="B216" s="13" t="s">
        <v>1</v>
      </c>
      <c r="C216" s="13" t="s">
        <v>67</v>
      </c>
      <c r="D216" s="13" t="str">
        <f>IFERROR(VLOOKUP(C216,ghg_sort!$A$86:$B$512,2,0),0)</f>
        <v>Industry</v>
      </c>
      <c r="E216" s="12" t="s">
        <v>86</v>
      </c>
      <c r="F216" s="13">
        <f>IFERROR(VLOOKUP($E216,ghg_sort!$A$3:$B$21,2,0),0)</f>
        <v>3.6666666666666701</v>
      </c>
      <c r="G216" s="13">
        <f t="shared" si="11"/>
        <v>1.5342506666666682</v>
      </c>
      <c r="H216" s="13">
        <f t="shared" si="11"/>
        <v>1.8110180000000018</v>
      </c>
      <c r="I216" s="13">
        <f t="shared" si="11"/>
        <v>2.4548076666666692</v>
      </c>
      <c r="J216" s="13">
        <f t="shared" si="11"/>
        <v>2.5820731566666688</v>
      </c>
      <c r="K216" s="13">
        <f t="shared" si="11"/>
        <v>2.8118280300000027</v>
      </c>
      <c r="L216" s="13">
        <f t="shared" si="11"/>
        <v>2.9342517966666697</v>
      </c>
      <c r="M216" s="13">
        <f t="shared" si="15"/>
        <v>2.8650091103333359</v>
      </c>
      <c r="N216" s="13">
        <f t="shared" si="15"/>
        <v>2.6752823166666695</v>
      </c>
      <c r="O216" s="13">
        <f t="shared" si="15"/>
        <v>2.3839659800000024</v>
      </c>
      <c r="P216" s="13">
        <f t="shared" si="15"/>
        <v>1.9889087166666648</v>
      </c>
      <c r="Q216" s="13">
        <f t="shared" si="15"/>
        <v>0.99780563666666755</v>
      </c>
      <c r="R216" s="13" t="s">
        <v>239</v>
      </c>
      <c r="T216" s="63">
        <v>0.41843200000000003</v>
      </c>
      <c r="U216" s="63">
        <v>0.49391400000000002</v>
      </c>
      <c r="V216" s="63">
        <v>0.669493</v>
      </c>
      <c r="W216" s="63">
        <v>0.70420176999999995</v>
      </c>
      <c r="X216" s="63">
        <v>0.76686219</v>
      </c>
      <c r="Y216" s="63">
        <v>0.80025049000000004</v>
      </c>
      <c r="Z216" s="63">
        <v>0.78136612100000002</v>
      </c>
      <c r="AA216" s="63">
        <v>0.72962245000000003</v>
      </c>
      <c r="AB216" s="63">
        <v>0.65017254000000002</v>
      </c>
      <c r="AC216" s="63">
        <v>0.54242964999999899</v>
      </c>
      <c r="AD216" s="63">
        <v>0.27212881</v>
      </c>
      <c r="AE216" s="13" t="s">
        <v>94</v>
      </c>
    </row>
    <row r="217" spans="1:31">
      <c r="A217" s="13" t="s">
        <v>324</v>
      </c>
      <c r="B217" s="13" t="s">
        <v>1</v>
      </c>
      <c r="C217" s="13" t="s">
        <v>67</v>
      </c>
      <c r="D217" s="13" t="str">
        <f>IFERROR(VLOOKUP(C217,ghg_sort!$A$86:$B$512,2,0),0)</f>
        <v>Industry</v>
      </c>
      <c r="E217" s="33" t="s">
        <v>87</v>
      </c>
      <c r="F217" s="13">
        <f>IFERROR(VLOOKUP($E217,ghg_sort!$A$3:$B$21,2,0),0)</f>
        <v>298</v>
      </c>
      <c r="G217" s="13">
        <f t="shared" si="11"/>
        <v>2.9800000000000004E-3</v>
      </c>
      <c r="H217" s="13">
        <f t="shared" si="11"/>
        <v>2.9800000000000004E-3</v>
      </c>
      <c r="I217" s="13">
        <f t="shared" si="11"/>
        <v>5.9600000000000009E-3</v>
      </c>
      <c r="J217" s="13">
        <f t="shared" si="11"/>
        <v>8.94E-3</v>
      </c>
      <c r="K217" s="13">
        <f t="shared" si="11"/>
        <v>1.0029511840000001E-2</v>
      </c>
      <c r="L217" s="13">
        <f t="shared" si="11"/>
        <v>1.544127528E-2</v>
      </c>
      <c r="M217" s="13">
        <f t="shared" si="15"/>
        <v>2.1951410099999968E-2</v>
      </c>
      <c r="N217" s="13">
        <f t="shared" si="15"/>
        <v>2.639952051E-2</v>
      </c>
      <c r="O217" s="13">
        <f t="shared" si="15"/>
        <v>2.4850783816000001E-2</v>
      </c>
      <c r="P217" s="13">
        <f t="shared" si="15"/>
        <v>2.0243541107999998E-2</v>
      </c>
      <c r="Q217" s="13">
        <f t="shared" si="15"/>
        <v>8.8818935759999995E-3</v>
      </c>
      <c r="R217" s="13" t="s">
        <v>239</v>
      </c>
      <c r="T217" s="63">
        <v>1.0000000000000001E-5</v>
      </c>
      <c r="U217" s="63">
        <v>1.0000000000000001E-5</v>
      </c>
      <c r="V217" s="63">
        <v>2.0000000000000002E-5</v>
      </c>
      <c r="W217" s="63">
        <v>3.0000000000000001E-5</v>
      </c>
      <c r="X217" s="63">
        <v>3.3656080000000003E-5</v>
      </c>
      <c r="Y217" s="63">
        <v>5.1816359999999998E-5</v>
      </c>
      <c r="Z217" s="63">
        <v>7.3662449999999896E-5</v>
      </c>
      <c r="AA217" s="63">
        <v>8.8588994999999995E-5</v>
      </c>
      <c r="AB217" s="63">
        <v>8.3391892000000002E-5</v>
      </c>
      <c r="AC217" s="63">
        <v>6.7931345999999997E-5</v>
      </c>
      <c r="AD217" s="63">
        <v>2.9805012E-5</v>
      </c>
      <c r="AE217" s="13" t="s">
        <v>93</v>
      </c>
    </row>
    <row r="218" spans="1:31">
      <c r="A218" s="13" t="s">
        <v>324</v>
      </c>
      <c r="B218" s="13" t="s">
        <v>1</v>
      </c>
      <c r="C218" s="13" t="s">
        <v>67</v>
      </c>
      <c r="D218" s="13" t="str">
        <f>IFERROR(VLOOKUP(C218,ghg_sort!$A$86:$B$512,2,0),0)</f>
        <v>Industry</v>
      </c>
      <c r="E218" s="33" t="s">
        <v>88</v>
      </c>
      <c r="F218" s="13">
        <f>IFERROR(VLOOKUP($E218,ghg_sort!$A$3:$B$21,2,0),0)</f>
        <v>0</v>
      </c>
      <c r="G218" s="13">
        <f t="shared" si="11"/>
        <v>0</v>
      </c>
      <c r="H218" s="13">
        <f t="shared" si="11"/>
        <v>0</v>
      </c>
      <c r="I218" s="13">
        <f t="shared" si="11"/>
        <v>0</v>
      </c>
      <c r="J218" s="13">
        <f t="shared" si="11"/>
        <v>0</v>
      </c>
      <c r="K218" s="13">
        <f t="shared" si="11"/>
        <v>0</v>
      </c>
      <c r="L218" s="13">
        <f t="shared" si="11"/>
        <v>0</v>
      </c>
      <c r="M218" s="13">
        <f t="shared" si="15"/>
        <v>0</v>
      </c>
      <c r="N218" s="13">
        <f t="shared" si="15"/>
        <v>0</v>
      </c>
      <c r="O218" s="13">
        <f t="shared" si="15"/>
        <v>0</v>
      </c>
      <c r="P218" s="13">
        <f t="shared" si="15"/>
        <v>0</v>
      </c>
      <c r="Q218" s="13">
        <f t="shared" si="15"/>
        <v>0</v>
      </c>
      <c r="R218" s="13" t="s">
        <v>239</v>
      </c>
      <c r="T218" s="63">
        <v>1.0000000000000001E-5</v>
      </c>
      <c r="U218" s="63">
        <v>1.0000000000000001E-5</v>
      </c>
      <c r="V218" s="63">
        <v>1.0000000000000001E-5</v>
      </c>
      <c r="W218" s="63">
        <v>1.0000000000000001E-5</v>
      </c>
      <c r="X218" s="63">
        <v>1.41386E-5</v>
      </c>
      <c r="Y218" s="63">
        <v>3.4800130000000001E-5</v>
      </c>
      <c r="Z218" s="63">
        <v>6.0656159999999899E-5</v>
      </c>
      <c r="AA218" s="63">
        <v>7.8992520000000001E-5</v>
      </c>
      <c r="AB218" s="63">
        <v>7.5332990000000005E-5</v>
      </c>
      <c r="AC218" s="63">
        <v>6.1454290000000005E-5</v>
      </c>
      <c r="AD218" s="63">
        <v>2.6504579999999999E-5</v>
      </c>
      <c r="AE218" s="13" t="s">
        <v>93</v>
      </c>
    </row>
    <row r="219" spans="1:31">
      <c r="A219" s="13" t="s">
        <v>324</v>
      </c>
      <c r="B219" s="13" t="s">
        <v>1</v>
      </c>
      <c r="C219" s="13" t="s">
        <v>67</v>
      </c>
      <c r="D219" s="13" t="str">
        <f>IFERROR(VLOOKUP(C219,ghg_sort!$A$86:$B$512,2,0),0)</f>
        <v>Industry</v>
      </c>
      <c r="E219" s="33" t="s">
        <v>89</v>
      </c>
      <c r="F219" s="13">
        <f>IFERROR(VLOOKUP($E219,ghg_sort!$A$3:$B$21,2,0),0)</f>
        <v>0</v>
      </c>
      <c r="G219" s="13">
        <f t="shared" si="11"/>
        <v>0</v>
      </c>
      <c r="H219" s="13">
        <f t="shared" si="11"/>
        <v>0</v>
      </c>
      <c r="I219" s="13">
        <f t="shared" si="11"/>
        <v>0</v>
      </c>
      <c r="J219" s="13">
        <f t="shared" si="11"/>
        <v>0</v>
      </c>
      <c r="K219" s="13">
        <f t="shared" si="11"/>
        <v>0</v>
      </c>
      <c r="L219" s="13">
        <f t="shared" si="11"/>
        <v>0</v>
      </c>
      <c r="M219" s="13">
        <f t="shared" si="15"/>
        <v>0</v>
      </c>
      <c r="N219" s="13">
        <f t="shared" si="15"/>
        <v>0</v>
      </c>
      <c r="O219" s="13">
        <f t="shared" si="15"/>
        <v>0</v>
      </c>
      <c r="P219" s="13">
        <f t="shared" si="15"/>
        <v>0</v>
      </c>
      <c r="Q219" s="13">
        <f t="shared" si="15"/>
        <v>0</v>
      </c>
      <c r="R219" s="13" t="s">
        <v>239</v>
      </c>
      <c r="T219" s="63">
        <v>5.1999999999999995E-4</v>
      </c>
      <c r="U219" s="63">
        <v>4.8000000000000001E-4</v>
      </c>
      <c r="V219" s="63">
        <v>4.6999999999999999E-4</v>
      </c>
      <c r="W219" s="63">
        <v>6.8999999999999997E-4</v>
      </c>
      <c r="X219" s="63">
        <v>8.0680895E-4</v>
      </c>
      <c r="Y219" s="62">
        <v>1.6650507199999999E-3</v>
      </c>
      <c r="Z219" s="62">
        <v>2.80034818E-3</v>
      </c>
      <c r="AA219" s="62">
        <v>3.6125892600000001E-3</v>
      </c>
      <c r="AB219" s="62">
        <v>3.4564340199999999E-3</v>
      </c>
      <c r="AC219" s="62">
        <v>2.85664426E-3</v>
      </c>
      <c r="AD219" s="62">
        <v>1.2986101300000001E-3</v>
      </c>
      <c r="AE219" s="13" t="s">
        <v>93</v>
      </c>
    </row>
    <row r="220" spans="1:31">
      <c r="A220" s="13" t="s">
        <v>324</v>
      </c>
      <c r="B220" s="13" t="s">
        <v>1</v>
      </c>
      <c r="C220" s="13" t="s">
        <v>67</v>
      </c>
      <c r="D220" s="13" t="str">
        <f>IFERROR(VLOOKUP(C220,ghg_sort!$A$86:$B$512,2,0),0)</f>
        <v>Industry</v>
      </c>
      <c r="E220" s="33" t="s">
        <v>90</v>
      </c>
      <c r="F220" s="13">
        <f>IFERROR(VLOOKUP($E220,ghg_sort!$A$3:$B$21,2,0),0)</f>
        <v>0</v>
      </c>
      <c r="G220" s="13">
        <f t="shared" si="11"/>
        <v>0</v>
      </c>
      <c r="H220" s="13">
        <f t="shared" si="11"/>
        <v>0</v>
      </c>
      <c r="I220" s="13">
        <f t="shared" si="11"/>
        <v>0</v>
      </c>
      <c r="J220" s="13">
        <f t="shared" si="11"/>
        <v>0</v>
      </c>
      <c r="K220" s="13">
        <f t="shared" si="11"/>
        <v>0</v>
      </c>
      <c r="L220" s="13">
        <f t="shared" si="11"/>
        <v>0</v>
      </c>
      <c r="M220" s="13">
        <f t="shared" si="15"/>
        <v>0</v>
      </c>
      <c r="N220" s="13">
        <f t="shared" si="15"/>
        <v>0</v>
      </c>
      <c r="O220" s="13">
        <f t="shared" si="15"/>
        <v>0</v>
      </c>
      <c r="P220" s="13">
        <f t="shared" si="15"/>
        <v>0</v>
      </c>
      <c r="Q220" s="13">
        <f t="shared" si="15"/>
        <v>0</v>
      </c>
      <c r="R220" s="13" t="s">
        <v>239</v>
      </c>
      <c r="T220" s="63">
        <v>5.8900000000000003E-3</v>
      </c>
      <c r="U220" s="63">
        <v>8.6899999999999998E-3</v>
      </c>
      <c r="V220" s="63">
        <v>1.307E-2</v>
      </c>
      <c r="W220" s="63">
        <v>1.9810000000000001E-2</v>
      </c>
      <c r="X220" s="63">
        <v>1.4450944E-2</v>
      </c>
      <c r="Y220" s="63">
        <v>1.14655999E-2</v>
      </c>
      <c r="Z220" s="63">
        <v>1.2474652100000001E-2</v>
      </c>
      <c r="AA220" s="63">
        <v>1.35206002E-2</v>
      </c>
      <c r="AB220" s="63">
        <v>1.2625618999999999E-2</v>
      </c>
      <c r="AC220" s="63">
        <v>1.0795489E-2</v>
      </c>
      <c r="AD220" s="63">
        <v>5.7603194999999901E-3</v>
      </c>
      <c r="AE220" s="13" t="s">
        <v>93</v>
      </c>
    </row>
    <row r="221" spans="1:31">
      <c r="A221" s="13" t="s">
        <v>324</v>
      </c>
      <c r="B221" s="13" t="s">
        <v>1</v>
      </c>
      <c r="C221" s="13" t="s">
        <v>67</v>
      </c>
      <c r="D221" s="13" t="str">
        <f>IFERROR(VLOOKUP(C221,ghg_sort!$A$86:$B$512,2,0),0)</f>
        <v>Industry</v>
      </c>
      <c r="E221" s="33" t="s">
        <v>91</v>
      </c>
      <c r="F221" s="13">
        <f>IFERROR(VLOOKUP($E221,ghg_sort!$A$3:$B$21,2,0),0)</f>
        <v>0</v>
      </c>
      <c r="G221" s="13">
        <f t="shared" si="11"/>
        <v>0</v>
      </c>
      <c r="H221" s="13">
        <f t="shared" si="11"/>
        <v>0</v>
      </c>
      <c r="I221" s="13">
        <f t="shared" si="11"/>
        <v>0</v>
      </c>
      <c r="J221" s="13">
        <f t="shared" si="11"/>
        <v>0</v>
      </c>
      <c r="K221" s="13">
        <f t="shared" si="11"/>
        <v>0</v>
      </c>
      <c r="L221" s="13">
        <f t="shared" si="11"/>
        <v>0</v>
      </c>
      <c r="M221" s="13">
        <f t="shared" si="15"/>
        <v>0</v>
      </c>
      <c r="N221" s="13">
        <f t="shared" si="15"/>
        <v>0</v>
      </c>
      <c r="O221" s="13">
        <f t="shared" si="15"/>
        <v>0</v>
      </c>
      <c r="P221" s="13">
        <f t="shared" si="15"/>
        <v>0</v>
      </c>
      <c r="Q221" s="13">
        <f t="shared" si="15"/>
        <v>0</v>
      </c>
      <c r="R221" s="13" t="s">
        <v>239</v>
      </c>
      <c r="T221" s="63">
        <v>2.3000000000000001E-4</v>
      </c>
      <c r="U221" s="63">
        <v>2.7E-4</v>
      </c>
      <c r="V221" s="63">
        <v>4.8000000000000001E-4</v>
      </c>
      <c r="W221" s="63">
        <v>4.7999999999999898E-4</v>
      </c>
      <c r="X221" s="63">
        <v>4.8569580000000002E-4</v>
      </c>
      <c r="Y221" s="63">
        <v>8.5833120000000001E-4</v>
      </c>
      <c r="Z221" s="63">
        <v>1.3915452599999999E-3</v>
      </c>
      <c r="AA221" s="63">
        <v>1.7735378400000001E-3</v>
      </c>
      <c r="AB221" s="63">
        <v>1.6834131099999999E-3</v>
      </c>
      <c r="AC221" s="63">
        <v>1.3715696900000001E-3</v>
      </c>
      <c r="AD221" s="63">
        <v>5.9223942999999995E-4</v>
      </c>
      <c r="AE221" s="13" t="s">
        <v>93</v>
      </c>
    </row>
    <row r="222" spans="1:31">
      <c r="A222" s="13" t="s">
        <v>324</v>
      </c>
      <c r="B222" s="13" t="s">
        <v>1</v>
      </c>
      <c r="C222" s="13" t="s">
        <v>67</v>
      </c>
      <c r="D222" s="13" t="str">
        <f>IFERROR(VLOOKUP(C222,ghg_sort!$A$86:$B$512,2,0),0)</f>
        <v>Industry</v>
      </c>
      <c r="E222" s="33" t="s">
        <v>92</v>
      </c>
      <c r="F222" s="13">
        <f>IFERROR(VLOOKUP($E222,ghg_sort!$A$3:$B$21,2,0),0)</f>
        <v>0</v>
      </c>
      <c r="G222" s="13">
        <f t="shared" si="11"/>
        <v>0</v>
      </c>
      <c r="H222" s="13">
        <f t="shared" si="11"/>
        <v>0</v>
      </c>
      <c r="I222" s="13">
        <f t="shared" si="11"/>
        <v>0</v>
      </c>
      <c r="J222" s="13">
        <f t="shared" si="11"/>
        <v>0</v>
      </c>
      <c r="K222" s="13">
        <f t="shared" si="11"/>
        <v>0</v>
      </c>
      <c r="L222" s="13">
        <f t="shared" si="11"/>
        <v>0</v>
      </c>
      <c r="M222" s="13">
        <f t="shared" si="15"/>
        <v>0</v>
      </c>
      <c r="N222" s="13">
        <f t="shared" si="15"/>
        <v>0</v>
      </c>
      <c r="O222" s="13">
        <f t="shared" si="15"/>
        <v>0</v>
      </c>
      <c r="P222" s="13">
        <f t="shared" si="15"/>
        <v>0</v>
      </c>
      <c r="Q222" s="13">
        <f t="shared" si="15"/>
        <v>0</v>
      </c>
      <c r="R222" s="13" t="s">
        <v>239</v>
      </c>
      <c r="T222" s="63">
        <v>4.9708299999999999E-3</v>
      </c>
      <c r="U222" s="63">
        <v>2.1319199999999998E-3</v>
      </c>
      <c r="V222" s="63">
        <v>3.2409399999999999E-3</v>
      </c>
      <c r="W222" s="63">
        <v>1.2209186100000001E-4</v>
      </c>
      <c r="X222" s="63">
        <v>8.2421683740000005E-5</v>
      </c>
      <c r="Y222" s="63">
        <v>4.5264160820000003E-5</v>
      </c>
      <c r="Z222" s="63">
        <v>3.0036059944000002E-5</v>
      </c>
      <c r="AA222" s="63">
        <v>2.1037514889999901E-5</v>
      </c>
      <c r="AB222" s="63">
        <v>1.7930254869999999E-5</v>
      </c>
      <c r="AC222" s="63">
        <v>1.447167079E-5</v>
      </c>
      <c r="AD222" s="63">
        <v>7.1266322699999899E-6</v>
      </c>
      <c r="AE222" s="13" t="s">
        <v>93</v>
      </c>
    </row>
    <row r="223" spans="1:31">
      <c r="A223" s="13" t="s">
        <v>324</v>
      </c>
      <c r="B223" s="13" t="s">
        <v>1</v>
      </c>
      <c r="C223" s="13" t="s">
        <v>146</v>
      </c>
      <c r="D223" s="13" t="str">
        <f>IFERROR(VLOOKUP(C223,ghg_sort!$A$86:$B$512,2,0),0)</f>
        <v>Electricity</v>
      </c>
      <c r="E223" s="12" t="s">
        <v>86</v>
      </c>
      <c r="F223" s="13">
        <f>IFERROR(VLOOKUP($E223,ghg_sort!$A$3:$B$21,2,0),0)</f>
        <v>3.6666666666666701</v>
      </c>
      <c r="G223" s="13">
        <f t="shared" si="11"/>
        <v>2.1897865733333318E-4</v>
      </c>
      <c r="H223" s="13">
        <f t="shared" si="11"/>
        <v>4.4073333333333371E-4</v>
      </c>
      <c r="I223" s="13">
        <f t="shared" si="11"/>
        <v>4.1789733333333373E-4</v>
      </c>
      <c r="J223" s="13">
        <f t="shared" si="11"/>
        <v>4.0461043333333007E-4</v>
      </c>
      <c r="K223" s="13">
        <f t="shared" si="11"/>
        <v>7.7999166666666377E-4</v>
      </c>
      <c r="L223" s="13">
        <f t="shared" si="11"/>
        <v>8.5180700000000076E-4</v>
      </c>
      <c r="M223" s="13">
        <f t="shared" si="15"/>
        <v>8.8643133333333416E-4</v>
      </c>
      <c r="N223" s="13">
        <f t="shared" si="15"/>
        <v>8.2752083333333408E-4</v>
      </c>
      <c r="O223" s="13">
        <f t="shared" si="15"/>
        <v>7.3395666666666731E-4</v>
      </c>
      <c r="P223" s="13">
        <f t="shared" si="15"/>
        <v>6.2685040000000055E-4</v>
      </c>
      <c r="Q223" s="13">
        <f t="shared" si="15"/>
        <v>3.4318533333333367E-4</v>
      </c>
      <c r="R223" s="13" t="s">
        <v>239</v>
      </c>
      <c r="T223" s="63">
        <v>5.9721451999999901E-5</v>
      </c>
      <c r="U223" s="63">
        <v>1.2019999999999999E-4</v>
      </c>
      <c r="V223" s="63">
        <v>1.13972E-4</v>
      </c>
      <c r="W223" s="63">
        <v>1.10348299999999E-4</v>
      </c>
      <c r="X223" s="63">
        <v>2.12724999999999E-4</v>
      </c>
      <c r="Y223" s="63">
        <v>2.3231099999999999E-4</v>
      </c>
      <c r="Z223" s="63">
        <v>2.41754E-4</v>
      </c>
      <c r="AA223" s="63">
        <v>2.256875E-4</v>
      </c>
      <c r="AB223" s="63">
        <v>2.0017E-4</v>
      </c>
      <c r="AC223" s="63">
        <v>1.709592E-4</v>
      </c>
      <c r="AD223" s="63">
        <v>9.3596000000000003E-5</v>
      </c>
      <c r="AE223" s="13" t="s">
        <v>94</v>
      </c>
    </row>
    <row r="224" spans="1:31">
      <c r="A224" s="13" t="s">
        <v>324</v>
      </c>
      <c r="B224" s="13" t="s">
        <v>1</v>
      </c>
      <c r="C224" s="13" t="s">
        <v>406</v>
      </c>
      <c r="D224" s="13" t="str">
        <f>IFERROR(VLOOKUP(C224,ghg_sort!$A$86:$B$512,2,0),0)</f>
        <v>Industry</v>
      </c>
      <c r="E224" s="12" t="s">
        <v>86</v>
      </c>
      <c r="F224" s="13">
        <f>IFERROR(VLOOKUP($E224,ghg_sort!$A$3:$B$21,2,0),0)</f>
        <v>3.6666666666666701</v>
      </c>
      <c r="G224" s="13">
        <f>T224*$F224</f>
        <v>0</v>
      </c>
      <c r="H224" s="13">
        <f>U224*$F224</f>
        <v>0.29288013333333363</v>
      </c>
      <c r="I224" s="13">
        <f>V224*$F224</f>
        <v>0.41403633333333373</v>
      </c>
      <c r="J224" s="13">
        <f>W224*$F224</f>
        <v>0.58531000000000055</v>
      </c>
      <c r="K224" s="13">
        <f>X224*$F224</f>
        <v>0.79303766666666742</v>
      </c>
      <c r="L224" s="13">
        <f t="shared" ref="L224:Q224" si="16">Y224*$F224</f>
        <v>0.87973966666666747</v>
      </c>
      <c r="M224" s="13">
        <f t="shared" si="16"/>
        <v>1.0383028333333306</v>
      </c>
      <c r="N224" s="13">
        <f t="shared" si="16"/>
        <v>1.1210840300000009</v>
      </c>
      <c r="O224" s="13">
        <f t="shared" si="16"/>
        <v>1.2205659400000011</v>
      </c>
      <c r="P224" s="13">
        <f t="shared" si="16"/>
        <v>1.3275175100000012</v>
      </c>
      <c r="Q224" s="13">
        <f t="shared" si="16"/>
        <v>1.4432476300000012</v>
      </c>
      <c r="R224" s="13" t="s">
        <v>239</v>
      </c>
      <c r="T224" s="63">
        <v>0</v>
      </c>
      <c r="U224" s="63">
        <v>7.98764E-2</v>
      </c>
      <c r="V224" s="63">
        <v>0.11291900000000001</v>
      </c>
      <c r="W224" s="63">
        <v>0.15962999999999999</v>
      </c>
      <c r="X224" s="63">
        <v>0.216283</v>
      </c>
      <c r="Y224" s="63">
        <v>0.239929</v>
      </c>
      <c r="Z224" s="63">
        <v>0.28317349999999902</v>
      </c>
      <c r="AA224" s="63">
        <v>0.30575018999999998</v>
      </c>
      <c r="AB224" s="63">
        <v>0.33288161999999999</v>
      </c>
      <c r="AC224" s="63">
        <v>0.36205022999999997</v>
      </c>
      <c r="AD224" s="63">
        <v>0.39361299</v>
      </c>
    </row>
    <row r="225" spans="1:31">
      <c r="A225" s="13" t="s">
        <v>324</v>
      </c>
      <c r="B225" s="13" t="s">
        <v>1</v>
      </c>
      <c r="C225" s="13" t="s">
        <v>132</v>
      </c>
      <c r="D225" s="13" t="str">
        <f>IFERROR(VLOOKUP(C225,ghg_sort!$A$86:$B$512,2,0),0)</f>
        <v>Electricity</v>
      </c>
      <c r="E225" s="12" t="s">
        <v>86</v>
      </c>
      <c r="F225" s="13">
        <f>IFERROR(VLOOKUP($E225,ghg_sort!$A$3:$B$21,2,0),0)</f>
        <v>3.6666666666666701</v>
      </c>
      <c r="G225" s="13">
        <f t="shared" si="11"/>
        <v>0</v>
      </c>
      <c r="H225" s="13">
        <f t="shared" si="11"/>
        <v>0</v>
      </c>
      <c r="I225" s="13">
        <f t="shared" si="11"/>
        <v>0</v>
      </c>
      <c r="J225" s="13">
        <f t="shared" si="11"/>
        <v>0</v>
      </c>
      <c r="K225" s="13">
        <f t="shared" si="11"/>
        <v>0</v>
      </c>
      <c r="L225" s="13">
        <f t="shared" si="11"/>
        <v>4.5430267666666706E-3</v>
      </c>
      <c r="M225" s="13">
        <f t="shared" si="15"/>
        <v>4.2530600566666708E-2</v>
      </c>
      <c r="N225" s="13">
        <f t="shared" si="15"/>
        <v>0.33870477189999998</v>
      </c>
      <c r="O225" s="13">
        <f t="shared" si="15"/>
        <v>1.0660813331666676</v>
      </c>
      <c r="P225" s="13">
        <f t="shared" si="15"/>
        <v>1.7926506851000015</v>
      </c>
      <c r="Q225" s="13">
        <f t="shared" si="15"/>
        <v>1.8844410828466682</v>
      </c>
      <c r="R225" s="13" t="s">
        <v>239</v>
      </c>
      <c r="T225" s="62">
        <v>0</v>
      </c>
      <c r="U225" s="62">
        <v>0</v>
      </c>
      <c r="V225" s="62">
        <v>0</v>
      </c>
      <c r="W225" s="62">
        <v>0</v>
      </c>
      <c r="X225" s="62">
        <v>0</v>
      </c>
      <c r="Y225" s="63">
        <v>1.2390073E-3</v>
      </c>
      <c r="Z225" s="63">
        <v>1.15992547E-2</v>
      </c>
      <c r="AA225" s="62">
        <v>9.2374028699999902E-2</v>
      </c>
      <c r="AB225" s="62">
        <v>0.2907494545</v>
      </c>
      <c r="AC225" s="62">
        <v>0.48890473229999998</v>
      </c>
      <c r="AD225" s="62">
        <v>0.51393847713999996</v>
      </c>
      <c r="AE225" s="13" t="s">
        <v>94</v>
      </c>
    </row>
    <row r="226" spans="1:31">
      <c r="A226" s="13" t="s">
        <v>324</v>
      </c>
      <c r="B226" s="13" t="s">
        <v>1</v>
      </c>
      <c r="C226" s="13" t="s">
        <v>122</v>
      </c>
      <c r="D226" s="13" t="str">
        <f>IFERROR(VLOOKUP(C226,ghg_sort!$A$86:$B$512,2,0),0)</f>
        <v>Electricity</v>
      </c>
      <c r="E226" s="12" t="s">
        <v>86</v>
      </c>
      <c r="F226" s="13">
        <f>IFERROR(VLOOKUP($E226,ghg_sort!$A$3:$B$21,2,0),0)</f>
        <v>3.6666666666666701</v>
      </c>
      <c r="G226" s="13">
        <f t="shared" si="11"/>
        <v>0</v>
      </c>
      <c r="H226" s="13">
        <f t="shared" si="11"/>
        <v>0</v>
      </c>
      <c r="I226" s="13">
        <f t="shared" si="11"/>
        <v>0</v>
      </c>
      <c r="J226" s="13">
        <f t="shared" si="11"/>
        <v>0</v>
      </c>
      <c r="K226" s="13">
        <f t="shared" si="11"/>
        <v>0</v>
      </c>
      <c r="L226" s="13">
        <f t="shared" si="11"/>
        <v>1.9032383333333351</v>
      </c>
      <c r="M226" s="13">
        <f t="shared" si="15"/>
        <v>4.6872525333333011</v>
      </c>
      <c r="N226" s="13">
        <f t="shared" si="15"/>
        <v>5.5862986666666723</v>
      </c>
      <c r="O226" s="13">
        <f t="shared" si="15"/>
        <v>1.9448105966666682</v>
      </c>
      <c r="P226" s="13">
        <f t="shared" si="15"/>
        <v>0.21987033273333353</v>
      </c>
      <c r="Q226" s="13">
        <f t="shared" si="15"/>
        <v>5.3017840443333379E-4</v>
      </c>
      <c r="R226" s="13" t="s">
        <v>239</v>
      </c>
      <c r="T226" s="62">
        <v>0</v>
      </c>
      <c r="U226" s="62">
        <v>0</v>
      </c>
      <c r="V226" s="62">
        <v>0</v>
      </c>
      <c r="W226" s="62">
        <v>0</v>
      </c>
      <c r="X226" s="62">
        <v>0</v>
      </c>
      <c r="Y226" s="62">
        <v>0.519065</v>
      </c>
      <c r="Z226" s="62">
        <v>1.2783415999999901</v>
      </c>
      <c r="AA226" s="62">
        <v>1.523536</v>
      </c>
      <c r="AB226" s="62">
        <v>0.53040288999999996</v>
      </c>
      <c r="AC226" s="62">
        <v>5.9964636199999997E-2</v>
      </c>
      <c r="AD226" s="63">
        <v>1.4459411029999999E-4</v>
      </c>
      <c r="AE226" s="13" t="s">
        <v>94</v>
      </c>
    </row>
    <row r="227" spans="1:31">
      <c r="A227" s="13" t="s">
        <v>324</v>
      </c>
      <c r="B227" s="13" t="s">
        <v>1</v>
      </c>
      <c r="C227" s="13" t="s">
        <v>133</v>
      </c>
      <c r="D227" s="13" t="str">
        <f>IFERROR(VLOOKUP(C227,ghg_sort!$A$86:$B$512,2,0),0)</f>
        <v>Electricity</v>
      </c>
      <c r="E227" s="12" t="s">
        <v>86</v>
      </c>
      <c r="F227" s="13">
        <f>IFERROR(VLOOKUP($E227,ghg_sort!$A$3:$B$21,2,0),0)</f>
        <v>3.6666666666666701</v>
      </c>
      <c r="G227" s="13">
        <f t="shared" si="11"/>
        <v>0</v>
      </c>
      <c r="H227" s="13">
        <f t="shared" si="11"/>
        <v>0</v>
      </c>
      <c r="I227" s="13">
        <f t="shared" si="11"/>
        <v>0</v>
      </c>
      <c r="J227" s="13">
        <f t="shared" si="11"/>
        <v>0</v>
      </c>
      <c r="K227" s="13">
        <f t="shared" si="11"/>
        <v>0</v>
      </c>
      <c r="L227" s="13">
        <f t="shared" si="11"/>
        <v>2.4849770000000024E-3</v>
      </c>
      <c r="M227" s="13">
        <f t="shared" si="15"/>
        <v>2.6727668366666693E-2</v>
      </c>
      <c r="N227" s="13">
        <f t="shared" si="15"/>
        <v>0.27171296423333358</v>
      </c>
      <c r="O227" s="13">
        <f t="shared" si="15"/>
        <v>0.8329076708333305</v>
      </c>
      <c r="P227" s="13">
        <f t="shared" si="15"/>
        <v>1.2581867217333347</v>
      </c>
      <c r="Q227" s="13">
        <f t="shared" si="15"/>
        <v>0.71522367458666736</v>
      </c>
      <c r="R227" s="13" t="s">
        <v>239</v>
      </c>
      <c r="T227" s="62">
        <v>0</v>
      </c>
      <c r="U227" s="62">
        <v>0</v>
      </c>
      <c r="V227" s="62">
        <v>0</v>
      </c>
      <c r="W227" s="62">
        <v>0</v>
      </c>
      <c r="X227" s="62">
        <v>0</v>
      </c>
      <c r="Y227" s="63">
        <v>6.7772100000000005E-4</v>
      </c>
      <c r="Z227" s="63">
        <v>7.2893641E-3</v>
      </c>
      <c r="AA227" s="62">
        <v>7.4103535700000001E-2</v>
      </c>
      <c r="AB227" s="62">
        <v>0.22715663749999901</v>
      </c>
      <c r="AC227" s="62">
        <v>0.34314183320000002</v>
      </c>
      <c r="AD227" s="62">
        <v>0.19506100216</v>
      </c>
      <c r="AE227" s="13" t="s">
        <v>94</v>
      </c>
    </row>
    <row r="228" spans="1:31">
      <c r="A228" s="13" t="s">
        <v>324</v>
      </c>
      <c r="B228" s="13" t="s">
        <v>1</v>
      </c>
      <c r="C228" s="13" t="s">
        <v>123</v>
      </c>
      <c r="D228" s="13" t="str">
        <f>IFERROR(VLOOKUP(C228,ghg_sort!$A$86:$B$512,2,0),0)</f>
        <v>Electricity</v>
      </c>
      <c r="E228" s="12" t="s">
        <v>86</v>
      </c>
      <c r="F228" s="13">
        <f>IFERROR(VLOOKUP($E228,ghg_sort!$A$3:$B$21,2,0),0)</f>
        <v>3.6666666666666701</v>
      </c>
      <c r="G228" s="13">
        <f t="shared" si="11"/>
        <v>0</v>
      </c>
      <c r="H228" s="13">
        <f t="shared" si="11"/>
        <v>3.5302914166666699E-2</v>
      </c>
      <c r="I228" s="13">
        <f t="shared" si="11"/>
        <v>0.31065643766666695</v>
      </c>
      <c r="J228" s="13">
        <f t="shared" si="11"/>
        <v>1.9439673000000015</v>
      </c>
      <c r="K228" s="13">
        <f t="shared" si="11"/>
        <v>5.3685596799999686</v>
      </c>
      <c r="L228" s="13">
        <f t="shared" si="11"/>
        <v>11.965842020000011</v>
      </c>
      <c r="M228" s="13">
        <f t="shared" si="15"/>
        <v>18.645485136666682</v>
      </c>
      <c r="N228" s="13">
        <f t="shared" si="15"/>
        <v>20.872177040000018</v>
      </c>
      <c r="O228" s="13">
        <f t="shared" si="15"/>
        <v>16.431286179000015</v>
      </c>
      <c r="P228" s="13">
        <f t="shared" si="15"/>
        <v>1.975664708233335</v>
      </c>
      <c r="Q228" s="13">
        <f t="shared" si="15"/>
        <v>3.3192230364333325E-4</v>
      </c>
      <c r="R228" s="13" t="s">
        <v>239</v>
      </c>
      <c r="T228" s="62">
        <v>0</v>
      </c>
      <c r="U228" s="62">
        <v>9.6280675000000003E-3</v>
      </c>
      <c r="V228" s="62">
        <v>8.4724483000000003E-2</v>
      </c>
      <c r="W228" s="62">
        <v>0.53017289999999995</v>
      </c>
      <c r="X228" s="62">
        <v>1.46415263999999</v>
      </c>
      <c r="Y228" s="62">
        <v>3.2634114599999999</v>
      </c>
      <c r="Z228" s="62">
        <v>5.0851323099999997</v>
      </c>
      <c r="AA228" s="62">
        <v>5.6924119199999996</v>
      </c>
      <c r="AB228" s="62">
        <v>4.4812598670000003</v>
      </c>
      <c r="AC228" s="62">
        <v>0.53881764769999996</v>
      </c>
      <c r="AD228" s="63">
        <v>9.0524264629999896E-5</v>
      </c>
      <c r="AE228" s="13" t="s">
        <v>94</v>
      </c>
    </row>
    <row r="229" spans="1:31">
      <c r="A229" s="13" t="s">
        <v>324</v>
      </c>
      <c r="B229" s="13" t="s">
        <v>1</v>
      </c>
      <c r="C229" s="13" t="s">
        <v>125</v>
      </c>
      <c r="D229" s="13" t="str">
        <f>IFERROR(VLOOKUP(C229,ghg_sort!$A$86:$B$512,2,0),0)</f>
        <v>Electricity</v>
      </c>
      <c r="E229" s="12" t="s">
        <v>86</v>
      </c>
      <c r="F229" s="13">
        <f>IFERROR(VLOOKUP($E229,ghg_sort!$A$3:$B$21,2,0),0)</f>
        <v>3.6666666666666701</v>
      </c>
      <c r="G229" s="13">
        <f t="shared" ref="G229:Q266" si="17">T229*$F229</f>
        <v>16.442807333333349</v>
      </c>
      <c r="H229" s="13">
        <f t="shared" si="17"/>
        <v>135.9083696666668</v>
      </c>
      <c r="I229" s="13">
        <f t="shared" si="17"/>
        <v>198.08646366666648</v>
      </c>
      <c r="J229" s="13">
        <f t="shared" si="17"/>
        <v>206.94172033333354</v>
      </c>
      <c r="K229" s="13">
        <f t="shared" si="17"/>
        <v>210.97105700000017</v>
      </c>
      <c r="L229" s="13">
        <f t="shared" si="17"/>
        <v>120.80192043333345</v>
      </c>
      <c r="M229" s="13">
        <f t="shared" si="15"/>
        <v>49.152082466666712</v>
      </c>
      <c r="N229" s="13">
        <f t="shared" si="15"/>
        <v>11.646317283333344</v>
      </c>
      <c r="O229" s="13">
        <f t="shared" si="15"/>
        <v>1.9913899756666649</v>
      </c>
      <c r="P229" s="13">
        <f t="shared" si="15"/>
        <v>0.1430217803666668</v>
      </c>
      <c r="Q229" s="13">
        <f t="shared" si="15"/>
        <v>1.2249839433333345E-4</v>
      </c>
      <c r="R229" s="13" t="s">
        <v>239</v>
      </c>
      <c r="T229" s="62">
        <v>4.4844020000000002</v>
      </c>
      <c r="U229" s="62">
        <v>37.065919000000001</v>
      </c>
      <c r="V229" s="62">
        <v>54.023580999999901</v>
      </c>
      <c r="W229" s="62">
        <v>56.438651</v>
      </c>
      <c r="X229" s="62">
        <v>57.537560999999997</v>
      </c>
      <c r="Y229" s="63">
        <v>32.9459783</v>
      </c>
      <c r="Z229" s="62">
        <v>13.405113399999999</v>
      </c>
      <c r="AA229" s="62">
        <v>3.17626835</v>
      </c>
      <c r="AB229" s="62">
        <v>0.54310635699999898</v>
      </c>
      <c r="AC229" s="63">
        <v>3.9005940099999997E-2</v>
      </c>
      <c r="AD229" s="63">
        <v>3.3408653000000002E-5</v>
      </c>
      <c r="AE229" s="13" t="s">
        <v>94</v>
      </c>
    </row>
    <row r="230" spans="1:31">
      <c r="A230" s="13" t="s">
        <v>324</v>
      </c>
      <c r="B230" s="13" t="s">
        <v>1</v>
      </c>
      <c r="C230" s="13" t="s">
        <v>136</v>
      </c>
      <c r="D230" s="13" t="str">
        <f>IFERROR(VLOOKUP(C230,ghg_sort!$A$86:$B$512,2,0),0)</f>
        <v>Electricity</v>
      </c>
      <c r="E230" s="12" t="s">
        <v>86</v>
      </c>
      <c r="F230" s="13">
        <f>IFERROR(VLOOKUP($E230,ghg_sort!$A$3:$B$21,2,0),0)</f>
        <v>3.6666666666666701</v>
      </c>
      <c r="G230" s="13">
        <f t="shared" si="17"/>
        <v>0</v>
      </c>
      <c r="H230" s="13">
        <f t="shared" si="17"/>
        <v>0</v>
      </c>
      <c r="I230" s="13">
        <f t="shared" si="17"/>
        <v>0</v>
      </c>
      <c r="J230" s="13">
        <f t="shared" si="17"/>
        <v>0</v>
      </c>
      <c r="K230" s="13">
        <f t="shared" si="17"/>
        <v>0</v>
      </c>
      <c r="L230" s="13">
        <f t="shared" si="17"/>
        <v>0</v>
      </c>
      <c r="M230" s="13">
        <f t="shared" si="15"/>
        <v>0.366634986666667</v>
      </c>
      <c r="N230" s="13">
        <f t="shared" si="15"/>
        <v>0.95720504000000084</v>
      </c>
      <c r="O230" s="13">
        <f t="shared" si="15"/>
        <v>1.8074447233333313</v>
      </c>
      <c r="P230" s="13">
        <f t="shared" si="15"/>
        <v>2.7279639933333355</v>
      </c>
      <c r="Q230" s="13">
        <f t="shared" si="15"/>
        <v>3.0171080499999992</v>
      </c>
      <c r="R230" s="13" t="s">
        <v>239</v>
      </c>
      <c r="T230" s="62">
        <v>0</v>
      </c>
      <c r="U230" s="62">
        <v>0</v>
      </c>
      <c r="V230" s="62">
        <v>0</v>
      </c>
      <c r="W230" s="62">
        <v>0</v>
      </c>
      <c r="X230" s="62">
        <v>0</v>
      </c>
      <c r="Y230" s="62">
        <v>0</v>
      </c>
      <c r="Z230" s="62">
        <v>9.9991360000000001E-2</v>
      </c>
      <c r="AA230" s="62">
        <v>0.26105592</v>
      </c>
      <c r="AB230" s="62">
        <v>0.49293946999999899</v>
      </c>
      <c r="AC230" s="62">
        <v>0.74399017999999995</v>
      </c>
      <c r="AD230" s="62">
        <v>0.82284764999999904</v>
      </c>
      <c r="AE230" s="13" t="s">
        <v>94</v>
      </c>
    </row>
    <row r="231" spans="1:31">
      <c r="A231" s="13" t="s">
        <v>324</v>
      </c>
      <c r="B231" s="13" t="s">
        <v>1</v>
      </c>
      <c r="C231" s="13" t="s">
        <v>126</v>
      </c>
      <c r="D231" s="13" t="str">
        <f>IFERROR(VLOOKUP(C231,ghg_sort!$A$86:$B$512,2,0),0)</f>
        <v>Electricity</v>
      </c>
      <c r="E231" s="12" t="s">
        <v>86</v>
      </c>
      <c r="F231" s="13">
        <f>IFERROR(VLOOKUP($E231,ghg_sort!$A$3:$B$21,2,0),0)</f>
        <v>3.6666666666666701</v>
      </c>
      <c r="G231" s="13">
        <f t="shared" si="17"/>
        <v>3.121930533333336</v>
      </c>
      <c r="H231" s="13">
        <f t="shared" si="17"/>
        <v>21.110759633333352</v>
      </c>
      <c r="I231" s="13">
        <f t="shared" si="17"/>
        <v>24.39629426666669</v>
      </c>
      <c r="J231" s="13">
        <f t="shared" si="17"/>
        <v>39.598740133333372</v>
      </c>
      <c r="K231" s="13">
        <f t="shared" si="17"/>
        <v>47.302881266666709</v>
      </c>
      <c r="L231" s="13">
        <f t="shared" si="17"/>
        <v>53.181397866666714</v>
      </c>
      <c r="M231" s="13">
        <f t="shared" si="15"/>
        <v>59.25971039999969</v>
      </c>
      <c r="N231" s="13">
        <f t="shared" si="15"/>
        <v>53.271726200000046</v>
      </c>
      <c r="O231" s="13">
        <f t="shared" si="15"/>
        <v>35.101112493333332</v>
      </c>
      <c r="P231" s="13">
        <f t="shared" si="15"/>
        <v>13.89469220333331</v>
      </c>
      <c r="Q231" s="13">
        <f t="shared" si="15"/>
        <v>0.27368099110000027</v>
      </c>
      <c r="R231" s="13" t="s">
        <v>239</v>
      </c>
      <c r="T231" s="62">
        <v>0.85143559999999996</v>
      </c>
      <c r="U231" s="62">
        <v>5.7574798999999999</v>
      </c>
      <c r="V231" s="62">
        <v>6.6535348000000001</v>
      </c>
      <c r="W231" s="62">
        <v>10.7996564</v>
      </c>
      <c r="X231" s="62">
        <v>12.9007858</v>
      </c>
      <c r="Y231" s="62">
        <v>14.504017599999999</v>
      </c>
      <c r="Z231" s="62">
        <v>16.1617391999999</v>
      </c>
      <c r="AA231" s="62">
        <v>14.528652599999999</v>
      </c>
      <c r="AB231" s="62">
        <v>9.5730306799999898</v>
      </c>
      <c r="AC231" s="62">
        <v>3.78946150999999</v>
      </c>
      <c r="AD231" s="62">
        <v>7.4640270300000006E-2</v>
      </c>
      <c r="AE231" s="13" t="s">
        <v>94</v>
      </c>
    </row>
    <row r="232" spans="1:31">
      <c r="A232" s="13" t="s">
        <v>324</v>
      </c>
      <c r="B232" s="13" t="s">
        <v>1</v>
      </c>
      <c r="C232" s="13" t="s">
        <v>127</v>
      </c>
      <c r="D232" s="13" t="str">
        <f>IFERROR(VLOOKUP(C232,ghg_sort!$A$86:$B$512,2,0),0)</f>
        <v>Electricity</v>
      </c>
      <c r="E232" s="12" t="s">
        <v>86</v>
      </c>
      <c r="F232" s="13">
        <f>IFERROR(VLOOKUP($E232,ghg_sort!$A$3:$B$21,2,0),0)</f>
        <v>3.6666666666666701</v>
      </c>
      <c r="G232" s="13">
        <f t="shared" si="17"/>
        <v>1.3178746166666679</v>
      </c>
      <c r="H232" s="13">
        <f t="shared" si="17"/>
        <v>1.6309016533333314</v>
      </c>
      <c r="I232" s="13">
        <f t="shared" si="17"/>
        <v>13.912943733333346</v>
      </c>
      <c r="J232" s="13">
        <f t="shared" si="17"/>
        <v>0.49971057033333383</v>
      </c>
      <c r="K232" s="13">
        <f t="shared" si="17"/>
        <v>0.48329903233333377</v>
      </c>
      <c r="L232" s="13">
        <f t="shared" si="17"/>
        <v>0.28684384666666696</v>
      </c>
      <c r="M232" s="13">
        <f t="shared" si="15"/>
        <v>0.22360184733333355</v>
      </c>
      <c r="N232" s="13">
        <f t="shared" si="15"/>
        <v>0.10884853356666678</v>
      </c>
      <c r="O232" s="13">
        <f t="shared" si="15"/>
        <v>2.8242174033333359E-2</v>
      </c>
      <c r="P232" s="13">
        <f t="shared" si="15"/>
        <v>4.4975179333333008E-3</v>
      </c>
      <c r="Q232" s="13">
        <f t="shared" si="15"/>
        <v>0</v>
      </c>
      <c r="R232" s="13" t="s">
        <v>239</v>
      </c>
      <c r="T232" s="63">
        <v>0.35942035</v>
      </c>
      <c r="U232" s="62">
        <v>0.44479135999999903</v>
      </c>
      <c r="V232" s="62">
        <v>3.7944391999999998</v>
      </c>
      <c r="W232" s="62">
        <v>0.13628470100000001</v>
      </c>
      <c r="X232" s="62">
        <v>0.13180882699999999</v>
      </c>
      <c r="Y232" s="62">
        <v>7.8230140000000004E-2</v>
      </c>
      <c r="Z232" s="62">
        <v>6.0982321999999999E-2</v>
      </c>
      <c r="AA232" s="63">
        <v>2.9685963700000002E-2</v>
      </c>
      <c r="AB232" s="63">
        <v>7.7024110999999998E-3</v>
      </c>
      <c r="AC232" s="63">
        <v>1.2265957999999899E-3</v>
      </c>
      <c r="AD232" s="63">
        <v>0</v>
      </c>
      <c r="AE232" s="13" t="s">
        <v>94</v>
      </c>
    </row>
    <row r="233" spans="1:31">
      <c r="A233" s="13" t="s">
        <v>324</v>
      </c>
      <c r="B233" s="13" t="s">
        <v>1</v>
      </c>
      <c r="C233" s="13" t="s">
        <v>129</v>
      </c>
      <c r="D233" s="13" t="str">
        <f>IFERROR(VLOOKUP(C233,ghg_sort!$A$86:$B$512,2,0),0)</f>
        <v>Electricity</v>
      </c>
      <c r="E233" s="12" t="s">
        <v>86</v>
      </c>
      <c r="F233" s="13">
        <f>IFERROR(VLOOKUP($E233,ghg_sort!$A$3:$B$21,2,0),0)</f>
        <v>3.6666666666666701</v>
      </c>
      <c r="G233" s="13">
        <f t="shared" si="17"/>
        <v>13.571061533333346</v>
      </c>
      <c r="H233" s="13">
        <f t="shared" si="17"/>
        <v>15.141381200000014</v>
      </c>
      <c r="I233" s="13">
        <f t="shared" si="17"/>
        <v>9.8372376666666757</v>
      </c>
      <c r="J233" s="13">
        <f t="shared" si="17"/>
        <v>6.77068663333334</v>
      </c>
      <c r="K233" s="13">
        <f t="shared" si="17"/>
        <v>1.5471435833333311</v>
      </c>
      <c r="L233" s="13">
        <f t="shared" si="17"/>
        <v>1.9376192733333348</v>
      </c>
      <c r="M233" s="13">
        <f t="shared" si="15"/>
        <v>1.7298085933333349</v>
      </c>
      <c r="N233" s="13">
        <f t="shared" si="15"/>
        <v>1.0733163833333341</v>
      </c>
      <c r="O233" s="13">
        <f t="shared" si="15"/>
        <v>0.41118440366666703</v>
      </c>
      <c r="P233" s="13">
        <f t="shared" si="15"/>
        <v>9.4579415333333416E-2</v>
      </c>
      <c r="Q233" s="13">
        <f t="shared" si="15"/>
        <v>1.4838465766666682E-3</v>
      </c>
      <c r="R233" s="13" t="s">
        <v>239</v>
      </c>
      <c r="T233" s="63">
        <v>3.7011986000000001</v>
      </c>
      <c r="U233" s="62">
        <v>4.1294675999999999</v>
      </c>
      <c r="V233" s="62">
        <v>2.6828829999999999</v>
      </c>
      <c r="W233" s="62">
        <v>1.8465509</v>
      </c>
      <c r="X233" s="62">
        <v>0.42194824999999903</v>
      </c>
      <c r="Y233" s="62">
        <v>0.52844161999999995</v>
      </c>
      <c r="Z233" s="62">
        <v>0.47176597999999997</v>
      </c>
      <c r="AA233" s="62">
        <v>0.29272264999999997</v>
      </c>
      <c r="AB233" s="62">
        <v>0.112141201</v>
      </c>
      <c r="AC233" s="62">
        <v>2.5794385999999999E-2</v>
      </c>
      <c r="AD233" s="63">
        <v>4.0468543000000002E-4</v>
      </c>
      <c r="AE233" s="13" t="s">
        <v>94</v>
      </c>
    </row>
    <row r="234" spans="1:31">
      <c r="A234" s="13" t="s">
        <v>324</v>
      </c>
      <c r="B234" s="13" t="s">
        <v>1</v>
      </c>
      <c r="C234" s="13" t="s">
        <v>59</v>
      </c>
      <c r="D234" s="13" t="str">
        <f>IFERROR(VLOOKUP(C234,ghg_sort!$A$86:$B$512,2,0),0)</f>
        <v>Electricity</v>
      </c>
      <c r="E234" s="12" t="s">
        <v>83</v>
      </c>
      <c r="F234" s="13">
        <f>IFERROR(VLOOKUP($E234,ghg_sort!$A$3:$B$21,2,0),0)</f>
        <v>0</v>
      </c>
      <c r="G234" s="13">
        <f t="shared" si="17"/>
        <v>0</v>
      </c>
      <c r="H234" s="13">
        <f t="shared" si="17"/>
        <v>0</v>
      </c>
      <c r="I234" s="13">
        <f t="shared" si="17"/>
        <v>0</v>
      </c>
      <c r="J234" s="13">
        <f t="shared" si="17"/>
        <v>0</v>
      </c>
      <c r="K234" s="13">
        <f t="shared" si="17"/>
        <v>0</v>
      </c>
      <c r="L234" s="13">
        <f t="shared" si="17"/>
        <v>0</v>
      </c>
      <c r="M234" s="13">
        <f t="shared" si="15"/>
        <v>0</v>
      </c>
      <c r="N234" s="13">
        <f t="shared" si="15"/>
        <v>0</v>
      </c>
      <c r="O234" s="13">
        <f t="shared" si="15"/>
        <v>0</v>
      </c>
      <c r="P234" s="13">
        <f t="shared" si="15"/>
        <v>0</v>
      </c>
      <c r="Q234" s="13">
        <f t="shared" si="15"/>
        <v>0</v>
      </c>
      <c r="R234" s="13" t="s">
        <v>239</v>
      </c>
      <c r="T234" s="63">
        <v>5.0151600000000003E-4</v>
      </c>
      <c r="U234" s="62">
        <v>1.4306307999999901E-3</v>
      </c>
      <c r="V234" s="62">
        <v>1.932923E-3</v>
      </c>
      <c r="W234" s="62">
        <v>2.7986129999999902E-3</v>
      </c>
      <c r="X234" s="62">
        <v>2.6422905620000002E-3</v>
      </c>
      <c r="Y234" s="62">
        <v>2.5311468934739998E-3</v>
      </c>
      <c r="Z234" s="62">
        <v>2.83951181019E-3</v>
      </c>
      <c r="AA234" s="62">
        <v>2.5973962543999998E-3</v>
      </c>
      <c r="AB234" s="63">
        <v>1.7513852554999999E-3</v>
      </c>
      <c r="AC234" s="63">
        <v>1.9876144841999999E-4</v>
      </c>
      <c r="AD234" s="63">
        <v>3.0785354099999997E-7</v>
      </c>
      <c r="AE234" s="13" t="s">
        <v>93</v>
      </c>
    </row>
    <row r="235" spans="1:31">
      <c r="A235" s="13" t="s">
        <v>324</v>
      </c>
      <c r="B235" s="13" t="s">
        <v>1</v>
      </c>
      <c r="C235" s="13" t="s">
        <v>59</v>
      </c>
      <c r="D235" s="13" t="str">
        <f>IFERROR(VLOOKUP(C235,ghg_sort!$A$86:$B$512,2,0),0)</f>
        <v>Electricity</v>
      </c>
      <c r="E235" s="12" t="s">
        <v>84</v>
      </c>
      <c r="F235" s="13">
        <f>IFERROR(VLOOKUP($E235,ghg_sort!$A$3:$B$21,2,0),0)</f>
        <v>25</v>
      </c>
      <c r="G235" s="13">
        <f t="shared" si="17"/>
        <v>1.7249999999999998E-2</v>
      </c>
      <c r="H235" s="13">
        <f t="shared" si="17"/>
        <v>8.272703549999999E-2</v>
      </c>
      <c r="I235" s="13">
        <f t="shared" si="17"/>
        <v>0.1254970825</v>
      </c>
      <c r="J235" s="13">
        <f t="shared" si="17"/>
        <v>0.144505305</v>
      </c>
      <c r="K235" s="13">
        <f t="shared" si="17"/>
        <v>2.9440709999999998E-2</v>
      </c>
      <c r="L235" s="13">
        <f t="shared" si="17"/>
        <v>3.1619792325E-2</v>
      </c>
      <c r="M235" s="13">
        <f t="shared" si="15"/>
        <v>3.6193057250000001E-2</v>
      </c>
      <c r="N235" s="13">
        <f t="shared" si="15"/>
        <v>3.6413639999999754E-2</v>
      </c>
      <c r="O235" s="13">
        <f t="shared" si="15"/>
        <v>3.0540856749999748E-2</v>
      </c>
      <c r="P235" s="13">
        <f t="shared" si="15"/>
        <v>1.6209211825E-2</v>
      </c>
      <c r="Q235" s="13">
        <f t="shared" si="15"/>
        <v>1.1654424439099975E-2</v>
      </c>
      <c r="R235" s="13" t="s">
        <v>239</v>
      </c>
      <c r="T235" s="63">
        <v>6.8999999999999997E-4</v>
      </c>
      <c r="U235" s="62">
        <v>3.3090814199999998E-3</v>
      </c>
      <c r="V235" s="62">
        <v>5.0198832999999998E-3</v>
      </c>
      <c r="W235" s="62">
        <v>5.7802121999999999E-3</v>
      </c>
      <c r="X235" s="63">
        <v>1.1776283999999999E-3</v>
      </c>
      <c r="Y235" s="62">
        <v>1.264791693E-3</v>
      </c>
      <c r="Z235" s="62">
        <v>1.44772229E-3</v>
      </c>
      <c r="AA235" s="62">
        <v>1.4565455999999901E-3</v>
      </c>
      <c r="AB235" s="63">
        <v>1.2216342699999899E-3</v>
      </c>
      <c r="AC235" s="63">
        <v>6.4836847300000003E-4</v>
      </c>
      <c r="AD235" s="63">
        <v>4.6617697756399899E-4</v>
      </c>
      <c r="AE235" s="13" t="s">
        <v>93</v>
      </c>
    </row>
    <row r="236" spans="1:31">
      <c r="A236" s="13" t="s">
        <v>324</v>
      </c>
      <c r="B236" s="13" t="s">
        <v>1</v>
      </c>
      <c r="C236" s="13" t="s">
        <v>59</v>
      </c>
      <c r="D236" s="13" t="str">
        <f>IFERROR(VLOOKUP(C236,ghg_sort!$A$86:$B$512,2,0),0)</f>
        <v>Electricity</v>
      </c>
      <c r="E236" s="12" t="s">
        <v>85</v>
      </c>
      <c r="F236" s="13">
        <f>IFERROR(VLOOKUP($E236,ghg_sort!$A$3:$B$21,2,0),0)</f>
        <v>0</v>
      </c>
      <c r="G236" s="13">
        <f t="shared" si="17"/>
        <v>0</v>
      </c>
      <c r="H236" s="13">
        <f t="shared" si="17"/>
        <v>0</v>
      </c>
      <c r="I236" s="13">
        <f t="shared" si="17"/>
        <v>0</v>
      </c>
      <c r="J236" s="13">
        <f t="shared" si="17"/>
        <v>0</v>
      </c>
      <c r="K236" s="13">
        <f t="shared" si="17"/>
        <v>0</v>
      </c>
      <c r="L236" s="13">
        <f t="shared" si="17"/>
        <v>0</v>
      </c>
      <c r="M236" s="13">
        <f t="shared" si="15"/>
        <v>0</v>
      </c>
      <c r="N236" s="13">
        <f t="shared" si="15"/>
        <v>0</v>
      </c>
      <c r="O236" s="13">
        <f t="shared" si="15"/>
        <v>0</v>
      </c>
      <c r="P236" s="13">
        <f t="shared" si="15"/>
        <v>0</v>
      </c>
      <c r="Q236" s="13">
        <f t="shared" si="15"/>
        <v>0</v>
      </c>
      <c r="R236" s="13" t="s">
        <v>239</v>
      </c>
      <c r="T236" s="63">
        <v>1.21900009999999E-2</v>
      </c>
      <c r="U236" s="63">
        <v>2.470931979E-2</v>
      </c>
      <c r="V236" s="62">
        <v>2.7759407099999901E-2</v>
      </c>
      <c r="W236" s="62">
        <v>3.0410586399999998E-2</v>
      </c>
      <c r="X236" s="62">
        <v>2.43954516E-2</v>
      </c>
      <c r="Y236" s="62">
        <v>1.7548019349999999E-2</v>
      </c>
      <c r="Z236" s="62">
        <v>1.78987637E-2</v>
      </c>
      <c r="AA236" s="62">
        <v>1.7989729100000001E-2</v>
      </c>
      <c r="AB236" s="62">
        <v>1.8778193759999999E-2</v>
      </c>
      <c r="AC236" s="62">
        <v>2.0752680315999899E-2</v>
      </c>
      <c r="AD236" s="62">
        <v>1.7350645731618999E-2</v>
      </c>
      <c r="AE236" s="13" t="s">
        <v>93</v>
      </c>
    </row>
    <row r="237" spans="1:31">
      <c r="A237" s="13" t="s">
        <v>324</v>
      </c>
      <c r="B237" s="13" t="s">
        <v>1</v>
      </c>
      <c r="C237" s="13" t="s">
        <v>59</v>
      </c>
      <c r="D237" s="13" t="str">
        <f>IFERROR(VLOOKUP(C237,ghg_sort!$A$86:$B$512,2,0),0)</f>
        <v>Electricity</v>
      </c>
      <c r="E237" s="12" t="s">
        <v>87</v>
      </c>
      <c r="F237" s="13">
        <f>IFERROR(VLOOKUP($E237,ghg_sort!$A$3:$B$21,2,0),0)</f>
        <v>298</v>
      </c>
      <c r="G237" s="13">
        <f t="shared" si="17"/>
        <v>9.5360000000000014E-2</v>
      </c>
      <c r="H237" s="13">
        <f t="shared" si="17"/>
        <v>1.4445891746399973</v>
      </c>
      <c r="I237" s="13">
        <f t="shared" si="17"/>
        <v>2.0983008439999997</v>
      </c>
      <c r="J237" s="13">
        <f t="shared" si="17"/>
        <v>2.391525095999997</v>
      </c>
      <c r="K237" s="13">
        <f t="shared" si="17"/>
        <v>1.9668545339999999</v>
      </c>
      <c r="L237" s="13">
        <f t="shared" si="17"/>
        <v>1.2549477663594</v>
      </c>
      <c r="M237" s="13">
        <f t="shared" si="15"/>
        <v>0.69651459629400003</v>
      </c>
      <c r="N237" s="13">
        <f t="shared" si="15"/>
        <v>0.38236519165999999</v>
      </c>
      <c r="O237" s="13">
        <f t="shared" si="15"/>
        <v>0.23838534734</v>
      </c>
      <c r="P237" s="13">
        <f t="shared" si="15"/>
        <v>5.8113946116000001E-2</v>
      </c>
      <c r="Q237" s="13">
        <f t="shared" si="15"/>
        <v>2.7795627362552002E-2</v>
      </c>
      <c r="R237" s="13" t="s">
        <v>239</v>
      </c>
      <c r="T237" s="63">
        <v>3.2000000000000003E-4</v>
      </c>
      <c r="U237" s="62">
        <v>4.8476146799999904E-3</v>
      </c>
      <c r="V237" s="62">
        <v>7.0412779999999998E-3</v>
      </c>
      <c r="W237" s="62">
        <v>8.0252519999999897E-3</v>
      </c>
      <c r="X237" s="63">
        <v>6.6001829999999999E-3</v>
      </c>
      <c r="Y237" s="63">
        <v>4.2112341152999999E-3</v>
      </c>
      <c r="Z237" s="63">
        <v>2.337297303E-3</v>
      </c>
      <c r="AA237" s="63">
        <v>1.2831046699999999E-3</v>
      </c>
      <c r="AB237" s="63">
        <v>7.9995082999999995E-4</v>
      </c>
      <c r="AC237" s="63">
        <v>1.9501324199999999E-4</v>
      </c>
      <c r="AD237" s="63">
        <v>9.3273917324000004E-5</v>
      </c>
      <c r="AE237" s="13" t="s">
        <v>93</v>
      </c>
    </row>
    <row r="238" spans="1:31">
      <c r="A238" s="13" t="s">
        <v>324</v>
      </c>
      <c r="B238" s="13" t="s">
        <v>1</v>
      </c>
      <c r="C238" s="13" t="s">
        <v>59</v>
      </c>
      <c r="D238" s="13" t="str">
        <f>IFERROR(VLOOKUP(C238,ghg_sort!$A$86:$B$512,2,0),0)</f>
        <v>Electricity</v>
      </c>
      <c r="E238" s="12" t="s">
        <v>88</v>
      </c>
      <c r="F238" s="13">
        <f>IFERROR(VLOOKUP($E238,ghg_sort!$A$3:$B$21,2,0),0)</f>
        <v>0</v>
      </c>
      <c r="G238" s="13">
        <f t="shared" si="17"/>
        <v>0</v>
      </c>
      <c r="H238" s="13">
        <f t="shared" si="17"/>
        <v>0</v>
      </c>
      <c r="I238" s="13">
        <f t="shared" si="17"/>
        <v>0</v>
      </c>
      <c r="J238" s="13">
        <f t="shared" si="17"/>
        <v>0</v>
      </c>
      <c r="K238" s="13">
        <f t="shared" si="17"/>
        <v>0</v>
      </c>
      <c r="L238" s="13">
        <f t="shared" si="17"/>
        <v>0</v>
      </c>
      <c r="M238" s="13">
        <f t="shared" si="15"/>
        <v>0</v>
      </c>
      <c r="N238" s="13">
        <f t="shared" si="15"/>
        <v>0</v>
      </c>
      <c r="O238" s="13">
        <f t="shared" si="15"/>
        <v>0</v>
      </c>
      <c r="P238" s="13">
        <f t="shared" si="15"/>
        <v>0</v>
      </c>
      <c r="Q238" s="13">
        <f t="shared" si="15"/>
        <v>0</v>
      </c>
      <c r="R238" s="13" t="s">
        <v>239</v>
      </c>
      <c r="T238" s="63">
        <v>3.8999999999999999E-4</v>
      </c>
      <c r="U238" s="63">
        <v>8.3848117400000003E-4</v>
      </c>
      <c r="V238" s="62">
        <v>1.40578632E-3</v>
      </c>
      <c r="W238" s="62">
        <v>1.3842823799999999E-3</v>
      </c>
      <c r="X238" s="62">
        <v>1.5075419700000001E-3</v>
      </c>
      <c r="Y238" s="62">
        <v>1.49989598E-3</v>
      </c>
      <c r="Z238" s="62">
        <v>1.53753994E-3</v>
      </c>
      <c r="AA238" s="62">
        <v>1.35695749E-3</v>
      </c>
      <c r="AB238" s="63">
        <v>9.1492154099999997E-4</v>
      </c>
      <c r="AC238" s="63">
        <v>3.0784481610000001E-4</v>
      </c>
      <c r="AD238" s="63">
        <v>5.6829407559999901E-6</v>
      </c>
      <c r="AE238" s="13" t="s">
        <v>93</v>
      </c>
    </row>
    <row r="239" spans="1:31">
      <c r="A239" s="13" t="s">
        <v>324</v>
      </c>
      <c r="B239" s="13" t="s">
        <v>1</v>
      </c>
      <c r="C239" s="13" t="s">
        <v>59</v>
      </c>
      <c r="D239" s="13" t="str">
        <f>IFERROR(VLOOKUP(C239,ghg_sort!$A$86:$B$512,2,0),0)</f>
        <v>Electricity</v>
      </c>
      <c r="E239" s="33" t="s">
        <v>89</v>
      </c>
      <c r="F239" s="13">
        <f>IFERROR(VLOOKUP($E239,ghg_sort!$A$3:$B$21,2,0),0)</f>
        <v>0</v>
      </c>
      <c r="G239" s="13">
        <f t="shared" si="17"/>
        <v>0</v>
      </c>
      <c r="H239" s="13">
        <f t="shared" si="17"/>
        <v>0</v>
      </c>
      <c r="I239" s="13">
        <f t="shared" si="17"/>
        <v>0</v>
      </c>
      <c r="J239" s="13">
        <f t="shared" si="17"/>
        <v>0</v>
      </c>
      <c r="K239" s="13">
        <f t="shared" si="17"/>
        <v>0</v>
      </c>
      <c r="L239" s="13">
        <f t="shared" si="17"/>
        <v>0</v>
      </c>
      <c r="M239" s="13">
        <f t="shared" si="15"/>
        <v>0</v>
      </c>
      <c r="N239" s="13">
        <f t="shared" si="15"/>
        <v>0</v>
      </c>
      <c r="O239" s="13">
        <f t="shared" si="15"/>
        <v>0</v>
      </c>
      <c r="P239" s="13">
        <f t="shared" si="15"/>
        <v>0</v>
      </c>
      <c r="Q239" s="13">
        <f t="shared" si="15"/>
        <v>0</v>
      </c>
      <c r="R239" s="13" t="s">
        <v>239</v>
      </c>
      <c r="T239" s="63">
        <v>2.3499999999999901E-3</v>
      </c>
      <c r="U239" s="62">
        <v>3.4127760200000001E-3</v>
      </c>
      <c r="V239" s="62">
        <v>3.5886956E-3</v>
      </c>
      <c r="W239" s="62">
        <v>3.6490144E-3</v>
      </c>
      <c r="X239" s="63">
        <v>9.3303749999999904E-4</v>
      </c>
      <c r="Y239" s="63">
        <v>5.1622201529999997E-4</v>
      </c>
      <c r="Z239" s="63">
        <v>3.7880130299999901E-4</v>
      </c>
      <c r="AA239" s="63">
        <v>2.7140740999999997E-4</v>
      </c>
      <c r="AB239" s="63">
        <v>1.8822420000000001E-4</v>
      </c>
      <c r="AC239" s="63">
        <v>8.3101295999999999E-5</v>
      </c>
      <c r="AD239" s="63">
        <v>5.7932795617999997E-5</v>
      </c>
      <c r="AE239" s="13" t="s">
        <v>93</v>
      </c>
    </row>
    <row r="240" spans="1:31">
      <c r="A240" s="13" t="s">
        <v>324</v>
      </c>
      <c r="B240" s="13" t="s">
        <v>1</v>
      </c>
      <c r="C240" s="13" t="s">
        <v>59</v>
      </c>
      <c r="D240" s="13" t="str">
        <f>IFERROR(VLOOKUP(C240,ghg_sort!$A$86:$B$512,2,0),0)</f>
        <v>Electricity</v>
      </c>
      <c r="E240" s="33" t="s">
        <v>90</v>
      </c>
      <c r="F240" s="13">
        <f>IFERROR(VLOOKUP($E240,ghg_sort!$A$3:$B$21,2,0),0)</f>
        <v>0</v>
      </c>
      <c r="G240" s="13">
        <f t="shared" si="17"/>
        <v>0</v>
      </c>
      <c r="H240" s="13">
        <f t="shared" si="17"/>
        <v>0</v>
      </c>
      <c r="I240" s="13">
        <f t="shared" si="17"/>
        <v>0</v>
      </c>
      <c r="J240" s="13">
        <f t="shared" si="17"/>
        <v>0</v>
      </c>
      <c r="K240" s="13">
        <f t="shared" si="17"/>
        <v>0</v>
      </c>
      <c r="L240" s="13">
        <f t="shared" si="17"/>
        <v>0</v>
      </c>
      <c r="M240" s="13">
        <f t="shared" si="15"/>
        <v>0</v>
      </c>
      <c r="N240" s="13">
        <f t="shared" si="15"/>
        <v>0</v>
      </c>
      <c r="O240" s="13">
        <f t="shared" si="15"/>
        <v>0</v>
      </c>
      <c r="P240" s="13">
        <f t="shared" si="15"/>
        <v>0</v>
      </c>
      <c r="Q240" s="13">
        <f t="shared" si="15"/>
        <v>0</v>
      </c>
      <c r="R240" s="13" t="s">
        <v>239</v>
      </c>
      <c r="T240" s="63">
        <v>0.11128005000000001</v>
      </c>
      <c r="U240" s="62">
        <v>0.31240292789999902</v>
      </c>
      <c r="V240" s="62">
        <v>9.7175248800000003E-2</v>
      </c>
      <c r="W240" s="62">
        <v>7.6949529000000003E-2</v>
      </c>
      <c r="X240" s="62">
        <v>5.2314242900000002E-2</v>
      </c>
      <c r="Y240" s="62">
        <v>2.26132324999999E-2</v>
      </c>
      <c r="Z240" s="62">
        <v>1.4212517399999999E-2</v>
      </c>
      <c r="AA240" s="62">
        <v>1.183770959E-2</v>
      </c>
      <c r="AB240" s="63">
        <v>1.2849617630000001E-2</v>
      </c>
      <c r="AC240" s="63">
        <v>1.4397204247999999E-2</v>
      </c>
      <c r="AD240" s="62">
        <v>1.22209938718599E-2</v>
      </c>
      <c r="AE240" s="13" t="s">
        <v>93</v>
      </c>
    </row>
    <row r="241" spans="1:31">
      <c r="A241" s="13" t="s">
        <v>324</v>
      </c>
      <c r="B241" s="13" t="s">
        <v>1</v>
      </c>
      <c r="C241" s="13" t="s">
        <v>59</v>
      </c>
      <c r="D241" s="13" t="str">
        <f>IFERROR(VLOOKUP(C241,ghg_sort!$A$86:$B$512,2,0),0)</f>
        <v>Electricity</v>
      </c>
      <c r="E241" s="33" t="s">
        <v>91</v>
      </c>
      <c r="F241" s="13">
        <f>IFERROR(VLOOKUP($E241,ghg_sort!$A$3:$B$21,2,0),0)</f>
        <v>0</v>
      </c>
      <c r="G241" s="13">
        <f t="shared" si="17"/>
        <v>0</v>
      </c>
      <c r="H241" s="13">
        <f t="shared" si="17"/>
        <v>0</v>
      </c>
      <c r="I241" s="13">
        <f t="shared" si="17"/>
        <v>0</v>
      </c>
      <c r="J241" s="13">
        <f t="shared" si="17"/>
        <v>0</v>
      </c>
      <c r="K241" s="13">
        <f t="shared" si="17"/>
        <v>0</v>
      </c>
      <c r="L241" s="13">
        <f t="shared" si="17"/>
        <v>0</v>
      </c>
      <c r="M241" s="13">
        <f t="shared" si="15"/>
        <v>0</v>
      </c>
      <c r="N241" s="13">
        <f t="shared" si="15"/>
        <v>0</v>
      </c>
      <c r="O241" s="13">
        <f t="shared" si="15"/>
        <v>0</v>
      </c>
      <c r="P241" s="13">
        <f t="shared" si="15"/>
        <v>0</v>
      </c>
      <c r="Q241" s="13">
        <f t="shared" si="15"/>
        <v>0</v>
      </c>
      <c r="R241" s="13" t="s">
        <v>239</v>
      </c>
      <c r="T241" s="63">
        <v>3.8999999999999999E-4</v>
      </c>
      <c r="U241" s="62">
        <v>2.2721818999999902E-3</v>
      </c>
      <c r="V241" s="62">
        <v>3.5838269999999999E-3</v>
      </c>
      <c r="W241" s="62">
        <v>4.5562789999999999E-3</v>
      </c>
      <c r="X241" s="62">
        <v>5.4155571299999896E-3</v>
      </c>
      <c r="Y241" s="62">
        <v>6.11296453292E-3</v>
      </c>
      <c r="Z241" s="62">
        <v>7.3114506185000001E-3</v>
      </c>
      <c r="AA241" s="62">
        <v>6.8389295879999999E-3</v>
      </c>
      <c r="AB241" s="63">
        <v>4.6443711849999897E-3</v>
      </c>
      <c r="AC241" s="63">
        <v>5.3216066920000005E-4</v>
      </c>
      <c r="AD241" s="63">
        <v>6.4761616319999997E-6</v>
      </c>
      <c r="AE241" s="13" t="s">
        <v>93</v>
      </c>
    </row>
    <row r="242" spans="1:31">
      <c r="A242" s="13" t="s">
        <v>324</v>
      </c>
      <c r="B242" s="13" t="s">
        <v>1</v>
      </c>
      <c r="C242" s="13" t="s">
        <v>59</v>
      </c>
      <c r="D242" s="13" t="str">
        <f>IFERROR(VLOOKUP(C242,ghg_sort!$A$86:$B$512,2,0),0)</f>
        <v>Electricity</v>
      </c>
      <c r="E242" s="33" t="s">
        <v>92</v>
      </c>
      <c r="F242" s="13">
        <f>IFERROR(VLOOKUP($E242,ghg_sort!$A$3:$B$21,2,0),0)</f>
        <v>0</v>
      </c>
      <c r="G242" s="13">
        <f t="shared" si="17"/>
        <v>0</v>
      </c>
      <c r="H242" s="13">
        <f t="shared" si="17"/>
        <v>0</v>
      </c>
      <c r="I242" s="13">
        <f t="shared" si="17"/>
        <v>0</v>
      </c>
      <c r="J242" s="13">
        <f t="shared" si="17"/>
        <v>0</v>
      </c>
      <c r="K242" s="13">
        <f t="shared" si="17"/>
        <v>0</v>
      </c>
      <c r="L242" s="13">
        <f t="shared" si="17"/>
        <v>0</v>
      </c>
      <c r="M242" s="13">
        <f t="shared" si="15"/>
        <v>0</v>
      </c>
      <c r="N242" s="13">
        <f t="shared" si="15"/>
        <v>0</v>
      </c>
      <c r="O242" s="13">
        <f t="shared" si="15"/>
        <v>0</v>
      </c>
      <c r="P242" s="13">
        <f t="shared" si="15"/>
        <v>0</v>
      </c>
      <c r="Q242" s="13">
        <f t="shared" si="15"/>
        <v>0</v>
      </c>
      <c r="R242" s="13" t="s">
        <v>239</v>
      </c>
      <c r="T242" s="63">
        <v>0.10997651525999901</v>
      </c>
      <c r="U242" s="62">
        <v>0.106375661219999</v>
      </c>
      <c r="V242" s="62">
        <v>5.3570554100000001E-2</v>
      </c>
      <c r="W242" s="62">
        <v>6.2168590503999997E-2</v>
      </c>
      <c r="X242" s="62">
        <v>4.3018317742999898E-2</v>
      </c>
      <c r="Y242" s="62">
        <v>1.6295861639000001E-2</v>
      </c>
      <c r="Z242" s="62">
        <v>6.7536650270000002E-3</v>
      </c>
      <c r="AA242" s="62">
        <v>2.8776115719999999E-3</v>
      </c>
      <c r="AB242" s="63">
        <v>1.7670630323999899E-3</v>
      </c>
      <c r="AC242" s="63">
        <v>1.1472913342899999E-3</v>
      </c>
      <c r="AD242" s="63">
        <v>8.7368515507000005E-4</v>
      </c>
      <c r="AE242" s="13" t="s">
        <v>93</v>
      </c>
    </row>
    <row r="243" spans="1:31">
      <c r="A243" s="13" t="s">
        <v>324</v>
      </c>
      <c r="B243" s="13" t="s">
        <v>1</v>
      </c>
      <c r="C243" s="13" t="s">
        <v>130</v>
      </c>
      <c r="D243" s="13" t="str">
        <f>IFERROR(VLOOKUP(C243,ghg_sort!$A$86:$B$512,2,0),0)</f>
        <v>Electricity</v>
      </c>
      <c r="E243" s="33" t="s">
        <v>103</v>
      </c>
      <c r="F243" s="13">
        <f>IFERROR(VLOOKUP($E243,ghg_sort!$A$3:$B$21,2,0),0)</f>
        <v>22.8</v>
      </c>
      <c r="G243" s="13">
        <f t="shared" si="17"/>
        <v>0.64214148000000004</v>
      </c>
      <c r="H243" s="13">
        <f t="shared" si="17"/>
        <v>2.27809164</v>
      </c>
      <c r="I243" s="13">
        <f t="shared" si="17"/>
        <v>2.9500920000000002</v>
      </c>
      <c r="J243" s="13">
        <f t="shared" si="17"/>
        <v>3.5313780000000001</v>
      </c>
      <c r="K243" s="13">
        <f t="shared" si="17"/>
        <v>3.5417292000000002</v>
      </c>
      <c r="L243" s="13">
        <f t="shared" si="17"/>
        <v>2.6829444000000002</v>
      </c>
      <c r="M243" s="13">
        <f t="shared" si="15"/>
        <v>2.2502482800000001</v>
      </c>
      <c r="N243" s="13">
        <f t="shared" si="15"/>
        <v>2.1822062400000002</v>
      </c>
      <c r="O243" s="13">
        <f t="shared" si="15"/>
        <v>2.1704733599999999</v>
      </c>
      <c r="P243" s="13">
        <f t="shared" si="15"/>
        <v>2.06142096</v>
      </c>
      <c r="Q243" s="13">
        <f t="shared" si="15"/>
        <v>1.9971112800000002</v>
      </c>
      <c r="R243" s="13" t="s">
        <v>239</v>
      </c>
      <c r="T243" s="63">
        <v>2.8164100000000001E-2</v>
      </c>
      <c r="U243" s="63">
        <v>9.99163E-2</v>
      </c>
      <c r="V243" s="62">
        <v>0.12939000000000001</v>
      </c>
      <c r="W243" s="62">
        <v>0.15488499999999999</v>
      </c>
      <c r="X243" s="62">
        <v>0.155339</v>
      </c>
      <c r="Y243" s="62">
        <v>0.117673</v>
      </c>
      <c r="Z243" s="62">
        <v>9.8695099999999994E-2</v>
      </c>
      <c r="AA243" s="62">
        <v>9.5710799999999999E-2</v>
      </c>
      <c r="AB243" s="63">
        <v>9.5196199999999995E-2</v>
      </c>
      <c r="AC243" s="63">
        <v>9.0413199999999999E-2</v>
      </c>
      <c r="AD243" s="63">
        <v>8.7592600000000007E-2</v>
      </c>
      <c r="AE243" s="13" t="s">
        <v>131</v>
      </c>
    </row>
    <row r="244" spans="1:31">
      <c r="A244" s="13" t="s">
        <v>324</v>
      </c>
      <c r="B244" s="13" t="s">
        <v>1</v>
      </c>
      <c r="C244" s="13" t="s">
        <v>147</v>
      </c>
      <c r="D244" s="13" t="str">
        <f>IFERROR(VLOOKUP(C244,ghg_sort!$A$86:$B$512,2,0),0)</f>
        <v>Industry</v>
      </c>
      <c r="E244" s="33" t="s">
        <v>86</v>
      </c>
      <c r="F244" s="13">
        <f>IFERROR(VLOOKUP($E244,ghg_sort!$A$3:$B$21,2,0),0)</f>
        <v>3.6666666666666701</v>
      </c>
      <c r="G244" s="13">
        <f t="shared" si="17"/>
        <v>4.6110166666666709E-2</v>
      </c>
      <c r="H244" s="13">
        <f t="shared" si="17"/>
        <v>0.20748896666666686</v>
      </c>
      <c r="I244" s="13">
        <f t="shared" si="17"/>
        <v>0.51742900000000047</v>
      </c>
      <c r="J244" s="13">
        <f t="shared" si="17"/>
        <v>0.47375166666666707</v>
      </c>
      <c r="K244" s="13">
        <f t="shared" si="17"/>
        <v>0.98430456666666755</v>
      </c>
      <c r="L244" s="13">
        <f t="shared" si="17"/>
        <v>2.4981579333333359</v>
      </c>
      <c r="M244" s="13">
        <f t="shared" si="15"/>
        <v>3.0552803966666695</v>
      </c>
      <c r="N244" s="13">
        <f t="shared" si="15"/>
        <v>2.7621058666666691</v>
      </c>
      <c r="O244" s="13">
        <f t="shared" si="15"/>
        <v>1.5229783983333347</v>
      </c>
      <c r="P244" s="13">
        <f t="shared" si="15"/>
        <v>0.36820188166666701</v>
      </c>
      <c r="Q244" s="13">
        <f t="shared" si="15"/>
        <v>4.7861195066666706E-3</v>
      </c>
      <c r="R244" s="13" t="s">
        <v>239</v>
      </c>
      <c r="T244" s="63">
        <v>1.25755E-2</v>
      </c>
      <c r="U244" s="62">
        <v>5.6587899999999997E-2</v>
      </c>
      <c r="V244" s="62">
        <v>0.14111699999999999</v>
      </c>
      <c r="W244" s="62">
        <v>0.12920499999999999</v>
      </c>
      <c r="X244" s="63">
        <v>0.26844669999999998</v>
      </c>
      <c r="Y244" s="63">
        <v>0.68131580000000003</v>
      </c>
      <c r="Z244" s="63">
        <v>0.83325828999999996</v>
      </c>
      <c r="AA244" s="63">
        <v>0.75330160000000002</v>
      </c>
      <c r="AB244" s="63">
        <v>0.415357745</v>
      </c>
      <c r="AC244" s="63">
        <v>0.100418695</v>
      </c>
      <c r="AD244" s="63">
        <v>1.3053053199999999E-3</v>
      </c>
      <c r="AE244" s="13" t="s">
        <v>94</v>
      </c>
    </row>
    <row r="245" spans="1:31">
      <c r="A245" s="13" t="s">
        <v>324</v>
      </c>
      <c r="B245" s="13" t="s">
        <v>1</v>
      </c>
      <c r="C245" s="13" t="s">
        <v>229</v>
      </c>
      <c r="D245" s="13" t="str">
        <f>IFERROR(VLOOKUP(C245,ghg_sort!$A$86:$B$512,2,0),0)</f>
        <v>Industry</v>
      </c>
      <c r="E245" s="33" t="s">
        <v>95</v>
      </c>
      <c r="F245" s="13">
        <f>IFERROR(VLOOKUP($E245,ghg_sort!$A$3:$B$21,2,0),0)</f>
        <v>12.2</v>
      </c>
      <c r="G245" s="13">
        <f t="shared" si="17"/>
        <v>5.2916035999999995E-4</v>
      </c>
      <c r="H245" s="13">
        <f t="shared" si="17"/>
        <v>2.0582986000000001</v>
      </c>
      <c r="I245" s="13">
        <f t="shared" si="17"/>
        <v>1.8615247999999998</v>
      </c>
      <c r="J245" s="13">
        <f t="shared" si="17"/>
        <v>2.1196524000000001</v>
      </c>
      <c r="K245" s="13">
        <f t="shared" si="17"/>
        <v>2.2287935999999999</v>
      </c>
      <c r="L245" s="13">
        <f t="shared" si="17"/>
        <v>1.4648539999999999</v>
      </c>
      <c r="M245" s="13">
        <f t="shared" si="15"/>
        <v>1.3547977999999998</v>
      </c>
      <c r="N245" s="13">
        <f t="shared" si="15"/>
        <v>1.3334843999999999</v>
      </c>
      <c r="O245" s="13">
        <f t="shared" si="15"/>
        <v>1.3372785999999999</v>
      </c>
      <c r="P245" s="13">
        <f t="shared" si="15"/>
        <v>1.3356193999999999</v>
      </c>
      <c r="Q245" s="13">
        <f t="shared" si="15"/>
        <v>1.3412435999999999</v>
      </c>
      <c r="R245" s="13" t="s">
        <v>239</v>
      </c>
      <c r="T245" s="63">
        <v>4.3373800000000001E-5</v>
      </c>
      <c r="U245" s="62">
        <v>0.168713</v>
      </c>
      <c r="V245" s="62">
        <v>0.152584</v>
      </c>
      <c r="W245" s="62">
        <v>0.17374200000000001</v>
      </c>
      <c r="X245" s="62">
        <v>0.18268799999999999</v>
      </c>
      <c r="Y245" s="62">
        <v>0.12007</v>
      </c>
      <c r="Z245" s="62">
        <v>0.11104899999999999</v>
      </c>
      <c r="AA245" s="62">
        <v>0.109302</v>
      </c>
      <c r="AB245" s="63">
        <v>0.109613</v>
      </c>
      <c r="AC245" s="63">
        <v>0.109477</v>
      </c>
      <c r="AD245" s="63">
        <v>0.10993799999999999</v>
      </c>
      <c r="AE245" s="13" t="s">
        <v>131</v>
      </c>
    </row>
    <row r="246" spans="1:31">
      <c r="A246" s="13" t="s">
        <v>324</v>
      </c>
      <c r="B246" s="13" t="s">
        <v>1</v>
      </c>
      <c r="C246" s="13" t="s">
        <v>229</v>
      </c>
      <c r="D246" s="13" t="str">
        <f>IFERROR(VLOOKUP(C246,ghg_sort!$A$86:$B$512,2,0),0)</f>
        <v>Industry</v>
      </c>
      <c r="E246" s="33" t="s">
        <v>96</v>
      </c>
      <c r="F246" s="13">
        <f>IFERROR(VLOOKUP($E246,ghg_sort!$A$3:$B$21,2,0),0)</f>
        <v>7.39</v>
      </c>
      <c r="G246" s="13">
        <f t="shared" si="17"/>
        <v>2.3836223300000001E-4</v>
      </c>
      <c r="H246" s="13">
        <f t="shared" si="17"/>
        <v>0.77113171999999996</v>
      </c>
      <c r="I246" s="13">
        <f t="shared" si="17"/>
        <v>0.67538244599999997</v>
      </c>
      <c r="J246" s="13">
        <f t="shared" si="17"/>
        <v>0.76903295999999999</v>
      </c>
      <c r="K246" s="13">
        <f t="shared" si="17"/>
        <v>0.80863596999999998</v>
      </c>
      <c r="L246" s="13">
        <f t="shared" si="17"/>
        <v>0.53146662999999994</v>
      </c>
      <c r="M246" s="13">
        <f t="shared" si="15"/>
        <v>0.49153698199999996</v>
      </c>
      <c r="N246" s="13">
        <f t="shared" si="15"/>
        <v>0.48380482499999994</v>
      </c>
      <c r="O246" s="13">
        <f t="shared" si="15"/>
        <v>0.485180104</v>
      </c>
      <c r="P246" s="13">
        <f t="shared" si="15"/>
        <v>0.48457634100000002</v>
      </c>
      <c r="Q246" s="13">
        <f t="shared" si="15"/>
        <v>0.486619676</v>
      </c>
      <c r="R246" s="13" t="s">
        <v>239</v>
      </c>
      <c r="T246" s="63">
        <v>3.2254700000000001E-5</v>
      </c>
      <c r="U246" s="62">
        <v>0.104348</v>
      </c>
      <c r="V246" s="62">
        <v>9.1391399999999998E-2</v>
      </c>
      <c r="W246" s="62">
        <v>0.104064</v>
      </c>
      <c r="X246" s="62">
        <v>0.10942300000000001</v>
      </c>
      <c r="Y246" s="62">
        <v>7.1916999999999995E-2</v>
      </c>
      <c r="Z246" s="62">
        <v>6.6513799999999998E-2</v>
      </c>
      <c r="AA246" s="62">
        <v>6.5467499999999998E-2</v>
      </c>
      <c r="AB246" s="63">
        <v>6.5653600000000006E-2</v>
      </c>
      <c r="AC246" s="63">
        <v>6.5571900000000002E-2</v>
      </c>
      <c r="AD246" s="63">
        <v>6.5848400000000001E-2</v>
      </c>
      <c r="AE246" s="13" t="s">
        <v>131</v>
      </c>
    </row>
    <row r="247" spans="1:31">
      <c r="A247" s="13" t="s">
        <v>324</v>
      </c>
      <c r="B247" s="13" t="s">
        <v>1</v>
      </c>
      <c r="C247" s="13" t="s">
        <v>229</v>
      </c>
      <c r="D247" s="13" t="str">
        <f>IFERROR(VLOOKUP(C247,ghg_sort!$A$86:$B$512,2,0),0)</f>
        <v>Industry</v>
      </c>
      <c r="E247" s="33" t="s">
        <v>84</v>
      </c>
      <c r="F247" s="13">
        <f>IFERROR(VLOOKUP($E247,ghg_sort!$A$3:$B$21,2,0),0)</f>
        <v>25</v>
      </c>
      <c r="G247" s="13">
        <f t="shared" si="17"/>
        <v>0.04</v>
      </c>
      <c r="H247" s="13">
        <f t="shared" si="17"/>
        <v>0.11050000000000001</v>
      </c>
      <c r="I247" s="13">
        <f t="shared" si="17"/>
        <v>0.13849999999999998</v>
      </c>
      <c r="J247" s="13">
        <f t="shared" si="17"/>
        <v>0.15275</v>
      </c>
      <c r="K247" s="13">
        <f t="shared" si="17"/>
        <v>0.13121525000000001</v>
      </c>
      <c r="L247" s="13">
        <f t="shared" si="17"/>
        <v>6.2328750000000002E-2</v>
      </c>
      <c r="M247" s="13">
        <f t="shared" si="15"/>
        <v>1.34856E-2</v>
      </c>
      <c r="N247" s="13">
        <f t="shared" si="15"/>
        <v>7.4208249999999998E-3</v>
      </c>
      <c r="O247" s="13">
        <f t="shared" si="15"/>
        <v>7.096275E-3</v>
      </c>
      <c r="P247" s="13">
        <f t="shared" si="15"/>
        <v>6.7415249999999991E-3</v>
      </c>
      <c r="Q247" s="13">
        <f t="shared" si="15"/>
        <v>6.4219000000000004E-3</v>
      </c>
      <c r="R247" s="13" t="s">
        <v>239</v>
      </c>
      <c r="T247" s="62">
        <v>1.6000000000000001E-3</v>
      </c>
      <c r="U247" s="62">
        <v>4.4200000000000003E-3</v>
      </c>
      <c r="V247" s="62">
        <v>5.5399999999999998E-3</v>
      </c>
      <c r="W247" s="62">
        <v>6.11E-3</v>
      </c>
      <c r="X247" s="62">
        <v>5.2486099999999999E-3</v>
      </c>
      <c r="Y247" s="62">
        <v>2.49315E-3</v>
      </c>
      <c r="Z247" s="63">
        <v>5.3942400000000004E-4</v>
      </c>
      <c r="AA247" s="63">
        <v>2.9683299999999998E-4</v>
      </c>
      <c r="AB247" s="63">
        <v>2.83851E-4</v>
      </c>
      <c r="AC247" s="63">
        <v>2.6966099999999998E-4</v>
      </c>
      <c r="AD247" s="63">
        <v>2.5687600000000001E-4</v>
      </c>
      <c r="AE247" s="13" t="s">
        <v>93</v>
      </c>
    </row>
    <row r="248" spans="1:31">
      <c r="A248" s="13" t="s">
        <v>324</v>
      </c>
      <c r="B248" s="13" t="s">
        <v>1</v>
      </c>
      <c r="C248" s="13" t="s">
        <v>229</v>
      </c>
      <c r="D248" s="13" t="str">
        <f>IFERROR(VLOOKUP(C248,ghg_sort!$A$86:$B$512,2,0),0)</f>
        <v>Industry</v>
      </c>
      <c r="E248" s="33" t="s">
        <v>85</v>
      </c>
      <c r="F248" s="13">
        <f>IFERROR(VLOOKUP($E248,ghg_sort!$A$3:$B$21,2,0),0)</f>
        <v>0</v>
      </c>
      <c r="G248" s="13">
        <f t="shared" si="17"/>
        <v>0</v>
      </c>
      <c r="H248" s="13">
        <f t="shared" si="17"/>
        <v>0</v>
      </c>
      <c r="I248" s="13">
        <f t="shared" si="17"/>
        <v>0</v>
      </c>
      <c r="J248" s="13">
        <f t="shared" si="17"/>
        <v>0</v>
      </c>
      <c r="K248" s="13">
        <f t="shared" si="17"/>
        <v>0</v>
      </c>
      <c r="L248" s="13">
        <f t="shared" si="17"/>
        <v>0</v>
      </c>
      <c r="M248" s="13">
        <f t="shared" si="15"/>
        <v>0</v>
      </c>
      <c r="N248" s="13">
        <f t="shared" si="15"/>
        <v>0</v>
      </c>
      <c r="O248" s="13">
        <f t="shared" si="15"/>
        <v>0</v>
      </c>
      <c r="P248" s="13">
        <f t="shared" si="15"/>
        <v>0</v>
      </c>
      <c r="Q248" s="13">
        <f t="shared" si="15"/>
        <v>0</v>
      </c>
      <c r="R248" s="13" t="s">
        <v>239</v>
      </c>
      <c r="T248" s="62">
        <v>1.489E-2</v>
      </c>
      <c r="U248" s="62">
        <v>1.7590000000000001E-2</v>
      </c>
      <c r="V248" s="62">
        <v>1.644E-2</v>
      </c>
      <c r="W248" s="62">
        <v>1.7639999999999999E-2</v>
      </c>
      <c r="X248" s="62">
        <v>1.28833E-2</v>
      </c>
      <c r="Y248" s="62">
        <v>8.4247000000000002E-3</v>
      </c>
      <c r="Z248" s="62">
        <v>6.9467599999999997E-3</v>
      </c>
      <c r="AA248" s="62">
        <v>5.9358600000000003E-3</v>
      </c>
      <c r="AB248" s="62">
        <v>5.1794700000000003E-3</v>
      </c>
      <c r="AC248" s="62">
        <v>4.8296299999999997E-3</v>
      </c>
      <c r="AD248" s="62">
        <v>4.4439700000000002E-3</v>
      </c>
      <c r="AE248" s="13" t="s">
        <v>93</v>
      </c>
    </row>
    <row r="249" spans="1:31">
      <c r="A249" s="13" t="s">
        <v>324</v>
      </c>
      <c r="B249" s="13" t="s">
        <v>1</v>
      </c>
      <c r="C249" s="13" t="s">
        <v>229</v>
      </c>
      <c r="D249" s="13" t="str">
        <f>IFERROR(VLOOKUP(C249,ghg_sort!$A$86:$B$512,2,0),0)</f>
        <v>Industry</v>
      </c>
      <c r="E249" s="12" t="s">
        <v>99</v>
      </c>
      <c r="F249" s="13">
        <f>IFERROR(VLOOKUP($E249,ghg_sort!$A$3:$B$21,2,0),0)</f>
        <v>14.8</v>
      </c>
      <c r="G249" s="13">
        <f t="shared" si="17"/>
        <v>4.8690816000000005E-2</v>
      </c>
      <c r="H249" s="13">
        <f t="shared" si="17"/>
        <v>6.640863748000001</v>
      </c>
      <c r="I249" s="13">
        <f t="shared" si="17"/>
        <v>4.17117132</v>
      </c>
      <c r="J249" s="13">
        <f t="shared" si="17"/>
        <v>3.5912644000000005</v>
      </c>
      <c r="K249" s="13">
        <f t="shared" si="17"/>
        <v>3.8079467600000005</v>
      </c>
      <c r="L249" s="13">
        <f t="shared" si="17"/>
        <v>3.9730200400000002</v>
      </c>
      <c r="M249" s="13">
        <f t="shared" si="15"/>
        <v>4.0477393200000007</v>
      </c>
      <c r="N249" s="13">
        <f t="shared" si="15"/>
        <v>4.0782746799999998</v>
      </c>
      <c r="O249" s="13">
        <f t="shared" si="15"/>
        <v>4.0898630799999998</v>
      </c>
      <c r="P249" s="13">
        <f t="shared" si="15"/>
        <v>4.0847703999999858</v>
      </c>
      <c r="Q249" s="13">
        <f t="shared" si="15"/>
        <v>4.1020050000000001</v>
      </c>
      <c r="R249" s="13" t="s">
        <v>239</v>
      </c>
      <c r="T249" s="62">
        <v>3.28992E-3</v>
      </c>
      <c r="U249" s="62">
        <v>0.44870701000000002</v>
      </c>
      <c r="V249" s="63">
        <v>0.28183589999999997</v>
      </c>
      <c r="W249" s="62">
        <v>0.24265300000000001</v>
      </c>
      <c r="X249" s="62">
        <v>0.25729370000000001</v>
      </c>
      <c r="Y249" s="62">
        <v>0.2684473</v>
      </c>
      <c r="Z249" s="62">
        <v>0.27349590000000001</v>
      </c>
      <c r="AA249" s="62">
        <v>0.2755591</v>
      </c>
      <c r="AB249" s="62">
        <v>0.27634209999999998</v>
      </c>
      <c r="AC249" s="62">
        <v>0.27599799999999902</v>
      </c>
      <c r="AD249" s="62">
        <v>0.27716249999999998</v>
      </c>
      <c r="AE249" s="13" t="s">
        <v>131</v>
      </c>
    </row>
    <row r="250" spans="1:31">
      <c r="A250" s="13" t="s">
        <v>324</v>
      </c>
      <c r="B250" s="13" t="s">
        <v>1</v>
      </c>
      <c r="C250" s="13" t="s">
        <v>229</v>
      </c>
      <c r="D250" s="13" t="str">
        <f>IFERROR(VLOOKUP(C250,ghg_sort!$A$86:$B$512,2,0),0)</f>
        <v>Industry</v>
      </c>
      <c r="E250" s="33" t="s">
        <v>230</v>
      </c>
      <c r="F250" s="13">
        <f>IFERROR(VLOOKUP($E250,ghg_sort!$A$3:$B$21,2,0),0)</f>
        <v>0</v>
      </c>
      <c r="G250" s="13">
        <f t="shared" si="17"/>
        <v>0</v>
      </c>
      <c r="H250" s="13">
        <f t="shared" si="17"/>
        <v>0</v>
      </c>
      <c r="I250" s="13">
        <f t="shared" si="17"/>
        <v>0</v>
      </c>
      <c r="J250" s="13">
        <f t="shared" si="17"/>
        <v>0</v>
      </c>
      <c r="K250" s="13">
        <f t="shared" si="17"/>
        <v>0</v>
      </c>
      <c r="L250" s="13">
        <f t="shared" si="17"/>
        <v>0</v>
      </c>
      <c r="M250" s="13">
        <f t="shared" si="15"/>
        <v>0</v>
      </c>
      <c r="N250" s="13">
        <f t="shared" si="15"/>
        <v>0</v>
      </c>
      <c r="O250" s="13">
        <f t="shared" si="15"/>
        <v>0</v>
      </c>
      <c r="P250" s="13">
        <f t="shared" si="15"/>
        <v>0</v>
      </c>
      <c r="Q250" s="13">
        <f t="shared" si="15"/>
        <v>0</v>
      </c>
      <c r="R250" s="13" t="s">
        <v>239</v>
      </c>
      <c r="T250" s="63">
        <v>0</v>
      </c>
      <c r="U250" s="62">
        <v>0.108863</v>
      </c>
      <c r="V250" s="62">
        <v>0.14657600000000001</v>
      </c>
      <c r="W250" s="62">
        <v>0.16803399999999999</v>
      </c>
      <c r="X250" s="62">
        <v>0.17796999999999999</v>
      </c>
      <c r="Y250" s="62">
        <v>0.18506700000000001</v>
      </c>
      <c r="Z250" s="62">
        <v>0.18384900000000001</v>
      </c>
      <c r="AA250" s="62">
        <v>0.18040400000000001</v>
      </c>
      <c r="AB250" s="62">
        <v>0.18091699999999999</v>
      </c>
      <c r="AC250" s="62">
        <v>0.18069199999999999</v>
      </c>
      <c r="AD250" s="62">
        <v>0.181454</v>
      </c>
      <c r="AE250" s="13" t="s">
        <v>131</v>
      </c>
    </row>
    <row r="251" spans="1:31">
      <c r="A251" s="13" t="s">
        <v>324</v>
      </c>
      <c r="B251" s="13" t="s">
        <v>1</v>
      </c>
      <c r="C251" s="13" t="s">
        <v>229</v>
      </c>
      <c r="D251" s="13" t="str">
        <f>IFERROR(VLOOKUP(C251,ghg_sort!$A$86:$B$512,2,0),0)</f>
        <v>Industry</v>
      </c>
      <c r="E251" s="33" t="s">
        <v>87</v>
      </c>
      <c r="F251" s="13">
        <f>IFERROR(VLOOKUP($E251,ghg_sort!$A$3:$B$21,2,0),0)</f>
        <v>298</v>
      </c>
      <c r="G251" s="13">
        <f t="shared" si="17"/>
        <v>1.06982</v>
      </c>
      <c r="H251" s="13">
        <f t="shared" si="17"/>
        <v>10.313780000000001</v>
      </c>
      <c r="I251" s="13">
        <f t="shared" si="17"/>
        <v>0.19966</v>
      </c>
      <c r="J251" s="13">
        <f t="shared" si="17"/>
        <v>0.35462000000000005</v>
      </c>
      <c r="K251" s="13">
        <f t="shared" si="17"/>
        <v>0.37295540360000001</v>
      </c>
      <c r="L251" s="13">
        <f t="shared" si="17"/>
        <v>9.5900661399999698E-2</v>
      </c>
      <c r="M251" s="13">
        <f t="shared" si="15"/>
        <v>5.2437510399999998E-2</v>
      </c>
      <c r="N251" s="13">
        <f t="shared" si="15"/>
        <v>3.8361557880000001E-2</v>
      </c>
      <c r="O251" s="13">
        <f t="shared" si="15"/>
        <v>3.2163730039999998E-2</v>
      </c>
      <c r="P251" s="13">
        <f t="shared" si="15"/>
        <v>2.9223554759999968E-2</v>
      </c>
      <c r="Q251" s="13">
        <f t="shared" si="15"/>
        <v>2.6019825299999969E-2</v>
      </c>
      <c r="R251" s="13" t="s">
        <v>239</v>
      </c>
      <c r="T251" s="63">
        <v>3.5899999999999999E-3</v>
      </c>
      <c r="U251" s="62">
        <v>3.4610000000000002E-2</v>
      </c>
      <c r="V251" s="63">
        <v>6.7000000000000002E-4</v>
      </c>
      <c r="W251" s="62">
        <v>1.1900000000000001E-3</v>
      </c>
      <c r="X251" s="62">
        <v>1.2515282000000001E-3</v>
      </c>
      <c r="Y251" s="63">
        <v>3.2181429999999898E-4</v>
      </c>
      <c r="Z251" s="63">
        <v>1.759648E-4</v>
      </c>
      <c r="AA251" s="63">
        <v>1.2873006E-4</v>
      </c>
      <c r="AB251" s="63">
        <v>1.0793197999999999E-4</v>
      </c>
      <c r="AC251" s="63">
        <v>9.8065619999999898E-5</v>
      </c>
      <c r="AD251" s="63">
        <v>8.7314849999999895E-5</v>
      </c>
      <c r="AE251" s="13" t="s">
        <v>93</v>
      </c>
    </row>
    <row r="252" spans="1:31">
      <c r="A252" s="13" t="s">
        <v>324</v>
      </c>
      <c r="B252" s="13" t="s">
        <v>1</v>
      </c>
      <c r="C252" s="13" t="s">
        <v>229</v>
      </c>
      <c r="D252" s="13" t="str">
        <f>IFERROR(VLOOKUP(C252,ghg_sort!$A$86:$B$512,2,0),0)</f>
        <v>Industry</v>
      </c>
      <c r="E252" s="33" t="s">
        <v>88</v>
      </c>
      <c r="F252" s="13">
        <f>IFERROR(VLOOKUP($E252,ghg_sort!$A$3:$B$21,2,0),0)</f>
        <v>0</v>
      </c>
      <c r="G252" s="13">
        <f t="shared" si="17"/>
        <v>0</v>
      </c>
      <c r="H252" s="13">
        <f t="shared" si="17"/>
        <v>0</v>
      </c>
      <c r="I252" s="13">
        <f t="shared" si="17"/>
        <v>0</v>
      </c>
      <c r="J252" s="13">
        <f t="shared" si="17"/>
        <v>0</v>
      </c>
      <c r="K252" s="13">
        <f t="shared" si="17"/>
        <v>0</v>
      </c>
      <c r="L252" s="13">
        <f t="shared" si="17"/>
        <v>0</v>
      </c>
      <c r="M252" s="13">
        <f t="shared" si="15"/>
        <v>0</v>
      </c>
      <c r="N252" s="13">
        <f t="shared" si="15"/>
        <v>0</v>
      </c>
      <c r="O252" s="13">
        <f t="shared" si="15"/>
        <v>0</v>
      </c>
      <c r="P252" s="13">
        <f t="shared" si="15"/>
        <v>0</v>
      </c>
      <c r="Q252" s="13">
        <f t="shared" si="15"/>
        <v>0</v>
      </c>
      <c r="R252" s="13" t="s">
        <v>239</v>
      </c>
      <c r="T252" s="62">
        <v>1.9809999999999901E-2</v>
      </c>
      <c r="U252" s="62">
        <v>4.3099999999999996E-3</v>
      </c>
      <c r="V252" s="62">
        <v>2.6099999999999999E-3</v>
      </c>
      <c r="W252" s="62">
        <v>2.6099999999999999E-3</v>
      </c>
      <c r="X252" s="62">
        <v>2.76932E-3</v>
      </c>
      <c r="Y252" s="62">
        <v>2.9736599999999999E-3</v>
      </c>
      <c r="Z252" s="63">
        <v>3.0430600000000002E-3</v>
      </c>
      <c r="AA252" s="63">
        <v>3.0691099999999999E-3</v>
      </c>
      <c r="AB252" s="63">
        <v>3.0778300000000001E-3</v>
      </c>
      <c r="AC252" s="63">
        <v>3.0739999999999999E-3</v>
      </c>
      <c r="AD252" s="63">
        <v>3.0869600000000001E-3</v>
      </c>
      <c r="AE252" s="13" t="s">
        <v>93</v>
      </c>
    </row>
    <row r="253" spans="1:31">
      <c r="A253" s="13" t="s">
        <v>324</v>
      </c>
      <c r="B253" s="13" t="s">
        <v>1</v>
      </c>
      <c r="C253" s="13" t="s">
        <v>229</v>
      </c>
      <c r="D253" s="13" t="str">
        <f>IFERROR(VLOOKUP(C253,ghg_sort!$A$86:$B$512,2,0),0)</f>
        <v>Industry</v>
      </c>
      <c r="E253" s="33" t="s">
        <v>89</v>
      </c>
      <c r="F253" s="13">
        <f>IFERROR(VLOOKUP($E253,ghg_sort!$A$3:$B$21,2,0),0)</f>
        <v>0</v>
      </c>
      <c r="G253" s="13">
        <f t="shared" si="17"/>
        <v>0</v>
      </c>
      <c r="H253" s="13">
        <f t="shared" si="17"/>
        <v>0</v>
      </c>
      <c r="I253" s="13">
        <f t="shared" si="17"/>
        <v>0</v>
      </c>
      <c r="J253" s="13">
        <f t="shared" si="17"/>
        <v>0</v>
      </c>
      <c r="K253" s="13">
        <f t="shared" si="17"/>
        <v>0</v>
      </c>
      <c r="L253" s="13">
        <f t="shared" si="17"/>
        <v>0</v>
      </c>
      <c r="M253" s="13">
        <f t="shared" si="15"/>
        <v>0</v>
      </c>
      <c r="N253" s="13">
        <f t="shared" si="15"/>
        <v>0</v>
      </c>
      <c r="O253" s="13">
        <f t="shared" si="15"/>
        <v>0</v>
      </c>
      <c r="P253" s="13">
        <f t="shared" si="15"/>
        <v>0</v>
      </c>
      <c r="Q253" s="13">
        <f t="shared" si="15"/>
        <v>0</v>
      </c>
      <c r="R253" s="13" t="s">
        <v>239</v>
      </c>
      <c r="T253" s="62">
        <v>0.38029999999999903</v>
      </c>
      <c r="U253" s="62">
        <v>0.46633999999999998</v>
      </c>
      <c r="V253" s="62">
        <v>0.43974999999999997</v>
      </c>
      <c r="W253" s="62">
        <v>0.45417999999999997</v>
      </c>
      <c r="X253" s="62">
        <v>0.33170739999999999</v>
      </c>
      <c r="Y253" s="62">
        <v>0.21691260000000001</v>
      </c>
      <c r="Z253" s="62">
        <v>0.21181629999999901</v>
      </c>
      <c r="AA253" s="62">
        <v>0.21362909999999999</v>
      </c>
      <c r="AB253" s="62">
        <v>0.2142355</v>
      </c>
      <c r="AC253" s="62">
        <v>0.21396979999999999</v>
      </c>
      <c r="AD253" s="62">
        <v>0.2148716</v>
      </c>
      <c r="AE253" s="13" t="s">
        <v>93</v>
      </c>
    </row>
    <row r="254" spans="1:31">
      <c r="A254" s="13" t="s">
        <v>324</v>
      </c>
      <c r="B254" s="13" t="s">
        <v>1</v>
      </c>
      <c r="C254" s="13" t="s">
        <v>229</v>
      </c>
      <c r="D254" s="13" t="str">
        <f>IFERROR(VLOOKUP(C254,ghg_sort!$A$86:$B$512,2,0),0)</f>
        <v>Industry</v>
      </c>
      <c r="E254" s="33" t="s">
        <v>90</v>
      </c>
      <c r="F254" s="13">
        <f>IFERROR(VLOOKUP($E254,ghg_sort!$A$3:$B$21,2,0),0)</f>
        <v>0</v>
      </c>
      <c r="G254" s="13">
        <f t="shared" si="17"/>
        <v>0</v>
      </c>
      <c r="H254" s="13">
        <f t="shared" si="17"/>
        <v>0</v>
      </c>
      <c r="I254" s="13">
        <f t="shared" si="17"/>
        <v>0</v>
      </c>
      <c r="J254" s="13">
        <f t="shared" si="17"/>
        <v>0</v>
      </c>
      <c r="K254" s="13">
        <f t="shared" si="17"/>
        <v>0</v>
      </c>
      <c r="L254" s="13">
        <f t="shared" si="17"/>
        <v>0</v>
      </c>
      <c r="M254" s="13">
        <f t="shared" si="15"/>
        <v>0</v>
      </c>
      <c r="N254" s="13">
        <f t="shared" si="15"/>
        <v>0</v>
      </c>
      <c r="O254" s="13">
        <f t="shared" si="15"/>
        <v>0</v>
      </c>
      <c r="P254" s="13">
        <f t="shared" si="15"/>
        <v>0</v>
      </c>
      <c r="Q254" s="13">
        <f t="shared" si="15"/>
        <v>0</v>
      </c>
      <c r="R254" s="13" t="s">
        <v>239</v>
      </c>
      <c r="T254" s="62">
        <v>2.0539999999999999E-2</v>
      </c>
      <c r="U254" s="62">
        <v>3.422E-2</v>
      </c>
      <c r="V254" s="62">
        <v>3.0329999999999999E-2</v>
      </c>
      <c r="W254" s="62">
        <v>3.5790000000000002E-2</v>
      </c>
      <c r="X254" s="62">
        <v>2.6138999999999999E-2</v>
      </c>
      <c r="Y254" s="62">
        <v>1.7093000000000001E-2</v>
      </c>
      <c r="Z254" s="62">
        <v>1.40944E-2</v>
      </c>
      <c r="AA254" s="62">
        <v>1.20433E-2</v>
      </c>
      <c r="AB254" s="62">
        <v>1.0508699999999999E-2</v>
      </c>
      <c r="AC254" s="62">
        <v>9.7988999999999993E-3</v>
      </c>
      <c r="AD254" s="62">
        <v>9.0164300000000006E-3</v>
      </c>
      <c r="AE254" s="13" t="s">
        <v>93</v>
      </c>
    </row>
    <row r="255" spans="1:31">
      <c r="A255" s="13" t="s">
        <v>324</v>
      </c>
      <c r="B255" s="13" t="s">
        <v>1</v>
      </c>
      <c r="C255" s="13" t="s">
        <v>229</v>
      </c>
      <c r="D255" s="13" t="str">
        <f>IFERROR(VLOOKUP(C255,ghg_sort!$A$86:$B$512,2,0),0)</f>
        <v>Industry</v>
      </c>
      <c r="E255" s="33" t="s">
        <v>103</v>
      </c>
      <c r="F255" s="13">
        <f>IFERROR(VLOOKUP($E255,ghg_sort!$A$3:$B$21,2,0),0)</f>
        <v>22.8</v>
      </c>
      <c r="G255" s="13">
        <f t="shared" si="17"/>
        <v>0.23554452000000001</v>
      </c>
      <c r="H255" s="13">
        <f t="shared" si="17"/>
        <v>1.3803006000000002</v>
      </c>
      <c r="I255" s="13">
        <f t="shared" si="17"/>
        <v>4.6277616000000004</v>
      </c>
      <c r="J255" s="13">
        <f t="shared" si="17"/>
        <v>7.2836195999999997</v>
      </c>
      <c r="K255" s="13">
        <f t="shared" si="17"/>
        <v>7.6596638759999998</v>
      </c>
      <c r="L255" s="13">
        <f t="shared" si="17"/>
        <v>4.9441013400000005</v>
      </c>
      <c r="M255" s="13">
        <f t="shared" si="15"/>
        <v>4.5550569143999997</v>
      </c>
      <c r="N255" s="13">
        <f t="shared" si="15"/>
        <v>4.4792536860000007</v>
      </c>
      <c r="O255" s="13">
        <f t="shared" si="15"/>
        <v>4.4915949611999775</v>
      </c>
      <c r="P255" s="13">
        <f t="shared" si="15"/>
        <v>4.4858064516000002</v>
      </c>
      <c r="Q255" s="13">
        <f t="shared" si="15"/>
        <v>4.5045264828000002</v>
      </c>
      <c r="R255" s="13" t="s">
        <v>239</v>
      </c>
      <c r="T255" s="63">
        <v>1.03309E-2</v>
      </c>
      <c r="U255" s="63">
        <v>6.0539500000000003E-2</v>
      </c>
      <c r="V255" s="63">
        <v>0.20297200000000001</v>
      </c>
      <c r="W255" s="63">
        <v>0.31945699999999999</v>
      </c>
      <c r="X255" s="63">
        <v>0.33595016999999999</v>
      </c>
      <c r="Y255" s="63">
        <v>0.21684655</v>
      </c>
      <c r="Z255" s="63">
        <v>0.199783198</v>
      </c>
      <c r="AA255" s="63">
        <v>0.19645849500000001</v>
      </c>
      <c r="AB255" s="63">
        <v>0.19699977899999899</v>
      </c>
      <c r="AC255" s="63">
        <v>0.196745897</v>
      </c>
      <c r="AD255" s="63">
        <v>0.19756695099999999</v>
      </c>
      <c r="AE255" s="13" t="s">
        <v>131</v>
      </c>
    </row>
    <row r="256" spans="1:31">
      <c r="A256" s="13" t="s">
        <v>324</v>
      </c>
      <c r="B256" s="13" t="s">
        <v>1</v>
      </c>
      <c r="C256" s="13" t="s">
        <v>229</v>
      </c>
      <c r="D256" s="13" t="str">
        <f>IFERROR(VLOOKUP(C256,ghg_sort!$A$86:$B$512,2,0),0)</f>
        <v>Industry</v>
      </c>
      <c r="E256" s="33" t="s">
        <v>92</v>
      </c>
      <c r="F256" s="13">
        <f>IFERROR(VLOOKUP($E256,ghg_sort!$A$3:$B$21,2,0),0)</f>
        <v>0</v>
      </c>
      <c r="G256" s="13">
        <f t="shared" si="17"/>
        <v>0</v>
      </c>
      <c r="H256" s="13">
        <f t="shared" si="17"/>
        <v>0</v>
      </c>
      <c r="I256" s="13">
        <f t="shared" si="17"/>
        <v>0</v>
      </c>
      <c r="J256" s="13">
        <f t="shared" si="17"/>
        <v>0</v>
      </c>
      <c r="K256" s="13">
        <f t="shared" si="17"/>
        <v>0</v>
      </c>
      <c r="L256" s="13">
        <f t="shared" si="17"/>
        <v>0</v>
      </c>
      <c r="M256" s="13">
        <f t="shared" si="15"/>
        <v>0</v>
      </c>
      <c r="N256" s="13">
        <f t="shared" si="15"/>
        <v>0</v>
      </c>
      <c r="O256" s="13">
        <f t="shared" si="15"/>
        <v>0</v>
      </c>
      <c r="P256" s="13">
        <f t="shared" si="15"/>
        <v>0</v>
      </c>
      <c r="Q256" s="13">
        <f t="shared" si="15"/>
        <v>0</v>
      </c>
      <c r="R256" s="13" t="s">
        <v>239</v>
      </c>
      <c r="T256" s="63">
        <v>1.9611199999999999E-2</v>
      </c>
      <c r="U256" s="62">
        <v>3.83328E-2</v>
      </c>
      <c r="V256" s="63">
        <v>3.5276500000000002E-2</v>
      </c>
      <c r="W256" s="62">
        <v>4.2395299999999997E-2</v>
      </c>
      <c r="X256" s="62">
        <v>3.09632E-2</v>
      </c>
      <c r="Y256" s="63">
        <v>2.0247600000000001E-2</v>
      </c>
      <c r="Z256" s="63">
        <v>1.6695600000000001E-2</v>
      </c>
      <c r="AA256" s="63">
        <v>1.4265999999999999E-2</v>
      </c>
      <c r="AB256" s="63">
        <v>1.24481E-2</v>
      </c>
      <c r="AC256" s="63">
        <v>1.16074E-2</v>
      </c>
      <c r="AD256" s="63">
        <v>1.0680500000000001E-2</v>
      </c>
      <c r="AE256" s="13" t="s">
        <v>93</v>
      </c>
    </row>
    <row r="257" spans="1:31">
      <c r="A257" s="13" t="s">
        <v>324</v>
      </c>
      <c r="B257" s="13" t="s">
        <v>1</v>
      </c>
      <c r="C257" s="13" t="s">
        <v>32</v>
      </c>
      <c r="D257" s="13" t="str">
        <f>IFERROR(VLOOKUP(C257,ghg_sort!$A$86:$B$512,2,0),0)</f>
        <v>Industry</v>
      </c>
      <c r="E257" s="33" t="s">
        <v>83</v>
      </c>
      <c r="F257" s="13">
        <f>IFERROR(VLOOKUP($E257,ghg_sort!$A$3:$B$21,2,0),0)</f>
        <v>0</v>
      </c>
      <c r="G257" s="13">
        <f t="shared" si="17"/>
        <v>0</v>
      </c>
      <c r="H257" s="13">
        <f t="shared" si="17"/>
        <v>0</v>
      </c>
      <c r="I257" s="13">
        <f t="shared" si="17"/>
        <v>0</v>
      </c>
      <c r="J257" s="13">
        <f t="shared" si="17"/>
        <v>0</v>
      </c>
      <c r="K257" s="13">
        <f t="shared" si="17"/>
        <v>0</v>
      </c>
      <c r="L257" s="13">
        <f t="shared" si="17"/>
        <v>0</v>
      </c>
      <c r="M257" s="13">
        <f t="shared" si="15"/>
        <v>0</v>
      </c>
      <c r="N257" s="13">
        <f t="shared" si="15"/>
        <v>0</v>
      </c>
      <c r="O257" s="13">
        <f t="shared" si="15"/>
        <v>0</v>
      </c>
      <c r="P257" s="13">
        <f t="shared" si="15"/>
        <v>0</v>
      </c>
      <c r="Q257" s="13">
        <f t="shared" si="15"/>
        <v>0</v>
      </c>
      <c r="R257" s="13" t="s">
        <v>239</v>
      </c>
      <c r="T257" s="63">
        <v>1.026889E-4</v>
      </c>
      <c r="U257" s="63">
        <v>2.2381939999999999E-4</v>
      </c>
      <c r="V257" s="63">
        <v>2.4547449999999998E-4</v>
      </c>
      <c r="W257" s="63">
        <v>3.8135544500000001E-4</v>
      </c>
      <c r="X257" s="63">
        <v>2.4934771259999997E-4</v>
      </c>
      <c r="Y257" s="63">
        <v>1.2901291759999999E-4</v>
      </c>
      <c r="Z257" s="63">
        <v>7.1231889999999896E-5</v>
      </c>
      <c r="AA257" s="63">
        <v>3.5283661420000002E-5</v>
      </c>
      <c r="AB257" s="63">
        <v>1.99597669E-5</v>
      </c>
      <c r="AC257" s="63">
        <v>9.9219743999999995E-6</v>
      </c>
      <c r="AD257" s="63">
        <v>2.3462666499999998E-6</v>
      </c>
      <c r="AE257" s="13" t="s">
        <v>93</v>
      </c>
    </row>
    <row r="258" spans="1:31">
      <c r="A258" s="13" t="s">
        <v>324</v>
      </c>
      <c r="B258" s="13" t="s">
        <v>1</v>
      </c>
      <c r="C258" s="13" t="s">
        <v>32</v>
      </c>
      <c r="D258" s="13" t="str">
        <f>IFERROR(VLOOKUP(C258,ghg_sort!$A$86:$B$512,2,0),0)</f>
        <v>Industry</v>
      </c>
      <c r="E258" s="33" t="s">
        <v>84</v>
      </c>
      <c r="F258" s="13">
        <f>IFERROR(VLOOKUP($E258,ghg_sort!$A$3:$B$21,2,0),0)</f>
        <v>25</v>
      </c>
      <c r="G258" s="13">
        <f t="shared" si="17"/>
        <v>6.2570174999999999E-3</v>
      </c>
      <c r="H258" s="13">
        <f t="shared" si="17"/>
        <v>4.4916042249999996E-2</v>
      </c>
      <c r="I258" s="13">
        <f t="shared" si="17"/>
        <v>4.2293567499999997E-2</v>
      </c>
      <c r="J258" s="13">
        <f t="shared" si="17"/>
        <v>4.3249949999999995E-2</v>
      </c>
      <c r="K258" s="13">
        <f t="shared" si="17"/>
        <v>4.1687689999999999E-2</v>
      </c>
      <c r="L258" s="13">
        <f t="shared" si="17"/>
        <v>6.1714507499999995E-2</v>
      </c>
      <c r="M258" s="13">
        <f t="shared" si="15"/>
        <v>6.9436136499999995E-2</v>
      </c>
      <c r="N258" s="13">
        <f t="shared" si="15"/>
        <v>6.7546277749999994E-2</v>
      </c>
      <c r="O258" s="13">
        <f t="shared" si="15"/>
        <v>5.8702967250000002E-2</v>
      </c>
      <c r="P258" s="13">
        <f t="shared" si="15"/>
        <v>4.4920114250000004E-2</v>
      </c>
      <c r="Q258" s="13">
        <f t="shared" si="15"/>
        <v>2.4782559327500002E-2</v>
      </c>
      <c r="R258" s="13" t="s">
        <v>239</v>
      </c>
      <c r="T258" s="63">
        <v>2.5028069999999999E-4</v>
      </c>
      <c r="U258" s="62">
        <v>1.7966416899999999E-3</v>
      </c>
      <c r="V258" s="62">
        <v>1.6917427E-3</v>
      </c>
      <c r="W258" s="62">
        <v>1.729998E-3</v>
      </c>
      <c r="X258" s="62">
        <v>1.6675075999999999E-3</v>
      </c>
      <c r="Y258" s="62">
        <v>2.4685802999999998E-3</v>
      </c>
      <c r="Z258" s="62">
        <v>2.7774454599999998E-3</v>
      </c>
      <c r="AA258" s="62">
        <v>2.7018511099999999E-3</v>
      </c>
      <c r="AB258" s="62">
        <v>2.34811869E-3</v>
      </c>
      <c r="AC258" s="62">
        <v>1.79680457E-3</v>
      </c>
      <c r="AD258" s="63">
        <v>9.9130237310000001E-4</v>
      </c>
      <c r="AE258" s="13" t="s">
        <v>93</v>
      </c>
    </row>
    <row r="259" spans="1:31">
      <c r="A259" s="13" t="s">
        <v>324</v>
      </c>
      <c r="B259" s="13" t="s">
        <v>1</v>
      </c>
      <c r="C259" s="13" t="s">
        <v>32</v>
      </c>
      <c r="D259" s="13" t="str">
        <f>IFERROR(VLOOKUP(C259,ghg_sort!$A$86:$B$512,2,0),0)</f>
        <v>Industry</v>
      </c>
      <c r="E259" s="33" t="s">
        <v>85</v>
      </c>
      <c r="F259" s="13">
        <f>IFERROR(VLOOKUP($E259,ghg_sort!$A$3:$B$21,2,0),0)</f>
        <v>0</v>
      </c>
      <c r="G259" s="13">
        <f t="shared" si="17"/>
        <v>0</v>
      </c>
      <c r="H259" s="13">
        <f t="shared" si="17"/>
        <v>0</v>
      </c>
      <c r="I259" s="13">
        <f t="shared" si="17"/>
        <v>0</v>
      </c>
      <c r="J259" s="13">
        <f t="shared" si="17"/>
        <v>0</v>
      </c>
      <c r="K259" s="13">
        <f t="shared" si="17"/>
        <v>0</v>
      </c>
      <c r="L259" s="13">
        <f t="shared" si="17"/>
        <v>0</v>
      </c>
      <c r="M259" s="13">
        <f t="shared" si="15"/>
        <v>0</v>
      </c>
      <c r="N259" s="13">
        <f t="shared" si="15"/>
        <v>0</v>
      </c>
      <c r="O259" s="13">
        <f t="shared" si="15"/>
        <v>0</v>
      </c>
      <c r="P259" s="13">
        <f t="shared" si="15"/>
        <v>0</v>
      </c>
      <c r="Q259" s="13">
        <f t="shared" si="15"/>
        <v>0</v>
      </c>
      <c r="R259" s="13" t="s">
        <v>239</v>
      </c>
      <c r="T259" s="63">
        <v>2.5059099999999999E-4</v>
      </c>
      <c r="U259" s="63">
        <v>1.5216140999999999E-3</v>
      </c>
      <c r="V259" s="63">
        <v>1.711787E-3</v>
      </c>
      <c r="W259" s="63">
        <v>2.8799966600000001E-3</v>
      </c>
      <c r="X259" s="63">
        <v>1.8992441839999999E-3</v>
      </c>
      <c r="Y259" s="63">
        <v>1.4003039689999999E-3</v>
      </c>
      <c r="Z259" s="63">
        <v>1.120502055E-3</v>
      </c>
      <c r="AA259" s="63">
        <v>8.4728707470000005E-4</v>
      </c>
      <c r="AB259" s="63">
        <v>6.4998146199999999E-4</v>
      </c>
      <c r="AC259" s="63">
        <v>4.8167934900000001E-4</v>
      </c>
      <c r="AD259" s="63">
        <v>2.5840253469999898E-4</v>
      </c>
      <c r="AE259" s="13" t="s">
        <v>93</v>
      </c>
    </row>
    <row r="260" spans="1:31">
      <c r="A260" s="13" t="s">
        <v>324</v>
      </c>
      <c r="B260" s="13" t="s">
        <v>1</v>
      </c>
      <c r="C260" s="13" t="s">
        <v>32</v>
      </c>
      <c r="D260" s="13" t="str">
        <f>IFERROR(VLOOKUP(C260,ghg_sort!$A$86:$B$512,2,0),0)</f>
        <v>Industry</v>
      </c>
      <c r="E260" s="33" t="s">
        <v>86</v>
      </c>
      <c r="F260" s="13">
        <f>IFERROR(VLOOKUP($E260,ghg_sort!$A$3:$B$21,2,0),0)</f>
        <v>3.6666666666666701</v>
      </c>
      <c r="G260" s="13">
        <f t="shared" si="17"/>
        <v>27.038264000000026</v>
      </c>
      <c r="H260" s="13">
        <f t="shared" si="17"/>
        <v>3.7628537833333366</v>
      </c>
      <c r="I260" s="13">
        <f t="shared" si="17"/>
        <v>4.3355430066666703</v>
      </c>
      <c r="J260" s="13">
        <f t="shared" si="17"/>
        <v>89.077264466666747</v>
      </c>
      <c r="K260" s="13">
        <f t="shared" si="17"/>
        <v>84.636998233333415</v>
      </c>
      <c r="L260" s="13">
        <f t="shared" si="17"/>
        <v>74.136935693333413</v>
      </c>
      <c r="M260" s="13">
        <f t="shared" si="17"/>
        <v>53.42414097900005</v>
      </c>
      <c r="N260" s="13">
        <f t="shared" si="17"/>
        <v>34.434041238666701</v>
      </c>
      <c r="O260" s="13">
        <f t="shared" si="17"/>
        <v>24.750240786333318</v>
      </c>
      <c r="P260" s="13">
        <f t="shared" si="17"/>
        <v>15.331434653333346</v>
      </c>
      <c r="Q260" s="13">
        <f t="shared" si="17"/>
        <v>5.4812151276666716</v>
      </c>
      <c r="R260" s="13" t="s">
        <v>239</v>
      </c>
      <c r="T260" s="63">
        <v>7.374072</v>
      </c>
      <c r="U260" s="63">
        <v>1.02623285</v>
      </c>
      <c r="V260" s="63">
        <v>1.1824208199999999</v>
      </c>
      <c r="W260" s="63">
        <v>24.293799400000001</v>
      </c>
      <c r="X260" s="63">
        <v>23.0828177</v>
      </c>
      <c r="Y260" s="63">
        <v>20.219164280000001</v>
      </c>
      <c r="Z260" s="63">
        <v>14.570220267</v>
      </c>
      <c r="AA260" s="63">
        <v>9.3911021560000005</v>
      </c>
      <c r="AB260" s="63">
        <v>6.7500656689999898</v>
      </c>
      <c r="AC260" s="63">
        <v>4.1813003599999998</v>
      </c>
      <c r="AD260" s="63">
        <v>1.4948768530000001</v>
      </c>
      <c r="AE260" s="13" t="s">
        <v>94</v>
      </c>
    </row>
    <row r="261" spans="1:31">
      <c r="A261" s="13" t="s">
        <v>324</v>
      </c>
      <c r="B261" s="13" t="s">
        <v>1</v>
      </c>
      <c r="C261" s="13" t="s">
        <v>32</v>
      </c>
      <c r="D261" s="13" t="str">
        <f>IFERROR(VLOOKUP(C261,ghg_sort!$A$86:$B$512,2,0),0)</f>
        <v>Industry</v>
      </c>
      <c r="E261" s="33" t="s">
        <v>87</v>
      </c>
      <c r="F261" s="13">
        <f>IFERROR(VLOOKUP($E261,ghg_sort!$A$3:$B$21,2,0),0)</f>
        <v>298</v>
      </c>
      <c r="G261" s="13">
        <f t="shared" si="17"/>
        <v>1.125713476E-3</v>
      </c>
      <c r="H261" s="13">
        <f t="shared" si="17"/>
        <v>1.189043839999997E-2</v>
      </c>
      <c r="I261" s="13">
        <f t="shared" si="17"/>
        <v>2.8272362600000003E-2</v>
      </c>
      <c r="J261" s="13">
        <f t="shared" si="17"/>
        <v>7.1520119199999996E-2</v>
      </c>
      <c r="K261" s="13">
        <f t="shared" si="17"/>
        <v>6.8004994639999997E-2</v>
      </c>
      <c r="L261" s="13">
        <f t="shared" si="17"/>
        <v>6.1521983779999997E-2</v>
      </c>
      <c r="M261" s="13">
        <f t="shared" si="17"/>
        <v>4.602468748E-2</v>
      </c>
      <c r="N261" s="13">
        <f t="shared" si="17"/>
        <v>3.0742779918E-2</v>
      </c>
      <c r="O261" s="13">
        <f t="shared" si="17"/>
        <v>2.204909747999997E-2</v>
      </c>
      <c r="P261" s="13">
        <f t="shared" si="17"/>
        <v>1.360033557999997E-2</v>
      </c>
      <c r="Q261" s="13">
        <f t="shared" si="17"/>
        <v>5.1964126075999704E-3</v>
      </c>
      <c r="R261" s="13" t="s">
        <v>239</v>
      </c>
      <c r="T261" s="63">
        <v>3.7775619999999998E-6</v>
      </c>
      <c r="U261" s="63">
        <v>3.9900799999999901E-5</v>
      </c>
      <c r="V261" s="63">
        <v>9.4873700000000006E-5</v>
      </c>
      <c r="W261" s="63">
        <v>2.4000040000000001E-4</v>
      </c>
      <c r="X261" s="63">
        <v>2.2820467999999999E-4</v>
      </c>
      <c r="Y261" s="63">
        <v>2.0644960999999999E-4</v>
      </c>
      <c r="Z261" s="63">
        <v>1.5444526000000001E-4</v>
      </c>
      <c r="AA261" s="63">
        <v>1.0316369100000001E-4</v>
      </c>
      <c r="AB261" s="63">
        <v>7.3990259999999898E-5</v>
      </c>
      <c r="AC261" s="63">
        <v>4.56387099999999E-5</v>
      </c>
      <c r="AD261" s="63">
        <v>1.74376261999999E-5</v>
      </c>
      <c r="AE261" s="13" t="s">
        <v>93</v>
      </c>
    </row>
    <row r="262" spans="1:31">
      <c r="A262" s="13" t="s">
        <v>324</v>
      </c>
      <c r="B262" s="13" t="s">
        <v>1</v>
      </c>
      <c r="C262" s="13" t="s">
        <v>32</v>
      </c>
      <c r="D262" s="13" t="str">
        <f>IFERROR(VLOOKUP(C262,ghg_sort!$A$86:$B$512,2,0),0)</f>
        <v>Industry</v>
      </c>
      <c r="E262" s="33" t="s">
        <v>88</v>
      </c>
      <c r="F262" s="13">
        <f>IFERROR(VLOOKUP($E262,ghg_sort!$A$3:$B$21,2,0),0)</f>
        <v>0</v>
      </c>
      <c r="G262" s="13">
        <f t="shared" si="17"/>
        <v>0</v>
      </c>
      <c r="H262" s="13">
        <f t="shared" si="17"/>
        <v>0</v>
      </c>
      <c r="I262" s="13">
        <f t="shared" si="17"/>
        <v>0</v>
      </c>
      <c r="J262" s="13">
        <f t="shared" si="17"/>
        <v>0</v>
      </c>
      <c r="K262" s="13">
        <f t="shared" si="17"/>
        <v>0</v>
      </c>
      <c r="L262" s="13">
        <f t="shared" si="17"/>
        <v>0</v>
      </c>
      <c r="M262" s="13">
        <f t="shared" si="17"/>
        <v>0</v>
      </c>
      <c r="N262" s="13">
        <f t="shared" si="17"/>
        <v>0</v>
      </c>
      <c r="O262" s="13">
        <f t="shared" si="17"/>
        <v>0</v>
      </c>
      <c r="P262" s="13">
        <f t="shared" si="17"/>
        <v>0</v>
      </c>
      <c r="Q262" s="13">
        <f t="shared" si="17"/>
        <v>0</v>
      </c>
      <c r="R262" s="13" t="s">
        <v>239</v>
      </c>
      <c r="T262" s="63">
        <v>5.6663420000000002E-6</v>
      </c>
      <c r="U262" s="63">
        <v>8.4539389999999998E-5</v>
      </c>
      <c r="V262" s="63">
        <v>6.9747399999999996E-5</v>
      </c>
      <c r="W262" s="63">
        <v>9.9999999999999896E-5</v>
      </c>
      <c r="X262" s="63">
        <v>9.573901E-5</v>
      </c>
      <c r="Y262" s="63">
        <v>1.144715E-4</v>
      </c>
      <c r="Z262" s="63">
        <v>1.1264452E-4</v>
      </c>
      <c r="AA262" s="63">
        <v>9.9810579999999995E-5</v>
      </c>
      <c r="AB262" s="63">
        <v>8.3492380000000006E-5</v>
      </c>
      <c r="AC262" s="63">
        <v>6.1611264999999893E-5</v>
      </c>
      <c r="AD262" s="63">
        <v>3.2384830739999998E-5</v>
      </c>
      <c r="AE262" s="13" t="s">
        <v>93</v>
      </c>
    </row>
    <row r="263" spans="1:31">
      <c r="A263" s="13" t="s">
        <v>324</v>
      </c>
      <c r="B263" s="13" t="s">
        <v>1</v>
      </c>
      <c r="C263" s="13" t="s">
        <v>32</v>
      </c>
      <c r="D263" s="13" t="str">
        <f>IFERROR(VLOOKUP(C263,ghg_sort!$A$86:$B$512,2,0),0)</f>
        <v>Industry</v>
      </c>
      <c r="E263" s="33" t="s">
        <v>89</v>
      </c>
      <c r="F263" s="13">
        <f>IFERROR(VLOOKUP($E263,ghg_sort!$A$3:$B$21,2,0),0)</f>
        <v>0</v>
      </c>
      <c r="G263" s="13">
        <f t="shared" si="17"/>
        <v>0</v>
      </c>
      <c r="H263" s="13">
        <f t="shared" si="17"/>
        <v>0</v>
      </c>
      <c r="I263" s="13">
        <f t="shared" si="17"/>
        <v>0</v>
      </c>
      <c r="J263" s="13">
        <f t="shared" si="17"/>
        <v>0</v>
      </c>
      <c r="K263" s="13">
        <f t="shared" si="17"/>
        <v>0</v>
      </c>
      <c r="L263" s="13">
        <f t="shared" si="17"/>
        <v>0</v>
      </c>
      <c r="M263" s="13">
        <f t="shared" si="17"/>
        <v>0</v>
      </c>
      <c r="N263" s="13">
        <f t="shared" si="17"/>
        <v>0</v>
      </c>
      <c r="O263" s="13">
        <f t="shared" si="17"/>
        <v>0</v>
      </c>
      <c r="P263" s="13">
        <f t="shared" si="17"/>
        <v>0</v>
      </c>
      <c r="Q263" s="13">
        <f t="shared" si="17"/>
        <v>0</v>
      </c>
      <c r="R263" s="13" t="s">
        <v>239</v>
      </c>
      <c r="T263" s="63">
        <v>3.72294E-5</v>
      </c>
      <c r="U263" s="63">
        <v>1.4961369E-4</v>
      </c>
      <c r="V263" s="63">
        <v>1.846324E-4</v>
      </c>
      <c r="W263" s="63">
        <v>2.7E-4</v>
      </c>
      <c r="X263" s="63">
        <v>2.060361E-4</v>
      </c>
      <c r="Y263" s="63">
        <v>1.9883644999999899E-4</v>
      </c>
      <c r="Z263" s="63">
        <v>1.9272026E-4</v>
      </c>
      <c r="AA263" s="63">
        <v>1.7383511999999901E-4</v>
      </c>
      <c r="AB263" s="63">
        <v>1.4696310099999901E-4</v>
      </c>
      <c r="AC263" s="63">
        <v>1.10449581E-4</v>
      </c>
      <c r="AD263" s="63">
        <v>5.976216498E-5</v>
      </c>
      <c r="AE263" s="13" t="s">
        <v>93</v>
      </c>
    </row>
    <row r="264" spans="1:31">
      <c r="A264" s="13" t="s">
        <v>324</v>
      </c>
      <c r="B264" s="13" t="s">
        <v>1</v>
      </c>
      <c r="C264" s="13" t="s">
        <v>32</v>
      </c>
      <c r="D264" s="13" t="str">
        <f>IFERROR(VLOOKUP(C264,ghg_sort!$A$86:$B$512,2,0),0)</f>
        <v>Industry</v>
      </c>
      <c r="E264" s="33" t="s">
        <v>90</v>
      </c>
      <c r="F264" s="13">
        <f>IFERROR(VLOOKUP($E264,ghg_sort!$A$3:$B$21,2,0),0)</f>
        <v>0</v>
      </c>
      <c r="G264" s="13">
        <f t="shared" si="17"/>
        <v>0</v>
      </c>
      <c r="H264" s="13">
        <f t="shared" si="17"/>
        <v>0</v>
      </c>
      <c r="I264" s="13">
        <f t="shared" si="17"/>
        <v>0</v>
      </c>
      <c r="J264" s="13">
        <f t="shared" si="17"/>
        <v>0</v>
      </c>
      <c r="K264" s="13">
        <f t="shared" si="17"/>
        <v>0</v>
      </c>
      <c r="L264" s="13">
        <f t="shared" si="17"/>
        <v>0</v>
      </c>
      <c r="M264" s="13">
        <f t="shared" si="17"/>
        <v>0</v>
      </c>
      <c r="N264" s="13">
        <f t="shared" si="17"/>
        <v>0</v>
      </c>
      <c r="O264" s="13">
        <f t="shared" si="17"/>
        <v>0</v>
      </c>
      <c r="P264" s="13">
        <f t="shared" si="17"/>
        <v>0</v>
      </c>
      <c r="Q264" s="13">
        <f t="shared" si="17"/>
        <v>0</v>
      </c>
      <c r="R264" s="13" t="s">
        <v>239</v>
      </c>
      <c r="T264" s="63">
        <v>2.7246199999999901E-3</v>
      </c>
      <c r="U264" s="62">
        <v>1.0983939E-2</v>
      </c>
      <c r="V264" s="62">
        <v>1.36848919999999E-2</v>
      </c>
      <c r="W264" s="62">
        <v>2.2129981E-2</v>
      </c>
      <c r="X264" s="62">
        <v>1.4588104839999999E-2</v>
      </c>
      <c r="Y264" s="62">
        <v>1.07870935199999E-2</v>
      </c>
      <c r="Z264" s="62">
        <v>8.6520623800000005E-3</v>
      </c>
      <c r="AA264" s="62">
        <v>6.5533838820000002E-3</v>
      </c>
      <c r="AB264" s="63">
        <v>4.9579039499999897E-3</v>
      </c>
      <c r="AC264" s="63">
        <v>3.6694027300000001E-3</v>
      </c>
      <c r="AD264" s="63">
        <v>1.956566614E-3</v>
      </c>
      <c r="AE264" s="13" t="s">
        <v>93</v>
      </c>
    </row>
    <row r="265" spans="1:31">
      <c r="A265" s="13" t="s">
        <v>324</v>
      </c>
      <c r="B265" s="13" t="s">
        <v>1</v>
      </c>
      <c r="C265" s="13" t="s">
        <v>32</v>
      </c>
      <c r="D265" s="13" t="str">
        <f>IFERROR(VLOOKUP(C265,ghg_sort!$A$86:$B$512,2,0),0)</f>
        <v>Industry</v>
      </c>
      <c r="E265" s="12" t="s">
        <v>91</v>
      </c>
      <c r="F265" s="13">
        <f>IFERROR(VLOOKUP($E265,ghg_sort!$A$3:$B$21,2,0),0)</f>
        <v>0</v>
      </c>
      <c r="G265" s="13">
        <f t="shared" si="17"/>
        <v>0</v>
      </c>
      <c r="H265" s="13">
        <f t="shared" si="17"/>
        <v>0</v>
      </c>
      <c r="I265" s="13">
        <f t="shared" si="17"/>
        <v>0</v>
      </c>
      <c r="J265" s="13">
        <f t="shared" si="17"/>
        <v>0</v>
      </c>
      <c r="K265" s="13">
        <f t="shared" si="17"/>
        <v>0</v>
      </c>
      <c r="L265" s="13">
        <f t="shared" si="17"/>
        <v>0</v>
      </c>
      <c r="M265" s="13">
        <f t="shared" si="17"/>
        <v>0</v>
      </c>
      <c r="N265" s="13">
        <f t="shared" si="17"/>
        <v>0</v>
      </c>
      <c r="O265" s="13">
        <f t="shared" si="17"/>
        <v>0</v>
      </c>
      <c r="P265" s="13">
        <f t="shared" si="17"/>
        <v>0</v>
      </c>
      <c r="Q265" s="13">
        <f t="shared" si="17"/>
        <v>0</v>
      </c>
      <c r="R265" s="13" t="s">
        <v>239</v>
      </c>
      <c r="T265" s="63">
        <v>5.69035999999999E-5</v>
      </c>
      <c r="U265" s="63">
        <v>1.4983680000000001E-4</v>
      </c>
      <c r="V265" s="63">
        <v>1.8991169999999901E-4</v>
      </c>
      <c r="W265" s="63">
        <v>3.1000025999999999E-4</v>
      </c>
      <c r="X265" s="63">
        <v>2.0261493199999901E-4</v>
      </c>
      <c r="Y265" s="63">
        <v>1.0438713E-4</v>
      </c>
      <c r="Z265" s="63">
        <v>5.7268214E-5</v>
      </c>
      <c r="AA265" s="63">
        <v>2.80500964E-5</v>
      </c>
      <c r="AB265" s="63">
        <v>1.5666362999999998E-5</v>
      </c>
      <c r="AC265" s="63">
        <v>7.5645659999999999E-6</v>
      </c>
      <c r="AD265" s="63">
        <v>1.4803041999999901E-6</v>
      </c>
      <c r="AE265" s="13" t="s">
        <v>93</v>
      </c>
    </row>
    <row r="266" spans="1:31">
      <c r="A266" s="13" t="s">
        <v>324</v>
      </c>
      <c r="B266" s="13" t="s">
        <v>1</v>
      </c>
      <c r="C266" s="13" t="s">
        <v>32</v>
      </c>
      <c r="D266" s="13" t="str">
        <f>IFERROR(VLOOKUP(C266,ghg_sort!$A$86:$B$512,2,0),0)</f>
        <v>Industry</v>
      </c>
      <c r="E266" s="33" t="s">
        <v>92</v>
      </c>
      <c r="F266" s="13">
        <f>IFERROR(VLOOKUP($E266,ghg_sort!$A$3:$B$21,2,0),0)</f>
        <v>0</v>
      </c>
      <c r="G266" s="13">
        <f t="shared" si="17"/>
        <v>0</v>
      </c>
      <c r="H266" s="13">
        <f t="shared" si="17"/>
        <v>0</v>
      </c>
      <c r="I266" s="13">
        <f t="shared" si="17"/>
        <v>0</v>
      </c>
      <c r="J266" s="13">
        <f t="shared" ref="J266:Q297" si="18">W266*$F266</f>
        <v>0</v>
      </c>
      <c r="K266" s="13">
        <f t="shared" si="18"/>
        <v>0</v>
      </c>
      <c r="L266" s="13">
        <f t="shared" si="18"/>
        <v>0</v>
      </c>
      <c r="M266" s="13">
        <f t="shared" si="18"/>
        <v>0</v>
      </c>
      <c r="N266" s="13">
        <f t="shared" si="18"/>
        <v>0</v>
      </c>
      <c r="O266" s="13">
        <f t="shared" si="18"/>
        <v>0</v>
      </c>
      <c r="P266" s="13">
        <f t="shared" si="18"/>
        <v>0</v>
      </c>
      <c r="Q266" s="13">
        <f t="shared" si="18"/>
        <v>0</v>
      </c>
      <c r="R266" s="13" t="s">
        <v>239</v>
      </c>
      <c r="T266" s="63">
        <v>5.93547E-3</v>
      </c>
      <c r="U266" s="63">
        <v>6.8387750000000001E-3</v>
      </c>
      <c r="V266" s="63">
        <v>7.9459490000000008E-3</v>
      </c>
      <c r="W266" s="63">
        <v>1.4220112300000001E-2</v>
      </c>
      <c r="X266" s="63">
        <v>9.2946779019999898E-3</v>
      </c>
      <c r="Y266" s="63">
        <v>4.8097412459999897E-3</v>
      </c>
      <c r="Z266" s="63">
        <v>2.6566025879999999E-3</v>
      </c>
      <c r="AA266" s="63">
        <v>1.3168871468999901E-3</v>
      </c>
      <c r="AB266" s="63">
        <v>7.4399502799999903E-4</v>
      </c>
      <c r="AC266" s="63">
        <v>3.6757666899999998E-4</v>
      </c>
      <c r="AD266" s="63">
        <v>8.1694578000000002E-5</v>
      </c>
      <c r="AE266" s="13" t="s">
        <v>93</v>
      </c>
    </row>
    <row r="267" spans="1:31">
      <c r="A267" s="13" t="s">
        <v>324</v>
      </c>
      <c r="B267" s="13" t="s">
        <v>1</v>
      </c>
      <c r="C267" s="13" t="s">
        <v>66</v>
      </c>
      <c r="D267" s="13" t="str">
        <f>IFERROR(VLOOKUP(C267,ghg_sort!$A$86:$B$512,2,0),0)</f>
        <v>Industry</v>
      </c>
      <c r="E267" s="33" t="s">
        <v>83</v>
      </c>
      <c r="F267" s="13">
        <f>IFERROR(VLOOKUP($E267,ghg_sort!$A$3:$B$21,2,0),0)</f>
        <v>0</v>
      </c>
      <c r="G267" s="13">
        <f t="shared" ref="G267:P314" si="19">T267*$F267</f>
        <v>0</v>
      </c>
      <c r="H267" s="13">
        <f t="shared" si="19"/>
        <v>0</v>
      </c>
      <c r="I267" s="13">
        <f t="shared" si="19"/>
        <v>0</v>
      </c>
      <c r="J267" s="13">
        <f t="shared" si="18"/>
        <v>0</v>
      </c>
      <c r="K267" s="13">
        <f t="shared" si="18"/>
        <v>0</v>
      </c>
      <c r="L267" s="13">
        <f t="shared" si="18"/>
        <v>0</v>
      </c>
      <c r="M267" s="13">
        <f t="shared" si="18"/>
        <v>0</v>
      </c>
      <c r="N267" s="13">
        <f t="shared" si="18"/>
        <v>0</v>
      </c>
      <c r="O267" s="13">
        <f t="shared" si="18"/>
        <v>0</v>
      </c>
      <c r="P267" s="13">
        <f t="shared" si="18"/>
        <v>0</v>
      </c>
      <c r="Q267" s="13">
        <f t="shared" si="18"/>
        <v>0</v>
      </c>
      <c r="R267" s="13" t="s">
        <v>239</v>
      </c>
      <c r="T267" s="63">
        <v>1.2610900000000001E-4</v>
      </c>
      <c r="U267" s="63">
        <v>7.5147400000000005E-5</v>
      </c>
      <c r="V267" s="63">
        <v>1.15871E-4</v>
      </c>
      <c r="W267" s="63">
        <v>1.3507700000000001E-6</v>
      </c>
      <c r="X267" s="63">
        <v>8.4430599999999996E-7</v>
      </c>
      <c r="Y267" s="63">
        <v>6.3959109999999999E-7</v>
      </c>
      <c r="Z267" s="63">
        <v>5.1794209999999999E-7</v>
      </c>
      <c r="AA267" s="63">
        <v>4.2489174999999998E-7</v>
      </c>
      <c r="AB267" s="63">
        <v>3.55343999999999E-7</v>
      </c>
      <c r="AC267" s="63">
        <v>2.5907239999999997E-7</v>
      </c>
      <c r="AD267" s="63">
        <v>8.1493799999999898E-8</v>
      </c>
      <c r="AE267" s="13" t="s">
        <v>93</v>
      </c>
    </row>
    <row r="268" spans="1:31">
      <c r="A268" s="13" t="s">
        <v>324</v>
      </c>
      <c r="B268" s="13" t="s">
        <v>1</v>
      </c>
      <c r="C268" s="13" t="s">
        <v>66</v>
      </c>
      <c r="D268" s="13" t="str">
        <f>IFERROR(VLOOKUP(C268,ghg_sort!$A$86:$B$512,2,0),0)</f>
        <v>Industry</v>
      </c>
      <c r="E268" s="33" t="s">
        <v>84</v>
      </c>
      <c r="F268" s="13">
        <f>IFERROR(VLOOKUP($E268,ghg_sort!$A$3:$B$21,2,0),0)</f>
        <v>25</v>
      </c>
      <c r="G268" s="13">
        <f t="shared" si="19"/>
        <v>2.5000000000000001E-4</v>
      </c>
      <c r="H268" s="13">
        <f t="shared" si="19"/>
        <v>0</v>
      </c>
      <c r="I268" s="13">
        <f t="shared" si="19"/>
        <v>0</v>
      </c>
      <c r="J268" s="13">
        <f t="shared" si="18"/>
        <v>0</v>
      </c>
      <c r="K268" s="13">
        <f t="shared" si="18"/>
        <v>0</v>
      </c>
      <c r="L268" s="13">
        <f t="shared" si="18"/>
        <v>0</v>
      </c>
      <c r="M268" s="13">
        <f t="shared" si="18"/>
        <v>0</v>
      </c>
      <c r="N268" s="13">
        <f t="shared" si="18"/>
        <v>0</v>
      </c>
      <c r="O268" s="13">
        <f t="shared" si="18"/>
        <v>0</v>
      </c>
      <c r="P268" s="13">
        <f t="shared" si="18"/>
        <v>0</v>
      </c>
      <c r="Q268" s="13">
        <f t="shared" si="18"/>
        <v>0</v>
      </c>
      <c r="R268" s="13" t="s">
        <v>239</v>
      </c>
      <c r="T268" s="63">
        <v>1.0000000000000001E-5</v>
      </c>
      <c r="U268" s="63">
        <v>0</v>
      </c>
      <c r="V268" s="63">
        <v>0</v>
      </c>
      <c r="W268" s="63">
        <v>0</v>
      </c>
      <c r="X268" s="63">
        <v>0</v>
      </c>
      <c r="Y268" s="63">
        <v>0</v>
      </c>
      <c r="Z268" s="63">
        <v>0</v>
      </c>
      <c r="AA268" s="63">
        <v>0</v>
      </c>
      <c r="AB268" s="63">
        <v>0</v>
      </c>
      <c r="AC268" s="63">
        <v>0</v>
      </c>
      <c r="AD268" s="63">
        <v>0</v>
      </c>
      <c r="AE268" s="13" t="s">
        <v>93</v>
      </c>
    </row>
    <row r="269" spans="1:31">
      <c r="A269" s="13" t="s">
        <v>324</v>
      </c>
      <c r="B269" s="13" t="s">
        <v>1</v>
      </c>
      <c r="C269" s="13" t="s">
        <v>66</v>
      </c>
      <c r="D269" s="13" t="str">
        <f>IFERROR(VLOOKUP(C269,ghg_sort!$A$86:$B$512,2,0),0)</f>
        <v>Industry</v>
      </c>
      <c r="E269" s="33" t="s">
        <v>85</v>
      </c>
      <c r="F269" s="13">
        <f>IFERROR(VLOOKUP($E269,ghg_sort!$A$3:$B$21,2,0),0)</f>
        <v>0</v>
      </c>
      <c r="G269" s="13">
        <f t="shared" si="19"/>
        <v>0</v>
      </c>
      <c r="H269" s="13">
        <f t="shared" si="19"/>
        <v>0</v>
      </c>
      <c r="I269" s="13">
        <f t="shared" si="19"/>
        <v>0</v>
      </c>
      <c r="J269" s="13">
        <f t="shared" si="18"/>
        <v>0</v>
      </c>
      <c r="K269" s="13">
        <f t="shared" si="18"/>
        <v>0</v>
      </c>
      <c r="L269" s="13">
        <f t="shared" si="18"/>
        <v>0</v>
      </c>
      <c r="M269" s="13">
        <f t="shared" si="18"/>
        <v>0</v>
      </c>
      <c r="N269" s="13">
        <f t="shared" si="18"/>
        <v>0</v>
      </c>
      <c r="O269" s="13">
        <f t="shared" si="18"/>
        <v>0</v>
      </c>
      <c r="P269" s="13">
        <f t="shared" si="18"/>
        <v>0</v>
      </c>
      <c r="Q269" s="13">
        <f t="shared" si="18"/>
        <v>0</v>
      </c>
      <c r="R269" s="13" t="s">
        <v>239</v>
      </c>
      <c r="T269" s="63">
        <v>4.0000000000000003E-5</v>
      </c>
      <c r="U269" s="63">
        <v>2.0000000000000002E-5</v>
      </c>
      <c r="V269" s="63">
        <v>2.0000000000000002E-5</v>
      </c>
      <c r="W269" s="63">
        <v>2.0000000000000002E-5</v>
      </c>
      <c r="X269" s="63">
        <v>1.502619E-5</v>
      </c>
      <c r="Y269" s="63">
        <v>1.8691329999999899E-5</v>
      </c>
      <c r="Z269" s="63">
        <v>1.8785034E-5</v>
      </c>
      <c r="AA269" s="63">
        <v>1.7214599999999999E-5</v>
      </c>
      <c r="AB269" s="63">
        <v>1.439686E-5</v>
      </c>
      <c r="AC269" s="63">
        <v>1.0496389999999999E-5</v>
      </c>
      <c r="AD269" s="63">
        <v>3.3017399999999999E-6</v>
      </c>
      <c r="AE269" s="13" t="s">
        <v>93</v>
      </c>
    </row>
    <row r="270" spans="1:31">
      <c r="A270" s="13" t="s">
        <v>324</v>
      </c>
      <c r="B270" s="13" t="s">
        <v>1</v>
      </c>
      <c r="C270" s="13" t="s">
        <v>66</v>
      </c>
      <c r="D270" s="13" t="str">
        <f>IFERROR(VLOOKUP(C270,ghg_sort!$A$86:$B$512,2,0),0)</f>
        <v>Industry</v>
      </c>
      <c r="E270" s="33" t="s">
        <v>86</v>
      </c>
      <c r="F270" s="13">
        <f>IFERROR(VLOOKUP($E270,ghg_sort!$A$3:$B$21,2,0),0)</f>
        <v>3.6666666666666701</v>
      </c>
      <c r="G270" s="13">
        <f t="shared" si="19"/>
        <v>0.33994510000000033</v>
      </c>
      <c r="H270" s="13">
        <f t="shared" si="19"/>
        <v>0.17749050000000016</v>
      </c>
      <c r="I270" s="13">
        <f t="shared" si="19"/>
        <v>0.25570746666666694</v>
      </c>
      <c r="J270" s="13">
        <f t="shared" si="18"/>
        <v>0.19253043333333353</v>
      </c>
      <c r="K270" s="13">
        <f t="shared" si="18"/>
        <v>0.17483249666666645</v>
      </c>
      <c r="L270" s="13">
        <f t="shared" si="18"/>
        <v>0.21747733333333352</v>
      </c>
      <c r="M270" s="13">
        <f t="shared" si="18"/>
        <v>0.21856765333333353</v>
      </c>
      <c r="N270" s="13">
        <f t="shared" si="18"/>
        <v>0.20029519766666684</v>
      </c>
      <c r="O270" s="13">
        <f t="shared" si="18"/>
        <v>0.16751012666666684</v>
      </c>
      <c r="P270" s="13">
        <f t="shared" si="18"/>
        <v>0.12212761000000012</v>
      </c>
      <c r="Q270" s="13">
        <f t="shared" si="18"/>
        <v>3.8416436666666706E-2</v>
      </c>
      <c r="R270" s="13" t="s">
        <v>239</v>
      </c>
      <c r="T270" s="63">
        <v>9.2712299999999997E-2</v>
      </c>
      <c r="U270" s="63">
        <v>4.8406499999999998E-2</v>
      </c>
      <c r="V270" s="63">
        <v>6.9738400000000006E-2</v>
      </c>
      <c r="W270" s="63">
        <v>5.2508300000000001E-2</v>
      </c>
      <c r="X270" s="63">
        <v>4.7681589999999899E-2</v>
      </c>
      <c r="Y270" s="63">
        <v>5.9311999999999997E-2</v>
      </c>
      <c r="Z270" s="63">
        <v>5.960936E-2</v>
      </c>
      <c r="AA270" s="63">
        <v>5.4625963E-2</v>
      </c>
      <c r="AB270" s="63">
        <v>4.5684580000000002E-2</v>
      </c>
      <c r="AC270" s="63">
        <v>3.3307530000000002E-2</v>
      </c>
      <c r="AD270" s="63">
        <v>1.0477210000000001E-2</v>
      </c>
      <c r="AE270" s="13" t="s">
        <v>94</v>
      </c>
    </row>
    <row r="271" spans="1:31">
      <c r="A271" s="13" t="s">
        <v>324</v>
      </c>
      <c r="B271" s="13" t="s">
        <v>1</v>
      </c>
      <c r="C271" s="13" t="s">
        <v>66</v>
      </c>
      <c r="D271" s="13" t="str">
        <f>IFERROR(VLOOKUP(C271,ghg_sort!$A$86:$B$512,2,0),0)</f>
        <v>Industry</v>
      </c>
      <c r="E271" s="33" t="s">
        <v>90</v>
      </c>
      <c r="F271" s="13">
        <f>IFERROR(VLOOKUP($E271,ghg_sort!$A$3:$B$21,2,0),0)</f>
        <v>0</v>
      </c>
      <c r="G271" s="13">
        <f t="shared" si="19"/>
        <v>0</v>
      </c>
      <c r="H271" s="13">
        <f t="shared" si="19"/>
        <v>0</v>
      </c>
      <c r="I271" s="13">
        <f t="shared" si="19"/>
        <v>0</v>
      </c>
      <c r="J271" s="13">
        <f t="shared" si="18"/>
        <v>0</v>
      </c>
      <c r="K271" s="13">
        <f t="shared" si="18"/>
        <v>0</v>
      </c>
      <c r="L271" s="13">
        <f t="shared" si="18"/>
        <v>0</v>
      </c>
      <c r="M271" s="13">
        <f t="shared" si="18"/>
        <v>0</v>
      </c>
      <c r="N271" s="13">
        <f t="shared" si="18"/>
        <v>0</v>
      </c>
      <c r="O271" s="13">
        <f t="shared" si="18"/>
        <v>0</v>
      </c>
      <c r="P271" s="13">
        <f t="shared" si="18"/>
        <v>0</v>
      </c>
      <c r="Q271" s="13">
        <f t="shared" si="18"/>
        <v>0</v>
      </c>
      <c r="R271" s="13" t="s">
        <v>239</v>
      </c>
      <c r="T271" s="63">
        <v>5.4000000000000001E-4</v>
      </c>
      <c r="U271" s="63">
        <v>1.4999999999999999E-4</v>
      </c>
      <c r="V271" s="63">
        <v>3.1E-4</v>
      </c>
      <c r="W271" s="63">
        <v>2.7999999999999998E-4</v>
      </c>
      <c r="X271" s="63">
        <v>1.750148E-4</v>
      </c>
      <c r="Y271" s="63">
        <v>1.3257999999999901E-4</v>
      </c>
      <c r="Z271" s="63">
        <v>1.0736351E-4</v>
      </c>
      <c r="AA271" s="63">
        <v>8.3356999999999995E-5</v>
      </c>
      <c r="AB271" s="63">
        <v>6.2572509999999897E-5</v>
      </c>
      <c r="AC271" s="63">
        <v>4.5620140000000003E-5</v>
      </c>
      <c r="AD271" s="63">
        <v>1.435025E-5</v>
      </c>
      <c r="AE271" s="13" t="s">
        <v>93</v>
      </c>
    </row>
    <row r="272" spans="1:31">
      <c r="A272" s="13" t="s">
        <v>324</v>
      </c>
      <c r="B272" s="13" t="s">
        <v>1</v>
      </c>
      <c r="C272" s="13" t="s">
        <v>66</v>
      </c>
      <c r="D272" s="13" t="str">
        <f>IFERROR(VLOOKUP(C272,ghg_sort!$A$86:$B$512,2,0),0)</f>
        <v>Industry</v>
      </c>
      <c r="E272" s="33" t="s">
        <v>91</v>
      </c>
      <c r="F272" s="13">
        <f>IFERROR(VLOOKUP($E272,ghg_sort!$A$3:$B$21,2,0),0)</f>
        <v>0</v>
      </c>
      <c r="G272" s="13">
        <f t="shared" si="19"/>
        <v>0</v>
      </c>
      <c r="H272" s="13">
        <f t="shared" si="19"/>
        <v>0</v>
      </c>
      <c r="I272" s="13">
        <f t="shared" si="19"/>
        <v>0</v>
      </c>
      <c r="J272" s="13">
        <f t="shared" si="18"/>
        <v>0</v>
      </c>
      <c r="K272" s="13">
        <f t="shared" si="18"/>
        <v>0</v>
      </c>
      <c r="L272" s="13">
        <f t="shared" si="18"/>
        <v>0</v>
      </c>
      <c r="M272" s="13">
        <f t="shared" si="18"/>
        <v>0</v>
      </c>
      <c r="N272" s="13">
        <f t="shared" si="18"/>
        <v>0</v>
      </c>
      <c r="O272" s="13">
        <f t="shared" si="18"/>
        <v>0</v>
      </c>
      <c r="P272" s="13">
        <f t="shared" si="18"/>
        <v>0</v>
      </c>
      <c r="Q272" s="13">
        <f t="shared" si="18"/>
        <v>0</v>
      </c>
      <c r="R272" s="13" t="s">
        <v>239</v>
      </c>
      <c r="T272" s="63">
        <v>4.0000000000000003E-5</v>
      </c>
      <c r="U272" s="63">
        <v>2.0000000000000002E-5</v>
      </c>
      <c r="V272" s="63">
        <v>4.0000000000000003E-5</v>
      </c>
      <c r="W272" s="63">
        <v>1.0000000000000001E-5</v>
      </c>
      <c r="X272" s="63">
        <v>6.2505340000000002E-6</v>
      </c>
      <c r="Y272" s="63">
        <v>4.7350039999999997E-6</v>
      </c>
      <c r="Z272" s="63">
        <v>3.8344120000000004E-6</v>
      </c>
      <c r="AA272" s="63">
        <v>2.9770388000000002E-6</v>
      </c>
      <c r="AB272" s="63">
        <v>2.166325E-6</v>
      </c>
      <c r="AC272" s="63">
        <v>1.4745719999999999E-6</v>
      </c>
      <c r="AD272" s="63">
        <v>4.2500990000000003E-7</v>
      </c>
      <c r="AE272" s="13" t="s">
        <v>93</v>
      </c>
    </row>
    <row r="273" spans="1:31">
      <c r="A273" s="13" t="s">
        <v>324</v>
      </c>
      <c r="B273" s="13" t="s">
        <v>1</v>
      </c>
      <c r="C273" s="13" t="s">
        <v>66</v>
      </c>
      <c r="D273" s="13" t="str">
        <f>IFERROR(VLOOKUP(C273,ghg_sort!$A$86:$B$512,2,0),0)</f>
        <v>Industry</v>
      </c>
      <c r="E273" s="33" t="s">
        <v>92</v>
      </c>
      <c r="F273" s="13">
        <f>IFERROR(VLOOKUP($E273,ghg_sort!$A$3:$B$21,2,0),0)</f>
        <v>0</v>
      </c>
      <c r="G273" s="13">
        <f t="shared" si="19"/>
        <v>0</v>
      </c>
      <c r="H273" s="13">
        <f t="shared" si="19"/>
        <v>0</v>
      </c>
      <c r="I273" s="13">
        <f t="shared" si="19"/>
        <v>0</v>
      </c>
      <c r="J273" s="13">
        <f t="shared" si="18"/>
        <v>0</v>
      </c>
      <c r="K273" s="13">
        <f t="shared" si="18"/>
        <v>0</v>
      </c>
      <c r="L273" s="13">
        <f t="shared" si="18"/>
        <v>0</v>
      </c>
      <c r="M273" s="13">
        <f t="shared" si="18"/>
        <v>0</v>
      </c>
      <c r="N273" s="13">
        <f t="shared" si="18"/>
        <v>0</v>
      </c>
      <c r="O273" s="13">
        <f t="shared" si="18"/>
        <v>0</v>
      </c>
      <c r="P273" s="13">
        <f t="shared" si="18"/>
        <v>0</v>
      </c>
      <c r="Q273" s="13">
        <f t="shared" si="18"/>
        <v>0</v>
      </c>
      <c r="R273" s="13" t="s">
        <v>239</v>
      </c>
      <c r="T273" s="63">
        <v>1.72054E-3</v>
      </c>
      <c r="U273" s="63">
        <v>2.43098E-4</v>
      </c>
      <c r="V273" s="63">
        <v>4.0765000000000002E-4</v>
      </c>
      <c r="W273" s="63">
        <v>1.17595E-4</v>
      </c>
      <c r="X273" s="63">
        <v>7.3503380000000004E-5</v>
      </c>
      <c r="Y273" s="63">
        <v>5.5681389999999998E-5</v>
      </c>
      <c r="Z273" s="63">
        <v>4.509092E-5</v>
      </c>
      <c r="AA273" s="63">
        <v>3.5008576999999999E-5</v>
      </c>
      <c r="AB273" s="63">
        <v>2.547496E-5</v>
      </c>
      <c r="AC273" s="63">
        <v>1.80363899999999E-5</v>
      </c>
      <c r="AD273" s="63">
        <v>5.67352199999999E-6</v>
      </c>
      <c r="AE273" s="13" t="s">
        <v>93</v>
      </c>
    </row>
    <row r="274" spans="1:31">
      <c r="A274" s="13" t="s">
        <v>324</v>
      </c>
      <c r="B274" s="13" t="s">
        <v>1</v>
      </c>
      <c r="C274" s="13" t="s">
        <v>68</v>
      </c>
      <c r="D274" s="13" t="str">
        <f>IFERROR(VLOOKUP(C274,ghg_sort!$A$86:$B$512,2,0),0)</f>
        <v>Industry</v>
      </c>
      <c r="E274" s="33" t="s">
        <v>83</v>
      </c>
      <c r="F274" s="13">
        <f>IFERROR(VLOOKUP($E274,ghg_sort!$A$3:$B$21,2,0),0)</f>
        <v>0</v>
      </c>
      <c r="G274" s="13">
        <f t="shared" si="19"/>
        <v>0</v>
      </c>
      <c r="H274" s="13">
        <f t="shared" si="19"/>
        <v>0</v>
      </c>
      <c r="I274" s="13">
        <f t="shared" si="19"/>
        <v>0</v>
      </c>
      <c r="J274" s="13">
        <f t="shared" si="18"/>
        <v>0</v>
      </c>
      <c r="K274" s="13">
        <f t="shared" si="18"/>
        <v>0</v>
      </c>
      <c r="L274" s="13">
        <f t="shared" si="18"/>
        <v>0</v>
      </c>
      <c r="M274" s="13">
        <f t="shared" si="18"/>
        <v>0</v>
      </c>
      <c r="N274" s="13">
        <f t="shared" si="18"/>
        <v>0</v>
      </c>
      <c r="O274" s="13">
        <f t="shared" si="18"/>
        <v>0</v>
      </c>
      <c r="P274" s="13">
        <f t="shared" si="18"/>
        <v>0</v>
      </c>
      <c r="Q274" s="13">
        <f t="shared" si="18"/>
        <v>0</v>
      </c>
      <c r="R274" s="13" t="s">
        <v>239</v>
      </c>
      <c r="T274" s="63">
        <v>3.8044059999999898E-3</v>
      </c>
      <c r="U274" s="63">
        <v>4.4493470000000002E-3</v>
      </c>
      <c r="V274" s="63">
        <v>4.5262719999999996E-3</v>
      </c>
      <c r="W274" s="63">
        <v>2.8680959999999901E-3</v>
      </c>
      <c r="X274" s="63">
        <v>2.9030670000000001E-3</v>
      </c>
      <c r="Y274" s="63">
        <v>3.3319521999999901E-3</v>
      </c>
      <c r="Z274" s="63">
        <v>3.6693388000000001E-3</v>
      </c>
      <c r="AA274" s="63">
        <v>3.9863774999999999E-3</v>
      </c>
      <c r="AB274" s="63">
        <v>3.72866E-3</v>
      </c>
      <c r="AC274" s="63">
        <v>3.18212023E-3</v>
      </c>
      <c r="AD274" s="63">
        <v>9.2209287369999897E-4</v>
      </c>
      <c r="AE274" s="13" t="s">
        <v>93</v>
      </c>
    </row>
    <row r="275" spans="1:31">
      <c r="A275" s="13" t="s">
        <v>324</v>
      </c>
      <c r="B275" s="13" t="s">
        <v>1</v>
      </c>
      <c r="C275" s="13" t="s">
        <v>68</v>
      </c>
      <c r="D275" s="13" t="str">
        <f>IFERROR(VLOOKUP(C275,ghg_sort!$A$86:$B$512,2,0),0)</f>
        <v>Industry</v>
      </c>
      <c r="E275" s="12" t="s">
        <v>84</v>
      </c>
      <c r="F275" s="13">
        <f>IFERROR(VLOOKUP($E275,ghg_sort!$A$3:$B$21,2,0),0)</f>
        <v>25</v>
      </c>
      <c r="G275" s="13">
        <f t="shared" si="19"/>
        <v>1.7729624999999999E-2</v>
      </c>
      <c r="H275" s="13">
        <f t="shared" si="19"/>
        <v>3.8151625000000002E-2</v>
      </c>
      <c r="I275" s="13">
        <f t="shared" si="19"/>
        <v>4.3969974999999752E-2</v>
      </c>
      <c r="J275" s="13">
        <f t="shared" si="18"/>
        <v>6.1713249999999997E-2</v>
      </c>
      <c r="K275" s="13">
        <f t="shared" si="18"/>
        <v>6.5869667749999999E-2</v>
      </c>
      <c r="L275" s="13">
        <f t="shared" si="18"/>
        <v>7.2175927749999993E-2</v>
      </c>
      <c r="M275" s="13">
        <f t="shared" si="18"/>
        <v>7.4598739999999997E-2</v>
      </c>
      <c r="N275" s="13">
        <f t="shared" si="18"/>
        <v>7.2358328749999756E-2</v>
      </c>
      <c r="O275" s="13">
        <f t="shared" si="18"/>
        <v>6.14063725E-2</v>
      </c>
      <c r="P275" s="13">
        <f t="shared" si="18"/>
        <v>4.9722327999999746E-2</v>
      </c>
      <c r="Q275" s="13">
        <f t="shared" si="18"/>
        <v>1.7571704729999974E-2</v>
      </c>
      <c r="R275" s="13" t="s">
        <v>239</v>
      </c>
      <c r="T275" s="63">
        <v>7.0918499999999998E-4</v>
      </c>
      <c r="U275" s="62">
        <v>1.5260650000000001E-3</v>
      </c>
      <c r="V275" s="62">
        <v>1.7587989999999899E-3</v>
      </c>
      <c r="W275" s="62">
        <v>2.46853E-3</v>
      </c>
      <c r="X275" s="62">
        <v>2.6347867099999998E-3</v>
      </c>
      <c r="Y275" s="62">
        <v>2.8870371099999998E-3</v>
      </c>
      <c r="Z275" s="62">
        <v>2.9839495999999998E-3</v>
      </c>
      <c r="AA275" s="62">
        <v>2.8943331499999901E-3</v>
      </c>
      <c r="AB275" s="62">
        <v>2.4562549E-3</v>
      </c>
      <c r="AC275" s="62">
        <v>1.9888931199999898E-3</v>
      </c>
      <c r="AD275" s="63">
        <v>7.0286818919999903E-4</v>
      </c>
      <c r="AE275" s="13" t="s">
        <v>93</v>
      </c>
    </row>
    <row r="276" spans="1:31">
      <c r="A276" s="13" t="s">
        <v>324</v>
      </c>
      <c r="B276" s="13" t="s">
        <v>1</v>
      </c>
      <c r="C276" s="13" t="s">
        <v>68</v>
      </c>
      <c r="D276" s="13" t="str">
        <f>IFERROR(VLOOKUP(C276,ghg_sort!$A$86:$B$512,2,0),0)</f>
        <v>Industry</v>
      </c>
      <c r="E276" s="33" t="s">
        <v>85</v>
      </c>
      <c r="F276" s="13">
        <f>IFERROR(VLOOKUP($E276,ghg_sort!$A$3:$B$21,2,0),0)</f>
        <v>0</v>
      </c>
      <c r="G276" s="13">
        <f t="shared" si="19"/>
        <v>0</v>
      </c>
      <c r="H276" s="13">
        <f t="shared" si="19"/>
        <v>0</v>
      </c>
      <c r="I276" s="13">
        <f t="shared" si="19"/>
        <v>0</v>
      </c>
      <c r="J276" s="13">
        <f t="shared" si="18"/>
        <v>0</v>
      </c>
      <c r="K276" s="13">
        <f t="shared" si="18"/>
        <v>0</v>
      </c>
      <c r="L276" s="13">
        <f t="shared" si="18"/>
        <v>0</v>
      </c>
      <c r="M276" s="13">
        <f t="shared" si="18"/>
        <v>0</v>
      </c>
      <c r="N276" s="13">
        <f t="shared" si="18"/>
        <v>0</v>
      </c>
      <c r="O276" s="13">
        <f t="shared" si="18"/>
        <v>0</v>
      </c>
      <c r="P276" s="13">
        <f t="shared" si="18"/>
        <v>0</v>
      </c>
      <c r="Q276" s="13">
        <f t="shared" si="18"/>
        <v>0</v>
      </c>
      <c r="R276" s="13" t="s">
        <v>239</v>
      </c>
      <c r="T276" s="63">
        <v>1.9473699999999999E-3</v>
      </c>
      <c r="U276" s="63">
        <v>3.7672549999999902E-3</v>
      </c>
      <c r="V276" s="63">
        <v>3.4638519999999999E-3</v>
      </c>
      <c r="W276" s="63">
        <v>4.4904489999999997E-3</v>
      </c>
      <c r="X276" s="63">
        <v>4.3151205000000002E-3</v>
      </c>
      <c r="Y276" s="63">
        <v>4.7838438999999898E-3</v>
      </c>
      <c r="Z276" s="63">
        <v>5.0156766000000004E-3</v>
      </c>
      <c r="AA276" s="63">
        <v>4.9926722000000002E-3</v>
      </c>
      <c r="AB276" s="63">
        <v>4.3389234999999899E-3</v>
      </c>
      <c r="AC276" s="63">
        <v>3.55027529999999E-3</v>
      </c>
      <c r="AD276" s="63">
        <v>1.118548233E-3</v>
      </c>
      <c r="AE276" s="13" t="s">
        <v>93</v>
      </c>
    </row>
    <row r="277" spans="1:31">
      <c r="A277" s="13" t="s">
        <v>324</v>
      </c>
      <c r="B277" s="13" t="s">
        <v>1</v>
      </c>
      <c r="C277" s="13" t="s">
        <v>68</v>
      </c>
      <c r="D277" s="13" t="str">
        <f>IFERROR(VLOOKUP(C277,ghg_sort!$A$86:$B$512,2,0),0)</f>
        <v>Industry</v>
      </c>
      <c r="E277" s="33" t="s">
        <v>86</v>
      </c>
      <c r="F277" s="13">
        <f>IFERROR(VLOOKUP($E277,ghg_sort!$A$3:$B$21,2,0),0)</f>
        <v>3.6666666666666701</v>
      </c>
      <c r="G277" s="13">
        <f t="shared" si="19"/>
        <v>44.282842999999673</v>
      </c>
      <c r="H277" s="13">
        <f t="shared" si="19"/>
        <v>106.10240300000009</v>
      </c>
      <c r="I277" s="13">
        <f t="shared" si="19"/>
        <v>124.80167333333344</v>
      </c>
      <c r="J277" s="13">
        <f t="shared" si="18"/>
        <v>64.208969000000067</v>
      </c>
      <c r="K277" s="13">
        <f t="shared" si="18"/>
        <v>68.30110649999969</v>
      </c>
      <c r="L277" s="13">
        <f t="shared" si="18"/>
        <v>72.219470033333408</v>
      </c>
      <c r="M277" s="13">
        <f t="shared" si="18"/>
        <v>71.147224133333395</v>
      </c>
      <c r="N277" s="13">
        <f t="shared" si="18"/>
        <v>62.096463366666732</v>
      </c>
      <c r="O277" s="13">
        <f t="shared" si="18"/>
        <v>46.287777433333012</v>
      </c>
      <c r="P277" s="13">
        <f t="shared" si="18"/>
        <v>34.15980190333336</v>
      </c>
      <c r="Q277" s="13">
        <f t="shared" si="18"/>
        <v>10.181585736666676</v>
      </c>
      <c r="R277" s="13" t="s">
        <v>239</v>
      </c>
      <c r="T277" s="63">
        <v>12.077138999999899</v>
      </c>
      <c r="U277" s="63">
        <v>28.937018999999999</v>
      </c>
      <c r="V277" s="63">
        <v>34.036819999999999</v>
      </c>
      <c r="W277" s="63">
        <v>17.511537000000001</v>
      </c>
      <c r="X277" s="63">
        <v>18.627574499999898</v>
      </c>
      <c r="Y277" s="63">
        <v>19.6962191</v>
      </c>
      <c r="Z277" s="63">
        <v>19.4037884</v>
      </c>
      <c r="AA277" s="63">
        <v>16.935399100000001</v>
      </c>
      <c r="AB277" s="63">
        <v>12.6239392999999</v>
      </c>
      <c r="AC277" s="63">
        <v>9.3163096099999994</v>
      </c>
      <c r="AD277" s="63">
        <v>2.7767961099999998</v>
      </c>
      <c r="AE277" s="13" t="s">
        <v>94</v>
      </c>
    </row>
    <row r="278" spans="1:31">
      <c r="A278" s="13" t="s">
        <v>324</v>
      </c>
      <c r="B278" s="13" t="s">
        <v>1</v>
      </c>
      <c r="C278" s="13" t="s">
        <v>68</v>
      </c>
      <c r="D278" s="13" t="str">
        <f>IFERROR(VLOOKUP(C278,ghg_sort!$A$86:$B$512,2,0),0)</f>
        <v>Industry</v>
      </c>
      <c r="E278" s="33" t="s">
        <v>87</v>
      </c>
      <c r="F278" s="13">
        <f>IFERROR(VLOOKUP($E278,ghg_sort!$A$3:$B$21,2,0),0)</f>
        <v>298</v>
      </c>
      <c r="G278" s="13">
        <f t="shared" si="19"/>
        <v>3.4829256599999706E-2</v>
      </c>
      <c r="H278" s="13">
        <f t="shared" si="19"/>
        <v>0.11622</v>
      </c>
      <c r="I278" s="13">
        <f t="shared" si="19"/>
        <v>0.11622</v>
      </c>
      <c r="J278" s="13">
        <f t="shared" si="18"/>
        <v>0.13111999999999971</v>
      </c>
      <c r="K278" s="13">
        <f t="shared" si="18"/>
        <v>0.14187189364</v>
      </c>
      <c r="L278" s="13">
        <f t="shared" si="18"/>
        <v>0.16172778860000001</v>
      </c>
      <c r="M278" s="13">
        <f t="shared" si="18"/>
        <v>0.17634896490000002</v>
      </c>
      <c r="N278" s="13">
        <f t="shared" si="18"/>
        <v>0.18839680093999972</v>
      </c>
      <c r="O278" s="13">
        <f t="shared" si="18"/>
        <v>0.17402555128000002</v>
      </c>
      <c r="P278" s="13">
        <f t="shared" si="18"/>
        <v>0.14739847171199999</v>
      </c>
      <c r="Q278" s="13">
        <f t="shared" si="18"/>
        <v>4.2365077023999706E-2</v>
      </c>
      <c r="R278" s="13" t="s">
        <v>239</v>
      </c>
      <c r="T278" s="63">
        <v>1.16876699999999E-4</v>
      </c>
      <c r="U278" s="63">
        <v>3.8999999999999999E-4</v>
      </c>
      <c r="V278" s="63">
        <v>3.8999999999999999E-4</v>
      </c>
      <c r="W278" s="63">
        <v>4.3999999999999899E-4</v>
      </c>
      <c r="X278" s="63">
        <v>4.7608018000000002E-4</v>
      </c>
      <c r="Y278" s="63">
        <v>5.4271069999999998E-4</v>
      </c>
      <c r="Z278" s="63">
        <v>5.9177505000000002E-4</v>
      </c>
      <c r="AA278" s="63">
        <v>6.3220402999999905E-4</v>
      </c>
      <c r="AB278" s="63">
        <v>5.8397836000000005E-4</v>
      </c>
      <c r="AC278" s="63">
        <v>4.9462574400000001E-4</v>
      </c>
      <c r="AD278" s="63">
        <v>1.42164687999999E-4</v>
      </c>
      <c r="AE278" s="13" t="s">
        <v>93</v>
      </c>
    </row>
    <row r="279" spans="1:31">
      <c r="A279" s="13" t="s">
        <v>324</v>
      </c>
      <c r="B279" s="13" t="s">
        <v>1</v>
      </c>
      <c r="C279" s="13" t="s">
        <v>68</v>
      </c>
      <c r="D279" s="13" t="str">
        <f>IFERROR(VLOOKUP(C279,ghg_sort!$A$86:$B$512,2,0),0)</f>
        <v>Industry</v>
      </c>
      <c r="E279" s="33" t="s">
        <v>88</v>
      </c>
      <c r="F279" s="13">
        <f>IFERROR(VLOOKUP($E279,ghg_sort!$A$3:$B$21,2,0),0)</f>
        <v>0</v>
      </c>
      <c r="G279" s="13">
        <f t="shared" si="19"/>
        <v>0</v>
      </c>
      <c r="H279" s="13">
        <f t="shared" si="19"/>
        <v>0</v>
      </c>
      <c r="I279" s="13">
        <f t="shared" si="19"/>
        <v>0</v>
      </c>
      <c r="J279" s="13">
        <f t="shared" si="18"/>
        <v>0</v>
      </c>
      <c r="K279" s="13">
        <f t="shared" si="18"/>
        <v>0</v>
      </c>
      <c r="L279" s="13">
        <f t="shared" si="18"/>
        <v>0</v>
      </c>
      <c r="M279" s="13">
        <f t="shared" si="18"/>
        <v>0</v>
      </c>
      <c r="N279" s="13">
        <f t="shared" si="18"/>
        <v>0</v>
      </c>
      <c r="O279" s="13">
        <f t="shared" si="18"/>
        <v>0</v>
      </c>
      <c r="P279" s="13">
        <f t="shared" si="18"/>
        <v>0</v>
      </c>
      <c r="Q279" s="13">
        <f t="shared" si="18"/>
        <v>0</v>
      </c>
      <c r="R279" s="13" t="s">
        <v>239</v>
      </c>
      <c r="T279" s="63">
        <v>1.6783299999999999E-4</v>
      </c>
      <c r="U279" s="63">
        <v>9.8487050000000006E-4</v>
      </c>
      <c r="V279" s="63">
        <v>8.0721630000000003E-4</v>
      </c>
      <c r="W279" s="63">
        <v>8.5230919999999995E-4</v>
      </c>
      <c r="X279" s="63">
        <v>9.1488620000000002E-4</v>
      </c>
      <c r="Y279" s="63">
        <v>1.0336854499999901E-3</v>
      </c>
      <c r="Z279" s="63">
        <v>1.1151886799999999E-3</v>
      </c>
      <c r="AA279" s="62">
        <v>1.17178291E-3</v>
      </c>
      <c r="AB279" s="63">
        <v>1.0713877469999899E-3</v>
      </c>
      <c r="AC279" s="63">
        <v>9.0360759799999995E-4</v>
      </c>
      <c r="AD279" s="63">
        <v>2.6711042515999899E-4</v>
      </c>
      <c r="AE279" s="13" t="s">
        <v>93</v>
      </c>
    </row>
    <row r="280" spans="1:31">
      <c r="A280" s="13" t="s">
        <v>324</v>
      </c>
      <c r="B280" s="13" t="s">
        <v>1</v>
      </c>
      <c r="C280" s="13" t="s">
        <v>68</v>
      </c>
      <c r="D280" s="13" t="str">
        <f>IFERROR(VLOOKUP(C280,ghg_sort!$A$86:$B$512,2,0),0)</f>
        <v>Industry</v>
      </c>
      <c r="E280" s="33" t="s">
        <v>89</v>
      </c>
      <c r="F280" s="13">
        <f>IFERROR(VLOOKUP($E280,ghg_sort!$A$3:$B$21,2,0),0)</f>
        <v>0</v>
      </c>
      <c r="G280" s="13">
        <f t="shared" si="19"/>
        <v>0</v>
      </c>
      <c r="H280" s="13">
        <f t="shared" si="19"/>
        <v>0</v>
      </c>
      <c r="I280" s="13">
        <f t="shared" si="19"/>
        <v>0</v>
      </c>
      <c r="J280" s="13">
        <f t="shared" si="18"/>
        <v>0</v>
      </c>
      <c r="K280" s="13">
        <f t="shared" si="18"/>
        <v>0</v>
      </c>
      <c r="L280" s="13">
        <f t="shared" si="18"/>
        <v>0</v>
      </c>
      <c r="M280" s="13">
        <f t="shared" si="18"/>
        <v>0</v>
      </c>
      <c r="N280" s="13">
        <f t="shared" si="18"/>
        <v>0</v>
      </c>
      <c r="O280" s="13">
        <f t="shared" si="18"/>
        <v>0</v>
      </c>
      <c r="P280" s="13">
        <f t="shared" si="18"/>
        <v>0</v>
      </c>
      <c r="Q280" s="13">
        <f t="shared" si="18"/>
        <v>0</v>
      </c>
      <c r="R280" s="13" t="s">
        <v>239</v>
      </c>
      <c r="T280" s="63">
        <v>3.7766999999999998E-4</v>
      </c>
      <c r="U280" s="63">
        <v>6.1704679999999995E-4</v>
      </c>
      <c r="V280" s="63">
        <v>6.0131919999999997E-4</v>
      </c>
      <c r="W280" s="63">
        <v>6.469275E-4</v>
      </c>
      <c r="X280" s="63">
        <v>7.0028030999999904E-4</v>
      </c>
      <c r="Y280" s="63">
        <v>7.9918125000000002E-4</v>
      </c>
      <c r="Z280" s="63">
        <v>8.7281382000000004E-4</v>
      </c>
      <c r="AA280" s="63">
        <v>9.3411432999999998E-4</v>
      </c>
      <c r="AB280" s="63">
        <v>8.6142247E-4</v>
      </c>
      <c r="AC280" s="63">
        <v>7.2933357399999996E-4</v>
      </c>
      <c r="AD280" s="63">
        <v>2.1650350179999999E-4</v>
      </c>
      <c r="AE280" s="13" t="s">
        <v>93</v>
      </c>
    </row>
    <row r="281" spans="1:31">
      <c r="A281" s="13" t="s">
        <v>324</v>
      </c>
      <c r="B281" s="13" t="s">
        <v>1</v>
      </c>
      <c r="C281" s="13" t="s">
        <v>68</v>
      </c>
      <c r="D281" s="13" t="str">
        <f>IFERROR(VLOOKUP(C281,ghg_sort!$A$86:$B$512,2,0),0)</f>
        <v>Industry</v>
      </c>
      <c r="E281" s="33" t="s">
        <v>90</v>
      </c>
      <c r="F281" s="13">
        <f>IFERROR(VLOOKUP($E281,ghg_sort!$A$3:$B$21,2,0),0)</f>
        <v>0</v>
      </c>
      <c r="G281" s="13">
        <f t="shared" si="19"/>
        <v>0</v>
      </c>
      <c r="H281" s="13">
        <f t="shared" si="19"/>
        <v>0</v>
      </c>
      <c r="I281" s="13">
        <f t="shared" si="19"/>
        <v>0</v>
      </c>
      <c r="J281" s="13">
        <f t="shared" si="18"/>
        <v>0</v>
      </c>
      <c r="K281" s="13">
        <f t="shared" si="18"/>
        <v>0</v>
      </c>
      <c r="L281" s="13">
        <f t="shared" si="18"/>
        <v>0</v>
      </c>
      <c r="M281" s="13">
        <f t="shared" si="18"/>
        <v>0</v>
      </c>
      <c r="N281" s="13">
        <f t="shared" si="18"/>
        <v>0</v>
      </c>
      <c r="O281" s="13">
        <f t="shared" si="18"/>
        <v>0</v>
      </c>
      <c r="P281" s="13">
        <f t="shared" si="18"/>
        <v>0</v>
      </c>
      <c r="Q281" s="13">
        <f t="shared" si="18"/>
        <v>0</v>
      </c>
      <c r="R281" s="13" t="s">
        <v>239</v>
      </c>
      <c r="T281" s="62">
        <v>2.1783999999999901E-2</v>
      </c>
      <c r="U281" s="62">
        <v>2.9009799999999999E-2</v>
      </c>
      <c r="V281" s="62">
        <v>2.9079460000000001E-2</v>
      </c>
      <c r="W281" s="62">
        <v>2.9806840000000001E-2</v>
      </c>
      <c r="X281" s="62">
        <v>2.8562613000000001E-2</v>
      </c>
      <c r="Y281" s="62">
        <v>2.80860179999999E-2</v>
      </c>
      <c r="Z281" s="62">
        <v>2.8242676000000001E-2</v>
      </c>
      <c r="AA281" s="62">
        <v>2.7225596000000001E-2</v>
      </c>
      <c r="AB281" s="62">
        <v>2.3030661000000001E-2</v>
      </c>
      <c r="AC281" s="62">
        <v>1.8587904199999901E-2</v>
      </c>
      <c r="AD281" s="62">
        <v>5.9902174299999904E-3</v>
      </c>
      <c r="AE281" s="13" t="s">
        <v>93</v>
      </c>
    </row>
    <row r="282" spans="1:31">
      <c r="A282" s="13" t="s">
        <v>324</v>
      </c>
      <c r="B282" s="13" t="s">
        <v>1</v>
      </c>
      <c r="C282" s="13" t="s">
        <v>68</v>
      </c>
      <c r="D282" s="13" t="str">
        <f>IFERROR(VLOOKUP(C282,ghg_sort!$A$86:$B$512,2,0),0)</f>
        <v>Industry</v>
      </c>
      <c r="E282" s="12" t="s">
        <v>91</v>
      </c>
      <c r="F282" s="13">
        <f>IFERROR(VLOOKUP($E282,ghg_sort!$A$3:$B$21,2,0),0)</f>
        <v>0</v>
      </c>
      <c r="G282" s="13">
        <f t="shared" si="19"/>
        <v>0</v>
      </c>
      <c r="H282" s="13">
        <f t="shared" si="19"/>
        <v>0</v>
      </c>
      <c r="I282" s="13">
        <f t="shared" si="19"/>
        <v>0</v>
      </c>
      <c r="J282" s="13">
        <f t="shared" si="18"/>
        <v>0</v>
      </c>
      <c r="K282" s="13">
        <f t="shared" si="18"/>
        <v>0</v>
      </c>
      <c r="L282" s="13">
        <f t="shared" si="18"/>
        <v>0</v>
      </c>
      <c r="M282" s="13">
        <f t="shared" si="18"/>
        <v>0</v>
      </c>
      <c r="N282" s="13">
        <f t="shared" si="18"/>
        <v>0</v>
      </c>
      <c r="O282" s="13">
        <f t="shared" si="18"/>
        <v>0</v>
      </c>
      <c r="P282" s="13">
        <f t="shared" si="18"/>
        <v>0</v>
      </c>
      <c r="Q282" s="13">
        <f t="shared" si="18"/>
        <v>0</v>
      </c>
      <c r="R282" s="13" t="s">
        <v>239</v>
      </c>
      <c r="T282" s="62">
        <v>5.47614E-3</v>
      </c>
      <c r="U282" s="62">
        <v>1.06E-2</v>
      </c>
      <c r="V282" s="62">
        <v>1.0330000000000001E-2</v>
      </c>
      <c r="W282" s="62">
        <v>1.303E-2</v>
      </c>
      <c r="X282" s="62">
        <v>1.33521822E-2</v>
      </c>
      <c r="Y282" s="62">
        <v>1.50181386E-2</v>
      </c>
      <c r="Z282" s="62">
        <v>1.6898872199999901E-2</v>
      </c>
      <c r="AA282" s="62">
        <v>1.9254017599999999E-2</v>
      </c>
      <c r="AB282" s="62">
        <v>1.8607791789999901E-2</v>
      </c>
      <c r="AC282" s="62">
        <v>1.61810913699999E-2</v>
      </c>
      <c r="AD282" s="62">
        <v>4.70640996799999E-3</v>
      </c>
      <c r="AE282" s="13" t="s">
        <v>93</v>
      </c>
    </row>
    <row r="283" spans="1:31">
      <c r="A283" s="13" t="s">
        <v>324</v>
      </c>
      <c r="B283" s="13" t="s">
        <v>1</v>
      </c>
      <c r="C283" s="13" t="s">
        <v>68</v>
      </c>
      <c r="D283" s="13" t="str">
        <f>IFERROR(VLOOKUP(C283,ghg_sort!$A$86:$B$512,2,0),0)</f>
        <v>Industry</v>
      </c>
      <c r="E283" s="33" t="s">
        <v>92</v>
      </c>
      <c r="F283" s="13">
        <f>IFERROR(VLOOKUP($E283,ghg_sort!$A$3:$B$21,2,0),0)</f>
        <v>0</v>
      </c>
      <c r="G283" s="13">
        <f t="shared" si="19"/>
        <v>0</v>
      </c>
      <c r="H283" s="13">
        <f t="shared" si="19"/>
        <v>0</v>
      </c>
      <c r="I283" s="13">
        <f t="shared" si="19"/>
        <v>0</v>
      </c>
      <c r="J283" s="13">
        <f t="shared" si="18"/>
        <v>0</v>
      </c>
      <c r="K283" s="13">
        <f t="shared" si="18"/>
        <v>0</v>
      </c>
      <c r="L283" s="13">
        <f t="shared" si="18"/>
        <v>0</v>
      </c>
      <c r="M283" s="13">
        <f t="shared" si="18"/>
        <v>0</v>
      </c>
      <c r="N283" s="13">
        <f t="shared" si="18"/>
        <v>0</v>
      </c>
      <c r="O283" s="13">
        <f t="shared" si="18"/>
        <v>0</v>
      </c>
      <c r="P283" s="13">
        <f t="shared" si="18"/>
        <v>0</v>
      </c>
      <c r="Q283" s="13">
        <f t="shared" si="18"/>
        <v>0</v>
      </c>
      <c r="R283" s="13" t="s">
        <v>239</v>
      </c>
      <c r="T283" s="63">
        <v>5.3120923E-2</v>
      </c>
      <c r="U283" s="63">
        <v>2.678939801E-2</v>
      </c>
      <c r="V283" s="63">
        <v>2.579146999E-2</v>
      </c>
      <c r="W283" s="63">
        <v>9.7967179999999994E-3</v>
      </c>
      <c r="X283" s="63">
        <v>9.1373414109999999E-3</v>
      </c>
      <c r="Y283" s="63">
        <v>8.1743321630000001E-3</v>
      </c>
      <c r="Z283" s="63">
        <v>7.6230024580000002E-3</v>
      </c>
      <c r="AA283" s="63">
        <v>6.6650394089999999E-3</v>
      </c>
      <c r="AB283" s="63">
        <v>5.0886419049999999E-3</v>
      </c>
      <c r="AC283" s="63">
        <v>3.7137620729999999E-3</v>
      </c>
      <c r="AD283" s="63">
        <v>7.1879878449999999E-4</v>
      </c>
      <c r="AE283" s="13" t="s">
        <v>93</v>
      </c>
    </row>
    <row r="284" spans="1:31">
      <c r="A284" s="13" t="s">
        <v>324</v>
      </c>
      <c r="B284" s="13" t="s">
        <v>1</v>
      </c>
      <c r="C284" s="13" t="s">
        <v>62</v>
      </c>
      <c r="D284" s="13" t="str">
        <f>IFERROR(VLOOKUP(C284,ghg_sort!$A$86:$B$512,2,0),0)</f>
        <v>Industry</v>
      </c>
      <c r="E284" s="33" t="s">
        <v>83</v>
      </c>
      <c r="F284" s="13">
        <f>IFERROR(VLOOKUP($E284,ghg_sort!$A$3:$B$21,2,0),0)</f>
        <v>0</v>
      </c>
      <c r="G284" s="13">
        <f t="shared" si="19"/>
        <v>0</v>
      </c>
      <c r="H284" s="13">
        <f t="shared" si="19"/>
        <v>0</v>
      </c>
      <c r="I284" s="13">
        <f t="shared" si="19"/>
        <v>0</v>
      </c>
      <c r="J284" s="13">
        <f t="shared" si="18"/>
        <v>0</v>
      </c>
      <c r="K284" s="13">
        <f t="shared" si="18"/>
        <v>0</v>
      </c>
      <c r="L284" s="13">
        <f t="shared" si="18"/>
        <v>0</v>
      </c>
      <c r="M284" s="13">
        <f t="shared" si="18"/>
        <v>0</v>
      </c>
      <c r="N284" s="13">
        <f t="shared" si="18"/>
        <v>0</v>
      </c>
      <c r="O284" s="13">
        <f t="shared" si="18"/>
        <v>0</v>
      </c>
      <c r="P284" s="13">
        <f t="shared" si="18"/>
        <v>0</v>
      </c>
      <c r="Q284" s="13">
        <f t="shared" si="18"/>
        <v>0</v>
      </c>
      <c r="R284" s="13" t="s">
        <v>239</v>
      </c>
      <c r="T284" s="63">
        <v>1.641022E-3</v>
      </c>
      <c r="U284" s="63">
        <v>1.9697930000000001E-3</v>
      </c>
      <c r="V284" s="63">
        <v>2.4512380000000001E-3</v>
      </c>
      <c r="W284" s="63">
        <v>1.8004803999999901E-3</v>
      </c>
      <c r="X284" s="63">
        <v>1.94171719E-3</v>
      </c>
      <c r="Y284" s="63">
        <v>2.1897059710000001E-3</v>
      </c>
      <c r="Z284" s="62">
        <v>2.1309069610000002E-3</v>
      </c>
      <c r="AA284" s="62">
        <v>2.388414356E-3</v>
      </c>
      <c r="AB284" s="62">
        <v>2.7499986019999998E-3</v>
      </c>
      <c r="AC284" s="62">
        <v>2.8795395789999998E-3</v>
      </c>
      <c r="AD284" s="62">
        <v>2.47574439499999E-3</v>
      </c>
      <c r="AE284" s="13" t="s">
        <v>93</v>
      </c>
    </row>
    <row r="285" spans="1:31">
      <c r="A285" s="13" t="s">
        <v>324</v>
      </c>
      <c r="B285" s="13" t="s">
        <v>1</v>
      </c>
      <c r="C285" s="13" t="s">
        <v>62</v>
      </c>
      <c r="D285" s="13" t="str">
        <f>IFERROR(VLOOKUP(C285,ghg_sort!$A$86:$B$512,2,0),0)</f>
        <v>Industry</v>
      </c>
      <c r="E285" s="33" t="s">
        <v>84</v>
      </c>
      <c r="F285" s="13">
        <f>IFERROR(VLOOKUP($E285,ghg_sort!$A$3:$B$21,2,0),0)</f>
        <v>25</v>
      </c>
      <c r="G285" s="13">
        <f t="shared" si="19"/>
        <v>8.2500000000000004E-3</v>
      </c>
      <c r="H285" s="13">
        <f t="shared" si="19"/>
        <v>7.7499999999999999E-3</v>
      </c>
      <c r="I285" s="13">
        <f t="shared" si="19"/>
        <v>1.4750000000000001E-2</v>
      </c>
      <c r="J285" s="13">
        <f t="shared" si="18"/>
        <v>0.02</v>
      </c>
      <c r="K285" s="13">
        <f t="shared" si="18"/>
        <v>2.13706585E-2</v>
      </c>
      <c r="L285" s="13">
        <f t="shared" si="18"/>
        <v>2.4073203249999998E-2</v>
      </c>
      <c r="M285" s="13">
        <f t="shared" si="18"/>
        <v>2.3449620125000001E-2</v>
      </c>
      <c r="N285" s="13">
        <f t="shared" si="18"/>
        <v>2.6387532500000001E-2</v>
      </c>
      <c r="O285" s="13">
        <f t="shared" si="18"/>
        <v>3.0479258574999751E-2</v>
      </c>
      <c r="P285" s="13">
        <f t="shared" si="18"/>
        <v>3.194897385E-2</v>
      </c>
      <c r="Q285" s="13">
        <f t="shared" si="18"/>
        <v>2.7484980575000002E-2</v>
      </c>
      <c r="R285" s="13" t="s">
        <v>239</v>
      </c>
      <c r="T285" s="63">
        <v>3.3E-4</v>
      </c>
      <c r="U285" s="63">
        <v>3.1E-4</v>
      </c>
      <c r="V285" s="63">
        <v>5.9000000000000003E-4</v>
      </c>
      <c r="W285" s="63">
        <v>8.0000000000000004E-4</v>
      </c>
      <c r="X285" s="63">
        <v>8.5482633999999999E-4</v>
      </c>
      <c r="Y285" s="63">
        <v>9.6292812999999996E-4</v>
      </c>
      <c r="Z285" s="63">
        <v>9.3798480500000003E-4</v>
      </c>
      <c r="AA285" s="63">
        <v>1.0555013E-3</v>
      </c>
      <c r="AB285" s="63">
        <v>1.2191703429999901E-3</v>
      </c>
      <c r="AC285" s="63">
        <v>1.2779589539999999E-3</v>
      </c>
      <c r="AD285" s="63">
        <v>1.099399223E-3</v>
      </c>
      <c r="AE285" s="13" t="s">
        <v>93</v>
      </c>
    </row>
    <row r="286" spans="1:31">
      <c r="A286" s="13" t="s">
        <v>324</v>
      </c>
      <c r="B286" s="13" t="s">
        <v>1</v>
      </c>
      <c r="C286" s="13" t="s">
        <v>62</v>
      </c>
      <c r="D286" s="13" t="str">
        <f>IFERROR(VLOOKUP(C286,ghg_sort!$A$86:$B$512,2,0),0)</f>
        <v>Industry</v>
      </c>
      <c r="E286" s="33" t="s">
        <v>85</v>
      </c>
      <c r="F286" s="13">
        <f>IFERROR(VLOOKUP($E286,ghg_sort!$A$3:$B$21,2,0),0)</f>
        <v>0</v>
      </c>
      <c r="G286" s="13">
        <f t="shared" si="19"/>
        <v>0</v>
      </c>
      <c r="H286" s="13">
        <f t="shared" si="19"/>
        <v>0</v>
      </c>
      <c r="I286" s="13">
        <f t="shared" si="19"/>
        <v>0</v>
      </c>
      <c r="J286" s="13">
        <f t="shared" si="18"/>
        <v>0</v>
      </c>
      <c r="K286" s="13">
        <f t="shared" si="18"/>
        <v>0</v>
      </c>
      <c r="L286" s="13">
        <f t="shared" si="18"/>
        <v>0</v>
      </c>
      <c r="M286" s="13">
        <f t="shared" si="18"/>
        <v>0</v>
      </c>
      <c r="N286" s="13">
        <f t="shared" si="18"/>
        <v>0</v>
      </c>
      <c r="O286" s="13">
        <f t="shared" si="18"/>
        <v>0</v>
      </c>
      <c r="P286" s="13">
        <f t="shared" si="18"/>
        <v>0</v>
      </c>
      <c r="Q286" s="13">
        <f t="shared" si="18"/>
        <v>0</v>
      </c>
      <c r="R286" s="13" t="s">
        <v>239</v>
      </c>
      <c r="T286" s="63">
        <v>2.5599999999999898E-3</v>
      </c>
      <c r="U286" s="63">
        <v>2.8999999999999998E-3</v>
      </c>
      <c r="V286" s="63">
        <v>3.0000000000000001E-3</v>
      </c>
      <c r="W286" s="63">
        <v>3.5500000000000002E-3</v>
      </c>
      <c r="X286" s="63">
        <v>3.8146907000000002E-3</v>
      </c>
      <c r="Y286" s="63">
        <v>3.9597755299999897E-3</v>
      </c>
      <c r="Z286" s="63">
        <v>3.5836164900000002E-3</v>
      </c>
      <c r="AA286" s="63">
        <v>3.1972168299999998E-3</v>
      </c>
      <c r="AB286" s="63">
        <v>3.02912535E-3</v>
      </c>
      <c r="AC286" s="63">
        <v>2.88049898999999E-3</v>
      </c>
      <c r="AD286" s="63">
        <v>2.371926417E-3</v>
      </c>
      <c r="AE286" s="13" t="s">
        <v>93</v>
      </c>
    </row>
    <row r="287" spans="1:31">
      <c r="A287" s="13" t="s">
        <v>324</v>
      </c>
      <c r="B287" s="13" t="s">
        <v>1</v>
      </c>
      <c r="C287" s="13" t="s">
        <v>62</v>
      </c>
      <c r="D287" s="13" t="str">
        <f>IFERROR(VLOOKUP(C287,ghg_sort!$A$86:$B$512,2,0),0)</f>
        <v>Industry</v>
      </c>
      <c r="E287" s="33" t="s">
        <v>86</v>
      </c>
      <c r="F287" s="13">
        <f>IFERROR(VLOOKUP($E287,ghg_sort!$A$3:$B$21,2,0),0)</f>
        <v>3.6666666666666701</v>
      </c>
      <c r="G287" s="13">
        <f t="shared" si="19"/>
        <v>12.873380666666678</v>
      </c>
      <c r="H287" s="13">
        <f t="shared" si="19"/>
        <v>16.699056000000013</v>
      </c>
      <c r="I287" s="13">
        <f t="shared" si="19"/>
        <v>16.31306233333331</v>
      </c>
      <c r="J287" s="13">
        <f t="shared" si="18"/>
        <v>16.352640333333348</v>
      </c>
      <c r="K287" s="13">
        <f t="shared" si="18"/>
        <v>17.301788166666682</v>
      </c>
      <c r="L287" s="13">
        <f t="shared" si="18"/>
        <v>17.634040233333312</v>
      </c>
      <c r="M287" s="13">
        <f t="shared" si="18"/>
        <v>15.737233306666683</v>
      </c>
      <c r="N287" s="13">
        <f t="shared" si="18"/>
        <v>13.362156170000013</v>
      </c>
      <c r="O287" s="13">
        <f t="shared" si="18"/>
        <v>11.999851820000011</v>
      </c>
      <c r="P287" s="13">
        <f t="shared" si="18"/>
        <v>11.040654863333344</v>
      </c>
      <c r="Q287" s="13">
        <f t="shared" si="18"/>
        <v>8.950070506666675</v>
      </c>
      <c r="R287" s="13" t="s">
        <v>239</v>
      </c>
      <c r="T287" s="63">
        <v>3.5109219999999999</v>
      </c>
      <c r="U287" s="63">
        <v>4.5542879999999997</v>
      </c>
      <c r="V287" s="63">
        <v>4.4490169999999898</v>
      </c>
      <c r="W287" s="63">
        <v>4.4598110000000002</v>
      </c>
      <c r="X287" s="63">
        <v>4.7186694999999999</v>
      </c>
      <c r="Y287" s="63">
        <v>4.8092836999999902</v>
      </c>
      <c r="Z287" s="63">
        <v>4.2919727200000004</v>
      </c>
      <c r="AA287" s="63">
        <v>3.6442244100000001</v>
      </c>
      <c r="AB287" s="63">
        <v>3.2726868599999999</v>
      </c>
      <c r="AC287" s="63">
        <v>3.0110876900000001</v>
      </c>
      <c r="AD287" s="63">
        <v>2.4409283199999998</v>
      </c>
      <c r="AE287" s="13" t="s">
        <v>94</v>
      </c>
    </row>
    <row r="288" spans="1:31">
      <c r="A288" s="13" t="s">
        <v>324</v>
      </c>
      <c r="B288" s="13" t="s">
        <v>1</v>
      </c>
      <c r="C288" s="13" t="s">
        <v>62</v>
      </c>
      <c r="D288" s="13" t="str">
        <f>IFERROR(VLOOKUP(C288,ghg_sort!$A$86:$B$512,2,0),0)</f>
        <v>Industry</v>
      </c>
      <c r="E288" s="33" t="s">
        <v>87</v>
      </c>
      <c r="F288" s="13">
        <f>IFERROR(VLOOKUP($E288,ghg_sort!$A$3:$B$21,2,0),0)</f>
        <v>298</v>
      </c>
      <c r="G288" s="13">
        <f t="shared" si="19"/>
        <v>3.8739999999999997E-2</v>
      </c>
      <c r="H288" s="13">
        <f t="shared" si="19"/>
        <v>6.8539999999999698E-2</v>
      </c>
      <c r="I288" s="13">
        <f t="shared" si="19"/>
        <v>8.9399999999999993E-2</v>
      </c>
      <c r="J288" s="13">
        <f t="shared" si="18"/>
        <v>0.10132000000000001</v>
      </c>
      <c r="K288" s="13">
        <f t="shared" si="18"/>
        <v>0.10928052764</v>
      </c>
      <c r="L288" s="13">
        <f t="shared" si="18"/>
        <v>0.1197554532259997</v>
      </c>
      <c r="M288" s="13">
        <f t="shared" si="18"/>
        <v>0.1137597307739997</v>
      </c>
      <c r="N288" s="13">
        <f t="shared" si="18"/>
        <v>0.1190365818659997</v>
      </c>
      <c r="O288" s="13">
        <f t="shared" si="18"/>
        <v>0.13030608481799968</v>
      </c>
      <c r="P288" s="13">
        <f t="shared" si="18"/>
        <v>0.13343562389999969</v>
      </c>
      <c r="Q288" s="13">
        <f t="shared" si="18"/>
        <v>0.1136403091216</v>
      </c>
      <c r="R288" s="13" t="s">
        <v>239</v>
      </c>
      <c r="T288" s="63">
        <v>1.2999999999999999E-4</v>
      </c>
      <c r="U288" s="63">
        <v>2.29999999999999E-4</v>
      </c>
      <c r="V288" s="63">
        <v>2.9999999999999997E-4</v>
      </c>
      <c r="W288" s="63">
        <v>3.4000000000000002E-4</v>
      </c>
      <c r="X288" s="63">
        <v>3.6671318E-4</v>
      </c>
      <c r="Y288" s="63">
        <v>4.0186393699999899E-4</v>
      </c>
      <c r="Z288" s="63">
        <v>3.8174406299999899E-4</v>
      </c>
      <c r="AA288" s="63">
        <v>3.9945161699999899E-4</v>
      </c>
      <c r="AB288" s="63">
        <v>4.3726874099999898E-4</v>
      </c>
      <c r="AC288" s="63">
        <v>4.47770549999999E-4</v>
      </c>
      <c r="AD288" s="63">
        <v>3.8134331920000001E-4</v>
      </c>
      <c r="AE288" s="13" t="s">
        <v>93</v>
      </c>
    </row>
    <row r="289" spans="1:31">
      <c r="A289" s="13" t="s">
        <v>324</v>
      </c>
      <c r="B289" s="13" t="s">
        <v>1</v>
      </c>
      <c r="C289" s="13" t="s">
        <v>62</v>
      </c>
      <c r="D289" s="13" t="str">
        <f>IFERROR(VLOOKUP(C289,ghg_sort!$A$86:$B$512,2,0),0)</f>
        <v>Industry</v>
      </c>
      <c r="E289" s="33" t="s">
        <v>88</v>
      </c>
      <c r="F289" s="13">
        <f>IFERROR(VLOOKUP($E289,ghg_sort!$A$3:$B$21,2,0),0)</f>
        <v>0</v>
      </c>
      <c r="G289" s="13">
        <f t="shared" si="19"/>
        <v>0</v>
      </c>
      <c r="H289" s="13">
        <f t="shared" si="19"/>
        <v>0</v>
      </c>
      <c r="I289" s="13">
        <f t="shared" si="19"/>
        <v>0</v>
      </c>
      <c r="J289" s="13">
        <f t="shared" si="18"/>
        <v>0</v>
      </c>
      <c r="K289" s="13">
        <f t="shared" si="18"/>
        <v>0</v>
      </c>
      <c r="L289" s="13">
        <f t="shared" si="18"/>
        <v>0</v>
      </c>
      <c r="M289" s="13">
        <f t="shared" si="18"/>
        <v>0</v>
      </c>
      <c r="N289" s="13">
        <f t="shared" si="18"/>
        <v>0</v>
      </c>
      <c r="O289" s="13">
        <f t="shared" si="18"/>
        <v>0</v>
      </c>
      <c r="P289" s="13">
        <f t="shared" si="18"/>
        <v>0</v>
      </c>
      <c r="Q289" s="13">
        <f t="shared" si="18"/>
        <v>0</v>
      </c>
      <c r="R289" s="13" t="s">
        <v>239</v>
      </c>
      <c r="T289" s="63">
        <v>6.0000000000000002E-5</v>
      </c>
      <c r="U289" s="63">
        <v>2.1000000000000001E-4</v>
      </c>
      <c r="V289" s="63">
        <v>2.9E-4</v>
      </c>
      <c r="W289" s="63">
        <v>4.0000000000000002E-4</v>
      </c>
      <c r="X289" s="63">
        <v>4.0770878999999902E-4</v>
      </c>
      <c r="Y289" s="63">
        <v>4.6343432E-4</v>
      </c>
      <c r="Z289" s="63">
        <v>4.5918410399999998E-4</v>
      </c>
      <c r="AA289" s="63">
        <v>5.4377338399999998E-4</v>
      </c>
      <c r="AB289" s="63">
        <v>6.5094017899999996E-4</v>
      </c>
      <c r="AC289" s="63">
        <v>6.9157184699999996E-4</v>
      </c>
      <c r="AD289" s="63">
        <v>5.9865865700000004E-4</v>
      </c>
      <c r="AE289" s="13" t="s">
        <v>93</v>
      </c>
    </row>
    <row r="290" spans="1:31">
      <c r="A290" s="13" t="s">
        <v>324</v>
      </c>
      <c r="B290" s="13" t="s">
        <v>1</v>
      </c>
      <c r="C290" s="13" t="s">
        <v>62</v>
      </c>
      <c r="D290" s="13" t="str">
        <f>IFERROR(VLOOKUP(C290,ghg_sort!$A$86:$B$512,2,0),0)</f>
        <v>Industry</v>
      </c>
      <c r="E290" s="33" t="s">
        <v>89</v>
      </c>
      <c r="F290" s="13">
        <f>IFERROR(VLOOKUP($E290,ghg_sort!$A$3:$B$21,2,0),0)</f>
        <v>0</v>
      </c>
      <c r="G290" s="13">
        <f t="shared" si="19"/>
        <v>0</v>
      </c>
      <c r="H290" s="13">
        <f t="shared" si="19"/>
        <v>0</v>
      </c>
      <c r="I290" s="13">
        <f t="shared" si="19"/>
        <v>0</v>
      </c>
      <c r="J290" s="13">
        <f t="shared" si="18"/>
        <v>0</v>
      </c>
      <c r="K290" s="13">
        <f t="shared" si="18"/>
        <v>0</v>
      </c>
      <c r="L290" s="13">
        <f t="shared" si="18"/>
        <v>0</v>
      </c>
      <c r="M290" s="13">
        <f t="shared" si="18"/>
        <v>0</v>
      </c>
      <c r="N290" s="13">
        <f t="shared" si="18"/>
        <v>0</v>
      </c>
      <c r="O290" s="13">
        <f t="shared" si="18"/>
        <v>0</v>
      </c>
      <c r="P290" s="13">
        <f t="shared" si="18"/>
        <v>0</v>
      </c>
      <c r="Q290" s="13">
        <f t="shared" si="18"/>
        <v>0</v>
      </c>
      <c r="R290" s="13" t="s">
        <v>239</v>
      </c>
      <c r="T290" s="63">
        <v>5.1000000000000004E-4</v>
      </c>
      <c r="U290" s="63">
        <v>4.8000000000000001E-4</v>
      </c>
      <c r="V290" s="63">
        <v>6.3000000000000003E-4</v>
      </c>
      <c r="W290" s="63">
        <v>6.0999999999999997E-4</v>
      </c>
      <c r="X290" s="63">
        <v>6.5841325999999999E-4</v>
      </c>
      <c r="Y290" s="63">
        <v>7.1215558299999996E-4</v>
      </c>
      <c r="Z290" s="63">
        <v>6.6869822899999899E-4</v>
      </c>
      <c r="AA290" s="63">
        <v>6.7528722299999998E-4</v>
      </c>
      <c r="AB290" s="63">
        <v>7.1832780499999998E-4</v>
      </c>
      <c r="AC290" s="63">
        <v>7.25808138999999E-4</v>
      </c>
      <c r="AD290" s="63">
        <v>6.1452499569999996E-4</v>
      </c>
      <c r="AE290" s="13" t="s">
        <v>93</v>
      </c>
    </row>
    <row r="291" spans="1:31">
      <c r="A291" s="13" t="s">
        <v>324</v>
      </c>
      <c r="B291" s="13" t="s">
        <v>1</v>
      </c>
      <c r="C291" s="13" t="s">
        <v>62</v>
      </c>
      <c r="D291" s="13" t="str">
        <f>IFERROR(VLOOKUP(C291,ghg_sort!$A$86:$B$512,2,0),0)</f>
        <v>Industry</v>
      </c>
      <c r="E291" s="33" t="s">
        <v>90</v>
      </c>
      <c r="F291" s="13">
        <f>IFERROR(VLOOKUP($E291,ghg_sort!$A$3:$B$21,2,0),0)</f>
        <v>0</v>
      </c>
      <c r="G291" s="13">
        <f t="shared" si="19"/>
        <v>0</v>
      </c>
      <c r="H291" s="13">
        <f t="shared" si="19"/>
        <v>0</v>
      </c>
      <c r="I291" s="13">
        <f t="shared" si="19"/>
        <v>0</v>
      </c>
      <c r="J291" s="13">
        <f t="shared" si="18"/>
        <v>0</v>
      </c>
      <c r="K291" s="13">
        <f t="shared" si="18"/>
        <v>0</v>
      </c>
      <c r="L291" s="13">
        <f t="shared" si="18"/>
        <v>0</v>
      </c>
      <c r="M291" s="13">
        <f t="shared" si="18"/>
        <v>0</v>
      </c>
      <c r="N291" s="13">
        <f t="shared" si="18"/>
        <v>0</v>
      </c>
      <c r="O291" s="13">
        <f t="shared" si="18"/>
        <v>0</v>
      </c>
      <c r="P291" s="13">
        <f t="shared" si="18"/>
        <v>0</v>
      </c>
      <c r="Q291" s="13">
        <f t="shared" si="18"/>
        <v>0</v>
      </c>
      <c r="R291" s="13" t="s">
        <v>239</v>
      </c>
      <c r="T291" s="62">
        <v>2.8250000000000001E-2</v>
      </c>
      <c r="U291" s="62">
        <v>2.247E-2</v>
      </c>
      <c r="V291" s="62">
        <v>2.7179999999999999E-2</v>
      </c>
      <c r="W291" s="62">
        <v>2.648E-2</v>
      </c>
      <c r="X291" s="62">
        <v>2.7677291E-2</v>
      </c>
      <c r="Y291" s="62">
        <v>2.81342303E-2</v>
      </c>
      <c r="Z291" s="62">
        <v>2.5119826800000002E-2</v>
      </c>
      <c r="AA291" s="62">
        <v>2.1428691100000001E-2</v>
      </c>
      <c r="AB291" s="62">
        <v>1.93732683E-2</v>
      </c>
      <c r="AC291" s="62">
        <v>1.78826151999999E-2</v>
      </c>
      <c r="AD291" s="62">
        <v>1.4527045999999899E-2</v>
      </c>
      <c r="AE291" s="13" t="s">
        <v>93</v>
      </c>
    </row>
    <row r="292" spans="1:31">
      <c r="A292" s="13" t="s">
        <v>324</v>
      </c>
      <c r="B292" s="13" t="s">
        <v>1</v>
      </c>
      <c r="C292" s="13" t="s">
        <v>62</v>
      </c>
      <c r="D292" s="13" t="str">
        <f>IFERROR(VLOOKUP(C292,ghg_sort!$A$86:$B$512,2,0),0)</f>
        <v>Industry</v>
      </c>
      <c r="E292" s="12" t="s">
        <v>91</v>
      </c>
      <c r="F292" s="13">
        <f>IFERROR(VLOOKUP($E292,ghg_sort!$A$3:$B$21,2,0),0)</f>
        <v>0</v>
      </c>
      <c r="G292" s="13">
        <f t="shared" si="19"/>
        <v>0</v>
      </c>
      <c r="H292" s="13">
        <f t="shared" si="19"/>
        <v>0</v>
      </c>
      <c r="I292" s="13">
        <f t="shared" si="19"/>
        <v>0</v>
      </c>
      <c r="J292" s="13">
        <f t="shared" si="18"/>
        <v>0</v>
      </c>
      <c r="K292" s="13">
        <f t="shared" si="18"/>
        <v>0</v>
      </c>
      <c r="L292" s="13">
        <f t="shared" si="18"/>
        <v>0</v>
      </c>
      <c r="M292" s="13">
        <f t="shared" si="18"/>
        <v>0</v>
      </c>
      <c r="N292" s="13">
        <f t="shared" si="18"/>
        <v>0</v>
      </c>
      <c r="O292" s="13">
        <f t="shared" si="18"/>
        <v>0</v>
      </c>
      <c r="P292" s="13">
        <f t="shared" si="18"/>
        <v>0</v>
      </c>
      <c r="Q292" s="13">
        <f t="shared" si="18"/>
        <v>0</v>
      </c>
      <c r="R292" s="13" t="s">
        <v>239</v>
      </c>
      <c r="T292" s="63">
        <v>9.8999999999999999E-4</v>
      </c>
      <c r="U292" s="62">
        <v>3.8700000000000002E-3</v>
      </c>
      <c r="V292" s="62">
        <v>6.8500000000000002E-3</v>
      </c>
      <c r="W292" s="62">
        <v>7.4900000000000001E-3</v>
      </c>
      <c r="X292" s="63">
        <v>8.0249030900000004E-3</v>
      </c>
      <c r="Y292" s="63">
        <v>9.6460447299999991E-3</v>
      </c>
      <c r="Z292" s="63">
        <v>9.8744071140000004E-3</v>
      </c>
      <c r="AA292" s="63">
        <v>1.25613566129999E-2</v>
      </c>
      <c r="AB292" s="63">
        <v>1.5657150726999899E-2</v>
      </c>
      <c r="AC292" s="63">
        <v>1.6924496707000001E-2</v>
      </c>
      <c r="AD292" s="62">
        <v>1.4743044890999899E-2</v>
      </c>
      <c r="AE292" s="13" t="s">
        <v>93</v>
      </c>
    </row>
    <row r="293" spans="1:31">
      <c r="A293" s="13" t="s">
        <v>324</v>
      </c>
      <c r="B293" s="13" t="s">
        <v>1</v>
      </c>
      <c r="C293" s="13" t="s">
        <v>62</v>
      </c>
      <c r="D293" s="13" t="str">
        <f>IFERROR(VLOOKUP(C293,ghg_sort!$A$86:$B$512,2,0),0)</f>
        <v>Industry</v>
      </c>
      <c r="E293" s="33" t="s">
        <v>92</v>
      </c>
      <c r="F293" s="13">
        <f>IFERROR(VLOOKUP($E293,ghg_sort!$A$3:$B$21,2,0),0)</f>
        <v>0</v>
      </c>
      <c r="G293" s="13">
        <f t="shared" si="19"/>
        <v>0</v>
      </c>
      <c r="H293" s="13">
        <f t="shared" si="19"/>
        <v>0</v>
      </c>
      <c r="I293" s="13">
        <f t="shared" si="19"/>
        <v>0</v>
      </c>
      <c r="J293" s="13">
        <f t="shared" si="18"/>
        <v>0</v>
      </c>
      <c r="K293" s="13">
        <f t="shared" si="18"/>
        <v>0</v>
      </c>
      <c r="L293" s="13">
        <f t="shared" si="18"/>
        <v>0</v>
      </c>
      <c r="M293" s="13">
        <f t="shared" si="18"/>
        <v>0</v>
      </c>
      <c r="N293" s="13">
        <f t="shared" si="18"/>
        <v>0</v>
      </c>
      <c r="O293" s="13">
        <f t="shared" si="18"/>
        <v>0</v>
      </c>
      <c r="P293" s="13">
        <f t="shared" si="18"/>
        <v>0</v>
      </c>
      <c r="Q293" s="13">
        <f t="shared" si="18"/>
        <v>0</v>
      </c>
      <c r="R293" s="13" t="s">
        <v>239</v>
      </c>
      <c r="T293" s="63">
        <v>4.1904299999999998E-2</v>
      </c>
      <c r="U293" s="63">
        <v>1.4207047E-2</v>
      </c>
      <c r="V293" s="63">
        <v>1.4668392000000001E-2</v>
      </c>
      <c r="W293" s="63">
        <v>8.2818229999999902E-3</v>
      </c>
      <c r="X293" s="63">
        <v>8.9509949000000002E-3</v>
      </c>
      <c r="Y293" s="63">
        <v>8.7521582999999896E-3</v>
      </c>
      <c r="Z293" s="63">
        <v>7.4422346599999998E-3</v>
      </c>
      <c r="AA293" s="63">
        <v>5.0641264899999898E-3</v>
      </c>
      <c r="AB293" s="63">
        <v>3.2173616399999998E-3</v>
      </c>
      <c r="AC293" s="63">
        <v>2.2049546599999998E-3</v>
      </c>
      <c r="AD293" s="63">
        <v>1.4761519319999999E-3</v>
      </c>
      <c r="AE293" s="13" t="s">
        <v>93</v>
      </c>
    </row>
    <row r="294" spans="1:31">
      <c r="A294" s="13" t="s">
        <v>324</v>
      </c>
      <c r="B294" s="13" t="s">
        <v>1</v>
      </c>
      <c r="C294" s="13" t="s">
        <v>190</v>
      </c>
      <c r="D294" s="13" t="str">
        <f>IFERROR(VLOOKUP(C294,ghg_sort!$A$86:$B$512,2,0),0)</f>
        <v>DAC</v>
      </c>
      <c r="E294" s="33" t="s">
        <v>86</v>
      </c>
      <c r="F294" s="13">
        <f>IFERROR(VLOOKUP($E294,ghg_sort!$A$3:$B$21,2,0),0)</f>
        <v>3.6666666666666701</v>
      </c>
      <c r="G294" s="13">
        <f t="shared" si="19"/>
        <v>0</v>
      </c>
      <c r="H294" s="13">
        <f t="shared" si="19"/>
        <v>0</v>
      </c>
      <c r="I294" s="13">
        <f t="shared" si="19"/>
        <v>0</v>
      </c>
      <c r="J294" s="13">
        <f t="shared" si="18"/>
        <v>0</v>
      </c>
      <c r="K294" s="13">
        <f t="shared" si="18"/>
        <v>0</v>
      </c>
      <c r="L294" s="13">
        <f t="shared" si="18"/>
        <v>0</v>
      </c>
      <c r="M294" s="13">
        <f t="shared" si="18"/>
        <v>0</v>
      </c>
      <c r="N294" s="13">
        <f t="shared" si="18"/>
        <v>0</v>
      </c>
      <c r="O294" s="13">
        <f t="shared" si="18"/>
        <v>0</v>
      </c>
      <c r="P294" s="13">
        <f t="shared" si="18"/>
        <v>0</v>
      </c>
      <c r="Q294" s="13">
        <f t="shared" si="18"/>
        <v>7.9333466666666741E-2</v>
      </c>
      <c r="R294" s="13" t="s">
        <v>239</v>
      </c>
      <c r="T294" s="63">
        <v>0</v>
      </c>
      <c r="U294" s="63">
        <v>0</v>
      </c>
      <c r="V294" s="63">
        <v>0</v>
      </c>
      <c r="W294" s="63">
        <v>0</v>
      </c>
      <c r="X294" s="63">
        <v>0</v>
      </c>
      <c r="Y294" s="63">
        <v>0</v>
      </c>
      <c r="Z294" s="63">
        <v>0</v>
      </c>
      <c r="AA294" s="63">
        <v>0</v>
      </c>
      <c r="AB294" s="63">
        <v>0</v>
      </c>
      <c r="AC294" s="63">
        <v>0</v>
      </c>
      <c r="AD294" s="63">
        <v>2.16364E-2</v>
      </c>
      <c r="AE294" s="13" t="s">
        <v>94</v>
      </c>
    </row>
    <row r="295" spans="1:31">
      <c r="A295" s="13" t="s">
        <v>324</v>
      </c>
      <c r="B295" s="13" t="s">
        <v>1</v>
      </c>
      <c r="C295" s="13" t="s">
        <v>148</v>
      </c>
      <c r="D295" s="13" t="str">
        <f>IFERROR(VLOOKUP(C295,ghg_sort!$A$86:$B$512,2,0),0)</f>
        <v>Industry</v>
      </c>
      <c r="E295" s="33" t="s">
        <v>84</v>
      </c>
      <c r="F295" s="13">
        <f>IFERROR(VLOOKUP($E295,ghg_sort!$A$3:$B$21,2,0),0)</f>
        <v>25</v>
      </c>
      <c r="G295" s="13">
        <f t="shared" si="19"/>
        <v>0</v>
      </c>
      <c r="H295" s="13">
        <f t="shared" si="19"/>
        <v>0</v>
      </c>
      <c r="I295" s="13">
        <f t="shared" si="19"/>
        <v>0</v>
      </c>
      <c r="J295" s="13">
        <f t="shared" si="18"/>
        <v>0</v>
      </c>
      <c r="K295" s="13">
        <f t="shared" si="18"/>
        <v>3.0352499999999998E-5</v>
      </c>
      <c r="L295" s="13">
        <f t="shared" si="18"/>
        <v>2.9989504217499998E-4</v>
      </c>
      <c r="M295" s="13">
        <f t="shared" si="18"/>
        <v>3.6303504249999999E-4</v>
      </c>
      <c r="N295" s="13">
        <f t="shared" si="18"/>
        <v>1.3875491815999999E-3</v>
      </c>
      <c r="O295" s="13">
        <f t="shared" si="18"/>
        <v>4.6467061145750001E-3</v>
      </c>
      <c r="P295" s="13">
        <f t="shared" si="18"/>
        <v>1.2831683091250001E-2</v>
      </c>
      <c r="Q295" s="13">
        <f t="shared" si="18"/>
        <v>2.0854124087074998E-2</v>
      </c>
      <c r="R295" s="13" t="s">
        <v>239</v>
      </c>
      <c r="T295" s="63">
        <v>0</v>
      </c>
      <c r="U295" s="63">
        <v>0</v>
      </c>
      <c r="V295" s="63">
        <v>0</v>
      </c>
      <c r="W295" s="63">
        <v>0</v>
      </c>
      <c r="X295" s="63">
        <v>1.2140999999999999E-6</v>
      </c>
      <c r="Y295" s="63">
        <v>1.1995801686999999E-5</v>
      </c>
      <c r="Z295" s="63">
        <v>1.45214017E-5</v>
      </c>
      <c r="AA295" s="63">
        <v>5.5501967263999998E-5</v>
      </c>
      <c r="AB295" s="63">
        <v>1.8586824458299999E-4</v>
      </c>
      <c r="AC295" s="63">
        <v>5.1326732365000001E-4</v>
      </c>
      <c r="AD295" s="63">
        <v>8.3416496348299996E-4</v>
      </c>
      <c r="AE295" s="13" t="s">
        <v>93</v>
      </c>
    </row>
    <row r="296" spans="1:31">
      <c r="A296" s="13" t="s">
        <v>324</v>
      </c>
      <c r="B296" s="13" t="s">
        <v>1</v>
      </c>
      <c r="C296" s="13" t="s">
        <v>148</v>
      </c>
      <c r="D296" s="13" t="str">
        <f>IFERROR(VLOOKUP(C296,ghg_sort!$A$86:$B$512,2,0),0)</f>
        <v>Industry</v>
      </c>
      <c r="E296" s="33" t="s">
        <v>85</v>
      </c>
      <c r="F296" s="13">
        <f>IFERROR(VLOOKUP($E296,ghg_sort!$A$3:$B$21,2,0),0)</f>
        <v>0</v>
      </c>
      <c r="G296" s="13">
        <f t="shared" si="19"/>
        <v>0</v>
      </c>
      <c r="H296" s="13">
        <f t="shared" si="19"/>
        <v>0</v>
      </c>
      <c r="I296" s="13">
        <f t="shared" si="19"/>
        <v>0</v>
      </c>
      <c r="J296" s="13">
        <f t="shared" si="18"/>
        <v>0</v>
      </c>
      <c r="K296" s="13">
        <f t="shared" si="18"/>
        <v>0</v>
      </c>
      <c r="L296" s="13">
        <f t="shared" si="18"/>
        <v>0</v>
      </c>
      <c r="M296" s="13">
        <f t="shared" si="18"/>
        <v>0</v>
      </c>
      <c r="N296" s="13">
        <f t="shared" si="18"/>
        <v>0</v>
      </c>
      <c r="O296" s="13">
        <f t="shared" si="18"/>
        <v>0</v>
      </c>
      <c r="P296" s="13">
        <f t="shared" si="18"/>
        <v>0</v>
      </c>
      <c r="Q296" s="13">
        <f t="shared" si="18"/>
        <v>0</v>
      </c>
      <c r="R296" s="13" t="s">
        <v>239</v>
      </c>
      <c r="T296" s="62">
        <v>0</v>
      </c>
      <c r="U296" s="63">
        <v>4.7470700000000003E-6</v>
      </c>
      <c r="V296" s="63">
        <v>1.4369400000000001E-4</v>
      </c>
      <c r="W296" s="63">
        <v>1.80371E-4</v>
      </c>
      <c r="X296" s="63">
        <v>1.5934447E-4</v>
      </c>
      <c r="Y296" s="63">
        <v>1.3225209368E-4</v>
      </c>
      <c r="Z296" s="63">
        <v>1.09244864281E-4</v>
      </c>
      <c r="AA296" s="63">
        <v>1.8360230887900001E-4</v>
      </c>
      <c r="AB296" s="63">
        <v>4.0549505184600001E-4</v>
      </c>
      <c r="AC296" s="63">
        <v>9.4281216403099897E-4</v>
      </c>
      <c r="AD296" s="63">
        <v>1.590042411921E-3</v>
      </c>
      <c r="AE296" s="13" t="s">
        <v>93</v>
      </c>
    </row>
    <row r="297" spans="1:31">
      <c r="A297" s="13" t="s">
        <v>324</v>
      </c>
      <c r="B297" s="13" t="s">
        <v>1</v>
      </c>
      <c r="C297" s="13" t="s">
        <v>148</v>
      </c>
      <c r="D297" s="13" t="str">
        <f>IFERROR(VLOOKUP(C297,ghg_sort!$A$86:$B$512,2,0),0)</f>
        <v>Industry</v>
      </c>
      <c r="E297" s="33" t="s">
        <v>86</v>
      </c>
      <c r="F297" s="13">
        <f>IFERROR(VLOOKUP($E297,ghg_sort!$A$3:$B$21,2,0),0)</f>
        <v>3.6666666666666701</v>
      </c>
      <c r="G297" s="13">
        <f t="shared" si="19"/>
        <v>2.0245353333333354</v>
      </c>
      <c r="H297" s="13">
        <f t="shared" si="19"/>
        <v>15.067455249000014</v>
      </c>
      <c r="I297" s="13">
        <f t="shared" si="19"/>
        <v>21.247477166666684</v>
      </c>
      <c r="J297" s="13">
        <f t="shared" si="18"/>
        <v>31.439373533333363</v>
      </c>
      <c r="K297" s="13">
        <f t="shared" si="18"/>
        <v>30.482914880000024</v>
      </c>
      <c r="L297" s="13">
        <f t="shared" si="18"/>
        <v>30.372359568686662</v>
      </c>
      <c r="M297" s="13">
        <f t="shared" si="18"/>
        <v>29.42166030658106</v>
      </c>
      <c r="N297" s="13">
        <f t="shared" si="18"/>
        <v>28.325098380915662</v>
      </c>
      <c r="O297" s="13">
        <f t="shared" si="18"/>
        <v>26.808405983366065</v>
      </c>
      <c r="P297" s="13">
        <f t="shared" si="18"/>
        <v>23.821072303261261</v>
      </c>
      <c r="Q297" s="13">
        <f t="shared" ref="Q297:Q361" si="20">AD297*$F297</f>
        <v>19.457447833336644</v>
      </c>
      <c r="R297" s="13" t="s">
        <v>239</v>
      </c>
      <c r="T297" s="63">
        <v>0.55214600000000003</v>
      </c>
      <c r="U297" s="63">
        <v>4.109305977</v>
      </c>
      <c r="V297" s="63">
        <v>5.7947664999999997</v>
      </c>
      <c r="W297" s="63">
        <v>8.5743746000000005</v>
      </c>
      <c r="X297" s="63">
        <v>8.3135222399999993</v>
      </c>
      <c r="Y297" s="63">
        <v>8.2833707914599906</v>
      </c>
      <c r="Z297" s="63">
        <v>8.0240891745220999</v>
      </c>
      <c r="AA297" s="63">
        <v>7.7250268311588099</v>
      </c>
      <c r="AB297" s="62">
        <v>7.3113834500089201</v>
      </c>
      <c r="AC297" s="62">
        <v>6.4966560827076103</v>
      </c>
      <c r="AD297" s="62">
        <v>5.30657668181908</v>
      </c>
      <c r="AE297" s="13" t="s">
        <v>94</v>
      </c>
    </row>
    <row r="298" spans="1:31">
      <c r="A298" s="13" t="s">
        <v>324</v>
      </c>
      <c r="B298" s="13" t="s">
        <v>1</v>
      </c>
      <c r="C298" s="13" t="s">
        <v>148</v>
      </c>
      <c r="D298" s="13" t="str">
        <f>IFERROR(VLOOKUP(C298,ghg_sort!$A$86:$B$512,2,0),0)</f>
        <v>Industry</v>
      </c>
      <c r="E298" s="33" t="s">
        <v>87</v>
      </c>
      <c r="F298" s="13">
        <f>IFERROR(VLOOKUP($E298,ghg_sort!$A$3:$B$21,2,0),0)</f>
        <v>298</v>
      </c>
      <c r="G298" s="13">
        <f t="shared" si="19"/>
        <v>0</v>
      </c>
      <c r="H298" s="13">
        <f t="shared" si="19"/>
        <v>1.4146268599999999E-5</v>
      </c>
      <c r="I298" s="13">
        <f t="shared" si="19"/>
        <v>4.2820812000000003E-4</v>
      </c>
      <c r="J298" s="13">
        <f t="shared" si="19"/>
        <v>5.3750558000000004E-4</v>
      </c>
      <c r="K298" s="13">
        <f t="shared" si="19"/>
        <v>6.8985819920000004E-4</v>
      </c>
      <c r="L298" s="13">
        <f t="shared" si="19"/>
        <v>9.4016724799799996E-4</v>
      </c>
      <c r="M298" s="13">
        <f t="shared" si="19"/>
        <v>9.6382264683199696E-4</v>
      </c>
      <c r="N298" s="13">
        <f t="shared" si="19"/>
        <v>1.9119589542099999E-3</v>
      </c>
      <c r="O298" s="13">
        <f t="shared" si="19"/>
        <v>4.8530759723199998E-3</v>
      </c>
      <c r="P298" s="13">
        <f t="shared" si="19"/>
        <v>1.208616874254E-2</v>
      </c>
      <c r="Q298" s="13">
        <f t="shared" si="20"/>
        <v>2.2245519372663971E-2</v>
      </c>
      <c r="R298" s="13" t="s">
        <v>239</v>
      </c>
      <c r="T298" s="62">
        <v>0</v>
      </c>
      <c r="U298" s="63">
        <v>4.7470699999999999E-8</v>
      </c>
      <c r="V298" s="63">
        <v>1.43694E-6</v>
      </c>
      <c r="W298" s="63">
        <v>1.80371E-6</v>
      </c>
      <c r="X298" s="63">
        <v>2.3149604000000002E-6</v>
      </c>
      <c r="Y298" s="63">
        <v>3.154923651E-6</v>
      </c>
      <c r="Z298" s="63">
        <v>3.2343041839999899E-6</v>
      </c>
      <c r="AA298" s="63">
        <v>6.415969645E-6</v>
      </c>
      <c r="AB298" s="63">
        <v>1.6285489840000001E-5</v>
      </c>
      <c r="AC298" s="63">
        <v>4.0557613230000001E-5</v>
      </c>
      <c r="AD298" s="63">
        <v>7.4649393867999897E-5</v>
      </c>
      <c r="AE298" s="13" t="s">
        <v>93</v>
      </c>
    </row>
    <row r="299" spans="1:31">
      <c r="A299" s="13" t="s">
        <v>324</v>
      </c>
      <c r="B299" s="13" t="s">
        <v>1</v>
      </c>
      <c r="C299" s="13" t="s">
        <v>148</v>
      </c>
      <c r="D299" s="13" t="str">
        <f>IFERROR(VLOOKUP(C299,ghg_sort!$A$86:$B$512,2,0),0)</f>
        <v>Industry</v>
      </c>
      <c r="E299" s="12" t="s">
        <v>89</v>
      </c>
      <c r="F299" s="13">
        <f>IFERROR(VLOOKUP($E299,ghg_sort!$A$3:$B$21,2,0),0)</f>
        <v>0</v>
      </c>
      <c r="G299" s="13">
        <f t="shared" si="19"/>
        <v>0</v>
      </c>
      <c r="H299" s="13">
        <f t="shared" si="19"/>
        <v>0</v>
      </c>
      <c r="I299" s="13">
        <f t="shared" si="19"/>
        <v>0</v>
      </c>
      <c r="J299" s="13">
        <f t="shared" si="19"/>
        <v>0</v>
      </c>
      <c r="K299" s="13">
        <f t="shared" si="19"/>
        <v>0</v>
      </c>
      <c r="L299" s="13">
        <f t="shared" si="19"/>
        <v>0</v>
      </c>
      <c r="M299" s="13">
        <f t="shared" si="19"/>
        <v>0</v>
      </c>
      <c r="N299" s="13">
        <f t="shared" si="19"/>
        <v>0</v>
      </c>
      <c r="O299" s="13">
        <f t="shared" si="19"/>
        <v>0</v>
      </c>
      <c r="P299" s="13">
        <f t="shared" si="19"/>
        <v>0</v>
      </c>
      <c r="Q299" s="13">
        <f t="shared" si="20"/>
        <v>0</v>
      </c>
      <c r="R299" s="13" t="s">
        <v>239</v>
      </c>
      <c r="T299" s="62">
        <v>0</v>
      </c>
      <c r="U299" s="63">
        <v>4.7470699999999999E-8</v>
      </c>
      <c r="V299" s="63">
        <v>1.43694E-6</v>
      </c>
      <c r="W299" s="63">
        <v>1.80371E-6</v>
      </c>
      <c r="X299" s="63">
        <v>1.5934446999999901E-6</v>
      </c>
      <c r="Y299" s="63">
        <v>1.3224355000000001E-6</v>
      </c>
      <c r="Z299" s="63">
        <v>1.2936608619999899E-6</v>
      </c>
      <c r="AA299" s="63">
        <v>2.5662192899999898E-6</v>
      </c>
      <c r="AB299" s="63">
        <v>6.5141940689999998E-6</v>
      </c>
      <c r="AC299" s="63">
        <v>1.6223043851999899E-5</v>
      </c>
      <c r="AD299" s="63">
        <v>2.9859681884999901E-5</v>
      </c>
      <c r="AE299" s="13" t="s">
        <v>93</v>
      </c>
    </row>
    <row r="300" spans="1:31">
      <c r="A300" s="13" t="s">
        <v>324</v>
      </c>
      <c r="B300" s="13" t="s">
        <v>1</v>
      </c>
      <c r="C300" s="13" t="s">
        <v>148</v>
      </c>
      <c r="D300" s="13" t="str">
        <f>IFERROR(VLOOKUP(C300,ghg_sort!$A$86:$B$512,2,0),0)</f>
        <v>Industry</v>
      </c>
      <c r="E300" s="33" t="s">
        <v>90</v>
      </c>
      <c r="F300" s="13">
        <f>IFERROR(VLOOKUP($E300,ghg_sort!$A$3:$B$21,2,0),0)</f>
        <v>0</v>
      </c>
      <c r="G300" s="13">
        <f t="shared" si="19"/>
        <v>0</v>
      </c>
      <c r="H300" s="13">
        <f t="shared" si="19"/>
        <v>0</v>
      </c>
      <c r="I300" s="13">
        <f t="shared" si="19"/>
        <v>0</v>
      </c>
      <c r="J300" s="13">
        <f t="shared" si="19"/>
        <v>0</v>
      </c>
      <c r="K300" s="13">
        <f t="shared" si="19"/>
        <v>0</v>
      </c>
      <c r="L300" s="13">
        <f t="shared" si="19"/>
        <v>0</v>
      </c>
      <c r="M300" s="13">
        <f t="shared" si="19"/>
        <v>0</v>
      </c>
      <c r="N300" s="13">
        <f t="shared" si="19"/>
        <v>0</v>
      </c>
      <c r="O300" s="13">
        <f t="shared" si="19"/>
        <v>0</v>
      </c>
      <c r="P300" s="13">
        <f t="shared" si="19"/>
        <v>0</v>
      </c>
      <c r="Q300" s="13">
        <f t="shared" si="20"/>
        <v>0</v>
      </c>
      <c r="R300" s="13" t="s">
        <v>239</v>
      </c>
      <c r="T300" s="62">
        <v>0</v>
      </c>
      <c r="U300" s="63">
        <v>4.7470700000000003E-6</v>
      </c>
      <c r="V300" s="63">
        <v>1.4369400000000001E-4</v>
      </c>
      <c r="W300" s="63">
        <v>1.80371E-4</v>
      </c>
      <c r="X300" s="63">
        <v>1.5934447E-4</v>
      </c>
      <c r="Y300" s="63">
        <v>1.7036909209999901E-4</v>
      </c>
      <c r="Z300" s="63">
        <v>1.7465533795800001E-4</v>
      </c>
      <c r="AA300" s="63">
        <v>3.4646434442899899E-4</v>
      </c>
      <c r="AB300" s="63">
        <v>8.7942170651199997E-4</v>
      </c>
      <c r="AC300" s="62">
        <v>2.190116873711E-3</v>
      </c>
      <c r="AD300" s="62">
        <v>4.0310691025889998E-3</v>
      </c>
      <c r="AE300" s="13" t="s">
        <v>93</v>
      </c>
    </row>
    <row r="301" spans="1:31">
      <c r="A301" s="13" t="s">
        <v>324</v>
      </c>
      <c r="B301" s="13" t="s">
        <v>1</v>
      </c>
      <c r="C301" s="13" t="s">
        <v>148</v>
      </c>
      <c r="D301" s="13" t="str">
        <f>IFERROR(VLOOKUP(C301,ghg_sort!$A$86:$B$512,2,0),0)</f>
        <v>Industry</v>
      </c>
      <c r="E301" s="33" t="s">
        <v>92</v>
      </c>
      <c r="F301" s="13">
        <f>IFERROR(VLOOKUP($E301,ghg_sort!$A$3:$B$21,2,0),0)</f>
        <v>0</v>
      </c>
      <c r="G301" s="13">
        <f t="shared" si="19"/>
        <v>0</v>
      </c>
      <c r="H301" s="13">
        <f t="shared" si="19"/>
        <v>0</v>
      </c>
      <c r="I301" s="13">
        <f t="shared" si="19"/>
        <v>0</v>
      </c>
      <c r="J301" s="13">
        <f t="shared" si="19"/>
        <v>0</v>
      </c>
      <c r="K301" s="13">
        <f t="shared" si="19"/>
        <v>0</v>
      </c>
      <c r="L301" s="13">
        <f t="shared" si="19"/>
        <v>0</v>
      </c>
      <c r="M301" s="13">
        <f t="shared" si="19"/>
        <v>0</v>
      </c>
      <c r="N301" s="13">
        <f t="shared" si="19"/>
        <v>0</v>
      </c>
      <c r="O301" s="13">
        <f t="shared" si="19"/>
        <v>0</v>
      </c>
      <c r="P301" s="13">
        <f t="shared" si="19"/>
        <v>0</v>
      </c>
      <c r="Q301" s="13">
        <f t="shared" si="20"/>
        <v>0</v>
      </c>
      <c r="R301" s="13" t="s">
        <v>239</v>
      </c>
      <c r="T301" s="62">
        <v>0</v>
      </c>
      <c r="U301" s="63">
        <v>4.7470700000000003E-6</v>
      </c>
      <c r="V301" s="63">
        <v>1.4369400000000001E-4</v>
      </c>
      <c r="W301" s="63">
        <v>1.80371E-4</v>
      </c>
      <c r="X301" s="63">
        <v>1.7362186E-4</v>
      </c>
      <c r="Y301" s="63">
        <v>2.3662323422999999E-4</v>
      </c>
      <c r="Z301" s="63">
        <v>2.4257688656500001E-4</v>
      </c>
      <c r="AA301" s="63">
        <v>4.81200410092E-4</v>
      </c>
      <c r="AB301" s="63">
        <v>1.22141870722299E-3</v>
      </c>
      <c r="AC301" s="62">
        <v>3.0418282727029998E-3</v>
      </c>
      <c r="AD301" s="62">
        <v>5.5987153804099897E-3</v>
      </c>
      <c r="AE301" s="13" t="s">
        <v>93</v>
      </c>
    </row>
    <row r="302" spans="1:31">
      <c r="A302" s="13" t="s">
        <v>324</v>
      </c>
      <c r="B302" s="13" t="s">
        <v>1</v>
      </c>
      <c r="C302" s="13" t="s">
        <v>149</v>
      </c>
      <c r="D302" s="13">
        <f>IFERROR(VLOOKUP(C302,ghg_sort!$A$86:$B$512,2,0),0)</f>
        <v>0</v>
      </c>
      <c r="E302" s="12" t="s">
        <v>86</v>
      </c>
      <c r="F302" s="13">
        <f>IFERROR(VLOOKUP($E302,ghg_sort!$A$3:$B$21,2,0),0)</f>
        <v>3.6666666666666701</v>
      </c>
      <c r="G302" s="13">
        <f t="shared" si="19"/>
        <v>-5.5657800000000055</v>
      </c>
      <c r="H302" s="13">
        <f t="shared" si="19"/>
        <v>-10.79023000000001</v>
      </c>
      <c r="I302" s="13">
        <f t="shared" si="19"/>
        <v>-15.086646666666681</v>
      </c>
      <c r="J302" s="13">
        <f t="shared" si="19"/>
        <v>-22.626303333333354</v>
      </c>
      <c r="K302" s="13">
        <f t="shared" si="19"/>
        <v>-31.583346666666696</v>
      </c>
      <c r="L302" s="13">
        <f t="shared" si="19"/>
        <v>-49.473233333333376</v>
      </c>
      <c r="M302" s="13">
        <f t="shared" si="19"/>
        <v>-63.030000000000065</v>
      </c>
      <c r="N302" s="13">
        <f t="shared" si="19"/>
        <v>-76.036033333333407</v>
      </c>
      <c r="O302" s="13">
        <f t="shared" si="19"/>
        <v>-88.070033333333427</v>
      </c>
      <c r="P302" s="13">
        <f t="shared" si="19"/>
        <v>-100.23896666666677</v>
      </c>
      <c r="Q302" s="13">
        <f t="shared" si="20"/>
        <v>-113.7697000000001</v>
      </c>
      <c r="R302" s="13" t="s">
        <v>239</v>
      </c>
      <c r="T302" s="62">
        <v>-1.5179400000000001</v>
      </c>
      <c r="U302" s="62">
        <v>-2.94279</v>
      </c>
      <c r="V302" s="62">
        <v>-4.1145399999999999</v>
      </c>
      <c r="W302" s="62">
        <v>-6.1708100000000004</v>
      </c>
      <c r="X302" s="62">
        <v>-8.6136400000000002</v>
      </c>
      <c r="Y302" s="62">
        <v>-13.492699999999999</v>
      </c>
      <c r="Z302" s="62">
        <v>-17.190000000000001</v>
      </c>
      <c r="AA302" s="62">
        <v>-20.737100000000002</v>
      </c>
      <c r="AB302" s="62">
        <v>-24.019100000000002</v>
      </c>
      <c r="AC302" s="62">
        <v>-27.337900000000001</v>
      </c>
      <c r="AD302" s="62">
        <v>-31.028099999999998</v>
      </c>
      <c r="AE302" s="13" t="s">
        <v>94</v>
      </c>
    </row>
    <row r="303" spans="1:31">
      <c r="A303" s="13" t="s">
        <v>324</v>
      </c>
      <c r="B303" s="13" t="s">
        <v>1</v>
      </c>
      <c r="C303" s="13" t="s">
        <v>150</v>
      </c>
      <c r="D303" s="13">
        <f>IFERROR(VLOOKUP(C303,ghg_sort!$A$86:$B$512,2,0),0)</f>
        <v>0</v>
      </c>
      <c r="E303" s="33" t="s">
        <v>86</v>
      </c>
      <c r="F303" s="13">
        <f>IFERROR(VLOOKUP($E303,ghg_sort!$A$3:$B$21,2,0),0)</f>
        <v>3.6666666666666701</v>
      </c>
      <c r="G303" s="13">
        <f t="shared" si="19"/>
        <v>0</v>
      </c>
      <c r="H303" s="13">
        <f t="shared" si="19"/>
        <v>-3.4115620000000034E-2</v>
      </c>
      <c r="I303" s="13">
        <f t="shared" si="19"/>
        <v>-1.0326836666666674</v>
      </c>
      <c r="J303" s="13">
        <f t="shared" si="19"/>
        <v>-1.2962656666666679</v>
      </c>
      <c r="K303" s="13">
        <f t="shared" si="19"/>
        <v>-1.5155176666666681</v>
      </c>
      <c r="L303" s="13">
        <f t="shared" si="19"/>
        <v>-1.573443666666668</v>
      </c>
      <c r="M303" s="13">
        <f t="shared" si="19"/>
        <v>-1.5042023333333348</v>
      </c>
      <c r="N303" s="13">
        <f t="shared" si="19"/>
        <v>-1.6741010000000016</v>
      </c>
      <c r="O303" s="13">
        <f t="shared" si="19"/>
        <v>-2.2239800000000018</v>
      </c>
      <c r="P303" s="13">
        <f t="shared" si="19"/>
        <v>-2.9949846666666695</v>
      </c>
      <c r="Q303" s="13">
        <f t="shared" si="20"/>
        <v>-3.1289463333333365</v>
      </c>
      <c r="R303" s="13" t="s">
        <v>239</v>
      </c>
      <c r="T303" s="62">
        <v>0</v>
      </c>
      <c r="U303" s="63">
        <v>-9.30426E-3</v>
      </c>
      <c r="V303" s="63">
        <v>-0.28164099999999997</v>
      </c>
      <c r="W303" s="63">
        <v>-0.35352699999999998</v>
      </c>
      <c r="X303" s="63">
        <v>-0.413323</v>
      </c>
      <c r="Y303" s="63">
        <v>-0.42912099999999997</v>
      </c>
      <c r="Z303" s="63">
        <v>-0.41023700000000002</v>
      </c>
      <c r="AA303" s="63">
        <v>-0.45657300000000001</v>
      </c>
      <c r="AB303" s="63">
        <v>-0.60653999999999997</v>
      </c>
      <c r="AC303" s="63">
        <v>-0.81681400000000004</v>
      </c>
      <c r="AD303" s="63">
        <v>-0.85334900000000002</v>
      </c>
      <c r="AE303" s="13" t="s">
        <v>94</v>
      </c>
    </row>
    <row r="304" spans="1:31">
      <c r="A304" s="13" t="s">
        <v>324</v>
      </c>
      <c r="B304" s="13" t="s">
        <v>1</v>
      </c>
      <c r="C304" s="13" t="s">
        <v>151</v>
      </c>
      <c r="D304" s="13">
        <f>IFERROR(VLOOKUP(C304,ghg_sort!$A$86:$B$512,2,0),0)</f>
        <v>0</v>
      </c>
      <c r="E304" s="33" t="s">
        <v>86</v>
      </c>
      <c r="F304" s="13">
        <f>IFERROR(VLOOKUP($E304,ghg_sort!$A$3:$B$21,2,0),0)</f>
        <v>3.6666666666666701</v>
      </c>
      <c r="G304" s="13">
        <f t="shared" si="19"/>
        <v>0</v>
      </c>
      <c r="H304" s="13">
        <f t="shared" si="19"/>
        <v>0</v>
      </c>
      <c r="I304" s="13">
        <f t="shared" si="19"/>
        <v>0</v>
      </c>
      <c r="J304" s="13">
        <f t="shared" si="19"/>
        <v>0</v>
      </c>
      <c r="K304" s="13">
        <f t="shared" si="19"/>
        <v>-6.0912133333333389E-2</v>
      </c>
      <c r="L304" s="13">
        <f t="shared" si="19"/>
        <v>-0.10611956666666676</v>
      </c>
      <c r="M304" s="13">
        <f t="shared" si="19"/>
        <v>-0.12050500000000011</v>
      </c>
      <c r="N304" s="13">
        <f t="shared" si="19"/>
        <v>-0.36581966666666699</v>
      </c>
      <c r="O304" s="13">
        <f t="shared" si="19"/>
        <v>-1.059619000000001</v>
      </c>
      <c r="P304" s="13">
        <f t="shared" si="19"/>
        <v>-2.1360496666666688</v>
      </c>
      <c r="Q304" s="13">
        <f t="shared" si="20"/>
        <v>-1.9701623333333353</v>
      </c>
      <c r="R304" s="13" t="s">
        <v>239</v>
      </c>
      <c r="T304" s="62">
        <v>0</v>
      </c>
      <c r="U304" s="63">
        <v>0</v>
      </c>
      <c r="V304" s="63">
        <v>0</v>
      </c>
      <c r="W304" s="63">
        <v>0</v>
      </c>
      <c r="X304" s="63">
        <v>-1.6612399999999999E-2</v>
      </c>
      <c r="Y304" s="63">
        <v>-2.8941700000000001E-2</v>
      </c>
      <c r="Z304" s="63">
        <v>-3.2864999999999998E-2</v>
      </c>
      <c r="AA304" s="63">
        <v>-9.9768999999999997E-2</v>
      </c>
      <c r="AB304" s="63">
        <v>-0.28898699999999999</v>
      </c>
      <c r="AC304" s="63">
        <v>-0.58255900000000005</v>
      </c>
      <c r="AD304" s="63">
        <v>-0.53731700000000004</v>
      </c>
      <c r="AE304" s="13" t="s">
        <v>94</v>
      </c>
    </row>
    <row r="305" spans="1:31">
      <c r="A305" s="13" t="s">
        <v>324</v>
      </c>
      <c r="B305" s="13" t="s">
        <v>1</v>
      </c>
      <c r="C305" s="13" t="s">
        <v>231</v>
      </c>
      <c r="D305" s="13" t="str">
        <f>IFERROR(VLOOKUP(C305,ghg_sort!$A$86:$B$512,2,0),0)</f>
        <v>Building</v>
      </c>
      <c r="E305" s="33" t="s">
        <v>228</v>
      </c>
      <c r="F305" s="13">
        <f>IFERROR(VLOOKUP($E305,ghg_sort!$A$3:$B$21,2,0),0)</f>
        <v>3.5</v>
      </c>
      <c r="G305" s="13">
        <f t="shared" si="19"/>
        <v>0</v>
      </c>
      <c r="H305" s="13">
        <f t="shared" si="19"/>
        <v>1.0819830000000001</v>
      </c>
      <c r="I305" s="13">
        <f t="shared" si="19"/>
        <v>2.5302480000000003</v>
      </c>
      <c r="J305" s="13">
        <f t="shared" si="19"/>
        <v>2.8850885000000002</v>
      </c>
      <c r="K305" s="13">
        <f t="shared" si="19"/>
        <v>3.1060504999999998</v>
      </c>
      <c r="L305" s="13">
        <f t="shared" si="19"/>
        <v>2.5612719999999998</v>
      </c>
      <c r="M305" s="13">
        <f t="shared" si="19"/>
        <v>2.1076334999999999</v>
      </c>
      <c r="N305" s="13">
        <f t="shared" si="19"/>
        <v>1.6638755000000001</v>
      </c>
      <c r="O305" s="13">
        <f t="shared" si="19"/>
        <v>1.675611</v>
      </c>
      <c r="P305" s="13">
        <f t="shared" si="19"/>
        <v>1.0880030000000001</v>
      </c>
      <c r="Q305" s="13">
        <f t="shared" si="20"/>
        <v>1.0387649999999999</v>
      </c>
      <c r="R305" s="13" t="s">
        <v>239</v>
      </c>
      <c r="T305" s="62">
        <v>0</v>
      </c>
      <c r="U305" s="63">
        <v>0.30913800000000002</v>
      </c>
      <c r="V305" s="63">
        <v>0.72292800000000002</v>
      </c>
      <c r="W305" s="63">
        <v>0.82431100000000002</v>
      </c>
      <c r="X305" s="63">
        <v>0.88744299999999998</v>
      </c>
      <c r="Y305" s="63">
        <v>0.731792</v>
      </c>
      <c r="Z305" s="63">
        <v>0.60218099999999997</v>
      </c>
      <c r="AA305" s="62">
        <v>0.47539300000000001</v>
      </c>
      <c r="AB305" s="62">
        <v>0.478746</v>
      </c>
      <c r="AC305" s="62">
        <v>0.31085800000000002</v>
      </c>
      <c r="AD305" s="62">
        <v>0.29679</v>
      </c>
      <c r="AE305" s="13" t="s">
        <v>131</v>
      </c>
    </row>
    <row r="306" spans="1:31">
      <c r="A306" s="13" t="s">
        <v>324</v>
      </c>
      <c r="B306" s="13" t="s">
        <v>1</v>
      </c>
      <c r="C306" s="13" t="s">
        <v>231</v>
      </c>
      <c r="D306" s="13" t="str">
        <f>IFERROR(VLOOKUP(C306,ghg_sort!$A$86:$B$512,2,0),0)</f>
        <v>Building</v>
      </c>
      <c r="E306" s="33" t="s">
        <v>97</v>
      </c>
      <c r="F306" s="13">
        <f>IFERROR(VLOOKUP($E306,ghg_sort!$A$3:$B$21,2,0),0)</f>
        <v>1.4300000000000002</v>
      </c>
      <c r="G306" s="13">
        <f t="shared" si="19"/>
        <v>0</v>
      </c>
      <c r="H306" s="13">
        <f t="shared" si="19"/>
        <v>2.6012987000000005</v>
      </c>
      <c r="I306" s="13">
        <f t="shared" si="19"/>
        <v>4.7172411000000007</v>
      </c>
      <c r="J306" s="13">
        <f t="shared" si="19"/>
        <v>5.3787734000000009</v>
      </c>
      <c r="K306" s="13">
        <f t="shared" si="19"/>
        <v>5.7907278</v>
      </c>
      <c r="L306" s="13">
        <f t="shared" si="19"/>
        <v>4.7750846000000005</v>
      </c>
      <c r="M306" s="13">
        <f t="shared" si="19"/>
        <v>3.9293397000000008</v>
      </c>
      <c r="N306" s="13">
        <f t="shared" si="19"/>
        <v>3.1020275000000002</v>
      </c>
      <c r="O306" s="13">
        <f t="shared" si="19"/>
        <v>3.1239065000000008</v>
      </c>
      <c r="P306" s="13">
        <f t="shared" si="19"/>
        <v>2.0284121000000002</v>
      </c>
      <c r="Q306" s="13">
        <f t="shared" si="20"/>
        <v>1.9366061000000003</v>
      </c>
      <c r="R306" s="13" t="s">
        <v>239</v>
      </c>
      <c r="T306" s="62">
        <v>0</v>
      </c>
      <c r="U306" s="63">
        <v>1.8190900000000001</v>
      </c>
      <c r="V306" s="63">
        <v>3.2987700000000002</v>
      </c>
      <c r="W306" s="63">
        <v>3.7613799999999999</v>
      </c>
      <c r="X306" s="63">
        <v>4.0494599999999998</v>
      </c>
      <c r="Y306" s="63">
        <v>3.3392200000000001</v>
      </c>
      <c r="Z306" s="63">
        <v>2.7477900000000002</v>
      </c>
      <c r="AA306" s="62">
        <v>2.1692499999999999</v>
      </c>
      <c r="AB306" s="62">
        <v>2.1845500000000002</v>
      </c>
      <c r="AC306" s="62">
        <v>1.4184699999999999</v>
      </c>
      <c r="AD306" s="62">
        <v>1.3542700000000001</v>
      </c>
      <c r="AE306" s="13" t="s">
        <v>131</v>
      </c>
    </row>
    <row r="307" spans="1:31">
      <c r="A307" s="13" t="s">
        <v>324</v>
      </c>
      <c r="B307" s="13" t="s">
        <v>1</v>
      </c>
      <c r="C307" s="13" t="s">
        <v>231</v>
      </c>
      <c r="D307" s="13" t="str">
        <f>IFERROR(VLOOKUP(C307,ghg_sort!$A$86:$B$512,2,0),0)</f>
        <v>Building</v>
      </c>
      <c r="E307" s="12" t="s">
        <v>98</v>
      </c>
      <c r="F307" s="13">
        <f>IFERROR(VLOOKUP($E307,ghg_sort!$A$3:$B$21,2,0),0)</f>
        <v>4.47</v>
      </c>
      <c r="G307" s="13">
        <f t="shared" si="19"/>
        <v>0</v>
      </c>
      <c r="H307" s="13">
        <f t="shared" si="19"/>
        <v>1.6993822499999998</v>
      </c>
      <c r="I307" s="13">
        <f t="shared" si="19"/>
        <v>3.5054902199999995</v>
      </c>
      <c r="J307" s="13">
        <f t="shared" si="19"/>
        <v>3.9970963500000001</v>
      </c>
      <c r="K307" s="13">
        <f t="shared" si="19"/>
        <v>4.3032243000000001</v>
      </c>
      <c r="L307" s="13">
        <f t="shared" si="19"/>
        <v>3.5484737399999999</v>
      </c>
      <c r="M307" s="13">
        <f t="shared" si="19"/>
        <v>2.9199872699999996</v>
      </c>
      <c r="N307" s="13">
        <f t="shared" si="19"/>
        <v>2.3051879399999997</v>
      </c>
      <c r="O307" s="13">
        <f t="shared" si="19"/>
        <v>2.3214497999999999</v>
      </c>
      <c r="P307" s="13">
        <f t="shared" si="19"/>
        <v>1.5073555199999999</v>
      </c>
      <c r="Q307" s="13">
        <f t="shared" si="20"/>
        <v>1.43913885</v>
      </c>
      <c r="R307" s="13" t="s">
        <v>239</v>
      </c>
      <c r="T307" s="62">
        <v>0</v>
      </c>
      <c r="U307" s="62">
        <v>0.38017499999999999</v>
      </c>
      <c r="V307" s="62">
        <v>0.78422599999999998</v>
      </c>
      <c r="W307" s="62">
        <v>0.89420500000000003</v>
      </c>
      <c r="X307" s="62">
        <v>0.96269000000000005</v>
      </c>
      <c r="Y307" s="62">
        <v>0.79384200000000005</v>
      </c>
      <c r="Z307" s="62">
        <v>0.65324099999999996</v>
      </c>
      <c r="AA307" s="62">
        <v>0.51570199999999999</v>
      </c>
      <c r="AB307" s="62">
        <v>0.51934000000000002</v>
      </c>
      <c r="AC307" s="63">
        <v>0.33721600000000002</v>
      </c>
      <c r="AD307" s="63">
        <v>0.32195499999999999</v>
      </c>
      <c r="AE307" s="13" t="s">
        <v>131</v>
      </c>
    </row>
    <row r="308" spans="1:31">
      <c r="A308" s="13" t="s">
        <v>324</v>
      </c>
      <c r="B308" s="13" t="s">
        <v>1</v>
      </c>
      <c r="C308" s="13" t="s">
        <v>231</v>
      </c>
      <c r="D308" s="13" t="str">
        <f>IFERROR(VLOOKUP(C308,ghg_sort!$A$86:$B$512,2,0),0)</f>
        <v>Building</v>
      </c>
      <c r="E308" s="12" t="s">
        <v>99</v>
      </c>
      <c r="F308" s="13">
        <f>IFERROR(VLOOKUP($E308,ghg_sort!$A$3:$B$21,2,0),0)</f>
        <v>14.8</v>
      </c>
      <c r="G308" s="13">
        <f t="shared" si="19"/>
        <v>0</v>
      </c>
      <c r="H308" s="13">
        <f t="shared" si="19"/>
        <v>3.9652308000000004E-2</v>
      </c>
      <c r="I308" s="13">
        <f t="shared" si="19"/>
        <v>1.5392148000000001E-2</v>
      </c>
      <c r="J308" s="13">
        <f t="shared" si="19"/>
        <v>1.7550728000000002E-2</v>
      </c>
      <c r="K308" s="13">
        <f t="shared" si="19"/>
        <v>1.8894864000000001E-2</v>
      </c>
      <c r="L308" s="13">
        <f t="shared" si="19"/>
        <v>1.5580848000000001E-2</v>
      </c>
      <c r="M308" s="13">
        <f t="shared" si="19"/>
        <v>1.2821254800000001E-2</v>
      </c>
      <c r="N308" s="13">
        <f t="shared" si="19"/>
        <v>1.01217496E-2</v>
      </c>
      <c r="O308" s="13">
        <f t="shared" si="19"/>
        <v>1.01931596E-2</v>
      </c>
      <c r="P308" s="13">
        <f t="shared" si="19"/>
        <v>6.6185896000000004E-3</v>
      </c>
      <c r="Q308" s="13">
        <f t="shared" si="20"/>
        <v>6.3190524000000005E-3</v>
      </c>
      <c r="R308" s="13" t="s">
        <v>239</v>
      </c>
      <c r="T308" s="62">
        <v>0</v>
      </c>
      <c r="U308" s="62">
        <v>2.67921E-3</v>
      </c>
      <c r="V308" s="62">
        <v>1.0400100000000001E-3</v>
      </c>
      <c r="W308" s="62">
        <v>1.18586E-3</v>
      </c>
      <c r="X308" s="62">
        <v>1.2766800000000001E-3</v>
      </c>
      <c r="Y308" s="63">
        <v>1.05276E-3</v>
      </c>
      <c r="Z308" s="63">
        <v>8.6630099999999999E-4</v>
      </c>
      <c r="AA308" s="63">
        <v>6.8390200000000001E-4</v>
      </c>
      <c r="AB308" s="63">
        <v>6.8872699999999998E-4</v>
      </c>
      <c r="AC308" s="63">
        <v>4.4720200000000001E-4</v>
      </c>
      <c r="AD308" s="63">
        <v>4.2696299999999998E-4</v>
      </c>
      <c r="AE308" s="13" t="s">
        <v>131</v>
      </c>
    </row>
    <row r="309" spans="1:31">
      <c r="A309" s="13" t="s">
        <v>324</v>
      </c>
      <c r="B309" s="13" t="s">
        <v>1</v>
      </c>
      <c r="C309" s="13" t="s">
        <v>231</v>
      </c>
      <c r="D309" s="13" t="str">
        <f>IFERROR(VLOOKUP(C309,ghg_sort!$A$86:$B$512,2,0),0)</f>
        <v>Building</v>
      </c>
      <c r="E309" s="12" t="s">
        <v>100</v>
      </c>
      <c r="F309" s="13">
        <f>IFERROR(VLOOKUP($E309,ghg_sort!$A$3:$B$21,2,0),0)</f>
        <v>0.67500000000000004</v>
      </c>
      <c r="G309" s="13">
        <f t="shared" si="19"/>
        <v>0</v>
      </c>
      <c r="H309" s="13">
        <f t="shared" si="19"/>
        <v>1.8679005000000002E-2</v>
      </c>
      <c r="I309" s="13">
        <f t="shared" si="19"/>
        <v>3.8465279999999998E-2</v>
      </c>
      <c r="J309" s="13">
        <f t="shared" si="19"/>
        <v>4.385961E-2</v>
      </c>
      <c r="K309" s="13">
        <f t="shared" si="19"/>
        <v>4.7218680000000006E-2</v>
      </c>
      <c r="L309" s="13">
        <f t="shared" si="19"/>
        <v>3.8936902500000002E-2</v>
      </c>
      <c r="M309" s="13">
        <f t="shared" si="19"/>
        <v>3.2040562500000001E-2</v>
      </c>
      <c r="N309" s="13">
        <f t="shared" si="19"/>
        <v>2.5294477500000002E-2</v>
      </c>
      <c r="O309" s="13">
        <f t="shared" si="19"/>
        <v>2.5472947500000002E-2</v>
      </c>
      <c r="P309" s="13">
        <f t="shared" si="19"/>
        <v>1.65399975E-2</v>
      </c>
      <c r="Q309" s="13">
        <f t="shared" si="20"/>
        <v>1.5791490000000002E-2</v>
      </c>
      <c r="R309" s="13" t="s">
        <v>239</v>
      </c>
      <c r="T309" s="62">
        <v>0</v>
      </c>
      <c r="U309" s="62">
        <v>2.7672599999999999E-2</v>
      </c>
      <c r="V309" s="62">
        <v>5.6985599999999997E-2</v>
      </c>
      <c r="W309" s="62">
        <v>6.4977199999999999E-2</v>
      </c>
      <c r="X309" s="62">
        <v>6.9953600000000005E-2</v>
      </c>
      <c r="Y309" s="62">
        <v>5.7684300000000001E-2</v>
      </c>
      <c r="Z309" s="62">
        <v>4.7467500000000003E-2</v>
      </c>
      <c r="AA309" s="62">
        <v>3.7473300000000001E-2</v>
      </c>
      <c r="AB309" s="62">
        <v>3.7737699999999999E-2</v>
      </c>
      <c r="AC309" s="62">
        <v>2.45037E-2</v>
      </c>
      <c r="AD309" s="62">
        <v>2.33948E-2</v>
      </c>
      <c r="AE309" s="13" t="s">
        <v>131</v>
      </c>
    </row>
    <row r="310" spans="1:31">
      <c r="A310" s="13" t="s">
        <v>324</v>
      </c>
      <c r="B310" s="13" t="s">
        <v>1</v>
      </c>
      <c r="C310" s="13" t="s">
        <v>152</v>
      </c>
      <c r="D310" s="13" t="str">
        <f>IFERROR(VLOOKUP(C310,ghg_sort!$A$86:$B$512,2,0),0)</f>
        <v>Building</v>
      </c>
      <c r="E310" s="33" t="s">
        <v>83</v>
      </c>
      <c r="F310" s="13">
        <f>IFERROR(VLOOKUP($E310,ghg_sort!$A$3:$B$21,2,0),0)</f>
        <v>0</v>
      </c>
      <c r="G310" s="13">
        <f t="shared" si="19"/>
        <v>0</v>
      </c>
      <c r="H310" s="13">
        <f t="shared" si="19"/>
        <v>0</v>
      </c>
      <c r="I310" s="13">
        <f t="shared" si="19"/>
        <v>0</v>
      </c>
      <c r="J310" s="13">
        <f t="shared" si="19"/>
        <v>0</v>
      </c>
      <c r="K310" s="13">
        <f t="shared" si="19"/>
        <v>0</v>
      </c>
      <c r="L310" s="13">
        <f t="shared" si="19"/>
        <v>0</v>
      </c>
      <c r="M310" s="13">
        <f t="shared" si="19"/>
        <v>0</v>
      </c>
      <c r="N310" s="13">
        <f t="shared" si="19"/>
        <v>0</v>
      </c>
      <c r="O310" s="13">
        <f t="shared" si="19"/>
        <v>0</v>
      </c>
      <c r="P310" s="13">
        <f t="shared" si="19"/>
        <v>0</v>
      </c>
      <c r="Q310" s="13">
        <f t="shared" si="20"/>
        <v>0</v>
      </c>
      <c r="R310" s="13" t="s">
        <v>239</v>
      </c>
      <c r="T310" s="62">
        <v>1.2190059E-2</v>
      </c>
      <c r="U310" s="62">
        <v>3.0797659999999998E-3</v>
      </c>
      <c r="V310" s="62">
        <v>3.1511659999999999E-3</v>
      </c>
      <c r="W310" s="62">
        <v>3.0848540000000002E-3</v>
      </c>
      <c r="X310" s="62">
        <v>3.746709E-3</v>
      </c>
      <c r="Y310" s="62">
        <v>2.8293649999999999E-3</v>
      </c>
      <c r="Z310" s="63">
        <v>2.091945E-3</v>
      </c>
      <c r="AA310" s="63">
        <v>1.2585540000000001E-3</v>
      </c>
      <c r="AB310" s="63">
        <v>5.4159599999999998E-4</v>
      </c>
      <c r="AC310" s="63">
        <v>1.8844820000000001E-4</v>
      </c>
      <c r="AD310" s="63">
        <v>5.3346900000000001E-6</v>
      </c>
      <c r="AE310" s="13" t="s">
        <v>93</v>
      </c>
    </row>
    <row r="311" spans="1:31">
      <c r="A311" s="13" t="s">
        <v>324</v>
      </c>
      <c r="B311" s="13" t="s">
        <v>1</v>
      </c>
      <c r="C311" s="13" t="s">
        <v>152</v>
      </c>
      <c r="D311" s="13" t="str">
        <f>IFERROR(VLOOKUP(C311,ghg_sort!$A$86:$B$512,2,0),0)</f>
        <v>Building</v>
      </c>
      <c r="E311" s="33" t="s">
        <v>84</v>
      </c>
      <c r="F311" s="13">
        <f>IFERROR(VLOOKUP($E311,ghg_sort!$A$3:$B$21,2,0),0)</f>
        <v>25</v>
      </c>
      <c r="G311" s="13">
        <f t="shared" si="19"/>
        <v>1.0774050500000001</v>
      </c>
      <c r="H311" s="13">
        <f t="shared" si="19"/>
        <v>0.28127752249999749</v>
      </c>
      <c r="I311" s="13">
        <f t="shared" si="19"/>
        <v>0.26994002249999749</v>
      </c>
      <c r="J311" s="13">
        <f t="shared" si="19"/>
        <v>0.32564670000000001</v>
      </c>
      <c r="K311" s="13">
        <f t="shared" si="19"/>
        <v>0.34027517499999999</v>
      </c>
      <c r="L311" s="13">
        <f t="shared" si="19"/>
        <v>0.38684334999999997</v>
      </c>
      <c r="M311" s="13">
        <f t="shared" si="19"/>
        <v>0.33931752500000001</v>
      </c>
      <c r="N311" s="13">
        <f t="shared" si="19"/>
        <v>0.23201514000000001</v>
      </c>
      <c r="O311" s="13">
        <f t="shared" si="19"/>
        <v>0.10811809499999975</v>
      </c>
      <c r="P311" s="13">
        <f t="shared" si="19"/>
        <v>3.9501232499999997E-2</v>
      </c>
      <c r="Q311" s="13">
        <f t="shared" si="20"/>
        <v>1.2393375E-3</v>
      </c>
      <c r="R311" s="13" t="s">
        <v>239</v>
      </c>
      <c r="T311" s="62">
        <v>4.3096202E-2</v>
      </c>
      <c r="U311" s="63">
        <v>1.1251100899999899E-2</v>
      </c>
      <c r="V311" s="63">
        <v>1.07976008999999E-2</v>
      </c>
      <c r="W311" s="63">
        <v>1.3025867999999999E-2</v>
      </c>
      <c r="X311" s="63">
        <v>1.3611007E-2</v>
      </c>
      <c r="Y311" s="63">
        <v>1.5473733999999999E-2</v>
      </c>
      <c r="Z311" s="63">
        <v>1.3572701E-2</v>
      </c>
      <c r="AA311" s="63">
        <v>9.2806056000000001E-3</v>
      </c>
      <c r="AB311" s="63">
        <v>4.3247237999999898E-3</v>
      </c>
      <c r="AC311" s="63">
        <v>1.5800492999999999E-3</v>
      </c>
      <c r="AD311" s="63">
        <v>4.9573500000000002E-5</v>
      </c>
      <c r="AE311" s="13" t="s">
        <v>93</v>
      </c>
    </row>
    <row r="312" spans="1:31">
      <c r="A312" s="13" t="s">
        <v>324</v>
      </c>
      <c r="B312" s="13" t="s">
        <v>1</v>
      </c>
      <c r="C312" s="13" t="s">
        <v>152</v>
      </c>
      <c r="D312" s="13" t="str">
        <f>IFERROR(VLOOKUP(C312,ghg_sort!$A$86:$B$512,2,0),0)</f>
        <v>Building</v>
      </c>
      <c r="E312" s="33" t="s">
        <v>85</v>
      </c>
      <c r="F312" s="13">
        <f>IFERROR(VLOOKUP($E312,ghg_sort!$A$3:$B$21,2,0),0)</f>
        <v>0</v>
      </c>
      <c r="G312" s="13">
        <f t="shared" si="19"/>
        <v>0</v>
      </c>
      <c r="H312" s="13">
        <f t="shared" si="19"/>
        <v>0</v>
      </c>
      <c r="I312" s="13">
        <f t="shared" si="19"/>
        <v>0</v>
      </c>
      <c r="J312" s="13">
        <f t="shared" si="19"/>
        <v>0</v>
      </c>
      <c r="K312" s="13">
        <f t="shared" si="19"/>
        <v>0</v>
      </c>
      <c r="L312" s="13">
        <f t="shared" si="19"/>
        <v>0</v>
      </c>
      <c r="M312" s="13">
        <f t="shared" si="19"/>
        <v>0</v>
      </c>
      <c r="N312" s="13">
        <f t="shared" si="19"/>
        <v>0</v>
      </c>
      <c r="O312" s="13">
        <f t="shared" si="19"/>
        <v>0</v>
      </c>
      <c r="P312" s="13">
        <f t="shared" si="19"/>
        <v>0</v>
      </c>
      <c r="Q312" s="13">
        <f t="shared" si="20"/>
        <v>0</v>
      </c>
      <c r="R312" s="13" t="s">
        <v>239</v>
      </c>
      <c r="T312" s="63">
        <v>0.19355572299999901</v>
      </c>
      <c r="U312" s="63">
        <v>3.8098031999999997E-2</v>
      </c>
      <c r="V312" s="63">
        <v>3.5421848999999998E-2</v>
      </c>
      <c r="W312" s="62">
        <v>4.26799E-2</v>
      </c>
      <c r="X312" s="62">
        <v>5.857718E-2</v>
      </c>
      <c r="Y312" s="62">
        <v>4.6490529999999898E-2</v>
      </c>
      <c r="Z312" s="62">
        <v>3.2924014000000001E-2</v>
      </c>
      <c r="AA312" s="62">
        <v>1.8401171000000001E-2</v>
      </c>
      <c r="AB312" s="62">
        <v>6.8296379999999999E-3</v>
      </c>
      <c r="AC312" s="62">
        <v>2.3550250000000002E-3</v>
      </c>
      <c r="AD312" s="63">
        <v>1.04331E-4</v>
      </c>
      <c r="AE312" s="13" t="s">
        <v>93</v>
      </c>
    </row>
    <row r="313" spans="1:31">
      <c r="A313" s="13" t="s">
        <v>324</v>
      </c>
      <c r="B313" s="13" t="s">
        <v>1</v>
      </c>
      <c r="C313" s="13" t="s">
        <v>152</v>
      </c>
      <c r="D313" s="13" t="str">
        <f>IFERROR(VLOOKUP(C313,ghg_sort!$A$86:$B$512,2,0),0)</f>
        <v>Building</v>
      </c>
      <c r="E313" s="33" t="s">
        <v>86</v>
      </c>
      <c r="F313" s="13">
        <f>IFERROR(VLOOKUP($E313,ghg_sort!$A$3:$B$21,2,0),0)</f>
        <v>3.6666666666666701</v>
      </c>
      <c r="G313" s="13">
        <f t="shared" si="19"/>
        <v>16.900367000000017</v>
      </c>
      <c r="H313" s="13">
        <f t="shared" si="19"/>
        <v>20.126524366666686</v>
      </c>
      <c r="I313" s="13">
        <f t="shared" si="19"/>
        <v>20.556866000000017</v>
      </c>
      <c r="J313" s="13">
        <f t="shared" si="19"/>
        <v>19.265928000000017</v>
      </c>
      <c r="K313" s="13">
        <f t="shared" si="19"/>
        <v>17.225879000000017</v>
      </c>
      <c r="L313" s="13">
        <f t="shared" si="19"/>
        <v>16.743694000000016</v>
      </c>
      <c r="M313" s="13">
        <f t="shared" si="19"/>
        <v>15.019436666666682</v>
      </c>
      <c r="N313" s="13">
        <f t="shared" si="19"/>
        <v>11.308436333333344</v>
      </c>
      <c r="O313" s="13">
        <f t="shared" si="19"/>
        <v>6.4006286666666723</v>
      </c>
      <c r="P313" s="13">
        <f t="shared" si="19"/>
        <v>2.2989644333333357</v>
      </c>
      <c r="Q313" s="13">
        <f t="shared" si="20"/>
        <v>1.4049530000000013E-2</v>
      </c>
      <c r="R313" s="13" t="s">
        <v>239</v>
      </c>
      <c r="T313" s="62">
        <v>4.609191</v>
      </c>
      <c r="U313" s="62">
        <v>5.4890521000000003</v>
      </c>
      <c r="V313" s="62">
        <v>5.6064179999999997</v>
      </c>
      <c r="W313" s="62">
        <v>5.2543439999999997</v>
      </c>
      <c r="X313" s="62">
        <v>4.6979670000000002</v>
      </c>
      <c r="Y313" s="63">
        <v>4.5664619999999996</v>
      </c>
      <c r="Z313" s="63">
        <v>4.0962100000000001</v>
      </c>
      <c r="AA313" s="63">
        <v>3.0841189999999998</v>
      </c>
      <c r="AB313" s="63">
        <v>1.7456259999999999</v>
      </c>
      <c r="AC313" s="63">
        <v>0.6269903</v>
      </c>
      <c r="AD313" s="63">
        <v>3.83169E-3</v>
      </c>
      <c r="AE313" s="13" t="s">
        <v>94</v>
      </c>
    </row>
    <row r="314" spans="1:31">
      <c r="A314" s="13" t="s">
        <v>324</v>
      </c>
      <c r="B314" s="13" t="s">
        <v>1</v>
      </c>
      <c r="C314" s="13" t="s">
        <v>152</v>
      </c>
      <c r="D314" s="13" t="str">
        <f>IFERROR(VLOOKUP(C314,ghg_sort!$A$86:$B$512,2,0),0)</f>
        <v>Building</v>
      </c>
      <c r="E314" s="33" t="s">
        <v>87</v>
      </c>
      <c r="F314" s="13">
        <f>IFERROR(VLOOKUP($E314,ghg_sort!$A$3:$B$21,2,0),0)</f>
        <v>298</v>
      </c>
      <c r="G314" s="13">
        <f t="shared" si="19"/>
        <v>0.31441546708000001</v>
      </c>
      <c r="H314" s="13">
        <f t="shared" si="19"/>
        <v>0.1416890468</v>
      </c>
      <c r="I314" s="13">
        <f t="shared" ref="I314:P346" si="21">V314*$F314</f>
        <v>0.1431341978</v>
      </c>
      <c r="J314" s="13">
        <f t="shared" si="21"/>
        <v>0.1054248606</v>
      </c>
      <c r="K314" s="13">
        <f t="shared" si="21"/>
        <v>0.1855624246</v>
      </c>
      <c r="L314" s="13">
        <f t="shared" si="21"/>
        <v>0.22013328540000002</v>
      </c>
      <c r="M314" s="13">
        <f t="shared" si="21"/>
        <v>0.19223571740000001</v>
      </c>
      <c r="N314" s="13">
        <f t="shared" si="21"/>
        <v>0.12923172299999999</v>
      </c>
      <c r="O314" s="13">
        <f t="shared" si="21"/>
        <v>5.8590578640000002E-2</v>
      </c>
      <c r="P314" s="13">
        <f t="shared" si="21"/>
        <v>2.1249623080000002E-2</v>
      </c>
      <c r="Q314" s="13">
        <f t="shared" si="20"/>
        <v>7.9376769999999993E-4</v>
      </c>
      <c r="R314" s="13" t="s">
        <v>239</v>
      </c>
      <c r="T314" s="62">
        <v>1.05508546E-3</v>
      </c>
      <c r="U314" s="63">
        <v>4.7546660000000001E-4</v>
      </c>
      <c r="V314" s="63">
        <v>4.8031609999999998E-4</v>
      </c>
      <c r="W314" s="63">
        <v>3.5377470000000003E-4</v>
      </c>
      <c r="X314" s="63">
        <v>6.2269270000000002E-4</v>
      </c>
      <c r="Y314" s="63">
        <v>7.3870230000000004E-4</v>
      </c>
      <c r="Z314" s="63">
        <v>6.450863E-4</v>
      </c>
      <c r="AA314" s="63">
        <v>4.3366349999999999E-4</v>
      </c>
      <c r="AB314" s="63">
        <v>1.9661268E-4</v>
      </c>
      <c r="AC314" s="63">
        <v>7.1307460000000005E-5</v>
      </c>
      <c r="AD314" s="63">
        <v>2.6636499999999999E-6</v>
      </c>
      <c r="AE314" s="13" t="s">
        <v>93</v>
      </c>
    </row>
    <row r="315" spans="1:31">
      <c r="A315" s="13" t="s">
        <v>324</v>
      </c>
      <c r="B315" s="13" t="s">
        <v>1</v>
      </c>
      <c r="C315" s="13" t="s">
        <v>152</v>
      </c>
      <c r="D315" s="13" t="str">
        <f>IFERROR(VLOOKUP(C315,ghg_sort!$A$86:$B$512,2,0),0)</f>
        <v>Building</v>
      </c>
      <c r="E315" s="33" t="s">
        <v>88</v>
      </c>
      <c r="F315" s="13">
        <f>IFERROR(VLOOKUP($E315,ghg_sort!$A$3:$B$21,2,0),0)</f>
        <v>0</v>
      </c>
      <c r="G315" s="13">
        <f t="shared" ref="G315:O368" si="22">T315*$F315</f>
        <v>0</v>
      </c>
      <c r="H315" s="13">
        <f t="shared" si="22"/>
        <v>0</v>
      </c>
      <c r="I315" s="13">
        <f t="shared" si="21"/>
        <v>0</v>
      </c>
      <c r="J315" s="13">
        <f t="shared" si="21"/>
        <v>0</v>
      </c>
      <c r="K315" s="13">
        <f t="shared" si="21"/>
        <v>0</v>
      </c>
      <c r="L315" s="13">
        <f t="shared" si="21"/>
        <v>0</v>
      </c>
      <c r="M315" s="13">
        <f t="shared" si="21"/>
        <v>0</v>
      </c>
      <c r="N315" s="13">
        <f t="shared" si="21"/>
        <v>0</v>
      </c>
      <c r="O315" s="13">
        <f t="shared" si="21"/>
        <v>0</v>
      </c>
      <c r="P315" s="13">
        <f t="shared" si="21"/>
        <v>0</v>
      </c>
      <c r="Q315" s="13">
        <f t="shared" si="20"/>
        <v>0</v>
      </c>
      <c r="R315" s="13" t="s">
        <v>239</v>
      </c>
      <c r="T315" s="63">
        <v>4.6129210000000001E-4</v>
      </c>
      <c r="U315" s="63">
        <v>3.9818716999999898E-4</v>
      </c>
      <c r="V315" s="63">
        <v>3.6189216999999899E-4</v>
      </c>
      <c r="W315" s="62">
        <v>1.0919319999999899E-3</v>
      </c>
      <c r="X315" s="62">
        <v>1.4824065999999999E-3</v>
      </c>
      <c r="Y315" s="62">
        <v>1.7586534999999999E-3</v>
      </c>
      <c r="Z315" s="63">
        <v>1.5348193999999999E-3</v>
      </c>
      <c r="AA315" s="63">
        <v>1.0268651999999999E-3</v>
      </c>
      <c r="AB315" s="63">
        <v>4.5679450000000001E-4</v>
      </c>
      <c r="AC315" s="63">
        <v>1.668586E-4</v>
      </c>
      <c r="AD315" s="63">
        <v>6.5111500000000003E-6</v>
      </c>
      <c r="AE315" s="13" t="s">
        <v>93</v>
      </c>
    </row>
    <row r="316" spans="1:31">
      <c r="A316" s="13" t="s">
        <v>324</v>
      </c>
      <c r="B316" s="13" t="s">
        <v>1</v>
      </c>
      <c r="C316" s="13" t="s">
        <v>152</v>
      </c>
      <c r="D316" s="13" t="str">
        <f>IFERROR(VLOOKUP(C316,ghg_sort!$A$86:$B$512,2,0),0)</f>
        <v>Building</v>
      </c>
      <c r="E316" s="33" t="s">
        <v>89</v>
      </c>
      <c r="F316" s="13">
        <f>IFERROR(VLOOKUP($E316,ghg_sort!$A$3:$B$21,2,0),0)</f>
        <v>0</v>
      </c>
      <c r="G316" s="13">
        <f t="shared" si="22"/>
        <v>0</v>
      </c>
      <c r="H316" s="13">
        <f t="shared" si="22"/>
        <v>0</v>
      </c>
      <c r="I316" s="13">
        <f t="shared" si="21"/>
        <v>0</v>
      </c>
      <c r="J316" s="13">
        <f t="shared" si="21"/>
        <v>0</v>
      </c>
      <c r="K316" s="13">
        <f t="shared" si="21"/>
        <v>0</v>
      </c>
      <c r="L316" s="13">
        <f t="shared" si="21"/>
        <v>0</v>
      </c>
      <c r="M316" s="13">
        <f t="shared" si="21"/>
        <v>0</v>
      </c>
      <c r="N316" s="13">
        <f t="shared" si="21"/>
        <v>0</v>
      </c>
      <c r="O316" s="13">
        <f t="shared" si="21"/>
        <v>0</v>
      </c>
      <c r="P316" s="13">
        <f t="shared" si="21"/>
        <v>0</v>
      </c>
      <c r="Q316" s="13">
        <f t="shared" si="20"/>
        <v>0</v>
      </c>
      <c r="R316" s="13" t="s">
        <v>239</v>
      </c>
      <c r="T316" s="62">
        <v>6.8138459600000003E-3</v>
      </c>
      <c r="U316" s="62">
        <v>1.2388920999999999E-3</v>
      </c>
      <c r="V316" s="62">
        <v>1.1837414699999999E-3</v>
      </c>
      <c r="W316" s="62">
        <v>1.6454366999999999E-3</v>
      </c>
      <c r="X316" s="62">
        <v>2.7949311000000001E-3</v>
      </c>
      <c r="Y316" s="63">
        <v>2.2067424E-3</v>
      </c>
      <c r="Z316" s="63">
        <v>1.5465820999999999E-3</v>
      </c>
      <c r="AA316" s="63">
        <v>8.4811339999999998E-4</v>
      </c>
      <c r="AB316" s="63">
        <v>3.0180202999999998E-4</v>
      </c>
      <c r="AC316" s="63">
        <v>1.0359915000000001E-4</v>
      </c>
      <c r="AD316" s="63">
        <v>5.1377699999999998E-6</v>
      </c>
      <c r="AE316" s="13" t="s">
        <v>93</v>
      </c>
    </row>
    <row r="317" spans="1:31">
      <c r="A317" s="13" t="s">
        <v>324</v>
      </c>
      <c r="B317" s="13" t="s">
        <v>1</v>
      </c>
      <c r="C317" s="13" t="s">
        <v>152</v>
      </c>
      <c r="D317" s="13" t="str">
        <f>IFERROR(VLOOKUP(C317,ghg_sort!$A$86:$B$512,2,0),0)</f>
        <v>Building</v>
      </c>
      <c r="E317" s="33" t="s">
        <v>90</v>
      </c>
      <c r="F317" s="13">
        <f>IFERROR(VLOOKUP($E317,ghg_sort!$A$3:$B$21,2,0),0)</f>
        <v>0</v>
      </c>
      <c r="G317" s="13">
        <f t="shared" si="22"/>
        <v>0</v>
      </c>
      <c r="H317" s="13">
        <f t="shared" si="22"/>
        <v>0</v>
      </c>
      <c r="I317" s="13">
        <f t="shared" si="21"/>
        <v>0</v>
      </c>
      <c r="J317" s="13">
        <f t="shared" si="21"/>
        <v>0</v>
      </c>
      <c r="K317" s="13">
        <f t="shared" si="21"/>
        <v>0</v>
      </c>
      <c r="L317" s="13">
        <f t="shared" si="21"/>
        <v>0</v>
      </c>
      <c r="M317" s="13">
        <f t="shared" si="21"/>
        <v>0</v>
      </c>
      <c r="N317" s="13">
        <f t="shared" si="21"/>
        <v>0</v>
      </c>
      <c r="O317" s="13">
        <f t="shared" si="21"/>
        <v>0</v>
      </c>
      <c r="P317" s="13">
        <f t="shared" si="21"/>
        <v>0</v>
      </c>
      <c r="Q317" s="13">
        <f t="shared" si="20"/>
        <v>0</v>
      </c>
      <c r="R317" s="13" t="s">
        <v>239</v>
      </c>
      <c r="T317" s="62">
        <v>3.8852999999999999E-2</v>
      </c>
      <c r="U317" s="62">
        <v>3.1043899999999999E-2</v>
      </c>
      <c r="V317" s="62">
        <v>2.7807559999999999E-2</v>
      </c>
      <c r="W317" s="62">
        <v>2.7871130000000001E-2</v>
      </c>
      <c r="X317" s="62">
        <v>1.816562E-2</v>
      </c>
      <c r="Y317" s="62">
        <v>1.2041349999999999E-2</v>
      </c>
      <c r="Z317" s="62">
        <v>1.008502E-2</v>
      </c>
      <c r="AA317" s="62">
        <v>7.19828999999999E-3</v>
      </c>
      <c r="AB317" s="62">
        <v>3.9093699999999997E-3</v>
      </c>
      <c r="AC317" s="63">
        <v>1.3953590000000001E-3</v>
      </c>
      <c r="AD317" s="63">
        <v>9.2038600000000007E-6</v>
      </c>
      <c r="AE317" s="13" t="s">
        <v>93</v>
      </c>
    </row>
    <row r="318" spans="1:31">
      <c r="A318" s="13" t="s">
        <v>324</v>
      </c>
      <c r="B318" s="13" t="s">
        <v>1</v>
      </c>
      <c r="C318" s="13" t="s">
        <v>152</v>
      </c>
      <c r="D318" s="13" t="str">
        <f>IFERROR(VLOOKUP(C318,ghg_sort!$A$86:$B$512,2,0),0)</f>
        <v>Building</v>
      </c>
      <c r="E318" s="12" t="s">
        <v>91</v>
      </c>
      <c r="F318" s="13">
        <f>IFERROR(VLOOKUP($E318,ghg_sort!$A$3:$B$21,2,0),0)</f>
        <v>0</v>
      </c>
      <c r="G318" s="13">
        <f t="shared" si="22"/>
        <v>0</v>
      </c>
      <c r="H318" s="13">
        <f t="shared" si="22"/>
        <v>0</v>
      </c>
      <c r="I318" s="13">
        <f t="shared" si="21"/>
        <v>0</v>
      </c>
      <c r="J318" s="13">
        <f t="shared" si="21"/>
        <v>0</v>
      </c>
      <c r="K318" s="13">
        <f t="shared" si="21"/>
        <v>0</v>
      </c>
      <c r="L318" s="13">
        <f t="shared" si="21"/>
        <v>0</v>
      </c>
      <c r="M318" s="13">
        <f t="shared" si="21"/>
        <v>0</v>
      </c>
      <c r="N318" s="13">
        <f t="shared" si="21"/>
        <v>0</v>
      </c>
      <c r="O318" s="13">
        <f t="shared" si="21"/>
        <v>0</v>
      </c>
      <c r="P318" s="13">
        <f t="shared" si="21"/>
        <v>0</v>
      </c>
      <c r="Q318" s="13">
        <f t="shared" si="20"/>
        <v>0</v>
      </c>
      <c r="R318" s="13" t="s">
        <v>239</v>
      </c>
      <c r="T318" s="62">
        <v>1.9542491700000001E-2</v>
      </c>
      <c r="U318" s="62">
        <v>5.7229569999999999E-3</v>
      </c>
      <c r="V318" s="62">
        <v>5.7339440000000004E-3</v>
      </c>
      <c r="W318" s="62">
        <v>5.4281700000000004E-3</v>
      </c>
      <c r="X318" s="62">
        <v>7.9214660000000003E-3</v>
      </c>
      <c r="Y318" s="62">
        <v>6.092877E-3</v>
      </c>
      <c r="Z318" s="62">
        <v>4.2682550000000003E-3</v>
      </c>
      <c r="AA318" s="63">
        <v>2.3795229999999902E-3</v>
      </c>
      <c r="AB318" s="63">
        <v>8.8013700000000002E-4</v>
      </c>
      <c r="AC318" s="63">
        <v>3.028293E-4</v>
      </c>
      <c r="AD318" s="63">
        <v>1.36167E-5</v>
      </c>
      <c r="AE318" s="13" t="s">
        <v>93</v>
      </c>
    </row>
    <row r="319" spans="1:31">
      <c r="A319" s="13" t="s">
        <v>324</v>
      </c>
      <c r="B319" s="13" t="s">
        <v>1</v>
      </c>
      <c r="C319" s="13" t="s">
        <v>152</v>
      </c>
      <c r="D319" s="13" t="str">
        <f>IFERROR(VLOOKUP(C319,ghg_sort!$A$86:$B$512,2,0),0)</f>
        <v>Building</v>
      </c>
      <c r="E319" s="33" t="s">
        <v>92</v>
      </c>
      <c r="F319" s="13">
        <f>IFERROR(VLOOKUP($E319,ghg_sort!$A$3:$B$21,2,0),0)</f>
        <v>0</v>
      </c>
      <c r="G319" s="13">
        <f t="shared" si="22"/>
        <v>0</v>
      </c>
      <c r="H319" s="13">
        <f t="shared" si="22"/>
        <v>0</v>
      </c>
      <c r="I319" s="13">
        <f t="shared" si="21"/>
        <v>0</v>
      </c>
      <c r="J319" s="13">
        <f t="shared" si="21"/>
        <v>0</v>
      </c>
      <c r="K319" s="13">
        <f t="shared" si="21"/>
        <v>0</v>
      </c>
      <c r="L319" s="13">
        <f t="shared" si="21"/>
        <v>0</v>
      </c>
      <c r="M319" s="13">
        <f t="shared" si="21"/>
        <v>0</v>
      </c>
      <c r="N319" s="13">
        <f t="shared" si="21"/>
        <v>0</v>
      </c>
      <c r="O319" s="13">
        <f t="shared" si="21"/>
        <v>0</v>
      </c>
      <c r="P319" s="13">
        <f t="shared" si="21"/>
        <v>0</v>
      </c>
      <c r="Q319" s="13">
        <f t="shared" si="20"/>
        <v>0</v>
      </c>
      <c r="R319" s="13" t="s">
        <v>239</v>
      </c>
      <c r="T319" s="62">
        <v>0.12380264033000001</v>
      </c>
      <c r="U319" s="63">
        <v>1.08748331E-2</v>
      </c>
      <c r="V319" s="63">
        <v>7.7151826000000003E-3</v>
      </c>
      <c r="W319" s="63">
        <v>7.3834442000000004E-3</v>
      </c>
      <c r="X319" s="63">
        <v>3.9053859999999998E-3</v>
      </c>
      <c r="Y319" s="63">
        <v>2.2903611999999999E-3</v>
      </c>
      <c r="Z319" s="63">
        <v>1.6628936999999999E-3</v>
      </c>
      <c r="AA319" s="63">
        <v>1.0790605999999999E-3</v>
      </c>
      <c r="AB319" s="63">
        <v>5.5211601000000003E-4</v>
      </c>
      <c r="AC319" s="63">
        <v>1.8335136E-4</v>
      </c>
      <c r="AD319" s="63">
        <v>5.1553200000000001E-7</v>
      </c>
      <c r="AE319" s="13" t="s">
        <v>93</v>
      </c>
    </row>
    <row r="320" spans="1:31">
      <c r="A320" s="13" t="s">
        <v>324</v>
      </c>
      <c r="B320" s="13" t="s">
        <v>1</v>
      </c>
      <c r="C320" s="13" t="s">
        <v>153</v>
      </c>
      <c r="D320" s="13" t="str">
        <f>IFERROR(VLOOKUP(C320,ghg_sort!$A$86:$B$512,2,0),0)</f>
        <v>Building</v>
      </c>
      <c r="E320" s="33" t="s">
        <v>83</v>
      </c>
      <c r="F320" s="13">
        <f>IFERROR(VLOOKUP($E320,ghg_sort!$A$3:$B$21,2,0),0)</f>
        <v>0</v>
      </c>
      <c r="G320" s="13">
        <f t="shared" si="22"/>
        <v>0</v>
      </c>
      <c r="H320" s="13">
        <f t="shared" si="22"/>
        <v>0</v>
      </c>
      <c r="I320" s="13">
        <f t="shared" si="21"/>
        <v>0</v>
      </c>
      <c r="J320" s="13">
        <f t="shared" si="21"/>
        <v>0</v>
      </c>
      <c r="K320" s="13">
        <f t="shared" si="21"/>
        <v>0</v>
      </c>
      <c r="L320" s="13">
        <f t="shared" si="21"/>
        <v>0</v>
      </c>
      <c r="M320" s="13">
        <f t="shared" si="21"/>
        <v>0</v>
      </c>
      <c r="N320" s="13">
        <f t="shared" si="21"/>
        <v>0</v>
      </c>
      <c r="O320" s="13">
        <f t="shared" si="21"/>
        <v>0</v>
      </c>
      <c r="P320" s="13">
        <f t="shared" si="21"/>
        <v>0</v>
      </c>
      <c r="Q320" s="13">
        <f t="shared" si="20"/>
        <v>0</v>
      </c>
      <c r="R320" s="13" t="s">
        <v>239</v>
      </c>
      <c r="T320" s="63">
        <v>2.24886186999999E-2</v>
      </c>
      <c r="U320" s="63">
        <v>2.7300800000000002E-3</v>
      </c>
      <c r="V320" s="63">
        <v>2.6095469999999898E-3</v>
      </c>
      <c r="W320" s="62">
        <v>1.920745E-3</v>
      </c>
      <c r="X320" s="63">
        <v>2.41527699999999E-4</v>
      </c>
      <c r="Y320" s="63">
        <v>1.55034199999999E-4</v>
      </c>
      <c r="Z320" s="63">
        <v>1.035764E-4</v>
      </c>
      <c r="AA320" s="63">
        <v>5.5137199999999998E-5</v>
      </c>
      <c r="AB320" s="63">
        <v>2.1078899999999999E-5</v>
      </c>
      <c r="AC320" s="63">
        <v>6.7373599999999998E-6</v>
      </c>
      <c r="AD320" s="63">
        <v>2.1841100000000001E-7</v>
      </c>
      <c r="AE320" s="13" t="s">
        <v>93</v>
      </c>
    </row>
    <row r="321" spans="1:31">
      <c r="A321" s="13" t="s">
        <v>324</v>
      </c>
      <c r="B321" s="13" t="s">
        <v>1</v>
      </c>
      <c r="C321" s="13" t="s">
        <v>153</v>
      </c>
      <c r="D321" s="13" t="str">
        <f>IFERROR(VLOOKUP(C321,ghg_sort!$A$86:$B$512,2,0),0)</f>
        <v>Building</v>
      </c>
      <c r="E321" s="33" t="s">
        <v>84</v>
      </c>
      <c r="F321" s="13">
        <f>IFERROR(VLOOKUP($E321,ghg_sort!$A$3:$B$21,2,0),0)</f>
        <v>25</v>
      </c>
      <c r="G321" s="13">
        <f t="shared" si="22"/>
        <v>0.68559495000000004</v>
      </c>
      <c r="H321" s="13">
        <f t="shared" si="22"/>
        <v>0.15597247749999998</v>
      </c>
      <c r="I321" s="13">
        <f t="shared" si="21"/>
        <v>0.1485599775</v>
      </c>
      <c r="J321" s="13">
        <f t="shared" si="21"/>
        <v>0.17235331000000001</v>
      </c>
      <c r="K321" s="13">
        <f t="shared" si="21"/>
        <v>0.2090909125</v>
      </c>
      <c r="L321" s="13">
        <f t="shared" si="21"/>
        <v>0.22330893500000001</v>
      </c>
      <c r="M321" s="13">
        <f t="shared" si="21"/>
        <v>0.22351092324999999</v>
      </c>
      <c r="N321" s="13">
        <f t="shared" si="21"/>
        <v>0.19740527025000001</v>
      </c>
      <c r="O321" s="13">
        <f t="shared" si="21"/>
        <v>0.14910300674999999</v>
      </c>
      <c r="P321" s="13">
        <f t="shared" si="21"/>
        <v>0.10058381645</v>
      </c>
      <c r="Q321" s="13">
        <f t="shared" si="20"/>
        <v>2.3699340499999999E-2</v>
      </c>
      <c r="R321" s="13" t="s">
        <v>239</v>
      </c>
      <c r="T321" s="62">
        <v>2.7423797999999999E-2</v>
      </c>
      <c r="U321" s="63">
        <v>6.2388990999999996E-3</v>
      </c>
      <c r="V321" s="63">
        <v>5.9423990999999997E-3</v>
      </c>
      <c r="W321" s="63">
        <v>6.8941324E-3</v>
      </c>
      <c r="X321" s="63">
        <v>8.3636365000000004E-3</v>
      </c>
      <c r="Y321" s="63">
        <v>8.9323574000000003E-3</v>
      </c>
      <c r="Z321" s="63">
        <v>8.9404369300000001E-3</v>
      </c>
      <c r="AA321" s="63">
        <v>7.8962108100000001E-3</v>
      </c>
      <c r="AB321" s="63">
        <v>5.9641202699999996E-3</v>
      </c>
      <c r="AC321" s="63">
        <v>4.023352658E-3</v>
      </c>
      <c r="AD321" s="63">
        <v>9.4797361999999997E-4</v>
      </c>
      <c r="AE321" s="13" t="s">
        <v>93</v>
      </c>
    </row>
    <row r="322" spans="1:31">
      <c r="A322" s="13" t="s">
        <v>324</v>
      </c>
      <c r="B322" s="13" t="s">
        <v>1</v>
      </c>
      <c r="C322" s="13" t="s">
        <v>153</v>
      </c>
      <c r="D322" s="13" t="str">
        <f>IFERROR(VLOOKUP(C322,ghg_sort!$A$86:$B$512,2,0),0)</f>
        <v>Building</v>
      </c>
      <c r="E322" s="33" t="s">
        <v>85</v>
      </c>
      <c r="F322" s="13">
        <f>IFERROR(VLOOKUP($E322,ghg_sort!$A$3:$B$21,2,0),0)</f>
        <v>0</v>
      </c>
      <c r="G322" s="13">
        <f t="shared" si="22"/>
        <v>0</v>
      </c>
      <c r="H322" s="13">
        <f t="shared" si="22"/>
        <v>0</v>
      </c>
      <c r="I322" s="13">
        <f t="shared" si="21"/>
        <v>0</v>
      </c>
      <c r="J322" s="13">
        <f t="shared" si="21"/>
        <v>0</v>
      </c>
      <c r="K322" s="13">
        <f t="shared" si="21"/>
        <v>0</v>
      </c>
      <c r="L322" s="13">
        <f t="shared" si="21"/>
        <v>0</v>
      </c>
      <c r="M322" s="13">
        <f t="shared" si="21"/>
        <v>0</v>
      </c>
      <c r="N322" s="13">
        <f t="shared" si="21"/>
        <v>0</v>
      </c>
      <c r="O322" s="13">
        <f t="shared" si="21"/>
        <v>0</v>
      </c>
      <c r="P322" s="13">
        <f t="shared" si="21"/>
        <v>0</v>
      </c>
      <c r="Q322" s="13">
        <f t="shared" si="20"/>
        <v>0</v>
      </c>
      <c r="R322" s="13" t="s">
        <v>239</v>
      </c>
      <c r="T322" s="63">
        <v>0.32372427729999997</v>
      </c>
      <c r="U322" s="63">
        <v>3.1571967999999999E-2</v>
      </c>
      <c r="V322" s="63">
        <v>2.8418150999999999E-2</v>
      </c>
      <c r="W322" s="63">
        <v>2.7170101999999901E-2</v>
      </c>
      <c r="X322" s="63">
        <v>4.8449699999999997E-3</v>
      </c>
      <c r="Y322" s="63">
        <v>4.1341599999999996E-3</v>
      </c>
      <c r="Z322" s="63">
        <v>3.3772727E-3</v>
      </c>
      <c r="AA322" s="63">
        <v>2.4630387999999902E-3</v>
      </c>
      <c r="AB322" s="63">
        <v>1.5787444999999999E-3</v>
      </c>
      <c r="AC322" s="63">
        <v>9.8793159000000008E-4</v>
      </c>
      <c r="AD322" s="63">
        <v>2.1984749999999999E-4</v>
      </c>
      <c r="AE322" s="13" t="s">
        <v>93</v>
      </c>
    </row>
    <row r="323" spans="1:31">
      <c r="A323" s="13" t="s">
        <v>324</v>
      </c>
      <c r="B323" s="13" t="s">
        <v>1</v>
      </c>
      <c r="C323" s="13" t="s">
        <v>153</v>
      </c>
      <c r="D323" s="13" t="str">
        <f>IFERROR(VLOOKUP(C323,ghg_sort!$A$86:$B$512,2,0),0)</f>
        <v>Building</v>
      </c>
      <c r="E323" s="33" t="s">
        <v>86</v>
      </c>
      <c r="F323" s="13">
        <f>IFERROR(VLOOKUP($E323,ghg_sort!$A$3:$B$21,2,0),0)</f>
        <v>3.6666666666666701</v>
      </c>
      <c r="G323" s="13">
        <f t="shared" si="22"/>
        <v>27.455738566666653</v>
      </c>
      <c r="H323" s="13">
        <f t="shared" si="22"/>
        <v>12.799994900000012</v>
      </c>
      <c r="I323" s="13">
        <f t="shared" si="21"/>
        <v>12.820582500000013</v>
      </c>
      <c r="J323" s="13">
        <f t="shared" si="21"/>
        <v>11.52262246666664</v>
      </c>
      <c r="K323" s="13">
        <f t="shared" si="21"/>
        <v>9.8855815666666764</v>
      </c>
      <c r="L323" s="13">
        <f t="shared" si="21"/>
        <v>10.190505600000009</v>
      </c>
      <c r="M323" s="13">
        <f t="shared" si="21"/>
        <v>10.097127700000009</v>
      </c>
      <c r="N323" s="13">
        <f t="shared" si="21"/>
        <v>8.8812573666666736</v>
      </c>
      <c r="O323" s="13">
        <f t="shared" si="21"/>
        <v>6.6992823700000059</v>
      </c>
      <c r="P323" s="13">
        <f t="shared" si="21"/>
        <v>4.4899391900000047</v>
      </c>
      <c r="Q323" s="13">
        <f t="shared" si="20"/>
        <v>1.0515518823333343</v>
      </c>
      <c r="R323" s="13" t="s">
        <v>239</v>
      </c>
      <c r="T323" s="62">
        <v>7.4879286999999897</v>
      </c>
      <c r="U323" s="63">
        <v>3.4909077000000002</v>
      </c>
      <c r="V323" s="63">
        <v>3.4965225000000002</v>
      </c>
      <c r="W323" s="63">
        <v>3.1425333999999898</v>
      </c>
      <c r="X323" s="63">
        <v>2.6960677</v>
      </c>
      <c r="Y323" s="63">
        <v>2.7792287999999998</v>
      </c>
      <c r="Z323" s="63">
        <v>2.7537620999999999</v>
      </c>
      <c r="AA323" s="63">
        <v>2.4221610999999998</v>
      </c>
      <c r="AB323" s="63">
        <v>1.82707701</v>
      </c>
      <c r="AC323" s="63">
        <v>1.2245288700000001</v>
      </c>
      <c r="AD323" s="63">
        <v>0.286786877</v>
      </c>
      <c r="AE323" s="13" t="s">
        <v>94</v>
      </c>
    </row>
    <row r="324" spans="1:31">
      <c r="A324" s="13" t="s">
        <v>324</v>
      </c>
      <c r="B324" s="13" t="s">
        <v>1</v>
      </c>
      <c r="C324" s="13" t="s">
        <v>153</v>
      </c>
      <c r="D324" s="13" t="str">
        <f>IFERROR(VLOOKUP(C324,ghg_sort!$A$86:$B$512,2,0),0)</f>
        <v>Building</v>
      </c>
      <c r="E324" s="33" t="s">
        <v>87</v>
      </c>
      <c r="F324" s="13">
        <f>IFERROR(VLOOKUP($E324,ghg_sort!$A$3:$B$21,2,0),0)</f>
        <v>298</v>
      </c>
      <c r="G324" s="13">
        <f t="shared" si="22"/>
        <v>0.39482459251999702</v>
      </c>
      <c r="H324" s="13">
        <f t="shared" si="22"/>
        <v>6.9891012799999999E-2</v>
      </c>
      <c r="I324" s="13">
        <f t="shared" si="21"/>
        <v>6.8445891599999698E-2</v>
      </c>
      <c r="J324" s="13">
        <f t="shared" si="21"/>
        <v>4.6555198999999998E-2</v>
      </c>
      <c r="K324" s="13">
        <f t="shared" si="21"/>
        <v>2.34419316E-2</v>
      </c>
      <c r="L324" s="13">
        <f t="shared" si="21"/>
        <v>2.4147357199999969E-2</v>
      </c>
      <c r="M324" s="13">
        <f t="shared" si="21"/>
        <v>2.1692489820000001E-2</v>
      </c>
      <c r="N324" s="13">
        <f t="shared" si="21"/>
        <v>1.6692747140000002E-2</v>
      </c>
      <c r="O324" s="13">
        <f t="shared" si="21"/>
        <v>1.08620404E-2</v>
      </c>
      <c r="P324" s="13">
        <f t="shared" si="21"/>
        <v>6.6472827639999996E-3</v>
      </c>
      <c r="Q324" s="13">
        <f t="shared" si="20"/>
        <v>1.4366889920000001E-3</v>
      </c>
      <c r="R324" s="13" t="s">
        <v>239</v>
      </c>
      <c r="T324" s="62">
        <v>1.3249147399999901E-3</v>
      </c>
      <c r="U324" s="63">
        <v>2.345336E-4</v>
      </c>
      <c r="V324" s="63">
        <v>2.29684199999999E-4</v>
      </c>
      <c r="W324" s="63">
        <v>1.562255E-4</v>
      </c>
      <c r="X324" s="63">
        <v>7.8664200000000005E-5</v>
      </c>
      <c r="Y324" s="63">
        <v>8.1031399999999896E-5</v>
      </c>
      <c r="Z324" s="63">
        <v>7.2793590000000007E-5</v>
      </c>
      <c r="AA324" s="63">
        <v>5.6015930000000002E-5</v>
      </c>
      <c r="AB324" s="63">
        <v>3.6449799999999998E-5</v>
      </c>
      <c r="AC324" s="63">
        <v>2.2306317999999999E-5</v>
      </c>
      <c r="AD324" s="63">
        <v>4.8211040000000004E-6</v>
      </c>
      <c r="AE324" s="13" t="s">
        <v>93</v>
      </c>
    </row>
    <row r="325" spans="1:31">
      <c r="A325" s="13" t="s">
        <v>324</v>
      </c>
      <c r="B325" s="13" t="s">
        <v>1</v>
      </c>
      <c r="C325" s="13" t="s">
        <v>153</v>
      </c>
      <c r="D325" s="13" t="str">
        <f>IFERROR(VLOOKUP(C325,ghg_sort!$A$86:$B$512,2,0),0)</f>
        <v>Building</v>
      </c>
      <c r="E325" s="33" t="s">
        <v>88</v>
      </c>
      <c r="F325" s="13">
        <f>IFERROR(VLOOKUP($E325,ghg_sort!$A$3:$B$21,2,0),0)</f>
        <v>0</v>
      </c>
      <c r="G325" s="13">
        <f t="shared" si="22"/>
        <v>0</v>
      </c>
      <c r="H325" s="13">
        <f t="shared" si="22"/>
        <v>0</v>
      </c>
      <c r="I325" s="13">
        <f t="shared" si="21"/>
        <v>0</v>
      </c>
      <c r="J325" s="13">
        <f t="shared" si="21"/>
        <v>0</v>
      </c>
      <c r="K325" s="13">
        <f t="shared" si="21"/>
        <v>0</v>
      </c>
      <c r="L325" s="13">
        <f t="shared" si="21"/>
        <v>0</v>
      </c>
      <c r="M325" s="13">
        <f t="shared" si="21"/>
        <v>0</v>
      </c>
      <c r="N325" s="13">
        <f t="shared" si="21"/>
        <v>0</v>
      </c>
      <c r="O325" s="13">
        <f t="shared" si="21"/>
        <v>0</v>
      </c>
      <c r="P325" s="13">
        <f t="shared" si="21"/>
        <v>0</v>
      </c>
      <c r="Q325" s="13">
        <f t="shared" si="20"/>
        <v>0</v>
      </c>
      <c r="R325" s="13" t="s">
        <v>239</v>
      </c>
      <c r="T325" s="63">
        <v>1.6870789999999999E-4</v>
      </c>
      <c r="U325" s="63">
        <v>1.8181282999999999E-4</v>
      </c>
      <c r="V325" s="63">
        <v>1.6810782999999901E-4</v>
      </c>
      <c r="W325" s="63">
        <v>4.8806799999999998E-4</v>
      </c>
      <c r="X325" s="63">
        <v>5.8469038999999997E-4</v>
      </c>
      <c r="Y325" s="63">
        <v>6.2624326999999997E-4</v>
      </c>
      <c r="Z325" s="63">
        <v>6.1904626999999995E-4</v>
      </c>
      <c r="AA325" s="63">
        <v>5.3810382000000004E-4</v>
      </c>
      <c r="AB325" s="63">
        <v>4.0008566699999999E-4</v>
      </c>
      <c r="AC325" s="63">
        <v>2.6777852300000001E-4</v>
      </c>
      <c r="AD325" s="63">
        <v>6.2701176999999897E-5</v>
      </c>
      <c r="AE325" s="13" t="s">
        <v>93</v>
      </c>
    </row>
    <row r="326" spans="1:31">
      <c r="A326" s="13" t="s">
        <v>324</v>
      </c>
      <c r="B326" s="13" t="s">
        <v>1</v>
      </c>
      <c r="C326" s="13" t="s">
        <v>153</v>
      </c>
      <c r="D326" s="13" t="str">
        <f>IFERROR(VLOOKUP(C326,ghg_sort!$A$86:$B$512,2,0),0)</f>
        <v>Building</v>
      </c>
      <c r="E326" s="33" t="s">
        <v>89</v>
      </c>
      <c r="F326" s="13">
        <f>IFERROR(VLOOKUP($E326,ghg_sort!$A$3:$B$21,2,0),0)</f>
        <v>0</v>
      </c>
      <c r="G326" s="13">
        <f t="shared" si="22"/>
        <v>0</v>
      </c>
      <c r="H326" s="13">
        <f t="shared" si="22"/>
        <v>0</v>
      </c>
      <c r="I326" s="13">
        <f t="shared" si="21"/>
        <v>0</v>
      </c>
      <c r="J326" s="13">
        <f t="shared" si="21"/>
        <v>0</v>
      </c>
      <c r="K326" s="13">
        <f t="shared" si="21"/>
        <v>0</v>
      </c>
      <c r="L326" s="13">
        <f t="shared" si="21"/>
        <v>0</v>
      </c>
      <c r="M326" s="13">
        <f t="shared" si="21"/>
        <v>0</v>
      </c>
      <c r="N326" s="13">
        <f t="shared" si="21"/>
        <v>0</v>
      </c>
      <c r="O326" s="13">
        <f t="shared" si="21"/>
        <v>0</v>
      </c>
      <c r="P326" s="13">
        <f t="shared" si="21"/>
        <v>0</v>
      </c>
      <c r="Q326" s="13">
        <f t="shared" si="20"/>
        <v>0</v>
      </c>
      <c r="R326" s="13" t="s">
        <v>239</v>
      </c>
      <c r="T326" s="62">
        <v>6.4061540199999998E-3</v>
      </c>
      <c r="U326" s="63">
        <v>4.6110785000000001E-4</v>
      </c>
      <c r="V326" s="63">
        <v>4.1625852999999899E-4</v>
      </c>
      <c r="W326" s="63">
        <v>4.6456328E-4</v>
      </c>
      <c r="X326" s="63">
        <v>1.7850599999999999E-4</v>
      </c>
      <c r="Y326" s="63">
        <v>1.4169538999999999E-4</v>
      </c>
      <c r="Z326" s="63">
        <v>1.04769289999999E-4</v>
      </c>
      <c r="AA326" s="63">
        <v>6.6913962000000006E-5</v>
      </c>
      <c r="AB326" s="63">
        <v>3.6546533999999999E-5</v>
      </c>
      <c r="AC326" s="63">
        <v>2.0976741999999899E-5</v>
      </c>
      <c r="AD326" s="63">
        <v>4.3333889999999998E-6</v>
      </c>
      <c r="AE326" s="13" t="s">
        <v>93</v>
      </c>
    </row>
    <row r="327" spans="1:31">
      <c r="A327" s="13" t="s">
        <v>324</v>
      </c>
      <c r="B327" s="13" t="s">
        <v>1</v>
      </c>
      <c r="C327" s="13" t="s">
        <v>153</v>
      </c>
      <c r="D327" s="13" t="str">
        <f>IFERROR(VLOOKUP(C327,ghg_sort!$A$86:$B$512,2,0),0)</f>
        <v>Building</v>
      </c>
      <c r="E327" s="33" t="s">
        <v>90</v>
      </c>
      <c r="F327" s="13">
        <f>IFERROR(VLOOKUP($E327,ghg_sort!$A$3:$B$21,2,0),0)</f>
        <v>0</v>
      </c>
      <c r="G327" s="13">
        <f t="shared" si="22"/>
        <v>0</v>
      </c>
      <c r="H327" s="13">
        <f t="shared" si="22"/>
        <v>0</v>
      </c>
      <c r="I327" s="13">
        <f t="shared" si="21"/>
        <v>0</v>
      </c>
      <c r="J327" s="13">
        <f t="shared" si="21"/>
        <v>0</v>
      </c>
      <c r="K327" s="13">
        <f t="shared" si="21"/>
        <v>0</v>
      </c>
      <c r="L327" s="13">
        <f t="shared" si="21"/>
        <v>0</v>
      </c>
      <c r="M327" s="13">
        <f t="shared" si="21"/>
        <v>0</v>
      </c>
      <c r="N327" s="13">
        <f t="shared" si="21"/>
        <v>0</v>
      </c>
      <c r="O327" s="13">
        <f t="shared" si="21"/>
        <v>0</v>
      </c>
      <c r="P327" s="13">
        <f t="shared" si="21"/>
        <v>0</v>
      </c>
      <c r="Q327" s="13">
        <f t="shared" si="20"/>
        <v>0</v>
      </c>
      <c r="R327" s="13" t="s">
        <v>239</v>
      </c>
      <c r="T327" s="63">
        <v>5.8407050000000002E-2</v>
      </c>
      <c r="U327" s="63">
        <v>2.0806100000000001E-2</v>
      </c>
      <c r="V327" s="63">
        <v>1.8522440000000001E-2</v>
      </c>
      <c r="W327" s="63">
        <v>1.7168880000000001E-2</v>
      </c>
      <c r="X327" s="63">
        <v>9.6690170000000002E-3</v>
      </c>
      <c r="Y327" s="63">
        <v>7.2867590000000003E-3</v>
      </c>
      <c r="Z327" s="63">
        <v>7.2135630000000001E-3</v>
      </c>
      <c r="AA327" s="63">
        <v>6.35182949999999E-3</v>
      </c>
      <c r="AB327" s="63">
        <v>4.8018207999999899E-3</v>
      </c>
      <c r="AC327" s="63">
        <v>3.2282813800000002E-3</v>
      </c>
      <c r="AD327" s="63">
        <v>7.58243821E-4</v>
      </c>
      <c r="AE327" s="13" t="s">
        <v>93</v>
      </c>
    </row>
    <row r="328" spans="1:31">
      <c r="A328" s="13" t="s">
        <v>324</v>
      </c>
      <c r="B328" s="13" t="s">
        <v>1</v>
      </c>
      <c r="C328" s="13" t="s">
        <v>153</v>
      </c>
      <c r="D328" s="13" t="str">
        <f>IFERROR(VLOOKUP(C328,ghg_sort!$A$86:$B$512,2,0),0)</f>
        <v>Building</v>
      </c>
      <c r="E328" s="12" t="s">
        <v>91</v>
      </c>
      <c r="F328" s="13">
        <f>IFERROR(VLOOKUP($E328,ghg_sort!$A$3:$B$21,2,0),0)</f>
        <v>0</v>
      </c>
      <c r="G328" s="13">
        <f t="shared" si="22"/>
        <v>0</v>
      </c>
      <c r="H328" s="13">
        <f t="shared" si="22"/>
        <v>0</v>
      </c>
      <c r="I328" s="13">
        <f t="shared" si="21"/>
        <v>0</v>
      </c>
      <c r="J328" s="13">
        <f t="shared" si="21"/>
        <v>0</v>
      </c>
      <c r="K328" s="13">
        <f t="shared" si="21"/>
        <v>0</v>
      </c>
      <c r="L328" s="13">
        <f t="shared" si="21"/>
        <v>0</v>
      </c>
      <c r="M328" s="13">
        <f t="shared" si="21"/>
        <v>0</v>
      </c>
      <c r="N328" s="13">
        <f t="shared" si="21"/>
        <v>0</v>
      </c>
      <c r="O328" s="13">
        <f t="shared" si="21"/>
        <v>0</v>
      </c>
      <c r="P328" s="13">
        <f t="shared" si="21"/>
        <v>0</v>
      </c>
      <c r="Q328" s="13">
        <f t="shared" si="20"/>
        <v>0</v>
      </c>
      <c r="R328" s="13" t="s">
        <v>239</v>
      </c>
      <c r="T328" s="63">
        <v>3.1117508299999999E-2</v>
      </c>
      <c r="U328" s="62">
        <v>3.81704299999999E-3</v>
      </c>
      <c r="V328" s="62">
        <v>3.6160559999999999E-3</v>
      </c>
      <c r="W328" s="62">
        <v>2.65183E-3</v>
      </c>
      <c r="X328" s="63">
        <v>4.4246239999999999E-4</v>
      </c>
      <c r="Y328" s="63">
        <v>3.029029E-4</v>
      </c>
      <c r="Z328" s="63">
        <v>1.935943E-4</v>
      </c>
      <c r="AA328" s="63">
        <v>9.76864E-5</v>
      </c>
      <c r="AB328" s="63">
        <v>3.320057E-5</v>
      </c>
      <c r="AC328" s="63">
        <v>1.078707E-5</v>
      </c>
      <c r="AD328" s="63">
        <v>5.5748899999999997E-7</v>
      </c>
      <c r="AE328" s="13" t="s">
        <v>93</v>
      </c>
    </row>
    <row r="329" spans="1:31">
      <c r="A329" s="13" t="s">
        <v>324</v>
      </c>
      <c r="B329" s="13" t="s">
        <v>1</v>
      </c>
      <c r="C329" s="13" t="s">
        <v>153</v>
      </c>
      <c r="D329" s="13" t="str">
        <f>IFERROR(VLOOKUP(C329,ghg_sort!$A$86:$B$512,2,0),0)</f>
        <v>Building</v>
      </c>
      <c r="E329" s="33" t="s">
        <v>92</v>
      </c>
      <c r="F329" s="13">
        <f>IFERROR(VLOOKUP($E329,ghg_sort!$A$3:$B$21,2,0),0)</f>
        <v>0</v>
      </c>
      <c r="G329" s="13">
        <f t="shared" si="22"/>
        <v>0</v>
      </c>
      <c r="H329" s="13">
        <f t="shared" si="22"/>
        <v>0</v>
      </c>
      <c r="I329" s="13">
        <f t="shared" si="21"/>
        <v>0</v>
      </c>
      <c r="J329" s="13">
        <f t="shared" si="21"/>
        <v>0</v>
      </c>
      <c r="K329" s="13">
        <f t="shared" si="21"/>
        <v>0</v>
      </c>
      <c r="L329" s="13">
        <f t="shared" si="21"/>
        <v>0</v>
      </c>
      <c r="M329" s="13">
        <f t="shared" si="21"/>
        <v>0</v>
      </c>
      <c r="N329" s="13">
        <f t="shared" si="21"/>
        <v>0</v>
      </c>
      <c r="O329" s="13">
        <f t="shared" si="21"/>
        <v>0</v>
      </c>
      <c r="P329" s="13">
        <f t="shared" si="21"/>
        <v>0</v>
      </c>
      <c r="Q329" s="13">
        <f t="shared" si="20"/>
        <v>0</v>
      </c>
      <c r="R329" s="13" t="s">
        <v>239</v>
      </c>
      <c r="T329" s="62">
        <v>0.22716921734000001</v>
      </c>
      <c r="U329" s="63">
        <v>1.66005488E-2</v>
      </c>
      <c r="V329" s="63">
        <v>1.11917844E-2</v>
      </c>
      <c r="W329" s="63">
        <v>9.2441850999999998E-3</v>
      </c>
      <c r="X329" s="63">
        <v>4.1967509999999998E-4</v>
      </c>
      <c r="Y329" s="63">
        <v>2.0342E-4</v>
      </c>
      <c r="Z329" s="63">
        <v>1.2975657999999901E-4</v>
      </c>
      <c r="AA329" s="63">
        <v>7.5910219999999998E-5</v>
      </c>
      <c r="AB329" s="63">
        <v>3.887176E-5</v>
      </c>
      <c r="AC329" s="63">
        <v>1.77718389999999E-5</v>
      </c>
      <c r="AD329" s="63">
        <v>2.6870967E-6</v>
      </c>
      <c r="AE329" s="13" t="s">
        <v>93</v>
      </c>
    </row>
    <row r="330" spans="1:31">
      <c r="A330" s="13" t="s">
        <v>324</v>
      </c>
      <c r="B330" s="13" t="s">
        <v>1</v>
      </c>
      <c r="C330" s="13" t="s">
        <v>407</v>
      </c>
      <c r="D330" s="13" t="str">
        <f>IFERROR(VLOOKUP(C330,ghg_sort!$A$86:$B$512,2,0),0)</f>
        <v>Industry</v>
      </c>
      <c r="E330" s="33" t="s">
        <v>409</v>
      </c>
      <c r="F330" s="13">
        <f>IFERROR(VLOOKUP($E330,ghg_sort!$A$3:$B$21,2,0),0)</f>
        <v>3.6666666666666701</v>
      </c>
      <c r="G330" s="13">
        <f t="shared" ref="G330:P330" si="23">T330*$F330</f>
        <v>0</v>
      </c>
      <c r="H330" s="13">
        <f t="shared" si="23"/>
        <v>0.39491466666666702</v>
      </c>
      <c r="I330" s="13">
        <f t="shared" si="23"/>
        <v>0.49101066666666715</v>
      </c>
      <c r="J330" s="13">
        <f t="shared" si="23"/>
        <v>0.64042000000000066</v>
      </c>
      <c r="K330" s="13">
        <f t="shared" si="23"/>
        <v>0.8677050066666675</v>
      </c>
      <c r="L330" s="13">
        <f t="shared" si="23"/>
        <v>0.96257087666666752</v>
      </c>
      <c r="M330" s="13">
        <f t="shared" si="23"/>
        <v>1.0654118200000009</v>
      </c>
      <c r="N330" s="13">
        <f t="shared" si="23"/>
        <v>1.1609882533333344</v>
      </c>
      <c r="O330" s="13">
        <f t="shared" si="23"/>
        <v>1.2838141800000011</v>
      </c>
      <c r="P330" s="13">
        <f t="shared" si="23"/>
        <v>1.4113961766666678</v>
      </c>
      <c r="Q330" s="13">
        <f>AD330*$F330</f>
        <v>1.5507054199999977</v>
      </c>
      <c r="R330" s="13" t="s">
        <v>239</v>
      </c>
      <c r="T330" s="62">
        <v>0</v>
      </c>
      <c r="U330" s="63">
        <v>0.10770399999999999</v>
      </c>
      <c r="V330" s="63">
        <v>0.133912</v>
      </c>
      <c r="W330" s="63">
        <v>0.17466000000000001</v>
      </c>
      <c r="X330" s="63">
        <v>0.23664682000000001</v>
      </c>
      <c r="Y330" s="63">
        <v>0.26251933</v>
      </c>
      <c r="Z330" s="63">
        <v>0.29056685999999998</v>
      </c>
      <c r="AA330" s="63">
        <v>0.31663316000000002</v>
      </c>
      <c r="AB330" s="63">
        <v>0.35013114000000001</v>
      </c>
      <c r="AC330" s="63">
        <v>0.38492622999999998</v>
      </c>
      <c r="AD330" s="63">
        <v>0.42291965999999898</v>
      </c>
    </row>
    <row r="331" spans="1:31">
      <c r="A331" s="13" t="s">
        <v>324</v>
      </c>
      <c r="B331" s="13" t="s">
        <v>1</v>
      </c>
      <c r="C331" s="13" t="s">
        <v>154</v>
      </c>
      <c r="D331" s="13" t="str">
        <f>IFERROR(VLOOKUP(C331,ghg_sort!$A$86:$B$512,2,0),0)</f>
        <v>International</v>
      </c>
      <c r="E331" s="33" t="s">
        <v>83</v>
      </c>
      <c r="F331" s="13">
        <f>IFERROR(VLOOKUP($E331,ghg_sort!$A$3:$B$21,2,0),0)</f>
        <v>0</v>
      </c>
      <c r="G331" s="13">
        <f t="shared" si="22"/>
        <v>0</v>
      </c>
      <c r="H331" s="13">
        <f t="shared" si="22"/>
        <v>0</v>
      </c>
      <c r="I331" s="13">
        <f t="shared" si="21"/>
        <v>0</v>
      </c>
      <c r="J331" s="13">
        <f t="shared" si="21"/>
        <v>0</v>
      </c>
      <c r="K331" s="13">
        <f t="shared" si="21"/>
        <v>0</v>
      </c>
      <c r="L331" s="13">
        <f t="shared" si="21"/>
        <v>0</v>
      </c>
      <c r="M331" s="13">
        <f t="shared" si="21"/>
        <v>0</v>
      </c>
      <c r="N331" s="13">
        <f t="shared" si="21"/>
        <v>0</v>
      </c>
      <c r="O331" s="13">
        <f t="shared" si="21"/>
        <v>0</v>
      </c>
      <c r="P331" s="13">
        <f t="shared" si="21"/>
        <v>0</v>
      </c>
      <c r="Q331" s="13">
        <f t="shared" si="20"/>
        <v>0</v>
      </c>
      <c r="R331" s="13" t="s">
        <v>239</v>
      </c>
      <c r="T331" s="63">
        <v>1.07067E-5</v>
      </c>
      <c r="U331" s="63">
        <v>9.2270100000000003E-5</v>
      </c>
      <c r="V331" s="63">
        <v>1.5137700000000001E-4</v>
      </c>
      <c r="W331" s="63">
        <v>1.66255E-4</v>
      </c>
      <c r="X331" s="63">
        <v>1.1979700000000001E-4</v>
      </c>
      <c r="Y331" s="63">
        <v>7.37823E-5</v>
      </c>
      <c r="Z331" s="63">
        <v>5.9450700000000003E-5</v>
      </c>
      <c r="AA331" s="63">
        <v>4.91893E-5</v>
      </c>
      <c r="AB331" s="63">
        <v>4.12654E-5</v>
      </c>
      <c r="AC331" s="63">
        <v>3.5788599999999998E-5</v>
      </c>
      <c r="AD331" s="63">
        <v>2.59607E-5</v>
      </c>
      <c r="AE331" s="13" t="s">
        <v>93</v>
      </c>
    </row>
    <row r="332" spans="1:31">
      <c r="A332" s="13" t="s">
        <v>324</v>
      </c>
      <c r="B332" s="13" t="s">
        <v>1</v>
      </c>
      <c r="C332" s="13" t="s">
        <v>154</v>
      </c>
      <c r="D332" s="13" t="str">
        <f>IFERROR(VLOOKUP(C332,ghg_sort!$A$86:$B$512,2,0),0)</f>
        <v>International</v>
      </c>
      <c r="E332" s="33" t="s">
        <v>85</v>
      </c>
      <c r="F332" s="13">
        <f>IFERROR(VLOOKUP($E332,ghg_sort!$A$3:$B$21,2,0),0)</f>
        <v>0</v>
      </c>
      <c r="G332" s="13">
        <f t="shared" si="22"/>
        <v>0</v>
      </c>
      <c r="H332" s="13">
        <f t="shared" si="22"/>
        <v>0</v>
      </c>
      <c r="I332" s="13">
        <f t="shared" si="21"/>
        <v>0</v>
      </c>
      <c r="J332" s="13">
        <f t="shared" si="21"/>
        <v>0</v>
      </c>
      <c r="K332" s="13">
        <f t="shared" si="21"/>
        <v>0</v>
      </c>
      <c r="L332" s="13">
        <f t="shared" si="21"/>
        <v>0</v>
      </c>
      <c r="M332" s="13">
        <f t="shared" si="21"/>
        <v>0</v>
      </c>
      <c r="N332" s="13">
        <f t="shared" si="21"/>
        <v>0</v>
      </c>
      <c r="O332" s="13">
        <f t="shared" si="21"/>
        <v>0</v>
      </c>
      <c r="P332" s="13">
        <f t="shared" si="21"/>
        <v>0</v>
      </c>
      <c r="Q332" s="13">
        <f t="shared" si="20"/>
        <v>0</v>
      </c>
      <c r="R332" s="13" t="s">
        <v>239</v>
      </c>
      <c r="T332" s="63">
        <v>5.1999999999999995E-4</v>
      </c>
      <c r="U332" s="63">
        <v>3.3600000000000001E-3</v>
      </c>
      <c r="V332" s="63">
        <v>5.5100000000000001E-3</v>
      </c>
      <c r="W332" s="63">
        <v>6.0499999999999998E-3</v>
      </c>
      <c r="X332" s="63">
        <v>4.3594200000000001E-3</v>
      </c>
      <c r="Y332" s="63">
        <v>2.6849299999999999E-3</v>
      </c>
      <c r="Z332" s="63">
        <v>2.1634100000000002E-3</v>
      </c>
      <c r="AA332" s="63">
        <v>1.7899999999999999E-3</v>
      </c>
      <c r="AB332" s="63">
        <v>1.50165E-3</v>
      </c>
      <c r="AC332" s="63">
        <v>1.3023500000000001E-3</v>
      </c>
      <c r="AD332" s="63">
        <v>9.4470700000000003E-4</v>
      </c>
      <c r="AE332" s="13" t="s">
        <v>93</v>
      </c>
    </row>
    <row r="333" spans="1:31">
      <c r="A333" s="13" t="s">
        <v>324</v>
      </c>
      <c r="B333" s="13" t="s">
        <v>1</v>
      </c>
      <c r="C333" s="13" t="s">
        <v>154</v>
      </c>
      <c r="D333" s="13" t="str">
        <f>IFERROR(VLOOKUP(C333,ghg_sort!$A$86:$B$512,2,0),0)</f>
        <v>International</v>
      </c>
      <c r="E333" s="33" t="s">
        <v>86</v>
      </c>
      <c r="F333" s="13">
        <f>IFERROR(VLOOKUP($E333,ghg_sort!$A$3:$B$21,2,0),0)</f>
        <v>3.6666666666666701</v>
      </c>
      <c r="G333" s="13">
        <f t="shared" si="22"/>
        <v>0.5610513333333339</v>
      </c>
      <c r="H333" s="13">
        <f t="shared" si="22"/>
        <v>10.162496666666677</v>
      </c>
      <c r="I333" s="13">
        <f t="shared" si="21"/>
        <v>11.985710000000012</v>
      </c>
      <c r="J333" s="13">
        <f t="shared" si="21"/>
        <v>15.519166666666681</v>
      </c>
      <c r="K333" s="13">
        <f t="shared" si="21"/>
        <v>16.246046666666683</v>
      </c>
      <c r="L333" s="13">
        <f t="shared" si="21"/>
        <v>16.430150000000015</v>
      </c>
      <c r="M333" s="13">
        <f t="shared" si="21"/>
        <v>16.430040000000016</v>
      </c>
      <c r="N333" s="13">
        <f t="shared" si="21"/>
        <v>16.045480000000016</v>
      </c>
      <c r="O333" s="13">
        <f t="shared" si="21"/>
        <v>15.470326666666679</v>
      </c>
      <c r="P333" s="13">
        <f t="shared" si="21"/>
        <v>14.371023333333346</v>
      </c>
      <c r="Q333" s="13">
        <f t="shared" si="20"/>
        <v>11.377043333333344</v>
      </c>
      <c r="R333" s="13" t="s">
        <v>239</v>
      </c>
      <c r="T333" s="63">
        <v>0.15301400000000001</v>
      </c>
      <c r="U333" s="62">
        <v>2.7715900000000002</v>
      </c>
      <c r="V333" s="62">
        <v>3.2688299999999999</v>
      </c>
      <c r="W333" s="62">
        <v>4.2324999999999999</v>
      </c>
      <c r="X333" s="62">
        <v>4.4307400000000001</v>
      </c>
      <c r="Y333" s="63">
        <v>4.48095</v>
      </c>
      <c r="Z333" s="63">
        <v>4.4809200000000002</v>
      </c>
      <c r="AA333" s="63">
        <v>4.3760399999999997</v>
      </c>
      <c r="AB333" s="63">
        <v>4.2191799999999997</v>
      </c>
      <c r="AC333" s="63">
        <v>3.9193699999999998</v>
      </c>
      <c r="AD333" s="63">
        <v>3.10283</v>
      </c>
      <c r="AE333" s="13" t="s">
        <v>94</v>
      </c>
    </row>
    <row r="334" spans="1:31">
      <c r="A334" s="13" t="s">
        <v>324</v>
      </c>
      <c r="B334" s="13" t="s">
        <v>1</v>
      </c>
      <c r="C334" s="13" t="s">
        <v>154</v>
      </c>
      <c r="D334" s="13" t="str">
        <f>IFERROR(VLOOKUP(C334,ghg_sort!$A$86:$B$512,2,0),0)</f>
        <v>International</v>
      </c>
      <c r="E334" s="33" t="s">
        <v>87</v>
      </c>
      <c r="F334" s="13">
        <f>IFERROR(VLOOKUP($E334,ghg_sort!$A$3:$B$21,2,0),0)</f>
        <v>298</v>
      </c>
      <c r="G334" s="13">
        <f t="shared" si="22"/>
        <v>8.94E-3</v>
      </c>
      <c r="H334" s="13">
        <f t="shared" si="22"/>
        <v>6.8540000000000004E-2</v>
      </c>
      <c r="I334" s="13">
        <f t="shared" si="21"/>
        <v>0.11026</v>
      </c>
      <c r="J334" s="13">
        <f t="shared" si="21"/>
        <v>0.12218</v>
      </c>
      <c r="K334" s="13">
        <f t="shared" si="21"/>
        <v>0.12790249400000001</v>
      </c>
      <c r="L334" s="13">
        <f t="shared" si="21"/>
        <v>0.12935196600000001</v>
      </c>
      <c r="M334" s="13">
        <f t="shared" si="21"/>
        <v>0.12935107200000001</v>
      </c>
      <c r="N334" s="13">
        <f t="shared" si="21"/>
        <v>0.12632339200000001</v>
      </c>
      <c r="O334" s="13">
        <f t="shared" si="21"/>
        <v>0.121795282</v>
      </c>
      <c r="P334" s="13">
        <f t="shared" si="21"/>
        <v>0.11314076599999999</v>
      </c>
      <c r="Q334" s="13">
        <f t="shared" si="20"/>
        <v>8.9569561999999991E-2</v>
      </c>
      <c r="R334" s="13" t="s">
        <v>239</v>
      </c>
      <c r="T334" s="63">
        <v>3.0000000000000001E-5</v>
      </c>
      <c r="U334" s="63">
        <v>2.3000000000000001E-4</v>
      </c>
      <c r="V334" s="63">
        <v>3.6999999999999999E-4</v>
      </c>
      <c r="W334" s="63">
        <v>4.0999999999999999E-4</v>
      </c>
      <c r="X334" s="63">
        <v>4.2920300000000002E-4</v>
      </c>
      <c r="Y334" s="63">
        <v>4.34067E-4</v>
      </c>
      <c r="Z334" s="63">
        <v>4.3406400000000001E-4</v>
      </c>
      <c r="AA334" s="63">
        <v>4.2390400000000001E-4</v>
      </c>
      <c r="AB334" s="63">
        <v>4.0870899999999999E-4</v>
      </c>
      <c r="AC334" s="63">
        <v>3.7966699999999998E-4</v>
      </c>
      <c r="AD334" s="63">
        <v>3.0056899999999999E-4</v>
      </c>
      <c r="AE334" s="13" t="s">
        <v>93</v>
      </c>
    </row>
    <row r="335" spans="1:31">
      <c r="A335" s="13" t="s">
        <v>324</v>
      </c>
      <c r="B335" s="13" t="s">
        <v>1</v>
      </c>
      <c r="C335" s="13" t="s">
        <v>154</v>
      </c>
      <c r="D335" s="13" t="str">
        <f>IFERROR(VLOOKUP(C335,ghg_sort!$A$86:$B$512,2,0),0)</f>
        <v>International</v>
      </c>
      <c r="E335" s="33" t="s">
        <v>88</v>
      </c>
      <c r="F335" s="13">
        <f>IFERROR(VLOOKUP($E335,ghg_sort!$A$3:$B$21,2,0),0)</f>
        <v>0</v>
      </c>
      <c r="G335" s="13">
        <f t="shared" si="22"/>
        <v>0</v>
      </c>
      <c r="H335" s="13">
        <f t="shared" si="22"/>
        <v>0</v>
      </c>
      <c r="I335" s="13">
        <f t="shared" si="21"/>
        <v>0</v>
      </c>
      <c r="J335" s="13">
        <f t="shared" si="21"/>
        <v>0</v>
      </c>
      <c r="K335" s="13">
        <f t="shared" si="21"/>
        <v>0</v>
      </c>
      <c r="L335" s="13">
        <f t="shared" si="21"/>
        <v>0</v>
      </c>
      <c r="M335" s="13">
        <f t="shared" si="21"/>
        <v>0</v>
      </c>
      <c r="N335" s="13">
        <f t="shared" si="21"/>
        <v>0</v>
      </c>
      <c r="O335" s="13">
        <f t="shared" si="21"/>
        <v>0</v>
      </c>
      <c r="P335" s="13">
        <f t="shared" si="21"/>
        <v>0</v>
      </c>
      <c r="Q335" s="13">
        <f t="shared" si="20"/>
        <v>0</v>
      </c>
      <c r="R335" s="13" t="s">
        <v>239</v>
      </c>
      <c r="T335" s="63">
        <v>4.0000000000000003E-5</v>
      </c>
      <c r="U335" s="63">
        <v>3.6999999999999999E-4</v>
      </c>
      <c r="V335" s="63">
        <v>6.0999999999999997E-4</v>
      </c>
      <c r="W335" s="63">
        <v>6.7000000000000002E-4</v>
      </c>
      <c r="X335" s="63">
        <v>7.0138000000000004E-4</v>
      </c>
      <c r="Y335" s="63">
        <v>7.0932799999999996E-4</v>
      </c>
      <c r="Z335" s="63">
        <v>7.09324E-4</v>
      </c>
      <c r="AA335" s="63">
        <v>6.9272099999999998E-4</v>
      </c>
      <c r="AB335" s="63">
        <v>6.6788999999999998E-4</v>
      </c>
      <c r="AC335" s="63">
        <v>6.2043099999999996E-4</v>
      </c>
      <c r="AD335" s="63">
        <v>4.9117300000000002E-4</v>
      </c>
      <c r="AE335" s="13" t="s">
        <v>93</v>
      </c>
    </row>
    <row r="336" spans="1:31">
      <c r="A336" s="13" t="s">
        <v>324</v>
      </c>
      <c r="B336" s="13" t="s">
        <v>1</v>
      </c>
      <c r="C336" s="13" t="s">
        <v>154</v>
      </c>
      <c r="D336" s="13" t="str">
        <f>IFERROR(VLOOKUP(C336,ghg_sort!$A$86:$B$512,2,0),0)</f>
        <v>International</v>
      </c>
      <c r="E336" s="33" t="s">
        <v>89</v>
      </c>
      <c r="F336" s="13">
        <f>IFERROR(VLOOKUP($E336,ghg_sort!$A$3:$B$21,2,0),0)</f>
        <v>0</v>
      </c>
      <c r="G336" s="13">
        <f t="shared" si="22"/>
        <v>0</v>
      </c>
      <c r="H336" s="13">
        <f t="shared" si="22"/>
        <v>0</v>
      </c>
      <c r="I336" s="13">
        <f t="shared" si="21"/>
        <v>0</v>
      </c>
      <c r="J336" s="13">
        <f t="shared" si="21"/>
        <v>0</v>
      </c>
      <c r="K336" s="13">
        <f t="shared" si="21"/>
        <v>0</v>
      </c>
      <c r="L336" s="13">
        <f t="shared" si="21"/>
        <v>0</v>
      </c>
      <c r="M336" s="13">
        <f t="shared" si="21"/>
        <v>0</v>
      </c>
      <c r="N336" s="13">
        <f t="shared" si="21"/>
        <v>0</v>
      </c>
      <c r="O336" s="13">
        <f t="shared" si="21"/>
        <v>0</v>
      </c>
      <c r="P336" s="13">
        <f t="shared" si="21"/>
        <v>0</v>
      </c>
      <c r="Q336" s="13">
        <f t="shared" si="20"/>
        <v>0</v>
      </c>
      <c r="R336" s="13" t="s">
        <v>239</v>
      </c>
      <c r="T336" s="63">
        <v>1.1E-4</v>
      </c>
      <c r="U336" s="63">
        <v>1.1000000000000001E-3</v>
      </c>
      <c r="V336" s="63">
        <v>1.8E-3</v>
      </c>
      <c r="W336" s="63">
        <v>1.98E-3</v>
      </c>
      <c r="X336" s="63">
        <v>1.42672E-3</v>
      </c>
      <c r="Y336" s="63">
        <v>8.7870600000000004E-4</v>
      </c>
      <c r="Z336" s="63">
        <v>7.0802500000000004E-4</v>
      </c>
      <c r="AA336" s="63">
        <v>5.8581699999999998E-4</v>
      </c>
      <c r="AB336" s="63">
        <v>4.9144800000000002E-4</v>
      </c>
      <c r="AC336" s="63">
        <v>4.2622200000000003E-4</v>
      </c>
      <c r="AD336" s="63">
        <v>3.09177E-4</v>
      </c>
      <c r="AE336" s="13" t="s">
        <v>93</v>
      </c>
    </row>
    <row r="337" spans="1:31">
      <c r="A337" s="13" t="s">
        <v>324</v>
      </c>
      <c r="B337" s="13" t="s">
        <v>1</v>
      </c>
      <c r="C337" s="13" t="s">
        <v>154</v>
      </c>
      <c r="D337" s="13" t="str">
        <f>IFERROR(VLOOKUP(C337,ghg_sort!$A$86:$B$512,2,0),0)</f>
        <v>International</v>
      </c>
      <c r="E337" s="33" t="s">
        <v>90</v>
      </c>
      <c r="F337" s="13">
        <f>IFERROR(VLOOKUP($E337,ghg_sort!$A$3:$B$21,2,0),0)</f>
        <v>0</v>
      </c>
      <c r="G337" s="13">
        <f t="shared" si="22"/>
        <v>0</v>
      </c>
      <c r="H337" s="13">
        <f t="shared" si="22"/>
        <v>0</v>
      </c>
      <c r="I337" s="13">
        <f t="shared" si="21"/>
        <v>0</v>
      </c>
      <c r="J337" s="13">
        <f t="shared" si="21"/>
        <v>0</v>
      </c>
      <c r="K337" s="13">
        <f t="shared" si="21"/>
        <v>0</v>
      </c>
      <c r="L337" s="13">
        <f t="shared" si="21"/>
        <v>0</v>
      </c>
      <c r="M337" s="13">
        <f t="shared" si="21"/>
        <v>0</v>
      </c>
      <c r="N337" s="13">
        <f t="shared" si="21"/>
        <v>0</v>
      </c>
      <c r="O337" s="13">
        <f t="shared" si="21"/>
        <v>0</v>
      </c>
      <c r="P337" s="13">
        <f t="shared" si="21"/>
        <v>0</v>
      </c>
      <c r="Q337" s="13">
        <f t="shared" si="20"/>
        <v>0</v>
      </c>
      <c r="R337" s="13" t="s">
        <v>239</v>
      </c>
      <c r="T337" s="63">
        <v>3.8999999999999998E-3</v>
      </c>
      <c r="U337" s="63">
        <v>3.1519999999999999E-2</v>
      </c>
      <c r="V337" s="63">
        <v>5.1720000000000002E-2</v>
      </c>
      <c r="W337" s="63">
        <v>5.6800000000000003E-2</v>
      </c>
      <c r="X337" s="63">
        <v>4.0928100000000002E-2</v>
      </c>
      <c r="Y337" s="63">
        <v>2.5207299999999998E-2</v>
      </c>
      <c r="Z337" s="63">
        <v>2.0310999999999999E-2</v>
      </c>
      <c r="AA337" s="63">
        <v>1.6805299999999999E-2</v>
      </c>
      <c r="AB337" s="63">
        <v>1.4098100000000001E-2</v>
      </c>
      <c r="AC337" s="63">
        <v>1.2227E-2</v>
      </c>
      <c r="AD337" s="63">
        <v>8.86932E-3</v>
      </c>
      <c r="AE337" s="13" t="s">
        <v>93</v>
      </c>
    </row>
    <row r="338" spans="1:31">
      <c r="A338" s="13" t="s">
        <v>324</v>
      </c>
      <c r="B338" s="13" t="s">
        <v>1</v>
      </c>
      <c r="C338" s="13" t="s">
        <v>154</v>
      </c>
      <c r="D338" s="13" t="str">
        <f>IFERROR(VLOOKUP(C338,ghg_sort!$A$86:$B$512,2,0),0)</f>
        <v>International</v>
      </c>
      <c r="E338" s="12" t="s">
        <v>91</v>
      </c>
      <c r="F338" s="13">
        <f>IFERROR(VLOOKUP($E338,ghg_sort!$A$3:$B$21,2,0),0)</f>
        <v>0</v>
      </c>
      <c r="G338" s="13">
        <f t="shared" si="22"/>
        <v>0</v>
      </c>
      <c r="H338" s="13">
        <f t="shared" si="22"/>
        <v>0</v>
      </c>
      <c r="I338" s="13">
        <f t="shared" si="21"/>
        <v>0</v>
      </c>
      <c r="J338" s="13">
        <f t="shared" si="21"/>
        <v>0</v>
      </c>
      <c r="K338" s="13">
        <f t="shared" si="21"/>
        <v>0</v>
      </c>
      <c r="L338" s="13">
        <f t="shared" si="21"/>
        <v>0</v>
      </c>
      <c r="M338" s="13">
        <f t="shared" si="21"/>
        <v>0</v>
      </c>
      <c r="N338" s="13">
        <f t="shared" si="21"/>
        <v>0</v>
      </c>
      <c r="O338" s="13">
        <f t="shared" si="21"/>
        <v>0</v>
      </c>
      <c r="P338" s="13">
        <f t="shared" si="21"/>
        <v>0</v>
      </c>
      <c r="Q338" s="13">
        <f t="shared" si="20"/>
        <v>0</v>
      </c>
      <c r="R338" s="13" t="s">
        <v>239</v>
      </c>
      <c r="T338" s="63">
        <v>1.0000000000000001E-5</v>
      </c>
      <c r="U338" s="63">
        <v>5.0000000000000002E-5</v>
      </c>
      <c r="V338" s="63">
        <v>6.9999999999999994E-5</v>
      </c>
      <c r="W338" s="63">
        <v>8.0000000000000007E-5</v>
      </c>
      <c r="X338" s="63">
        <v>5.7645200000000002E-5</v>
      </c>
      <c r="Y338" s="63">
        <v>3.5503300000000003E-5</v>
      </c>
      <c r="Z338" s="63">
        <v>2.8607099999999999E-5</v>
      </c>
      <c r="AA338" s="63">
        <v>2.3669400000000001E-5</v>
      </c>
      <c r="AB338" s="63">
        <v>1.9856499999999999E-5</v>
      </c>
      <c r="AC338" s="63">
        <v>1.72211E-5</v>
      </c>
      <c r="AD338" s="63">
        <v>1.2492E-5</v>
      </c>
      <c r="AE338" s="13" t="s">
        <v>93</v>
      </c>
    </row>
    <row r="339" spans="1:31">
      <c r="A339" s="13" t="s">
        <v>324</v>
      </c>
      <c r="B339" s="13" t="s">
        <v>1</v>
      </c>
      <c r="C339" s="13" t="s">
        <v>154</v>
      </c>
      <c r="D339" s="13" t="str">
        <f>IFERROR(VLOOKUP(C339,ghg_sort!$A$86:$B$512,2,0),0)</f>
        <v>International</v>
      </c>
      <c r="E339" s="33" t="s">
        <v>92</v>
      </c>
      <c r="F339" s="13">
        <f>IFERROR(VLOOKUP($E339,ghg_sort!$A$3:$B$21,2,0),0)</f>
        <v>0</v>
      </c>
      <c r="G339" s="13">
        <f t="shared" si="22"/>
        <v>0</v>
      </c>
      <c r="H339" s="13">
        <f t="shared" si="22"/>
        <v>0</v>
      </c>
      <c r="I339" s="13">
        <f t="shared" si="21"/>
        <v>0</v>
      </c>
      <c r="J339" s="13">
        <f t="shared" si="21"/>
        <v>0</v>
      </c>
      <c r="K339" s="13">
        <f t="shared" si="21"/>
        <v>0</v>
      </c>
      <c r="L339" s="13">
        <f t="shared" si="21"/>
        <v>0</v>
      </c>
      <c r="M339" s="13">
        <f t="shared" si="21"/>
        <v>0</v>
      </c>
      <c r="N339" s="13">
        <f t="shared" si="21"/>
        <v>0</v>
      </c>
      <c r="O339" s="13">
        <f t="shared" si="21"/>
        <v>0</v>
      </c>
      <c r="P339" s="13">
        <f t="shared" si="21"/>
        <v>0</v>
      </c>
      <c r="Q339" s="13">
        <f t="shared" si="20"/>
        <v>0</v>
      </c>
      <c r="R339" s="13" t="s">
        <v>239</v>
      </c>
      <c r="T339" s="63">
        <v>2.8195199999999997E-4</v>
      </c>
      <c r="U339" s="63">
        <v>2.4298599999999998E-3</v>
      </c>
      <c r="V339" s="63">
        <v>3.9864000000000002E-3</v>
      </c>
      <c r="W339" s="63">
        <v>4.3781799999999997E-3</v>
      </c>
      <c r="X339" s="63">
        <v>3.1547599999999999E-3</v>
      </c>
      <c r="Y339" s="63">
        <v>1.9429899999999999E-3</v>
      </c>
      <c r="Z339" s="63">
        <v>1.56558E-3</v>
      </c>
      <c r="AA339" s="63">
        <v>1.29536E-3</v>
      </c>
      <c r="AB339" s="63">
        <v>1.08669E-3</v>
      </c>
      <c r="AC339" s="63">
        <v>9.4246200000000003E-4</v>
      </c>
      <c r="AD339" s="63">
        <v>6.8365199999999998E-4</v>
      </c>
      <c r="AE339" s="13" t="s">
        <v>93</v>
      </c>
    </row>
    <row r="340" spans="1:31">
      <c r="A340" s="13" t="s">
        <v>324</v>
      </c>
      <c r="B340" s="13" t="s">
        <v>1</v>
      </c>
      <c r="C340" s="13" t="s">
        <v>155</v>
      </c>
      <c r="D340" s="13" t="str">
        <f>IFERROR(VLOOKUP(C340,ghg_sort!$A$86:$B$512,2,0),0)</f>
        <v>Transportation</v>
      </c>
      <c r="E340" s="33" t="s">
        <v>83</v>
      </c>
      <c r="F340" s="13">
        <f>IFERROR(VLOOKUP($E340,ghg_sort!$A$3:$B$21,2,0),0)</f>
        <v>0</v>
      </c>
      <c r="G340" s="13">
        <f t="shared" si="22"/>
        <v>0</v>
      </c>
      <c r="H340" s="13">
        <f t="shared" si="22"/>
        <v>0</v>
      </c>
      <c r="I340" s="13">
        <f t="shared" si="21"/>
        <v>0</v>
      </c>
      <c r="J340" s="13">
        <f t="shared" si="21"/>
        <v>0</v>
      </c>
      <c r="K340" s="13">
        <f t="shared" si="21"/>
        <v>0</v>
      </c>
      <c r="L340" s="13">
        <f t="shared" si="21"/>
        <v>0</v>
      </c>
      <c r="M340" s="13">
        <f t="shared" si="21"/>
        <v>0</v>
      </c>
      <c r="N340" s="13">
        <f t="shared" si="21"/>
        <v>0</v>
      </c>
      <c r="O340" s="13">
        <f t="shared" si="21"/>
        <v>0</v>
      </c>
      <c r="P340" s="13">
        <f t="shared" si="21"/>
        <v>0</v>
      </c>
      <c r="Q340" s="13">
        <f t="shared" si="20"/>
        <v>0</v>
      </c>
      <c r="R340" s="13" t="s">
        <v>239</v>
      </c>
      <c r="T340" s="63">
        <v>1.2743850000000001E-3</v>
      </c>
      <c r="U340" s="63">
        <v>7.5310999999999998E-4</v>
      </c>
      <c r="V340" s="63">
        <v>5.6715299999999895E-4</v>
      </c>
      <c r="W340" s="63">
        <v>2.1860369999999999E-4</v>
      </c>
      <c r="X340" s="63">
        <v>1.6316550000000001E-4</v>
      </c>
      <c r="Y340" s="63">
        <v>8.0586599999999897E-5</v>
      </c>
      <c r="Z340" s="63">
        <v>6.2345400000000001E-5</v>
      </c>
      <c r="AA340" s="63">
        <v>4.3860399999999998E-5</v>
      </c>
      <c r="AB340" s="63">
        <v>2.89197E-5</v>
      </c>
      <c r="AC340" s="63">
        <v>1.95097599999999E-5</v>
      </c>
      <c r="AD340" s="63">
        <v>7.2423799999999998E-6</v>
      </c>
      <c r="AE340" s="13" t="s">
        <v>93</v>
      </c>
    </row>
    <row r="341" spans="1:31">
      <c r="A341" s="13" t="s">
        <v>324</v>
      </c>
      <c r="B341" s="13" t="s">
        <v>1</v>
      </c>
      <c r="C341" s="13" t="s">
        <v>155</v>
      </c>
      <c r="D341" s="13" t="str">
        <f>IFERROR(VLOOKUP(C341,ghg_sort!$A$86:$B$512,2,0),0)</f>
        <v>Transportation</v>
      </c>
      <c r="E341" s="33" t="s">
        <v>84</v>
      </c>
      <c r="F341" s="13">
        <f>IFERROR(VLOOKUP($E341,ghg_sort!$A$3:$B$21,2,0),0)</f>
        <v>25</v>
      </c>
      <c r="G341" s="13">
        <f t="shared" si="22"/>
        <v>1.9669362499999975E-2</v>
      </c>
      <c r="H341" s="13">
        <f t="shared" si="22"/>
        <v>6.9193624999999998E-3</v>
      </c>
      <c r="I341" s="13">
        <f t="shared" si="21"/>
        <v>6.2516174999999998E-3</v>
      </c>
      <c r="J341" s="13">
        <f t="shared" si="21"/>
        <v>2.1677447500000001E-3</v>
      </c>
      <c r="K341" s="13">
        <f t="shared" si="21"/>
        <v>2.3775075000000002E-3</v>
      </c>
      <c r="L341" s="13">
        <f t="shared" si="21"/>
        <v>1.7563852499999999E-3</v>
      </c>
      <c r="M341" s="13">
        <f t="shared" si="21"/>
        <v>1.6277664999999998E-3</v>
      </c>
      <c r="N341" s="13">
        <f t="shared" si="21"/>
        <v>1.28136825E-3</v>
      </c>
      <c r="O341" s="13">
        <f t="shared" si="21"/>
        <v>9.1137275000000007E-4</v>
      </c>
      <c r="P341" s="13">
        <f t="shared" si="21"/>
        <v>6.1401899999999744E-4</v>
      </c>
      <c r="Q341" s="13">
        <f t="shared" si="20"/>
        <v>2.0234675000000002E-4</v>
      </c>
      <c r="R341" s="13" t="s">
        <v>239</v>
      </c>
      <c r="T341" s="63">
        <v>7.8677449999999904E-4</v>
      </c>
      <c r="U341" s="63">
        <v>2.7677449999999998E-4</v>
      </c>
      <c r="V341" s="63">
        <v>2.500647E-4</v>
      </c>
      <c r="W341" s="63">
        <v>8.670979E-5</v>
      </c>
      <c r="X341" s="63">
        <v>9.5100300000000002E-5</v>
      </c>
      <c r="Y341" s="63">
        <v>7.0255409999999999E-5</v>
      </c>
      <c r="Z341" s="63">
        <v>6.5110659999999997E-5</v>
      </c>
      <c r="AA341" s="63">
        <v>5.1254729999999998E-5</v>
      </c>
      <c r="AB341" s="63">
        <v>3.6454910000000003E-5</v>
      </c>
      <c r="AC341" s="63">
        <v>2.4560759999999899E-5</v>
      </c>
      <c r="AD341" s="63">
        <v>8.0938700000000001E-6</v>
      </c>
      <c r="AE341" s="13" t="s">
        <v>93</v>
      </c>
    </row>
    <row r="342" spans="1:31">
      <c r="A342" s="13" t="s">
        <v>324</v>
      </c>
      <c r="B342" s="13" t="s">
        <v>1</v>
      </c>
      <c r="C342" s="13" t="s">
        <v>155</v>
      </c>
      <c r="D342" s="13" t="str">
        <f>IFERROR(VLOOKUP(C342,ghg_sort!$A$86:$B$512,2,0),0)</f>
        <v>Transportation</v>
      </c>
      <c r="E342" s="33" t="s">
        <v>85</v>
      </c>
      <c r="F342" s="13">
        <f>IFERROR(VLOOKUP($E342,ghg_sort!$A$3:$B$21,2,0),0)</f>
        <v>0</v>
      </c>
      <c r="G342" s="13">
        <f t="shared" si="22"/>
        <v>0</v>
      </c>
      <c r="H342" s="13">
        <f t="shared" si="22"/>
        <v>0</v>
      </c>
      <c r="I342" s="13">
        <f t="shared" si="21"/>
        <v>0</v>
      </c>
      <c r="J342" s="13">
        <f t="shared" si="21"/>
        <v>0</v>
      </c>
      <c r="K342" s="13">
        <f t="shared" si="21"/>
        <v>0</v>
      </c>
      <c r="L342" s="13">
        <f t="shared" si="21"/>
        <v>0</v>
      </c>
      <c r="M342" s="13">
        <f t="shared" si="21"/>
        <v>0</v>
      </c>
      <c r="N342" s="13">
        <f t="shared" si="21"/>
        <v>0</v>
      </c>
      <c r="O342" s="13">
        <f t="shared" si="21"/>
        <v>0</v>
      </c>
      <c r="P342" s="13">
        <f t="shared" si="21"/>
        <v>0</v>
      </c>
      <c r="Q342" s="13">
        <f t="shared" si="20"/>
        <v>0</v>
      </c>
      <c r="R342" s="13" t="s">
        <v>239</v>
      </c>
      <c r="T342" s="63">
        <v>6.8619700000000002E-3</v>
      </c>
      <c r="U342" s="63">
        <v>4.4331300000000004E-3</v>
      </c>
      <c r="V342" s="63">
        <v>3.1786699999999898E-3</v>
      </c>
      <c r="W342" s="62">
        <v>1.3716259999999999E-3</v>
      </c>
      <c r="X342" s="63">
        <v>1.014259E-3</v>
      </c>
      <c r="Y342" s="63">
        <v>5.3800199999999999E-4</v>
      </c>
      <c r="Z342" s="63">
        <v>4.2641199999999998E-4</v>
      </c>
      <c r="AA342" s="63">
        <v>3.10333599999999E-4</v>
      </c>
      <c r="AB342" s="63">
        <v>2.1343809999999999E-4</v>
      </c>
      <c r="AC342" s="63">
        <v>1.5181369999999901E-4</v>
      </c>
      <c r="AD342" s="63">
        <v>6.2079E-5</v>
      </c>
      <c r="AE342" s="13" t="s">
        <v>93</v>
      </c>
    </row>
    <row r="343" spans="1:31">
      <c r="A343" s="13" t="s">
        <v>324</v>
      </c>
      <c r="B343" s="13" t="s">
        <v>1</v>
      </c>
      <c r="C343" s="13" t="s">
        <v>155</v>
      </c>
      <c r="D343" s="13" t="str">
        <f>IFERROR(VLOOKUP(C343,ghg_sort!$A$86:$B$512,2,0),0)</f>
        <v>Transportation</v>
      </c>
      <c r="E343" s="33" t="s">
        <v>86</v>
      </c>
      <c r="F343" s="13">
        <f>IFERROR(VLOOKUP($E343,ghg_sort!$A$3:$B$21,2,0),0)</f>
        <v>3.6666666666666701</v>
      </c>
      <c r="G343" s="13">
        <f t="shared" si="22"/>
        <v>5.0582154333333378</v>
      </c>
      <c r="H343" s="13">
        <f t="shared" si="22"/>
        <v>2.9112845666666693</v>
      </c>
      <c r="I343" s="13">
        <f t="shared" si="21"/>
        <v>2.303771800000002</v>
      </c>
      <c r="J343" s="13">
        <f t="shared" si="21"/>
        <v>0.97162120000000085</v>
      </c>
      <c r="K343" s="13">
        <f t="shared" si="21"/>
        <v>1.0546305000000009</v>
      </c>
      <c r="L343" s="13">
        <f t="shared" si="21"/>
        <v>0.84869546666666751</v>
      </c>
      <c r="M343" s="13">
        <f t="shared" si="21"/>
        <v>0.81261106666666738</v>
      </c>
      <c r="N343" s="13">
        <f t="shared" si="21"/>
        <v>0.67205783333333391</v>
      </c>
      <c r="O343" s="13">
        <f t="shared" si="21"/>
        <v>0.50698743333333018</v>
      </c>
      <c r="P343" s="13">
        <f t="shared" si="21"/>
        <v>0.36462690000000031</v>
      </c>
      <c r="Q343" s="13">
        <f t="shared" si="20"/>
        <v>0.14593626666666679</v>
      </c>
      <c r="R343" s="13" t="s">
        <v>239</v>
      </c>
      <c r="T343" s="63">
        <v>1.3795132999999999</v>
      </c>
      <c r="U343" s="63">
        <v>0.79398670000000005</v>
      </c>
      <c r="V343" s="63">
        <v>0.62830140000000001</v>
      </c>
      <c r="W343" s="63">
        <v>0.26498759999999999</v>
      </c>
      <c r="X343" s="63">
        <v>0.28762650000000001</v>
      </c>
      <c r="Y343" s="63">
        <v>0.23146240000000001</v>
      </c>
      <c r="Z343" s="63">
        <v>0.22162119999999999</v>
      </c>
      <c r="AA343" s="63">
        <v>0.18328849999999999</v>
      </c>
      <c r="AB343" s="63">
        <v>0.13826929999999901</v>
      </c>
      <c r="AC343" s="63">
        <v>9.9443699999999996E-2</v>
      </c>
      <c r="AD343" s="63">
        <v>3.9800799999999997E-2</v>
      </c>
      <c r="AE343" s="13" t="s">
        <v>94</v>
      </c>
    </row>
    <row r="344" spans="1:31">
      <c r="A344" s="13" t="s">
        <v>324</v>
      </c>
      <c r="B344" s="13" t="s">
        <v>1</v>
      </c>
      <c r="C344" s="13" t="s">
        <v>155</v>
      </c>
      <c r="D344" s="13" t="str">
        <f>IFERROR(VLOOKUP(C344,ghg_sort!$A$86:$B$512,2,0),0)</f>
        <v>Transportation</v>
      </c>
      <c r="E344" s="33" t="s">
        <v>87</v>
      </c>
      <c r="F344" s="13">
        <f>IFERROR(VLOOKUP($E344,ghg_sort!$A$3:$B$21,2,0),0)</f>
        <v>298</v>
      </c>
      <c r="G344" s="13">
        <f t="shared" si="22"/>
        <v>0.108491668</v>
      </c>
      <c r="H344" s="13">
        <f t="shared" si="22"/>
        <v>7.2712596000000004E-2</v>
      </c>
      <c r="I344" s="13">
        <f t="shared" si="21"/>
        <v>5.47746946E-2</v>
      </c>
      <c r="J344" s="13">
        <f t="shared" si="21"/>
        <v>2.5916613000000002E-2</v>
      </c>
      <c r="K344" s="13">
        <f t="shared" si="21"/>
        <v>2.7868811E-2</v>
      </c>
      <c r="L344" s="13">
        <f t="shared" si="21"/>
        <v>2.4099707000000001E-2</v>
      </c>
      <c r="M344" s="13">
        <f t="shared" si="21"/>
        <v>2.3650114400000002E-2</v>
      </c>
      <c r="N344" s="13">
        <f t="shared" si="21"/>
        <v>2.0250947599999999E-2</v>
      </c>
      <c r="O344" s="13">
        <f t="shared" si="21"/>
        <v>1.5866235199999999E-2</v>
      </c>
      <c r="P344" s="13">
        <f t="shared" si="21"/>
        <v>1.18529798E-2</v>
      </c>
      <c r="Q344" s="13">
        <f t="shared" si="20"/>
        <v>5.2067751999999995E-3</v>
      </c>
      <c r="R344" s="13" t="s">
        <v>239</v>
      </c>
      <c r="T344" s="63">
        <v>3.6406600000000002E-4</v>
      </c>
      <c r="U344" s="63">
        <v>2.44002E-4</v>
      </c>
      <c r="V344" s="63">
        <v>1.8380769999999999E-4</v>
      </c>
      <c r="W344" s="63">
        <v>8.6968500000000006E-5</v>
      </c>
      <c r="X344" s="63">
        <v>9.3519500000000005E-5</v>
      </c>
      <c r="Y344" s="63">
        <v>8.08715E-5</v>
      </c>
      <c r="Z344" s="63">
        <v>7.9362800000000005E-5</v>
      </c>
      <c r="AA344" s="63">
        <v>6.7956199999999998E-5</v>
      </c>
      <c r="AB344" s="63">
        <v>5.3242399999999997E-5</v>
      </c>
      <c r="AC344" s="63">
        <v>3.9775099999999998E-5</v>
      </c>
      <c r="AD344" s="63">
        <v>1.7472399999999999E-5</v>
      </c>
      <c r="AE344" s="13" t="s">
        <v>93</v>
      </c>
    </row>
    <row r="345" spans="1:31">
      <c r="A345" s="13" t="s">
        <v>324</v>
      </c>
      <c r="B345" s="13" t="s">
        <v>1</v>
      </c>
      <c r="C345" s="13" t="s">
        <v>155</v>
      </c>
      <c r="D345" s="13" t="str">
        <f>IFERROR(VLOOKUP(C345,ghg_sort!$A$86:$B$512,2,0),0)</f>
        <v>Transportation</v>
      </c>
      <c r="E345" s="33" t="s">
        <v>88</v>
      </c>
      <c r="F345" s="13">
        <f>IFERROR(VLOOKUP($E345,ghg_sort!$A$3:$B$21,2,0),0)</f>
        <v>0</v>
      </c>
      <c r="G345" s="13">
        <f t="shared" si="22"/>
        <v>0</v>
      </c>
      <c r="H345" s="13">
        <f t="shared" si="22"/>
        <v>0</v>
      </c>
      <c r="I345" s="13">
        <f t="shared" si="21"/>
        <v>0</v>
      </c>
      <c r="J345" s="13">
        <f t="shared" si="21"/>
        <v>0</v>
      </c>
      <c r="K345" s="13">
        <f t="shared" si="21"/>
        <v>0</v>
      </c>
      <c r="L345" s="13">
        <f t="shared" si="21"/>
        <v>0</v>
      </c>
      <c r="M345" s="13">
        <f t="shared" si="21"/>
        <v>0</v>
      </c>
      <c r="N345" s="13">
        <f t="shared" si="21"/>
        <v>0</v>
      </c>
      <c r="O345" s="13">
        <f t="shared" si="21"/>
        <v>0</v>
      </c>
      <c r="P345" s="13">
        <f t="shared" si="21"/>
        <v>0</v>
      </c>
      <c r="Q345" s="13">
        <f t="shared" si="20"/>
        <v>0</v>
      </c>
      <c r="R345" s="13" t="s">
        <v>239</v>
      </c>
      <c r="T345" s="63">
        <v>1E-4</v>
      </c>
      <c r="U345" s="63">
        <v>6.0000000000000002E-5</v>
      </c>
      <c r="V345" s="63">
        <v>4.0000000000000003E-5</v>
      </c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>
        <v>0</v>
      </c>
      <c r="AE345" s="13" t="s">
        <v>93</v>
      </c>
    </row>
    <row r="346" spans="1:31">
      <c r="A346" s="13" t="s">
        <v>324</v>
      </c>
      <c r="B346" s="13" t="s">
        <v>1</v>
      </c>
      <c r="C346" s="13" t="s">
        <v>155</v>
      </c>
      <c r="D346" s="13" t="str">
        <f>IFERROR(VLOOKUP(C346,ghg_sort!$A$86:$B$512,2,0),0)</f>
        <v>Transportation</v>
      </c>
      <c r="E346" s="33" t="s">
        <v>89</v>
      </c>
      <c r="F346" s="13">
        <f>IFERROR(VLOOKUP($E346,ghg_sort!$A$3:$B$21,2,0),0)</f>
        <v>0</v>
      </c>
      <c r="G346" s="13">
        <f t="shared" si="22"/>
        <v>0</v>
      </c>
      <c r="H346" s="13">
        <f t="shared" si="22"/>
        <v>0</v>
      </c>
      <c r="I346" s="13">
        <f t="shared" si="21"/>
        <v>0</v>
      </c>
      <c r="J346" s="13">
        <f t="shared" si="21"/>
        <v>0</v>
      </c>
      <c r="K346" s="13">
        <f t="shared" si="21"/>
        <v>0</v>
      </c>
      <c r="L346" s="13">
        <f t="shared" si="21"/>
        <v>0</v>
      </c>
      <c r="M346" s="13">
        <f t="shared" si="21"/>
        <v>0</v>
      </c>
      <c r="N346" s="13">
        <f t="shared" si="21"/>
        <v>0</v>
      </c>
      <c r="O346" s="13">
        <f t="shared" si="21"/>
        <v>0</v>
      </c>
      <c r="P346" s="13">
        <f t="shared" ref="P346:Q409" si="24">AC346*$F346</f>
        <v>0</v>
      </c>
      <c r="Q346" s="13">
        <f t="shared" si="20"/>
        <v>0</v>
      </c>
      <c r="R346" s="13" t="s">
        <v>239</v>
      </c>
      <c r="T346" s="63">
        <v>5.9898199999999999E-3</v>
      </c>
      <c r="U346" s="63">
        <v>3.4819489999999998E-3</v>
      </c>
      <c r="V346" s="63">
        <v>2.580138E-3</v>
      </c>
      <c r="W346" s="63">
        <v>9.6523099999999999E-4</v>
      </c>
      <c r="X346" s="63">
        <v>7.2165E-4</v>
      </c>
      <c r="Y346" s="63">
        <v>3.5173799999999999E-4</v>
      </c>
      <c r="Z346" s="63">
        <v>2.7083400000000002E-4</v>
      </c>
      <c r="AA346" s="63">
        <v>1.8922629999999999E-4</v>
      </c>
      <c r="AB346" s="63">
        <v>1.2380259999999999E-4</v>
      </c>
      <c r="AC346" s="63">
        <v>8.2846699999999994E-5</v>
      </c>
      <c r="AD346" s="63">
        <v>3.01115999999999E-5</v>
      </c>
      <c r="AE346" s="13" t="s">
        <v>93</v>
      </c>
    </row>
    <row r="347" spans="1:31">
      <c r="A347" s="13" t="s">
        <v>324</v>
      </c>
      <c r="B347" s="13" t="s">
        <v>1</v>
      </c>
      <c r="C347" s="13" t="s">
        <v>155</v>
      </c>
      <c r="D347" s="13" t="str">
        <f>IFERROR(VLOOKUP(C347,ghg_sort!$A$86:$B$512,2,0),0)</f>
        <v>Transportation</v>
      </c>
      <c r="E347" s="33" t="s">
        <v>90</v>
      </c>
      <c r="F347" s="13">
        <f>IFERROR(VLOOKUP($E347,ghg_sort!$A$3:$B$21,2,0),0)</f>
        <v>0</v>
      </c>
      <c r="G347" s="13">
        <f t="shared" si="22"/>
        <v>0</v>
      </c>
      <c r="H347" s="13">
        <f t="shared" si="22"/>
        <v>0</v>
      </c>
      <c r="I347" s="13">
        <f t="shared" si="22"/>
        <v>0</v>
      </c>
      <c r="J347" s="13">
        <f t="shared" si="22"/>
        <v>0</v>
      </c>
      <c r="K347" s="13">
        <f t="shared" si="22"/>
        <v>0</v>
      </c>
      <c r="L347" s="13">
        <f t="shared" si="22"/>
        <v>0</v>
      </c>
      <c r="M347" s="13">
        <f t="shared" si="22"/>
        <v>0</v>
      </c>
      <c r="N347" s="13">
        <f t="shared" si="22"/>
        <v>0</v>
      </c>
      <c r="O347" s="13">
        <f t="shared" si="22"/>
        <v>0</v>
      </c>
      <c r="P347" s="13">
        <f t="shared" si="24"/>
        <v>0</v>
      </c>
      <c r="Q347" s="13">
        <f t="shared" si="20"/>
        <v>0</v>
      </c>
      <c r="R347" s="13" t="s">
        <v>239</v>
      </c>
      <c r="T347" s="62">
        <v>0.15348989999999901</v>
      </c>
      <c r="U347" s="62">
        <v>8.3688860000000004E-2</v>
      </c>
      <c r="V347" s="62">
        <v>6.349457E-2</v>
      </c>
      <c r="W347" s="62">
        <v>2.1012679999999999E-2</v>
      </c>
      <c r="X347" s="63">
        <v>1.5852089999999999E-2</v>
      </c>
      <c r="Y347" s="63">
        <v>7.1743049999999997E-3</v>
      </c>
      <c r="Z347" s="63">
        <v>5.3703140000000002E-3</v>
      </c>
      <c r="AA347" s="63">
        <v>3.5951579999999898E-3</v>
      </c>
      <c r="AB347" s="63">
        <v>2.2354189999999898E-3</v>
      </c>
      <c r="AC347" s="63">
        <v>1.4139119999999901E-3</v>
      </c>
      <c r="AD347" s="63">
        <v>4.3494999999999997E-4</v>
      </c>
      <c r="AE347" s="13" t="s">
        <v>93</v>
      </c>
    </row>
    <row r="348" spans="1:31">
      <c r="A348" s="13" t="s">
        <v>324</v>
      </c>
      <c r="B348" s="13" t="s">
        <v>1</v>
      </c>
      <c r="C348" s="13" t="s">
        <v>155</v>
      </c>
      <c r="D348" s="13" t="str">
        <f>IFERROR(VLOOKUP(C348,ghg_sort!$A$86:$B$512,2,0),0)</f>
        <v>Transportation</v>
      </c>
      <c r="E348" s="12" t="s">
        <v>91</v>
      </c>
      <c r="F348" s="13">
        <f>IFERROR(VLOOKUP($E348,ghg_sort!$A$3:$B$21,2,0),0)</f>
        <v>0</v>
      </c>
      <c r="G348" s="13">
        <f t="shared" si="22"/>
        <v>0</v>
      </c>
      <c r="H348" s="13">
        <f t="shared" si="22"/>
        <v>0</v>
      </c>
      <c r="I348" s="13">
        <f t="shared" si="22"/>
        <v>0</v>
      </c>
      <c r="J348" s="13">
        <f t="shared" si="22"/>
        <v>0</v>
      </c>
      <c r="K348" s="13">
        <f t="shared" si="22"/>
        <v>0</v>
      </c>
      <c r="L348" s="13">
        <f t="shared" si="22"/>
        <v>0</v>
      </c>
      <c r="M348" s="13">
        <f t="shared" si="22"/>
        <v>0</v>
      </c>
      <c r="N348" s="13">
        <f t="shared" si="22"/>
        <v>0</v>
      </c>
      <c r="O348" s="13">
        <f t="shared" si="22"/>
        <v>0</v>
      </c>
      <c r="P348" s="13">
        <f t="shared" si="24"/>
        <v>0</v>
      </c>
      <c r="Q348" s="13">
        <f t="shared" si="20"/>
        <v>0</v>
      </c>
      <c r="R348" s="13" t="s">
        <v>239</v>
      </c>
      <c r="T348" s="63">
        <v>8.9038810000000002E-4</v>
      </c>
      <c r="U348" s="63">
        <v>4.9367829999999999E-4</v>
      </c>
      <c r="V348" s="63">
        <v>3.8025869999999999E-4</v>
      </c>
      <c r="W348" s="63">
        <v>1.2348430000000001E-4</v>
      </c>
      <c r="X348" s="63">
        <v>9.2777999999999998E-5</v>
      </c>
      <c r="Y348" s="63">
        <v>4.3450099999999999E-5</v>
      </c>
      <c r="Z348" s="63">
        <v>3.2962719999999997E-5</v>
      </c>
      <c r="AA348" s="63">
        <v>2.3827250000000001E-5</v>
      </c>
      <c r="AB348" s="63">
        <v>1.684564E-5</v>
      </c>
      <c r="AC348" s="63">
        <v>1.165559E-5</v>
      </c>
      <c r="AD348" s="63">
        <v>4.1833700000000001E-6</v>
      </c>
      <c r="AE348" s="13" t="s">
        <v>93</v>
      </c>
    </row>
    <row r="349" spans="1:31">
      <c r="A349" s="13" t="s">
        <v>324</v>
      </c>
      <c r="B349" s="13" t="s">
        <v>1</v>
      </c>
      <c r="C349" s="13" t="s">
        <v>155</v>
      </c>
      <c r="D349" s="13" t="str">
        <f>IFERROR(VLOOKUP(C349,ghg_sort!$A$86:$B$512,2,0),0)</f>
        <v>Transportation</v>
      </c>
      <c r="E349" s="33" t="s">
        <v>92</v>
      </c>
      <c r="F349" s="13">
        <f>IFERROR(VLOOKUP($E349,ghg_sort!$A$3:$B$21,2,0),0)</f>
        <v>0</v>
      </c>
      <c r="G349" s="13">
        <f t="shared" si="22"/>
        <v>0</v>
      </c>
      <c r="H349" s="13">
        <f t="shared" si="22"/>
        <v>0</v>
      </c>
      <c r="I349" s="13">
        <f t="shared" si="22"/>
        <v>0</v>
      </c>
      <c r="J349" s="13">
        <f t="shared" si="22"/>
        <v>0</v>
      </c>
      <c r="K349" s="13">
        <f t="shared" si="22"/>
        <v>0</v>
      </c>
      <c r="L349" s="13">
        <f t="shared" si="22"/>
        <v>0</v>
      </c>
      <c r="M349" s="13">
        <f t="shared" si="22"/>
        <v>0</v>
      </c>
      <c r="N349" s="13">
        <f t="shared" si="22"/>
        <v>0</v>
      </c>
      <c r="O349" s="13">
        <f t="shared" si="22"/>
        <v>0</v>
      </c>
      <c r="P349" s="13">
        <f t="shared" si="24"/>
        <v>0</v>
      </c>
      <c r="Q349" s="13">
        <f t="shared" si="20"/>
        <v>0</v>
      </c>
      <c r="R349" s="13" t="s">
        <v>239</v>
      </c>
      <c r="T349" s="63">
        <v>7.4487845999999996E-2</v>
      </c>
      <c r="U349" s="63">
        <v>3.5209010999999998E-2</v>
      </c>
      <c r="V349" s="63">
        <v>2.2833782899999999E-2</v>
      </c>
      <c r="W349" s="63">
        <v>2.9555256999999999E-3</v>
      </c>
      <c r="X349" s="63">
        <v>2.2369017000000001E-3</v>
      </c>
      <c r="Y349" s="63">
        <v>9.8451700000000007E-4</v>
      </c>
      <c r="Z349" s="63">
        <v>7.2860199999999996E-4</v>
      </c>
      <c r="AA349" s="63">
        <v>4.7899020000000001E-4</v>
      </c>
      <c r="AB349" s="63">
        <v>2.9102110000000001E-4</v>
      </c>
      <c r="AC349" s="63">
        <v>1.7903972999999999E-4</v>
      </c>
      <c r="AD349" s="63">
        <v>4.9950069999999999E-5</v>
      </c>
      <c r="AE349" s="13" t="s">
        <v>93</v>
      </c>
    </row>
    <row r="350" spans="1:31">
      <c r="A350" s="13" t="s">
        <v>324</v>
      </c>
      <c r="B350" s="13" t="s">
        <v>1</v>
      </c>
      <c r="C350" s="13" t="s">
        <v>156</v>
      </c>
      <c r="D350" s="13" t="str">
        <f>IFERROR(VLOOKUP(C350,ghg_sort!$A$86:$B$512,2,0),0)</f>
        <v>Transportation</v>
      </c>
      <c r="E350" s="33" t="s">
        <v>83</v>
      </c>
      <c r="F350" s="13">
        <f>IFERROR(VLOOKUP($E350,ghg_sort!$A$3:$B$21,2,0),0)</f>
        <v>0</v>
      </c>
      <c r="G350" s="13">
        <f t="shared" si="22"/>
        <v>0</v>
      </c>
      <c r="H350" s="13">
        <f t="shared" si="22"/>
        <v>0</v>
      </c>
      <c r="I350" s="13">
        <f t="shared" si="22"/>
        <v>0</v>
      </c>
      <c r="J350" s="13">
        <f t="shared" si="22"/>
        <v>0</v>
      </c>
      <c r="K350" s="13">
        <f t="shared" si="22"/>
        <v>0</v>
      </c>
      <c r="L350" s="13">
        <f t="shared" si="22"/>
        <v>0</v>
      </c>
      <c r="M350" s="13">
        <f t="shared" si="22"/>
        <v>0</v>
      </c>
      <c r="N350" s="13">
        <f t="shared" si="22"/>
        <v>0</v>
      </c>
      <c r="O350" s="13">
        <f t="shared" si="22"/>
        <v>0</v>
      </c>
      <c r="P350" s="13">
        <f t="shared" si="24"/>
        <v>0</v>
      </c>
      <c r="Q350" s="13">
        <f t="shared" si="20"/>
        <v>0</v>
      </c>
      <c r="R350" s="13" t="s">
        <v>239</v>
      </c>
      <c r="T350" s="63">
        <v>8.3585099999999996E-3</v>
      </c>
      <c r="U350" s="63">
        <v>6.2117700000000001E-3</v>
      </c>
      <c r="V350" s="63">
        <v>2.5944900000000001E-3</v>
      </c>
      <c r="W350" s="62">
        <v>2.5369400000000001E-3</v>
      </c>
      <c r="X350" s="62">
        <v>2.7148929999999999E-3</v>
      </c>
      <c r="Y350" s="62">
        <v>2.8330349999999998E-3</v>
      </c>
      <c r="Z350" s="62">
        <v>2.7421049999999999E-3</v>
      </c>
      <c r="AA350" s="62">
        <v>2.484446E-3</v>
      </c>
      <c r="AB350" s="62">
        <v>2.0635777999999999E-3</v>
      </c>
      <c r="AC350" s="63">
        <v>1.5692159E-3</v>
      </c>
      <c r="AD350" s="63">
        <v>1.09746656E-3</v>
      </c>
      <c r="AE350" s="13" t="s">
        <v>93</v>
      </c>
    </row>
    <row r="351" spans="1:31">
      <c r="A351" s="13" t="s">
        <v>324</v>
      </c>
      <c r="B351" s="13" t="s">
        <v>1</v>
      </c>
      <c r="C351" s="13" t="s">
        <v>156</v>
      </c>
      <c r="D351" s="13" t="str">
        <f>IFERROR(VLOOKUP(C351,ghg_sort!$A$86:$B$512,2,0),0)</f>
        <v>Transportation</v>
      </c>
      <c r="E351" s="33" t="s">
        <v>84</v>
      </c>
      <c r="F351" s="13">
        <f>IFERROR(VLOOKUP($E351,ghg_sort!$A$3:$B$21,2,0),0)</f>
        <v>25</v>
      </c>
      <c r="G351" s="13">
        <f t="shared" si="22"/>
        <v>3.4374250000000002E-2</v>
      </c>
      <c r="H351" s="13">
        <f t="shared" si="22"/>
        <v>0.15647149999999999</v>
      </c>
      <c r="I351" s="13">
        <f t="shared" si="22"/>
        <v>0.1905635</v>
      </c>
      <c r="J351" s="13">
        <f t="shared" si="22"/>
        <v>0.21602700000000002</v>
      </c>
      <c r="K351" s="13">
        <f t="shared" si="22"/>
        <v>0.23118075000000002</v>
      </c>
      <c r="L351" s="13">
        <f t="shared" si="22"/>
        <v>0.24123999999999998</v>
      </c>
      <c r="M351" s="13">
        <f t="shared" si="22"/>
        <v>0.23349724999999999</v>
      </c>
      <c r="N351" s="13">
        <f t="shared" si="22"/>
        <v>0.211556775</v>
      </c>
      <c r="O351" s="13">
        <f t="shared" si="22"/>
        <v>0.17571895000000001</v>
      </c>
      <c r="P351" s="13">
        <f t="shared" si="24"/>
        <v>0.13362274999999998</v>
      </c>
      <c r="Q351" s="13">
        <f t="shared" si="20"/>
        <v>9.3452159999999757E-2</v>
      </c>
      <c r="R351" s="13" t="s">
        <v>239</v>
      </c>
      <c r="T351" s="63">
        <v>1.3749700000000001E-3</v>
      </c>
      <c r="U351" s="62">
        <v>6.2588599999999998E-3</v>
      </c>
      <c r="V351" s="62">
        <v>7.6225399999999997E-3</v>
      </c>
      <c r="W351" s="63">
        <v>8.6410800000000006E-3</v>
      </c>
      <c r="X351" s="63">
        <v>9.2472300000000004E-3</v>
      </c>
      <c r="Y351" s="63">
        <v>9.6495999999999995E-3</v>
      </c>
      <c r="Z351" s="63">
        <v>9.33989E-3</v>
      </c>
      <c r="AA351" s="63">
        <v>8.4622710000000004E-3</v>
      </c>
      <c r="AB351" s="63">
        <v>7.0287580000000004E-3</v>
      </c>
      <c r="AC351" s="63">
        <v>5.3449099999999996E-3</v>
      </c>
      <c r="AD351" s="63">
        <v>3.73808639999999E-3</v>
      </c>
      <c r="AE351" s="13" t="s">
        <v>93</v>
      </c>
    </row>
    <row r="352" spans="1:31">
      <c r="A352" s="13" t="s">
        <v>324</v>
      </c>
      <c r="B352" s="13" t="s">
        <v>1</v>
      </c>
      <c r="C352" s="13" t="s">
        <v>156</v>
      </c>
      <c r="D352" s="13" t="str">
        <f>IFERROR(VLOOKUP(C352,ghg_sort!$A$86:$B$512,2,0),0)</f>
        <v>Transportation</v>
      </c>
      <c r="E352" s="33" t="s">
        <v>85</v>
      </c>
      <c r="F352" s="13">
        <f>IFERROR(VLOOKUP($E352,ghg_sort!$A$3:$B$21,2,0),0)</f>
        <v>0</v>
      </c>
      <c r="G352" s="13">
        <f t="shared" si="22"/>
        <v>0</v>
      </c>
      <c r="H352" s="13">
        <f t="shared" si="22"/>
        <v>0</v>
      </c>
      <c r="I352" s="13">
        <f t="shared" si="22"/>
        <v>0</v>
      </c>
      <c r="J352" s="13">
        <f t="shared" si="22"/>
        <v>0</v>
      </c>
      <c r="K352" s="13">
        <f t="shared" si="22"/>
        <v>0</v>
      </c>
      <c r="L352" s="13">
        <f t="shared" si="22"/>
        <v>0</v>
      </c>
      <c r="M352" s="13">
        <f t="shared" si="22"/>
        <v>0</v>
      </c>
      <c r="N352" s="13">
        <f t="shared" si="22"/>
        <v>0</v>
      </c>
      <c r="O352" s="13">
        <f t="shared" si="22"/>
        <v>0</v>
      </c>
      <c r="P352" s="13">
        <f t="shared" si="24"/>
        <v>0</v>
      </c>
      <c r="Q352" s="13">
        <f t="shared" si="20"/>
        <v>0</v>
      </c>
      <c r="R352" s="13" t="s">
        <v>239</v>
      </c>
      <c r="T352" s="63">
        <v>5.4547600000000002E-2</v>
      </c>
      <c r="U352" s="63">
        <v>0.137154</v>
      </c>
      <c r="V352" s="63">
        <v>0.126696</v>
      </c>
      <c r="W352" s="62">
        <v>9.7487900000000002E-2</v>
      </c>
      <c r="X352" s="62">
        <v>0.1043264</v>
      </c>
      <c r="Y352" s="62">
        <v>0.1088659</v>
      </c>
      <c r="Z352" s="62">
        <v>0.10537170999999999</v>
      </c>
      <c r="AA352" s="62">
        <v>9.5470570000000005E-2</v>
      </c>
      <c r="AB352" s="62">
        <v>7.929775E-2</v>
      </c>
      <c r="AC352" s="62">
        <v>6.0300809999999899E-2</v>
      </c>
      <c r="AD352" s="63">
        <v>4.2172672000000001E-2</v>
      </c>
      <c r="AE352" s="13" t="s">
        <v>93</v>
      </c>
    </row>
    <row r="353" spans="1:31">
      <c r="A353" s="13" t="s">
        <v>324</v>
      </c>
      <c r="B353" s="13" t="s">
        <v>1</v>
      </c>
      <c r="C353" s="13" t="s">
        <v>156</v>
      </c>
      <c r="D353" s="13" t="str">
        <f>IFERROR(VLOOKUP(C353,ghg_sort!$A$86:$B$512,2,0),0)</f>
        <v>Transportation</v>
      </c>
      <c r="E353" s="33" t="s">
        <v>86</v>
      </c>
      <c r="F353" s="13">
        <f>IFERROR(VLOOKUP($E353,ghg_sort!$A$3:$B$21,2,0),0)</f>
        <v>3.6666666666666701</v>
      </c>
      <c r="G353" s="13">
        <f t="shared" si="22"/>
        <v>9.4148633333333418</v>
      </c>
      <c r="H353" s="13">
        <f t="shared" si="22"/>
        <v>22.870320000000021</v>
      </c>
      <c r="I353" s="13">
        <f t="shared" si="22"/>
        <v>23.911616666666689</v>
      </c>
      <c r="J353" s="13">
        <f t="shared" si="22"/>
        <v>26.788043333333359</v>
      </c>
      <c r="K353" s="13">
        <f t="shared" si="22"/>
        <v>28.798405166666694</v>
      </c>
      <c r="L353" s="13">
        <f t="shared" si="22"/>
        <v>30.264235099999993</v>
      </c>
      <c r="M353" s="13">
        <f t="shared" si="22"/>
        <v>29.498651966666692</v>
      </c>
      <c r="N353" s="13">
        <f t="shared" si="22"/>
        <v>26.967317300000023</v>
      </c>
      <c r="O353" s="13">
        <f t="shared" si="22"/>
        <v>22.61159156666665</v>
      </c>
      <c r="P353" s="13">
        <f t="shared" si="24"/>
        <v>17.369826833333313</v>
      </c>
      <c r="Q353" s="13">
        <f t="shared" si="20"/>
        <v>12.253023933333308</v>
      </c>
      <c r="R353" s="13" t="s">
        <v>239</v>
      </c>
      <c r="T353" s="63">
        <v>2.5676899999999998</v>
      </c>
      <c r="U353" s="63">
        <v>6.2373599999999998</v>
      </c>
      <c r="V353" s="63">
        <v>6.52135</v>
      </c>
      <c r="W353" s="63">
        <v>7.3058300000000003</v>
      </c>
      <c r="X353" s="63">
        <v>7.8541105</v>
      </c>
      <c r="Y353" s="63">
        <v>8.2538822999999901</v>
      </c>
      <c r="Z353" s="63">
        <v>8.0450868999999994</v>
      </c>
      <c r="AA353" s="63">
        <v>7.3547228999999996</v>
      </c>
      <c r="AB353" s="63">
        <v>6.1667976999999903</v>
      </c>
      <c r="AC353" s="63">
        <v>4.7372254999999903</v>
      </c>
      <c r="AD353" s="63">
        <v>3.3417337999999899</v>
      </c>
      <c r="AE353" s="13" t="s">
        <v>94</v>
      </c>
    </row>
    <row r="354" spans="1:31">
      <c r="A354" s="13" t="s">
        <v>324</v>
      </c>
      <c r="B354" s="13" t="s">
        <v>1</v>
      </c>
      <c r="C354" s="13" t="s">
        <v>156</v>
      </c>
      <c r="D354" s="13" t="str">
        <f>IFERROR(VLOOKUP(C354,ghg_sort!$A$86:$B$512,2,0),0)</f>
        <v>Transportation</v>
      </c>
      <c r="E354" s="33" t="s">
        <v>87</v>
      </c>
      <c r="F354" s="13">
        <f>IFERROR(VLOOKUP($E354,ghg_sort!$A$3:$B$21,2,0),0)</f>
        <v>298</v>
      </c>
      <c r="G354" s="13">
        <f t="shared" si="22"/>
        <v>8.3103260000000012E-2</v>
      </c>
      <c r="H354" s="13">
        <f t="shared" si="22"/>
        <v>0.38637785999999996</v>
      </c>
      <c r="I354" s="13">
        <f t="shared" si="22"/>
        <v>0.35287669999999999</v>
      </c>
      <c r="J354" s="13">
        <f t="shared" si="22"/>
        <v>0.33027042000000001</v>
      </c>
      <c r="K354" s="13">
        <f t="shared" si="22"/>
        <v>0.35343634400000001</v>
      </c>
      <c r="L354" s="13">
        <f t="shared" si="22"/>
        <v>0.36881612399999697</v>
      </c>
      <c r="M354" s="13">
        <f t="shared" si="22"/>
        <v>0.35697858059999704</v>
      </c>
      <c r="N354" s="13">
        <f t="shared" si="22"/>
        <v>0.3234352834</v>
      </c>
      <c r="O354" s="13">
        <f t="shared" si="22"/>
        <v>0.26864500339999997</v>
      </c>
      <c r="P354" s="13">
        <f t="shared" si="24"/>
        <v>0.20428695659999971</v>
      </c>
      <c r="Q354" s="13">
        <f t="shared" si="20"/>
        <v>0.14287278623999969</v>
      </c>
      <c r="R354" s="13" t="s">
        <v>239</v>
      </c>
      <c r="T354" s="63">
        <v>2.7887000000000002E-4</v>
      </c>
      <c r="U354" s="62">
        <v>1.2965699999999999E-3</v>
      </c>
      <c r="V354" s="62">
        <v>1.1841499999999999E-3</v>
      </c>
      <c r="W354" s="62">
        <v>1.1082900000000001E-3</v>
      </c>
      <c r="X354" s="62">
        <v>1.186028E-3</v>
      </c>
      <c r="Y354" s="63">
        <v>1.2376379999999899E-3</v>
      </c>
      <c r="Z354" s="63">
        <v>1.1979146999999901E-3</v>
      </c>
      <c r="AA354" s="63">
        <v>1.0853532999999999E-3</v>
      </c>
      <c r="AB354" s="63">
        <v>9.0149329999999995E-4</v>
      </c>
      <c r="AC354" s="63">
        <v>6.8552669999999904E-4</v>
      </c>
      <c r="AD354" s="63">
        <v>4.7943887999999898E-4</v>
      </c>
      <c r="AE354" s="13" t="s">
        <v>93</v>
      </c>
    </row>
    <row r="355" spans="1:31">
      <c r="A355" s="13" t="s">
        <v>324</v>
      </c>
      <c r="B355" s="13" t="s">
        <v>1</v>
      </c>
      <c r="C355" s="13" t="s">
        <v>156</v>
      </c>
      <c r="D355" s="13" t="str">
        <f>IFERROR(VLOOKUP(C355,ghg_sort!$A$86:$B$512,2,0),0)</f>
        <v>Transportation</v>
      </c>
      <c r="E355" s="33" t="s">
        <v>88</v>
      </c>
      <c r="F355" s="13">
        <f>IFERROR(VLOOKUP($E355,ghg_sort!$A$3:$B$21,2,0),0)</f>
        <v>0</v>
      </c>
      <c r="G355" s="13">
        <f t="shared" si="22"/>
        <v>0</v>
      </c>
      <c r="H355" s="13">
        <f t="shared" si="22"/>
        <v>0</v>
      </c>
      <c r="I355" s="13">
        <f t="shared" si="22"/>
        <v>0</v>
      </c>
      <c r="J355" s="13">
        <f t="shared" si="22"/>
        <v>0</v>
      </c>
      <c r="K355" s="13">
        <f t="shared" si="22"/>
        <v>0</v>
      </c>
      <c r="L355" s="13">
        <f t="shared" si="22"/>
        <v>0</v>
      </c>
      <c r="M355" s="13">
        <f t="shared" si="22"/>
        <v>0</v>
      </c>
      <c r="N355" s="13">
        <f t="shared" si="22"/>
        <v>0</v>
      </c>
      <c r="O355" s="13">
        <f t="shared" si="22"/>
        <v>0</v>
      </c>
      <c r="P355" s="13">
        <f t="shared" si="24"/>
        <v>0</v>
      </c>
      <c r="Q355" s="13">
        <f t="shared" si="20"/>
        <v>0</v>
      </c>
      <c r="R355" s="13" t="s">
        <v>239</v>
      </c>
      <c r="T355" s="63">
        <v>1.56162E-4</v>
      </c>
      <c r="U355" s="63">
        <v>9.7272800000000001E-5</v>
      </c>
      <c r="V355" s="63">
        <v>6.1751600000000003E-4</v>
      </c>
      <c r="W355" s="62">
        <v>1.2352699999999999E-3</v>
      </c>
      <c r="X355" s="62">
        <v>1.321916E-3</v>
      </c>
      <c r="Y355" s="62">
        <v>1.3794429999999999E-3</v>
      </c>
      <c r="Z355" s="62">
        <v>1.335167E-3</v>
      </c>
      <c r="AA355" s="63">
        <v>1.2097091E-3</v>
      </c>
      <c r="AB355" s="63">
        <v>1.004783E-3</v>
      </c>
      <c r="AC355" s="63">
        <v>7.6407210000000001E-4</v>
      </c>
      <c r="AD355" s="63">
        <v>5.3437104999999997E-4</v>
      </c>
      <c r="AE355" s="13" t="s">
        <v>93</v>
      </c>
    </row>
    <row r="356" spans="1:31">
      <c r="A356" s="13" t="s">
        <v>324</v>
      </c>
      <c r="B356" s="13" t="s">
        <v>1</v>
      </c>
      <c r="C356" s="13" t="s">
        <v>156</v>
      </c>
      <c r="D356" s="13" t="str">
        <f>IFERROR(VLOOKUP(C356,ghg_sort!$A$86:$B$512,2,0),0)</f>
        <v>Transportation</v>
      </c>
      <c r="E356" s="33" t="s">
        <v>89</v>
      </c>
      <c r="F356" s="13">
        <f>IFERROR(VLOOKUP($E356,ghg_sort!$A$3:$B$21,2,0),0)</f>
        <v>0</v>
      </c>
      <c r="G356" s="13">
        <f t="shared" si="22"/>
        <v>0</v>
      </c>
      <c r="H356" s="13">
        <f t="shared" si="22"/>
        <v>0</v>
      </c>
      <c r="I356" s="13">
        <f t="shared" si="22"/>
        <v>0</v>
      </c>
      <c r="J356" s="13">
        <f t="shared" si="22"/>
        <v>0</v>
      </c>
      <c r="K356" s="13">
        <f t="shared" si="22"/>
        <v>0</v>
      </c>
      <c r="L356" s="13">
        <f t="shared" si="22"/>
        <v>0</v>
      </c>
      <c r="M356" s="13">
        <f t="shared" si="22"/>
        <v>0</v>
      </c>
      <c r="N356" s="13">
        <f t="shared" si="22"/>
        <v>0</v>
      </c>
      <c r="O356" s="13">
        <f t="shared" si="22"/>
        <v>0</v>
      </c>
      <c r="P356" s="13">
        <f t="shared" si="24"/>
        <v>0</v>
      </c>
      <c r="Q356" s="13">
        <f t="shared" si="20"/>
        <v>0</v>
      </c>
      <c r="R356" s="13" t="s">
        <v>239</v>
      </c>
      <c r="T356" s="62">
        <v>6.6216599999999997E-3</v>
      </c>
      <c r="U356" s="62">
        <v>1.71995E-2</v>
      </c>
      <c r="V356" s="63">
        <v>1.25778E-2</v>
      </c>
      <c r="W356" s="63">
        <v>1.0696199999999999E-2</v>
      </c>
      <c r="X356" s="63">
        <v>1.144647E-2</v>
      </c>
      <c r="Y356" s="63">
        <v>1.194453E-2</v>
      </c>
      <c r="Z356" s="63">
        <v>1.1561172E-2</v>
      </c>
      <c r="AA356" s="63">
        <v>1.0474818999999899E-2</v>
      </c>
      <c r="AB356" s="63">
        <v>8.7003849999999997E-3</v>
      </c>
      <c r="AC356" s="63">
        <v>6.6160760000000002E-3</v>
      </c>
      <c r="AD356" s="63">
        <v>4.6271073999999898E-3</v>
      </c>
      <c r="AE356" s="13" t="s">
        <v>93</v>
      </c>
    </row>
    <row r="357" spans="1:31">
      <c r="A357" s="13" t="s">
        <v>324</v>
      </c>
      <c r="B357" s="13" t="s">
        <v>1</v>
      </c>
      <c r="C357" s="13" t="s">
        <v>156</v>
      </c>
      <c r="D357" s="13" t="str">
        <f>IFERROR(VLOOKUP(C357,ghg_sort!$A$86:$B$512,2,0),0)</f>
        <v>Transportation</v>
      </c>
      <c r="E357" s="33" t="s">
        <v>90</v>
      </c>
      <c r="F357" s="13">
        <f>IFERROR(VLOOKUP($E357,ghg_sort!$A$3:$B$21,2,0),0)</f>
        <v>0</v>
      </c>
      <c r="G357" s="13">
        <f t="shared" si="22"/>
        <v>0</v>
      </c>
      <c r="H357" s="13">
        <f t="shared" si="22"/>
        <v>0</v>
      </c>
      <c r="I357" s="13">
        <f t="shared" si="22"/>
        <v>0</v>
      </c>
      <c r="J357" s="13">
        <f t="shared" si="22"/>
        <v>0</v>
      </c>
      <c r="K357" s="13">
        <f t="shared" si="22"/>
        <v>0</v>
      </c>
      <c r="L357" s="13">
        <f t="shared" si="22"/>
        <v>0</v>
      </c>
      <c r="M357" s="13">
        <f t="shared" si="22"/>
        <v>0</v>
      </c>
      <c r="N357" s="13">
        <f t="shared" si="22"/>
        <v>0</v>
      </c>
      <c r="O357" s="13">
        <f t="shared" si="22"/>
        <v>0</v>
      </c>
      <c r="P357" s="13">
        <f t="shared" si="24"/>
        <v>0</v>
      </c>
      <c r="Q357" s="13">
        <f t="shared" si="20"/>
        <v>0</v>
      </c>
      <c r="R357" s="13" t="s">
        <v>239</v>
      </c>
      <c r="T357" s="63">
        <v>0.13123399999999999</v>
      </c>
      <c r="U357" s="63">
        <v>0.246724</v>
      </c>
      <c r="V357" s="63">
        <v>0.14915600000000001</v>
      </c>
      <c r="W357" s="63">
        <v>0.14507800000000001</v>
      </c>
      <c r="X357" s="63">
        <v>0.15525520000000001</v>
      </c>
      <c r="Y357" s="63">
        <v>0.16201069999999901</v>
      </c>
      <c r="Z357" s="63">
        <v>0.15681010000000001</v>
      </c>
      <c r="AA357" s="63">
        <v>0.1420758</v>
      </c>
      <c r="AB357" s="63">
        <v>0.11800816</v>
      </c>
      <c r="AC357" s="63">
        <v>8.9737479999999994E-2</v>
      </c>
      <c r="AD357" s="63">
        <v>6.2759982999999894E-2</v>
      </c>
      <c r="AE357" s="13" t="s">
        <v>93</v>
      </c>
    </row>
    <row r="358" spans="1:31">
      <c r="A358" s="13" t="s">
        <v>324</v>
      </c>
      <c r="B358" s="13" t="s">
        <v>1</v>
      </c>
      <c r="C358" s="13" t="s">
        <v>156</v>
      </c>
      <c r="D358" s="13" t="str">
        <f>IFERROR(VLOOKUP(C358,ghg_sort!$A$86:$B$512,2,0),0)</f>
        <v>Transportation</v>
      </c>
      <c r="E358" s="12" t="s">
        <v>91</v>
      </c>
      <c r="F358" s="13">
        <f>IFERROR(VLOOKUP($E358,ghg_sort!$A$3:$B$21,2,0),0)</f>
        <v>0</v>
      </c>
      <c r="G358" s="13">
        <f t="shared" si="22"/>
        <v>0</v>
      </c>
      <c r="H358" s="13">
        <f t="shared" si="22"/>
        <v>0</v>
      </c>
      <c r="I358" s="13">
        <f t="shared" si="22"/>
        <v>0</v>
      </c>
      <c r="J358" s="13">
        <f t="shared" si="22"/>
        <v>0</v>
      </c>
      <c r="K358" s="13">
        <f t="shared" si="22"/>
        <v>0</v>
      </c>
      <c r="L358" s="13">
        <f t="shared" si="22"/>
        <v>0</v>
      </c>
      <c r="M358" s="13">
        <f t="shared" si="22"/>
        <v>0</v>
      </c>
      <c r="N358" s="13">
        <f t="shared" si="22"/>
        <v>0</v>
      </c>
      <c r="O358" s="13">
        <f t="shared" si="22"/>
        <v>0</v>
      </c>
      <c r="P358" s="13">
        <f t="shared" si="24"/>
        <v>0</v>
      </c>
      <c r="Q358" s="13">
        <f t="shared" si="20"/>
        <v>0</v>
      </c>
      <c r="R358" s="13" t="s">
        <v>239</v>
      </c>
      <c r="T358" s="63">
        <v>2.98124E-3</v>
      </c>
      <c r="U358" s="63">
        <v>4.0281900000000001E-3</v>
      </c>
      <c r="V358" s="63">
        <v>1.5020599999999999E-3</v>
      </c>
      <c r="W358" s="63">
        <v>1.3772400000000001E-3</v>
      </c>
      <c r="X358" s="63">
        <v>1.4738469999999999E-3</v>
      </c>
      <c r="Y358" s="63">
        <v>1.53797799999999E-3</v>
      </c>
      <c r="Z358" s="63">
        <v>1.488622E-3</v>
      </c>
      <c r="AA358" s="63">
        <v>1.3487397999999999E-3</v>
      </c>
      <c r="AB358" s="63">
        <v>1.1202642999999901E-3</v>
      </c>
      <c r="AC358" s="63">
        <v>8.5188739999999998E-4</v>
      </c>
      <c r="AD358" s="63">
        <v>5.9578631000000001E-4</v>
      </c>
      <c r="AE358" s="13" t="s">
        <v>93</v>
      </c>
    </row>
    <row r="359" spans="1:31">
      <c r="A359" s="13" t="s">
        <v>324</v>
      </c>
      <c r="B359" s="13" t="s">
        <v>1</v>
      </c>
      <c r="C359" s="13" t="s">
        <v>156</v>
      </c>
      <c r="D359" s="13" t="str">
        <f>IFERROR(VLOOKUP(C359,ghg_sort!$A$86:$B$512,2,0),0)</f>
        <v>Transportation</v>
      </c>
      <c r="E359" s="33" t="s">
        <v>92</v>
      </c>
      <c r="F359" s="13">
        <f>IFERROR(VLOOKUP($E359,ghg_sort!$A$3:$B$21,2,0),0)</f>
        <v>0</v>
      </c>
      <c r="G359" s="13">
        <f t="shared" si="22"/>
        <v>0</v>
      </c>
      <c r="H359" s="13">
        <f t="shared" si="22"/>
        <v>0</v>
      </c>
      <c r="I359" s="13">
        <f t="shared" si="22"/>
        <v>0</v>
      </c>
      <c r="J359" s="13">
        <f t="shared" si="22"/>
        <v>0</v>
      </c>
      <c r="K359" s="13">
        <f t="shared" si="22"/>
        <v>0</v>
      </c>
      <c r="L359" s="13">
        <f t="shared" si="22"/>
        <v>0</v>
      </c>
      <c r="M359" s="13">
        <f t="shared" si="22"/>
        <v>0</v>
      </c>
      <c r="N359" s="13">
        <f t="shared" si="22"/>
        <v>0</v>
      </c>
      <c r="O359" s="13">
        <f t="shared" si="22"/>
        <v>0</v>
      </c>
      <c r="P359" s="13">
        <f t="shared" si="24"/>
        <v>0</v>
      </c>
      <c r="Q359" s="13">
        <f t="shared" si="20"/>
        <v>0</v>
      </c>
      <c r="R359" s="13" t="s">
        <v>239</v>
      </c>
      <c r="T359" s="63">
        <v>5.3683699999999999E-3</v>
      </c>
      <c r="U359" s="62">
        <v>2.0508000000000002E-3</v>
      </c>
      <c r="V359" s="63">
        <v>2.8205100000000001E-4</v>
      </c>
      <c r="W359" s="63">
        <v>6.2947599999999993E-5</v>
      </c>
      <c r="X359" s="63">
        <v>6.7363199999999999E-5</v>
      </c>
      <c r="Y359" s="63">
        <v>7.0294339999999998E-5</v>
      </c>
      <c r="Z359" s="63">
        <v>6.8038159999999999E-5</v>
      </c>
      <c r="AA359" s="63">
        <v>6.1644999999999997E-5</v>
      </c>
      <c r="AB359" s="63">
        <v>5.1202319999999902E-5</v>
      </c>
      <c r="AC359" s="63">
        <v>3.8936054999999998E-5</v>
      </c>
      <c r="AD359" s="63">
        <v>2.7230846300000001E-5</v>
      </c>
      <c r="AE359" s="13" t="s">
        <v>93</v>
      </c>
    </row>
    <row r="360" spans="1:31">
      <c r="A360" s="13" t="s">
        <v>324</v>
      </c>
      <c r="B360" s="13" t="s">
        <v>1</v>
      </c>
      <c r="C360" s="13" t="s">
        <v>157</v>
      </c>
      <c r="D360" s="13" t="str">
        <f>IFERROR(VLOOKUP(C360,ghg_sort!$A$86:$B$512,2,0),0)</f>
        <v>Transportation</v>
      </c>
      <c r="E360" s="33" t="s">
        <v>83</v>
      </c>
      <c r="F360" s="13">
        <f>IFERROR(VLOOKUP($E360,ghg_sort!$A$3:$B$21,2,0),0)</f>
        <v>0</v>
      </c>
      <c r="G360" s="13">
        <f t="shared" si="22"/>
        <v>0</v>
      </c>
      <c r="H360" s="13">
        <f t="shared" si="22"/>
        <v>0</v>
      </c>
      <c r="I360" s="13">
        <f t="shared" si="22"/>
        <v>0</v>
      </c>
      <c r="J360" s="13">
        <f t="shared" si="22"/>
        <v>0</v>
      </c>
      <c r="K360" s="13">
        <f t="shared" si="22"/>
        <v>0</v>
      </c>
      <c r="L360" s="13">
        <f t="shared" si="22"/>
        <v>0</v>
      </c>
      <c r="M360" s="13">
        <f t="shared" si="22"/>
        <v>0</v>
      </c>
      <c r="N360" s="13">
        <f t="shared" si="22"/>
        <v>0</v>
      </c>
      <c r="O360" s="13">
        <f t="shared" si="22"/>
        <v>0</v>
      </c>
      <c r="P360" s="13">
        <f t="shared" si="24"/>
        <v>0</v>
      </c>
      <c r="Q360" s="13">
        <f t="shared" si="20"/>
        <v>0</v>
      </c>
      <c r="R360" s="13" t="s">
        <v>239</v>
      </c>
      <c r="T360" s="63">
        <v>4.4623199999999899E-4</v>
      </c>
      <c r="U360" s="63">
        <v>3.9022710000000002E-4</v>
      </c>
      <c r="V360" s="63">
        <v>2.5604300000000001E-4</v>
      </c>
      <c r="W360" s="63">
        <v>1.9460189999999901E-4</v>
      </c>
      <c r="X360" s="63">
        <v>1.5484440000000001E-4</v>
      </c>
      <c r="Y360" s="63">
        <v>1.121583E-4</v>
      </c>
      <c r="Z360" s="63">
        <v>9.8582699999999994E-5</v>
      </c>
      <c r="AA360" s="63">
        <v>8.7937700000000003E-5</v>
      </c>
      <c r="AB360" s="63">
        <v>7.7940899999999998E-5</v>
      </c>
      <c r="AC360" s="63">
        <v>6.9516699999999998E-5</v>
      </c>
      <c r="AD360" s="63">
        <v>5.1599299999999999E-5</v>
      </c>
      <c r="AE360" s="13" t="s">
        <v>93</v>
      </c>
    </row>
    <row r="361" spans="1:31">
      <c r="A361" s="13" t="s">
        <v>324</v>
      </c>
      <c r="B361" s="13" t="s">
        <v>1</v>
      </c>
      <c r="C361" s="13" t="s">
        <v>157</v>
      </c>
      <c r="D361" s="13" t="str">
        <f>IFERROR(VLOOKUP(C361,ghg_sort!$A$86:$B$512,2,0),0)</f>
        <v>Transportation</v>
      </c>
      <c r="E361" s="33" t="s">
        <v>84</v>
      </c>
      <c r="F361" s="13">
        <f>IFERROR(VLOOKUP($E361,ghg_sort!$A$3:$B$21,2,0),0)</f>
        <v>25</v>
      </c>
      <c r="G361" s="13">
        <f t="shared" si="22"/>
        <v>8.3063750000000002E-4</v>
      </c>
      <c r="H361" s="13">
        <f t="shared" si="22"/>
        <v>8.3063750000000002E-4</v>
      </c>
      <c r="I361" s="13">
        <f t="shared" si="22"/>
        <v>4.9838249999999997E-4</v>
      </c>
      <c r="J361" s="13">
        <f t="shared" si="22"/>
        <v>3.32255E-4</v>
      </c>
      <c r="K361" s="13">
        <f t="shared" si="22"/>
        <v>3.4182E-4</v>
      </c>
      <c r="L361" s="13">
        <f t="shared" si="22"/>
        <v>3.3825499999999998E-4</v>
      </c>
      <c r="M361" s="13">
        <f t="shared" si="22"/>
        <v>3.3308250000000001E-4</v>
      </c>
      <c r="N361" s="13">
        <f t="shared" si="22"/>
        <v>3.2527249999999999E-4</v>
      </c>
      <c r="O361" s="13">
        <f t="shared" si="22"/>
        <v>3.1311750000000003E-4</v>
      </c>
      <c r="P361" s="13">
        <f t="shared" si="24"/>
        <v>2.9743249999999999E-4</v>
      </c>
      <c r="Q361" s="13">
        <f t="shared" si="20"/>
        <v>2.6137250000000001E-4</v>
      </c>
      <c r="R361" s="13" t="s">
        <v>239</v>
      </c>
      <c r="T361" s="63">
        <v>3.3225500000000002E-5</v>
      </c>
      <c r="U361" s="63">
        <v>3.3225500000000002E-5</v>
      </c>
      <c r="V361" s="63">
        <v>1.9935299999999999E-5</v>
      </c>
      <c r="W361" s="63">
        <v>1.32902E-5</v>
      </c>
      <c r="X361" s="63">
        <v>1.3672800000000001E-5</v>
      </c>
      <c r="Y361" s="63">
        <v>1.35302E-5</v>
      </c>
      <c r="Z361" s="63">
        <v>1.33233E-5</v>
      </c>
      <c r="AA361" s="63">
        <v>1.3010899999999999E-5</v>
      </c>
      <c r="AB361" s="63">
        <v>1.2524700000000001E-5</v>
      </c>
      <c r="AC361" s="63">
        <v>1.18973E-5</v>
      </c>
      <c r="AD361" s="63">
        <v>1.04549E-5</v>
      </c>
      <c r="AE361" s="13" t="s">
        <v>93</v>
      </c>
    </row>
    <row r="362" spans="1:31">
      <c r="A362" s="13" t="s">
        <v>324</v>
      </c>
      <c r="B362" s="13" t="s">
        <v>1</v>
      </c>
      <c r="C362" s="13" t="s">
        <v>157</v>
      </c>
      <c r="D362" s="13" t="str">
        <f>IFERROR(VLOOKUP(C362,ghg_sort!$A$86:$B$512,2,0),0)</f>
        <v>Transportation</v>
      </c>
      <c r="E362" s="33" t="s">
        <v>85</v>
      </c>
      <c r="F362" s="13">
        <f>IFERROR(VLOOKUP($E362,ghg_sort!$A$3:$B$21,2,0),0)</f>
        <v>0</v>
      </c>
      <c r="G362" s="13">
        <f t="shared" si="22"/>
        <v>0</v>
      </c>
      <c r="H362" s="13">
        <f t="shared" si="22"/>
        <v>0</v>
      </c>
      <c r="I362" s="13">
        <f t="shared" si="22"/>
        <v>0</v>
      </c>
      <c r="J362" s="13">
        <f t="shared" si="22"/>
        <v>0</v>
      </c>
      <c r="K362" s="13">
        <f t="shared" si="22"/>
        <v>0</v>
      </c>
      <c r="L362" s="13">
        <f t="shared" si="22"/>
        <v>0</v>
      </c>
      <c r="M362" s="13">
        <f t="shared" si="22"/>
        <v>0</v>
      </c>
      <c r="N362" s="13">
        <f t="shared" si="22"/>
        <v>0</v>
      </c>
      <c r="O362" s="13">
        <f t="shared" si="22"/>
        <v>0</v>
      </c>
      <c r="P362" s="13">
        <f t="shared" si="24"/>
        <v>0</v>
      </c>
      <c r="Q362" s="13">
        <f t="shared" si="24"/>
        <v>0</v>
      </c>
      <c r="R362" s="13" t="s">
        <v>239</v>
      </c>
      <c r="T362" s="63">
        <v>1.0818029999999999E-2</v>
      </c>
      <c r="U362" s="63">
        <v>8.2368700000000003E-3</v>
      </c>
      <c r="V362" s="63">
        <v>3.82133E-3</v>
      </c>
      <c r="W362" s="63">
        <v>5.6683699999999998E-3</v>
      </c>
      <c r="X362" s="63">
        <v>5.5728199999999896E-3</v>
      </c>
      <c r="Y362" s="63">
        <v>5.0822020000000001E-3</v>
      </c>
      <c r="Z362" s="63">
        <v>4.9099069999999998E-3</v>
      </c>
      <c r="AA362" s="63">
        <v>4.6453939999999997E-3</v>
      </c>
      <c r="AB362" s="63">
        <v>4.2829809999999999E-3</v>
      </c>
      <c r="AC362" s="63">
        <v>3.8344910000000002E-3</v>
      </c>
      <c r="AD362" s="63">
        <v>2.687254E-3</v>
      </c>
      <c r="AE362" s="13" t="s">
        <v>93</v>
      </c>
    </row>
    <row r="363" spans="1:31">
      <c r="A363" s="13" t="s">
        <v>324</v>
      </c>
      <c r="B363" s="13" t="s">
        <v>1</v>
      </c>
      <c r="C363" s="13" t="s">
        <v>157</v>
      </c>
      <c r="D363" s="13" t="str">
        <f>IFERROR(VLOOKUP(C363,ghg_sort!$A$86:$B$512,2,0),0)</f>
        <v>Transportation</v>
      </c>
      <c r="E363" s="33" t="s">
        <v>86</v>
      </c>
      <c r="F363" s="13">
        <f>IFERROR(VLOOKUP($E363,ghg_sort!$A$3:$B$21,2,0),0)</f>
        <v>3.6666666666666701</v>
      </c>
      <c r="G363" s="13">
        <f t="shared" si="22"/>
        <v>6.3019835999999687</v>
      </c>
      <c r="H363" s="13">
        <f t="shared" si="22"/>
        <v>1.4662779999999975</v>
      </c>
      <c r="I363" s="13">
        <f t="shared" si="22"/>
        <v>1.6585066666666681</v>
      </c>
      <c r="J363" s="13">
        <f t="shared" si="22"/>
        <v>2.0509243333333353</v>
      </c>
      <c r="K363" s="13">
        <f t="shared" si="22"/>
        <v>2.1899423333333319</v>
      </c>
      <c r="L363" s="13">
        <f t="shared" si="22"/>
        <v>2.1623616666666687</v>
      </c>
      <c r="M363" s="13">
        <f t="shared" si="22"/>
        <v>2.1397236666666686</v>
      </c>
      <c r="N363" s="13">
        <f t="shared" si="22"/>
        <v>2.0646009999999984</v>
      </c>
      <c r="O363" s="13">
        <f t="shared" si="22"/>
        <v>1.9406786666666684</v>
      </c>
      <c r="P363" s="13">
        <f t="shared" si="24"/>
        <v>1.7703986666666682</v>
      </c>
      <c r="Q363" s="13">
        <f t="shared" si="24"/>
        <v>1.3279420000000013</v>
      </c>
      <c r="R363" s="13" t="s">
        <v>239</v>
      </c>
      <c r="T363" s="62">
        <v>1.7187227999999899</v>
      </c>
      <c r="U363" s="62">
        <v>0.39989399999999897</v>
      </c>
      <c r="V363" s="62">
        <v>0.45232</v>
      </c>
      <c r="W363" s="63">
        <v>0.55934300000000003</v>
      </c>
      <c r="X363" s="63">
        <v>0.59725699999999904</v>
      </c>
      <c r="Y363" s="63">
        <v>0.58973500000000001</v>
      </c>
      <c r="Z363" s="63">
        <v>0.583561</v>
      </c>
      <c r="AA363" s="63">
        <v>0.56307299999999905</v>
      </c>
      <c r="AB363" s="63">
        <v>0.52927599999999997</v>
      </c>
      <c r="AC363" s="63">
        <v>0.48283599999999999</v>
      </c>
      <c r="AD363" s="63">
        <v>0.36216599999999999</v>
      </c>
      <c r="AE363" s="13" t="s">
        <v>94</v>
      </c>
    </row>
    <row r="364" spans="1:31">
      <c r="A364" s="13" t="s">
        <v>324</v>
      </c>
      <c r="B364" s="13" t="s">
        <v>1</v>
      </c>
      <c r="C364" s="13" t="s">
        <v>157</v>
      </c>
      <c r="D364" s="13" t="str">
        <f>IFERROR(VLOOKUP(C364,ghg_sort!$A$86:$B$512,2,0),0)</f>
        <v>Transportation</v>
      </c>
      <c r="E364" s="33" t="s">
        <v>87</v>
      </c>
      <c r="F364" s="13">
        <f>IFERROR(VLOOKUP($E364,ghg_sort!$A$3:$B$21,2,0),0)</f>
        <v>298</v>
      </c>
      <c r="G364" s="13">
        <f t="shared" si="22"/>
        <v>0.115008332</v>
      </c>
      <c r="H364" s="13">
        <f t="shared" si="22"/>
        <v>9.1187404E-2</v>
      </c>
      <c r="I364" s="13">
        <f t="shared" si="22"/>
        <v>5.2505216E-2</v>
      </c>
      <c r="J364" s="13">
        <f t="shared" si="22"/>
        <v>5.7523387000000002E-2</v>
      </c>
      <c r="K364" s="13">
        <f t="shared" si="22"/>
        <v>6.0844537400000002E-2</v>
      </c>
      <c r="L364" s="13">
        <f t="shared" si="22"/>
        <v>6.0111248799999704E-2</v>
      </c>
      <c r="M364" s="13">
        <f t="shared" si="22"/>
        <v>5.9409101200000002E-2</v>
      </c>
      <c r="N364" s="13">
        <f t="shared" si="22"/>
        <v>5.7496596800000001E-2</v>
      </c>
      <c r="O364" s="13">
        <f t="shared" si="22"/>
        <v>5.4374272000000001E-2</v>
      </c>
      <c r="P364" s="13">
        <f t="shared" si="24"/>
        <v>5.0129262000000001E-2</v>
      </c>
      <c r="Q364" s="13">
        <f t="shared" si="24"/>
        <v>3.9308524400000003E-2</v>
      </c>
      <c r="R364" s="13" t="s">
        <v>239</v>
      </c>
      <c r="T364" s="63">
        <v>3.8593399999999999E-4</v>
      </c>
      <c r="U364" s="63">
        <v>3.0599799999999998E-4</v>
      </c>
      <c r="V364" s="63">
        <v>1.7619200000000001E-4</v>
      </c>
      <c r="W364" s="63">
        <v>1.9303150000000001E-4</v>
      </c>
      <c r="X364" s="63">
        <v>2.041763E-4</v>
      </c>
      <c r="Y364" s="63">
        <v>2.01715599999999E-4</v>
      </c>
      <c r="Z364" s="63">
        <v>1.993594E-4</v>
      </c>
      <c r="AA364" s="63">
        <v>1.9294160000000001E-4</v>
      </c>
      <c r="AB364" s="63">
        <v>1.8246399999999999E-4</v>
      </c>
      <c r="AC364" s="63">
        <v>1.68219E-4</v>
      </c>
      <c r="AD364" s="63">
        <v>1.3190780000000001E-4</v>
      </c>
      <c r="AE364" s="13" t="s">
        <v>93</v>
      </c>
    </row>
    <row r="365" spans="1:31">
      <c r="A365" s="13" t="s">
        <v>324</v>
      </c>
      <c r="B365" s="13" t="s">
        <v>1</v>
      </c>
      <c r="C365" s="13" t="s">
        <v>157</v>
      </c>
      <c r="D365" s="13" t="str">
        <f>IFERROR(VLOOKUP(C365,ghg_sort!$A$86:$B$512,2,0),0)</f>
        <v>Transportation</v>
      </c>
      <c r="E365" s="33" t="s">
        <v>88</v>
      </c>
      <c r="F365" s="13">
        <f>IFERROR(VLOOKUP($E365,ghg_sort!$A$3:$B$21,2,0),0)</f>
        <v>0</v>
      </c>
      <c r="G365" s="13">
        <f t="shared" si="22"/>
        <v>0</v>
      </c>
      <c r="H365" s="13">
        <f t="shared" si="22"/>
        <v>0</v>
      </c>
      <c r="I365" s="13">
        <f t="shared" si="22"/>
        <v>0</v>
      </c>
      <c r="J365" s="13">
        <f t="shared" si="22"/>
        <v>0</v>
      </c>
      <c r="K365" s="13">
        <f t="shared" si="22"/>
        <v>0</v>
      </c>
      <c r="L365" s="13">
        <f t="shared" si="22"/>
        <v>0</v>
      </c>
      <c r="M365" s="13">
        <f t="shared" si="22"/>
        <v>0</v>
      </c>
      <c r="N365" s="13">
        <f t="shared" si="22"/>
        <v>0</v>
      </c>
      <c r="O365" s="13">
        <f t="shared" si="22"/>
        <v>0</v>
      </c>
      <c r="P365" s="13">
        <f t="shared" si="24"/>
        <v>0</v>
      </c>
      <c r="Q365" s="13">
        <f t="shared" si="24"/>
        <v>0</v>
      </c>
      <c r="R365" s="13" t="s">
        <v>239</v>
      </c>
      <c r="T365" s="63">
        <v>2.9999999999999997E-4</v>
      </c>
      <c r="U365" s="63">
        <v>1.9000000000000001E-4</v>
      </c>
      <c r="V365" s="63">
        <v>5.0000000000000002E-5</v>
      </c>
      <c r="W365" s="63">
        <v>1.9000000000000001E-4</v>
      </c>
      <c r="X365" s="63">
        <v>2.0608700000000001E-4</v>
      </c>
      <c r="Y365" s="63">
        <v>2.0330700000000001E-4</v>
      </c>
      <c r="Z365" s="63">
        <v>2.01583E-4</v>
      </c>
      <c r="AA365" s="63">
        <v>1.93544E-4</v>
      </c>
      <c r="AB365" s="63">
        <v>1.8010300000000001E-4</v>
      </c>
      <c r="AC365" s="63">
        <v>1.6138200000000001E-4</v>
      </c>
      <c r="AD365" s="63">
        <v>1.11575E-4</v>
      </c>
      <c r="AE365" s="13" t="s">
        <v>93</v>
      </c>
    </row>
    <row r="366" spans="1:31">
      <c r="A366" s="13" t="s">
        <v>324</v>
      </c>
      <c r="B366" s="13" t="s">
        <v>1</v>
      </c>
      <c r="C366" s="13" t="s">
        <v>157</v>
      </c>
      <c r="D366" s="13" t="str">
        <f>IFERROR(VLOOKUP(C366,ghg_sort!$A$86:$B$512,2,0),0)</f>
        <v>Transportation</v>
      </c>
      <c r="E366" s="33" t="s">
        <v>89</v>
      </c>
      <c r="F366" s="13">
        <f>IFERROR(VLOOKUP($E366,ghg_sort!$A$3:$B$21,2,0),0)</f>
        <v>0</v>
      </c>
      <c r="G366" s="13">
        <f t="shared" si="22"/>
        <v>0</v>
      </c>
      <c r="H366" s="13">
        <f t="shared" si="22"/>
        <v>0</v>
      </c>
      <c r="I366" s="13">
        <f t="shared" si="22"/>
        <v>0</v>
      </c>
      <c r="J366" s="13">
        <f t="shared" si="22"/>
        <v>0</v>
      </c>
      <c r="K366" s="13">
        <f t="shared" si="22"/>
        <v>0</v>
      </c>
      <c r="L366" s="13">
        <f t="shared" si="22"/>
        <v>0</v>
      </c>
      <c r="M366" s="13">
        <f t="shared" si="22"/>
        <v>0</v>
      </c>
      <c r="N366" s="13">
        <f t="shared" si="22"/>
        <v>0</v>
      </c>
      <c r="O366" s="13">
        <f t="shared" si="22"/>
        <v>0</v>
      </c>
      <c r="P366" s="13">
        <f t="shared" si="24"/>
        <v>0</v>
      </c>
      <c r="Q366" s="13">
        <f t="shared" si="24"/>
        <v>0</v>
      </c>
      <c r="R366" s="13" t="s">
        <v>239</v>
      </c>
      <c r="T366" s="63">
        <v>2.5301799999999999E-3</v>
      </c>
      <c r="U366" s="63">
        <v>1.8180500000000001E-3</v>
      </c>
      <c r="V366" s="63">
        <v>1.1198599999999901E-3</v>
      </c>
      <c r="W366" s="63">
        <v>7.7476900000000002E-4</v>
      </c>
      <c r="X366" s="63">
        <v>6.2018499999999999E-4</v>
      </c>
      <c r="Y366" s="63">
        <v>4.5286099999999999E-4</v>
      </c>
      <c r="Z366" s="63">
        <v>3.99589E-4</v>
      </c>
      <c r="AA366" s="63">
        <v>3.5736699999999998E-4</v>
      </c>
      <c r="AB366" s="63">
        <v>3.1731799999999997E-4</v>
      </c>
      <c r="AC366" s="63">
        <v>2.8307099999999997E-4</v>
      </c>
      <c r="AD366" s="63">
        <v>2.0955870000000001E-4</v>
      </c>
      <c r="AE366" s="13" t="s">
        <v>93</v>
      </c>
    </row>
    <row r="367" spans="1:31">
      <c r="A367" s="13" t="s">
        <v>324</v>
      </c>
      <c r="B367" s="13" t="s">
        <v>1</v>
      </c>
      <c r="C367" s="13" t="s">
        <v>157</v>
      </c>
      <c r="D367" s="13" t="str">
        <f>IFERROR(VLOOKUP(C367,ghg_sort!$A$86:$B$512,2,0),0)</f>
        <v>Transportation</v>
      </c>
      <c r="E367" s="33" t="s">
        <v>90</v>
      </c>
      <c r="F367" s="13">
        <f>IFERROR(VLOOKUP($E367,ghg_sort!$A$3:$B$21,2,0),0)</f>
        <v>0</v>
      </c>
      <c r="G367" s="13">
        <f t="shared" si="22"/>
        <v>0</v>
      </c>
      <c r="H367" s="13">
        <f t="shared" si="22"/>
        <v>0</v>
      </c>
      <c r="I367" s="13">
        <f t="shared" si="22"/>
        <v>0</v>
      </c>
      <c r="J367" s="13">
        <f t="shared" si="22"/>
        <v>0</v>
      </c>
      <c r="K367" s="13">
        <f t="shared" si="22"/>
        <v>0</v>
      </c>
      <c r="L367" s="13">
        <f t="shared" si="22"/>
        <v>0</v>
      </c>
      <c r="M367" s="13">
        <f t="shared" si="22"/>
        <v>0</v>
      </c>
      <c r="N367" s="13">
        <f t="shared" si="22"/>
        <v>0</v>
      </c>
      <c r="O367" s="13">
        <f t="shared" si="22"/>
        <v>0</v>
      </c>
      <c r="P367" s="13">
        <f t="shared" si="24"/>
        <v>0</v>
      </c>
      <c r="Q367" s="13">
        <f t="shared" si="24"/>
        <v>0</v>
      </c>
      <c r="R367" s="13" t="s">
        <v>239</v>
      </c>
      <c r="T367" s="62">
        <v>3.05300999999999E-2</v>
      </c>
      <c r="U367" s="62">
        <v>2.2611139999999998E-2</v>
      </c>
      <c r="V367" s="62">
        <v>1.00154299999999E-2</v>
      </c>
      <c r="W367" s="62">
        <v>1.6447320000000001E-2</v>
      </c>
      <c r="X367" s="62">
        <v>1.21293599999999E-2</v>
      </c>
      <c r="Y367" s="62">
        <v>7.29220999999999E-3</v>
      </c>
      <c r="Z367" s="62">
        <v>5.8168100000000004E-3</v>
      </c>
      <c r="AA367" s="63">
        <v>4.7500499999999996E-3</v>
      </c>
      <c r="AB367" s="63">
        <v>3.8765470000000002E-3</v>
      </c>
      <c r="AC367" s="63">
        <v>3.28911499999999E-3</v>
      </c>
      <c r="AD367" s="63">
        <v>2.2232390000000001E-3</v>
      </c>
      <c r="AE367" s="13" t="s">
        <v>93</v>
      </c>
    </row>
    <row r="368" spans="1:31">
      <c r="A368" s="13" t="s">
        <v>324</v>
      </c>
      <c r="B368" s="13" t="s">
        <v>1</v>
      </c>
      <c r="C368" s="13" t="s">
        <v>157</v>
      </c>
      <c r="D368" s="13" t="str">
        <f>IFERROR(VLOOKUP(C368,ghg_sort!$A$86:$B$512,2,0),0)</f>
        <v>Transportation</v>
      </c>
      <c r="E368" s="12" t="s">
        <v>91</v>
      </c>
      <c r="F368" s="13">
        <f>IFERROR(VLOOKUP($E368,ghg_sort!$A$3:$B$21,2,0),0)</f>
        <v>0</v>
      </c>
      <c r="G368" s="13">
        <f t="shared" si="22"/>
        <v>0</v>
      </c>
      <c r="H368" s="13">
        <f t="shared" si="22"/>
        <v>0</v>
      </c>
      <c r="I368" s="13">
        <f t="shared" si="22"/>
        <v>0</v>
      </c>
      <c r="J368" s="13">
        <f t="shared" si="22"/>
        <v>0</v>
      </c>
      <c r="K368" s="13">
        <f t="shared" ref="K368:Q416" si="25">X368*$F368</f>
        <v>0</v>
      </c>
      <c r="L368" s="13">
        <f t="shared" si="25"/>
        <v>0</v>
      </c>
      <c r="M368" s="13">
        <f t="shared" si="25"/>
        <v>0</v>
      </c>
      <c r="N368" s="13">
        <f t="shared" si="25"/>
        <v>0</v>
      </c>
      <c r="O368" s="13">
        <f t="shared" si="25"/>
        <v>0</v>
      </c>
      <c r="P368" s="13">
        <f t="shared" si="24"/>
        <v>0</v>
      </c>
      <c r="Q368" s="13">
        <f t="shared" si="24"/>
        <v>0</v>
      </c>
      <c r="R368" s="13" t="s">
        <v>239</v>
      </c>
      <c r="T368" s="63">
        <v>1.59612E-4</v>
      </c>
      <c r="U368" s="63">
        <v>1.26322E-4</v>
      </c>
      <c r="V368" s="63">
        <v>8.9741300000000001E-5</v>
      </c>
      <c r="W368" s="63">
        <v>6.6515700000000004E-5</v>
      </c>
      <c r="X368" s="63">
        <v>5.4632899999999997E-5</v>
      </c>
      <c r="Y368" s="63">
        <v>4.1251699999999997E-5</v>
      </c>
      <c r="Z368" s="63">
        <v>3.69698E-5</v>
      </c>
      <c r="AA368" s="63">
        <v>3.3404400000000002E-5</v>
      </c>
      <c r="AB368" s="63">
        <v>3.0187200000000001E-5</v>
      </c>
      <c r="AC368" s="63">
        <v>2.76541E-5</v>
      </c>
      <c r="AD368" s="63">
        <v>2.1118029999999999E-5</v>
      </c>
      <c r="AE368" s="13" t="s">
        <v>93</v>
      </c>
    </row>
    <row r="369" spans="1:31">
      <c r="A369" s="13" t="s">
        <v>324</v>
      </c>
      <c r="B369" s="13" t="s">
        <v>1</v>
      </c>
      <c r="C369" s="13" t="s">
        <v>157</v>
      </c>
      <c r="D369" s="13" t="str">
        <f>IFERROR(VLOOKUP(C369,ghg_sort!$A$86:$B$512,2,0),0)</f>
        <v>Transportation</v>
      </c>
      <c r="E369" s="33" t="s">
        <v>92</v>
      </c>
      <c r="F369" s="13">
        <f>IFERROR(VLOOKUP($E369,ghg_sort!$A$3:$B$21,2,0),0)</f>
        <v>0</v>
      </c>
      <c r="G369" s="13">
        <f t="shared" ref="G369:M420" si="26">T369*$F369</f>
        <v>0</v>
      </c>
      <c r="H369" s="13">
        <f t="shared" si="26"/>
        <v>0</v>
      </c>
      <c r="I369" s="13">
        <f t="shared" si="26"/>
        <v>0</v>
      </c>
      <c r="J369" s="13">
        <f t="shared" si="26"/>
        <v>0</v>
      </c>
      <c r="K369" s="13">
        <f t="shared" si="25"/>
        <v>0</v>
      </c>
      <c r="L369" s="13">
        <f t="shared" si="25"/>
        <v>0</v>
      </c>
      <c r="M369" s="13">
        <f t="shared" si="25"/>
        <v>0</v>
      </c>
      <c r="N369" s="13">
        <f t="shared" si="25"/>
        <v>0</v>
      </c>
      <c r="O369" s="13">
        <f t="shared" si="25"/>
        <v>0</v>
      </c>
      <c r="P369" s="13">
        <f t="shared" si="24"/>
        <v>0</v>
      </c>
      <c r="Q369" s="13">
        <f t="shared" si="24"/>
        <v>0</v>
      </c>
      <c r="R369" s="13" t="s">
        <v>239</v>
      </c>
      <c r="T369" s="63">
        <v>2.4357720000000001E-3</v>
      </c>
      <c r="U369" s="63">
        <v>1.6381060000000001E-3</v>
      </c>
      <c r="V369" s="63">
        <v>5.4672E-4</v>
      </c>
      <c r="W369" s="63">
        <v>1.4693729999999999E-3</v>
      </c>
      <c r="X369" s="63">
        <v>1.0931792E-3</v>
      </c>
      <c r="Y369" s="63">
        <v>6.5688960000000001E-4</v>
      </c>
      <c r="Z369" s="63">
        <v>5.2457290000000004E-4</v>
      </c>
      <c r="AA369" s="63">
        <v>4.2718260000000001E-4</v>
      </c>
      <c r="AB369" s="63">
        <v>3.4666390000000002E-4</v>
      </c>
      <c r="AC369" s="63">
        <v>2.9119629999999899E-4</v>
      </c>
      <c r="AD369" s="63">
        <v>1.8806030000000001E-4</v>
      </c>
      <c r="AE369" s="13" t="s">
        <v>93</v>
      </c>
    </row>
    <row r="370" spans="1:31">
      <c r="A370" s="13" t="s">
        <v>324</v>
      </c>
      <c r="B370" s="13" t="s">
        <v>1</v>
      </c>
      <c r="C370" s="13" t="s">
        <v>158</v>
      </c>
      <c r="D370" s="13" t="str">
        <f>IFERROR(VLOOKUP(C370,ghg_sort!$A$86:$B$512,2,0),0)</f>
        <v>Transportation</v>
      </c>
      <c r="E370" s="33" t="s">
        <v>83</v>
      </c>
      <c r="F370" s="13">
        <f>IFERROR(VLOOKUP($E370,ghg_sort!$A$3:$B$21,2,0),0)</f>
        <v>0</v>
      </c>
      <c r="G370" s="13">
        <f t="shared" si="26"/>
        <v>0</v>
      </c>
      <c r="H370" s="13">
        <f t="shared" si="26"/>
        <v>0</v>
      </c>
      <c r="I370" s="13">
        <f t="shared" si="26"/>
        <v>0</v>
      </c>
      <c r="J370" s="13">
        <f t="shared" si="26"/>
        <v>0</v>
      </c>
      <c r="K370" s="13">
        <f t="shared" si="25"/>
        <v>0</v>
      </c>
      <c r="L370" s="13">
        <f t="shared" si="25"/>
        <v>0</v>
      </c>
      <c r="M370" s="13">
        <f t="shared" si="25"/>
        <v>0</v>
      </c>
      <c r="N370" s="13">
        <f t="shared" si="25"/>
        <v>0</v>
      </c>
      <c r="O370" s="13">
        <f t="shared" si="25"/>
        <v>0</v>
      </c>
      <c r="P370" s="13">
        <f t="shared" si="24"/>
        <v>0</v>
      </c>
      <c r="Q370" s="13">
        <f t="shared" si="24"/>
        <v>0</v>
      </c>
      <c r="R370" s="13" t="s">
        <v>239</v>
      </c>
      <c r="T370" s="63">
        <v>1.3596E-2</v>
      </c>
      <c r="U370" s="63">
        <v>6.58947E-3</v>
      </c>
      <c r="V370" s="63">
        <v>2.8546700000000001E-3</v>
      </c>
      <c r="W370" s="63">
        <v>3.4372199999999999E-3</v>
      </c>
      <c r="X370" s="63">
        <v>2.3324700000000001E-3</v>
      </c>
      <c r="Y370" s="63">
        <v>1.11151E-3</v>
      </c>
      <c r="Z370" s="63">
        <v>6.7199100000000004E-4</v>
      </c>
      <c r="AA370" s="63">
        <v>4.2675900000000003E-4</v>
      </c>
      <c r="AB370" s="63">
        <v>3.1143300000000001E-4</v>
      </c>
      <c r="AC370" s="63">
        <v>2.4626699999999999E-4</v>
      </c>
      <c r="AD370" s="63">
        <v>1.64196E-4</v>
      </c>
      <c r="AE370" s="13" t="s">
        <v>93</v>
      </c>
    </row>
    <row r="371" spans="1:31">
      <c r="A371" s="13" t="s">
        <v>324</v>
      </c>
      <c r="B371" s="13" t="s">
        <v>1</v>
      </c>
      <c r="C371" s="13" t="s">
        <v>158</v>
      </c>
      <c r="D371" s="13" t="str">
        <f>IFERROR(VLOOKUP(C371,ghg_sort!$A$86:$B$512,2,0),0)</f>
        <v>Transportation</v>
      </c>
      <c r="E371" s="33" t="s">
        <v>84</v>
      </c>
      <c r="F371" s="13">
        <f>IFERROR(VLOOKUP($E371,ghg_sort!$A$3:$B$21,2,0),0)</f>
        <v>25</v>
      </c>
      <c r="G371" s="13">
        <f t="shared" si="26"/>
        <v>8.7402000000000001E-3</v>
      </c>
      <c r="H371" s="13">
        <f t="shared" si="26"/>
        <v>2.4050393E-2</v>
      </c>
      <c r="I371" s="13">
        <f t="shared" si="26"/>
        <v>4.4712339749999996E-2</v>
      </c>
      <c r="J371" s="13">
        <f t="shared" si="26"/>
        <v>4.8090152999999997E-2</v>
      </c>
      <c r="K371" s="13">
        <f t="shared" si="25"/>
        <v>4.74518315E-2</v>
      </c>
      <c r="L371" s="13">
        <f t="shared" si="25"/>
        <v>3.7167220250000001E-2</v>
      </c>
      <c r="M371" s="13">
        <f t="shared" si="25"/>
        <v>2.7912947E-2</v>
      </c>
      <c r="N371" s="13">
        <f t="shared" si="25"/>
        <v>2.0942812499999998E-2</v>
      </c>
      <c r="O371" s="13">
        <f t="shared" si="25"/>
        <v>1.758213825E-2</v>
      </c>
      <c r="P371" s="13">
        <f t="shared" si="24"/>
        <v>1.4907736999999999E-2</v>
      </c>
      <c r="Q371" s="13">
        <f t="shared" si="24"/>
        <v>1.0866541E-2</v>
      </c>
      <c r="R371" s="13" t="s">
        <v>239</v>
      </c>
      <c r="T371" s="63">
        <v>3.49608E-4</v>
      </c>
      <c r="U371" s="63">
        <v>9.6201572000000003E-4</v>
      </c>
      <c r="V371" s="63">
        <v>1.78849359E-3</v>
      </c>
      <c r="W371" s="63">
        <v>1.92360612E-3</v>
      </c>
      <c r="X371" s="63">
        <v>1.8980732599999999E-3</v>
      </c>
      <c r="Y371" s="63">
        <v>1.4866888099999999E-3</v>
      </c>
      <c r="Z371" s="63">
        <v>1.11651788E-3</v>
      </c>
      <c r="AA371" s="63">
        <v>8.3771249999999996E-4</v>
      </c>
      <c r="AB371" s="63">
        <v>7.0328553000000005E-4</v>
      </c>
      <c r="AC371" s="63">
        <v>5.9630947999999998E-4</v>
      </c>
      <c r="AD371" s="63">
        <v>4.3466164000000002E-4</v>
      </c>
      <c r="AE371" s="13" t="s">
        <v>93</v>
      </c>
    </row>
    <row r="372" spans="1:31">
      <c r="A372" s="13" t="s">
        <v>324</v>
      </c>
      <c r="B372" s="13" t="s">
        <v>1</v>
      </c>
      <c r="C372" s="13" t="s">
        <v>158</v>
      </c>
      <c r="D372" s="13" t="str">
        <f>IFERROR(VLOOKUP(C372,ghg_sort!$A$86:$B$512,2,0),0)</f>
        <v>Transportation</v>
      </c>
      <c r="E372" s="33" t="s">
        <v>85</v>
      </c>
      <c r="F372" s="13">
        <f>IFERROR(VLOOKUP($E372,ghg_sort!$A$3:$B$21,2,0),0)</f>
        <v>0</v>
      </c>
      <c r="G372" s="13">
        <f t="shared" si="26"/>
        <v>0</v>
      </c>
      <c r="H372" s="13">
        <f t="shared" si="26"/>
        <v>0</v>
      </c>
      <c r="I372" s="13">
        <f t="shared" si="26"/>
        <v>0</v>
      </c>
      <c r="J372" s="13">
        <f t="shared" si="26"/>
        <v>0</v>
      </c>
      <c r="K372" s="13">
        <f t="shared" si="25"/>
        <v>0</v>
      </c>
      <c r="L372" s="13">
        <f t="shared" si="25"/>
        <v>0</v>
      </c>
      <c r="M372" s="13">
        <f t="shared" si="25"/>
        <v>0</v>
      </c>
      <c r="N372" s="13">
        <f t="shared" si="25"/>
        <v>0</v>
      </c>
      <c r="O372" s="13">
        <f t="shared" si="25"/>
        <v>0</v>
      </c>
      <c r="P372" s="13">
        <f t="shared" si="24"/>
        <v>0</v>
      </c>
      <c r="Q372" s="13">
        <f t="shared" si="24"/>
        <v>0</v>
      </c>
      <c r="R372" s="13" t="s">
        <v>239</v>
      </c>
      <c r="T372" s="63">
        <v>1.2928200000000001E-2</v>
      </c>
      <c r="U372" s="63">
        <v>2.2478156020000001E-2</v>
      </c>
      <c r="V372" s="63">
        <v>3.446382119E-2</v>
      </c>
      <c r="W372" s="63">
        <v>2.9757809289999999E-2</v>
      </c>
      <c r="X372" s="63">
        <v>2.0195264589999901E-2</v>
      </c>
      <c r="Y372" s="63">
        <v>1.153247653E-2</v>
      </c>
      <c r="Z372" s="63">
        <v>8.6535483199999992E-3</v>
      </c>
      <c r="AA372" s="63">
        <v>6.4869673899999999E-3</v>
      </c>
      <c r="AB372" s="63">
        <v>5.4410869100000002E-3</v>
      </c>
      <c r="AC372" s="63">
        <v>4.6087988899999998E-3</v>
      </c>
      <c r="AD372" s="63">
        <v>3.3540301699999998E-3</v>
      </c>
      <c r="AE372" s="13" t="s">
        <v>93</v>
      </c>
    </row>
    <row r="373" spans="1:31">
      <c r="A373" s="13" t="s">
        <v>324</v>
      </c>
      <c r="B373" s="13" t="s">
        <v>1</v>
      </c>
      <c r="C373" s="13" t="s">
        <v>158</v>
      </c>
      <c r="D373" s="13" t="str">
        <f>IFERROR(VLOOKUP(C373,ghg_sort!$A$86:$B$512,2,0),0)</f>
        <v>Transportation</v>
      </c>
      <c r="E373" s="33" t="s">
        <v>86</v>
      </c>
      <c r="F373" s="13">
        <f>IFERROR(VLOOKUP($E373,ghg_sort!$A$3:$B$21,2,0),0)</f>
        <v>3.6666666666666701</v>
      </c>
      <c r="G373" s="13">
        <f t="shared" si="26"/>
        <v>6.1170266666666722</v>
      </c>
      <c r="H373" s="13">
        <f t="shared" si="26"/>
        <v>15.555030333333349</v>
      </c>
      <c r="I373" s="13">
        <f t="shared" si="26"/>
        <v>17.734607000000018</v>
      </c>
      <c r="J373" s="13">
        <f t="shared" si="26"/>
        <v>19.906241666666688</v>
      </c>
      <c r="K373" s="13">
        <f t="shared" si="25"/>
        <v>20.348650666666686</v>
      </c>
      <c r="L373" s="13">
        <f t="shared" si="25"/>
        <v>16.546112000000015</v>
      </c>
      <c r="M373" s="13">
        <f t="shared" si="25"/>
        <v>12.857339000000012</v>
      </c>
      <c r="N373" s="13">
        <f t="shared" si="25"/>
        <v>9.979845333333305</v>
      </c>
      <c r="O373" s="13">
        <f t="shared" si="25"/>
        <v>8.6650483333333419</v>
      </c>
      <c r="P373" s="13">
        <f t="shared" si="24"/>
        <v>7.6170380000000062</v>
      </c>
      <c r="Q373" s="13">
        <f t="shared" si="24"/>
        <v>5.867455000000005</v>
      </c>
      <c r="R373" s="13" t="s">
        <v>239</v>
      </c>
      <c r="T373" s="63">
        <v>1.66828</v>
      </c>
      <c r="U373" s="63">
        <v>4.2422810000000002</v>
      </c>
      <c r="V373" s="63">
        <v>4.8367110000000002</v>
      </c>
      <c r="W373" s="63">
        <v>5.4289750000000003</v>
      </c>
      <c r="X373" s="63">
        <v>5.5496319999999999</v>
      </c>
      <c r="Y373" s="63">
        <v>4.5125760000000001</v>
      </c>
      <c r="Z373" s="63">
        <v>3.5065469999999999</v>
      </c>
      <c r="AA373" s="63">
        <v>2.72177599999999</v>
      </c>
      <c r="AB373" s="63">
        <v>2.3631950000000002</v>
      </c>
      <c r="AC373" s="63">
        <v>2.0773739999999998</v>
      </c>
      <c r="AD373" s="63">
        <v>1.6002149999999999</v>
      </c>
      <c r="AE373" s="13" t="s">
        <v>94</v>
      </c>
    </row>
    <row r="374" spans="1:31">
      <c r="A374" s="13" t="s">
        <v>324</v>
      </c>
      <c r="B374" s="13" t="s">
        <v>1</v>
      </c>
      <c r="C374" s="13" t="s">
        <v>158</v>
      </c>
      <c r="D374" s="13" t="str">
        <f>IFERROR(VLOOKUP(C374,ghg_sort!$A$86:$B$512,2,0),0)</f>
        <v>Transportation</v>
      </c>
      <c r="E374" s="33" t="s">
        <v>87</v>
      </c>
      <c r="F374" s="13">
        <f>IFERROR(VLOOKUP($E374,ghg_sort!$A$3:$B$21,2,0),0)</f>
        <v>298</v>
      </c>
      <c r="G374" s="13">
        <f t="shared" si="26"/>
        <v>2.23695488E-2</v>
      </c>
      <c r="H374" s="13">
        <f t="shared" si="26"/>
        <v>0.117911746</v>
      </c>
      <c r="I374" s="13">
        <f t="shared" si="26"/>
        <v>0.15359188199999999</v>
      </c>
      <c r="J374" s="13">
        <f t="shared" si="26"/>
        <v>0.172607858</v>
      </c>
      <c r="K374" s="13">
        <f t="shared" si="25"/>
        <v>0.17016694000000002</v>
      </c>
      <c r="L374" s="13">
        <f t="shared" si="25"/>
        <v>0.13315563799999999</v>
      </c>
      <c r="M374" s="13">
        <f t="shared" si="25"/>
        <v>9.9908672000000004E-2</v>
      </c>
      <c r="N374" s="13">
        <f t="shared" si="25"/>
        <v>7.4889784000000001E-2</v>
      </c>
      <c r="O374" s="13">
        <f t="shared" si="25"/>
        <v>6.2811248E-2</v>
      </c>
      <c r="P374" s="13">
        <f t="shared" si="24"/>
        <v>5.3199257999999999E-2</v>
      </c>
      <c r="Q374" s="13">
        <f t="shared" si="24"/>
        <v>3.8710795999999999E-2</v>
      </c>
      <c r="R374" s="13" t="s">
        <v>239</v>
      </c>
      <c r="T374" s="63">
        <v>7.5065600000000002E-5</v>
      </c>
      <c r="U374" s="63">
        <v>3.9567699999999999E-4</v>
      </c>
      <c r="V374" s="63">
        <v>5.1540899999999998E-4</v>
      </c>
      <c r="W374" s="63">
        <v>5.7922099999999999E-4</v>
      </c>
      <c r="X374" s="63">
        <v>5.7103000000000004E-4</v>
      </c>
      <c r="Y374" s="63">
        <v>4.4683100000000002E-4</v>
      </c>
      <c r="Z374" s="63">
        <v>3.3526399999999999E-4</v>
      </c>
      <c r="AA374" s="63">
        <v>2.51308E-4</v>
      </c>
      <c r="AB374" s="63">
        <v>2.10776E-4</v>
      </c>
      <c r="AC374" s="63">
        <v>1.7852100000000001E-4</v>
      </c>
      <c r="AD374" s="63">
        <v>1.2990199999999999E-4</v>
      </c>
      <c r="AE374" s="13" t="s">
        <v>93</v>
      </c>
    </row>
    <row r="375" spans="1:31">
      <c r="A375" s="13" t="s">
        <v>324</v>
      </c>
      <c r="B375" s="13" t="s">
        <v>1</v>
      </c>
      <c r="C375" s="13" t="s">
        <v>158</v>
      </c>
      <c r="D375" s="13" t="str">
        <f>IFERROR(VLOOKUP(C375,ghg_sort!$A$86:$B$512,2,0),0)</f>
        <v>Transportation</v>
      </c>
      <c r="E375" s="33" t="s">
        <v>88</v>
      </c>
      <c r="F375" s="13">
        <f>IFERROR(VLOOKUP($E375,ghg_sort!$A$3:$B$21,2,0),0)</f>
        <v>0</v>
      </c>
      <c r="G375" s="13">
        <f t="shared" si="26"/>
        <v>0</v>
      </c>
      <c r="H375" s="13">
        <f t="shared" si="26"/>
        <v>0</v>
      </c>
      <c r="I375" s="13">
        <f t="shared" si="26"/>
        <v>0</v>
      </c>
      <c r="J375" s="13">
        <f t="shared" si="26"/>
        <v>0</v>
      </c>
      <c r="K375" s="13">
        <f t="shared" si="25"/>
        <v>0</v>
      </c>
      <c r="L375" s="13">
        <f t="shared" si="25"/>
        <v>0</v>
      </c>
      <c r="M375" s="13">
        <f t="shared" si="25"/>
        <v>0</v>
      </c>
      <c r="N375" s="13">
        <f t="shared" si="25"/>
        <v>0</v>
      </c>
      <c r="O375" s="13">
        <f t="shared" si="25"/>
        <v>0</v>
      </c>
      <c r="P375" s="13">
        <f t="shared" si="24"/>
        <v>0</v>
      </c>
      <c r="Q375" s="13">
        <f t="shared" si="24"/>
        <v>0</v>
      </c>
      <c r="R375" s="13" t="s">
        <v>239</v>
      </c>
      <c r="T375" s="63">
        <v>1.26878E-4</v>
      </c>
      <c r="U375" s="63">
        <v>6.5081375399999995E-5</v>
      </c>
      <c r="V375" s="63">
        <v>1.19339090999999E-4</v>
      </c>
      <c r="W375" s="63">
        <v>1.5566700100000001E-4</v>
      </c>
      <c r="X375" s="63">
        <v>1.5350898799999999E-4</v>
      </c>
      <c r="Y375" s="63">
        <v>1.20157768E-4</v>
      </c>
      <c r="Z375" s="63">
        <v>9.0182726999999993E-5</v>
      </c>
      <c r="AA375" s="63">
        <v>6.7619696999999997E-5</v>
      </c>
      <c r="AB375" s="63">
        <v>5.67311239999999E-5</v>
      </c>
      <c r="AC375" s="63">
        <v>4.8066326000000002E-5</v>
      </c>
      <c r="AD375" s="63">
        <v>3.4995135999999998E-5</v>
      </c>
      <c r="AE375" s="13" t="s">
        <v>93</v>
      </c>
    </row>
    <row r="376" spans="1:31">
      <c r="A376" s="13" t="s">
        <v>324</v>
      </c>
      <c r="B376" s="13" t="s">
        <v>1</v>
      </c>
      <c r="C376" s="13" t="s">
        <v>158</v>
      </c>
      <c r="D376" s="13" t="str">
        <f>IFERROR(VLOOKUP(C376,ghg_sort!$A$86:$B$512,2,0),0)</f>
        <v>Transportation</v>
      </c>
      <c r="E376" s="33" t="s">
        <v>89</v>
      </c>
      <c r="F376" s="13">
        <f>IFERROR(VLOOKUP($E376,ghg_sort!$A$3:$B$21,2,0),0)</f>
        <v>0</v>
      </c>
      <c r="G376" s="13">
        <f t="shared" si="26"/>
        <v>0</v>
      </c>
      <c r="H376" s="13">
        <f t="shared" si="26"/>
        <v>0</v>
      </c>
      <c r="I376" s="13">
        <f t="shared" si="26"/>
        <v>0</v>
      </c>
      <c r="J376" s="13">
        <f t="shared" si="26"/>
        <v>0</v>
      </c>
      <c r="K376" s="13">
        <f t="shared" si="25"/>
        <v>0</v>
      </c>
      <c r="L376" s="13">
        <f t="shared" si="25"/>
        <v>0</v>
      </c>
      <c r="M376" s="13">
        <f t="shared" si="25"/>
        <v>0</v>
      </c>
      <c r="N376" s="13">
        <f t="shared" si="25"/>
        <v>0</v>
      </c>
      <c r="O376" s="13">
        <f t="shared" si="25"/>
        <v>0</v>
      </c>
      <c r="P376" s="13">
        <f t="shared" si="24"/>
        <v>0</v>
      </c>
      <c r="Q376" s="13">
        <f t="shared" si="24"/>
        <v>0</v>
      </c>
      <c r="R376" s="13" t="s">
        <v>239</v>
      </c>
      <c r="T376" s="63">
        <v>1.7490100000000001E-3</v>
      </c>
      <c r="U376" s="63">
        <v>3.4698759799999999E-3</v>
      </c>
      <c r="V376" s="63">
        <v>3.56922199E-3</v>
      </c>
      <c r="W376" s="63">
        <v>3.39847146E-3</v>
      </c>
      <c r="X376" s="63">
        <v>2.3070927299999999E-3</v>
      </c>
      <c r="Y376" s="63">
        <v>1.1003893499999999E-3</v>
      </c>
      <c r="Z376" s="63">
        <v>7.6340636999999896E-4</v>
      </c>
      <c r="AA376" s="63">
        <v>5.7244418999999997E-4</v>
      </c>
      <c r="AB376" s="63">
        <v>4.8029784999999999E-4</v>
      </c>
      <c r="AC376" s="63">
        <v>4.0697056999999999E-4</v>
      </c>
      <c r="AD376" s="63">
        <v>2.9633288999999998E-4</v>
      </c>
      <c r="AE376" s="13" t="s">
        <v>93</v>
      </c>
    </row>
    <row r="377" spans="1:31">
      <c r="A377" s="13" t="s">
        <v>324</v>
      </c>
      <c r="B377" s="13" t="s">
        <v>1</v>
      </c>
      <c r="C377" s="13" t="s">
        <v>158</v>
      </c>
      <c r="D377" s="13" t="str">
        <f>IFERROR(VLOOKUP(C377,ghg_sort!$A$86:$B$512,2,0),0)</f>
        <v>Transportation</v>
      </c>
      <c r="E377" s="33" t="s">
        <v>90</v>
      </c>
      <c r="F377" s="13">
        <f>IFERROR(VLOOKUP($E377,ghg_sort!$A$3:$B$21,2,0),0)</f>
        <v>0</v>
      </c>
      <c r="G377" s="13">
        <f t="shared" si="26"/>
        <v>0</v>
      </c>
      <c r="H377" s="13">
        <f t="shared" si="26"/>
        <v>0</v>
      </c>
      <c r="I377" s="13">
        <f t="shared" si="26"/>
        <v>0</v>
      </c>
      <c r="J377" s="13">
        <f t="shared" si="26"/>
        <v>0</v>
      </c>
      <c r="K377" s="13">
        <f t="shared" si="25"/>
        <v>0</v>
      </c>
      <c r="L377" s="13">
        <f t="shared" si="25"/>
        <v>0</v>
      </c>
      <c r="M377" s="13">
        <f t="shared" si="25"/>
        <v>0</v>
      </c>
      <c r="N377" s="13">
        <f t="shared" si="25"/>
        <v>0</v>
      </c>
      <c r="O377" s="13">
        <f t="shared" si="25"/>
        <v>0</v>
      </c>
      <c r="P377" s="13">
        <f t="shared" si="24"/>
        <v>0</v>
      </c>
      <c r="Q377" s="13">
        <f t="shared" si="24"/>
        <v>0</v>
      </c>
      <c r="R377" s="13" t="s">
        <v>239</v>
      </c>
      <c r="T377" s="63">
        <v>3.53254E-2</v>
      </c>
      <c r="U377" s="63">
        <v>7.5293695980000006E-2</v>
      </c>
      <c r="V377" s="63">
        <v>6.4922787639999993E-2</v>
      </c>
      <c r="W377" s="63">
        <v>7.5823528809999999E-2</v>
      </c>
      <c r="X377" s="63">
        <v>5.1454304370000002E-2</v>
      </c>
      <c r="Y377" s="63">
        <v>2.4520955399999999E-2</v>
      </c>
      <c r="Z377" s="63">
        <v>1.482542288E-2</v>
      </c>
      <c r="AA377" s="63">
        <v>9.4155577099999995E-3</v>
      </c>
      <c r="AB377" s="63">
        <v>6.87153071999999E-3</v>
      </c>
      <c r="AC377" s="63">
        <v>5.4339562200000002E-3</v>
      </c>
      <c r="AD377" s="63">
        <v>3.6233567699999998E-3</v>
      </c>
      <c r="AE377" s="13" t="s">
        <v>93</v>
      </c>
    </row>
    <row r="378" spans="1:31">
      <c r="A378" s="13" t="s">
        <v>324</v>
      </c>
      <c r="B378" s="13" t="s">
        <v>1</v>
      </c>
      <c r="C378" s="13" t="s">
        <v>158</v>
      </c>
      <c r="D378" s="13" t="str">
        <f>IFERROR(VLOOKUP(C378,ghg_sort!$A$86:$B$512,2,0),0)</f>
        <v>Transportation</v>
      </c>
      <c r="E378" s="12" t="s">
        <v>91</v>
      </c>
      <c r="F378" s="13">
        <f>IFERROR(VLOOKUP($E378,ghg_sort!$A$3:$B$21,2,0),0)</f>
        <v>0</v>
      </c>
      <c r="G378" s="13">
        <f t="shared" si="26"/>
        <v>0</v>
      </c>
      <c r="H378" s="13">
        <f t="shared" si="26"/>
        <v>0</v>
      </c>
      <c r="I378" s="13">
        <f t="shared" si="26"/>
        <v>0</v>
      </c>
      <c r="J378" s="13">
        <f t="shared" si="26"/>
        <v>0</v>
      </c>
      <c r="K378" s="13">
        <f t="shared" si="25"/>
        <v>0</v>
      </c>
      <c r="L378" s="13">
        <f t="shared" si="25"/>
        <v>0</v>
      </c>
      <c r="M378" s="13">
        <f t="shared" si="25"/>
        <v>0</v>
      </c>
      <c r="N378" s="13">
        <f t="shared" si="25"/>
        <v>0</v>
      </c>
      <c r="O378" s="13">
        <f t="shared" si="25"/>
        <v>0</v>
      </c>
      <c r="P378" s="13">
        <f t="shared" si="24"/>
        <v>0</v>
      </c>
      <c r="Q378" s="13">
        <f t="shared" si="24"/>
        <v>0</v>
      </c>
      <c r="R378" s="13" t="s">
        <v>239</v>
      </c>
      <c r="T378" s="63">
        <v>3.1101100000000001E-3</v>
      </c>
      <c r="U378" s="63">
        <v>2.2842600000000002E-3</v>
      </c>
      <c r="V378" s="63">
        <v>7.0732300000000004E-4</v>
      </c>
      <c r="W378" s="63">
        <v>7.76186E-4</v>
      </c>
      <c r="X378" s="63">
        <v>5.2671399999999996E-4</v>
      </c>
      <c r="Y378" s="63">
        <v>2.50998E-4</v>
      </c>
      <c r="Z378" s="63">
        <v>1.5174700000000001E-4</v>
      </c>
      <c r="AA378" s="63">
        <v>1.12785E-4</v>
      </c>
      <c r="AB378" s="63">
        <v>9.4594599999999997E-5</v>
      </c>
      <c r="AC378" s="63">
        <v>8.0119199999999997E-5</v>
      </c>
      <c r="AD378" s="63">
        <v>5.8299199999999999E-5</v>
      </c>
      <c r="AE378" s="13" t="s">
        <v>93</v>
      </c>
    </row>
    <row r="379" spans="1:31">
      <c r="A379" s="13" t="s">
        <v>324</v>
      </c>
      <c r="B379" s="13" t="s">
        <v>1</v>
      </c>
      <c r="C379" s="13" t="s">
        <v>158</v>
      </c>
      <c r="D379" s="13" t="str">
        <f>IFERROR(VLOOKUP(C379,ghg_sort!$A$86:$B$512,2,0),0)</f>
        <v>Transportation</v>
      </c>
      <c r="E379" s="33" t="s">
        <v>92</v>
      </c>
      <c r="F379" s="13">
        <f>IFERROR(VLOOKUP($E379,ghg_sort!$A$3:$B$21,2,0),0)</f>
        <v>0</v>
      </c>
      <c r="G379" s="13">
        <f t="shared" si="26"/>
        <v>0</v>
      </c>
      <c r="H379" s="13">
        <f t="shared" si="26"/>
        <v>0</v>
      </c>
      <c r="I379" s="13">
        <f t="shared" si="26"/>
        <v>0</v>
      </c>
      <c r="J379" s="13">
        <f t="shared" si="26"/>
        <v>0</v>
      </c>
      <c r="K379" s="13">
        <f t="shared" si="25"/>
        <v>0</v>
      </c>
      <c r="L379" s="13">
        <f t="shared" si="25"/>
        <v>0</v>
      </c>
      <c r="M379" s="13">
        <f t="shared" si="25"/>
        <v>0</v>
      </c>
      <c r="N379" s="13">
        <f t="shared" si="25"/>
        <v>0</v>
      </c>
      <c r="O379" s="13">
        <f t="shared" si="25"/>
        <v>0</v>
      </c>
      <c r="P379" s="13">
        <f t="shared" si="24"/>
        <v>0</v>
      </c>
      <c r="Q379" s="13">
        <f t="shared" si="24"/>
        <v>0</v>
      </c>
      <c r="R379" s="13" t="s">
        <v>239</v>
      </c>
      <c r="T379" s="63">
        <v>5.6112899999999997E-3</v>
      </c>
      <c r="U379" s="63">
        <v>1.6175572578999999E-3</v>
      </c>
      <c r="V379" s="63">
        <v>2.3538852599999999E-4</v>
      </c>
      <c r="W379" s="63">
        <v>4.10469339999999E-5</v>
      </c>
      <c r="X379" s="63">
        <v>2.7977163999999999E-5</v>
      </c>
      <c r="Y379" s="63">
        <v>1.3463923E-5</v>
      </c>
      <c r="Z379" s="63">
        <v>8.2139039999999902E-6</v>
      </c>
      <c r="AA379" s="63">
        <v>5.27083799999999E-6</v>
      </c>
      <c r="AB379" s="63">
        <v>3.8925669999999902E-6</v>
      </c>
      <c r="AC379" s="63">
        <v>3.1117549999999998E-6</v>
      </c>
      <c r="AD379" s="63">
        <v>2.112802E-6</v>
      </c>
      <c r="AE379" s="13" t="s">
        <v>93</v>
      </c>
    </row>
    <row r="380" spans="1:31">
      <c r="A380" s="13" t="s">
        <v>324</v>
      </c>
      <c r="B380" s="13" t="s">
        <v>1</v>
      </c>
      <c r="C380" s="13" t="s">
        <v>159</v>
      </c>
      <c r="D380" s="13" t="str">
        <f>IFERROR(VLOOKUP(C380,ghg_sort!$A$86:$B$512,2,0),0)</f>
        <v>Transportation</v>
      </c>
      <c r="E380" s="33" t="s">
        <v>83</v>
      </c>
      <c r="F380" s="13">
        <f>IFERROR(VLOOKUP($E380,ghg_sort!$A$3:$B$21,2,0),0)</f>
        <v>0</v>
      </c>
      <c r="G380" s="13">
        <f t="shared" si="26"/>
        <v>0</v>
      </c>
      <c r="H380" s="13">
        <f t="shared" si="26"/>
        <v>0</v>
      </c>
      <c r="I380" s="13">
        <f t="shared" si="26"/>
        <v>0</v>
      </c>
      <c r="J380" s="13">
        <f t="shared" si="26"/>
        <v>0</v>
      </c>
      <c r="K380" s="13">
        <f t="shared" si="25"/>
        <v>0</v>
      </c>
      <c r="L380" s="13">
        <f t="shared" si="25"/>
        <v>0</v>
      </c>
      <c r="M380" s="13">
        <f t="shared" si="25"/>
        <v>0</v>
      </c>
      <c r="N380" s="13">
        <f t="shared" si="25"/>
        <v>0</v>
      </c>
      <c r="O380" s="13">
        <f t="shared" si="25"/>
        <v>0</v>
      </c>
      <c r="P380" s="13">
        <f t="shared" si="24"/>
        <v>0</v>
      </c>
      <c r="Q380" s="13">
        <f t="shared" si="24"/>
        <v>0</v>
      </c>
      <c r="R380" s="13" t="s">
        <v>239</v>
      </c>
      <c r="T380" s="63">
        <v>5.64699E-4</v>
      </c>
      <c r="U380" s="63">
        <v>2.7579500000000001E-4</v>
      </c>
      <c r="V380" s="63">
        <v>1.2041599999999999E-4</v>
      </c>
      <c r="W380" s="63">
        <v>1.47651E-4</v>
      </c>
      <c r="X380" s="63">
        <v>1.52134E-4</v>
      </c>
      <c r="Y380" s="63">
        <v>1.0066800000000001E-4</v>
      </c>
      <c r="Z380" s="63">
        <v>6.94001E-5</v>
      </c>
      <c r="AA380" s="63">
        <v>4.9582600000000002E-5</v>
      </c>
      <c r="AB380" s="63">
        <v>4.3188000000000001E-5</v>
      </c>
      <c r="AC380" s="63">
        <v>3.5642500000000003E-5</v>
      </c>
      <c r="AD380" s="63">
        <v>1.8136100000000001E-5</v>
      </c>
      <c r="AE380" s="13" t="s">
        <v>93</v>
      </c>
    </row>
    <row r="381" spans="1:31">
      <c r="A381" s="13" t="s">
        <v>324</v>
      </c>
      <c r="B381" s="13" t="s">
        <v>1</v>
      </c>
      <c r="C381" s="13" t="s">
        <v>159</v>
      </c>
      <c r="D381" s="13" t="str">
        <f>IFERROR(VLOOKUP(C381,ghg_sort!$A$86:$B$512,2,0),0)</f>
        <v>Transportation</v>
      </c>
      <c r="E381" s="33" t="s">
        <v>84</v>
      </c>
      <c r="F381" s="13">
        <f>IFERROR(VLOOKUP($E381,ghg_sort!$A$3:$B$21,2,0),0)</f>
        <v>25</v>
      </c>
      <c r="G381" s="13">
        <f t="shared" si="26"/>
        <v>2.4597899999999999E-3</v>
      </c>
      <c r="H381" s="13">
        <f t="shared" si="26"/>
        <v>5.8006500000000001E-3</v>
      </c>
      <c r="I381" s="13">
        <f t="shared" si="26"/>
        <v>6.7903750000000004E-3</v>
      </c>
      <c r="J381" s="13">
        <f t="shared" si="26"/>
        <v>6.3303750000000001E-3</v>
      </c>
      <c r="K381" s="13">
        <f t="shared" si="25"/>
        <v>6.5225499999999994E-3</v>
      </c>
      <c r="L381" s="13">
        <f t="shared" si="25"/>
        <v>4.3160249999999994E-3</v>
      </c>
      <c r="M381" s="13">
        <f t="shared" si="25"/>
        <v>2.9754500000000001E-3</v>
      </c>
      <c r="N381" s="13">
        <f t="shared" si="25"/>
        <v>2.1257975000000002E-3</v>
      </c>
      <c r="O381" s="13">
        <f t="shared" si="25"/>
        <v>1.8516350000000001E-3</v>
      </c>
      <c r="P381" s="13">
        <f t="shared" si="24"/>
        <v>1.5281325000000001E-3</v>
      </c>
      <c r="Q381" s="13">
        <f t="shared" si="24"/>
        <v>7.7756500000000003E-4</v>
      </c>
      <c r="R381" s="13" t="s">
        <v>239</v>
      </c>
      <c r="T381" s="63">
        <v>9.8391600000000002E-5</v>
      </c>
      <c r="U381" s="63">
        <v>2.32026E-4</v>
      </c>
      <c r="V381" s="63">
        <v>2.7161500000000001E-4</v>
      </c>
      <c r="W381" s="63">
        <v>2.5321499999999999E-4</v>
      </c>
      <c r="X381" s="63">
        <v>2.6090199999999998E-4</v>
      </c>
      <c r="Y381" s="63">
        <v>1.7264099999999999E-4</v>
      </c>
      <c r="Z381" s="63">
        <v>1.19018E-4</v>
      </c>
      <c r="AA381" s="63">
        <v>8.5031900000000002E-5</v>
      </c>
      <c r="AB381" s="63">
        <v>7.4065400000000004E-5</v>
      </c>
      <c r="AC381" s="63">
        <v>6.1125300000000002E-5</v>
      </c>
      <c r="AD381" s="63">
        <v>3.1102600000000003E-5</v>
      </c>
      <c r="AE381" s="13" t="s">
        <v>93</v>
      </c>
    </row>
    <row r="382" spans="1:31">
      <c r="A382" s="13" t="s">
        <v>324</v>
      </c>
      <c r="B382" s="13" t="s">
        <v>1</v>
      </c>
      <c r="C382" s="13" t="s">
        <v>159</v>
      </c>
      <c r="D382" s="13" t="str">
        <f>IFERROR(VLOOKUP(C382,ghg_sort!$A$86:$B$512,2,0),0)</f>
        <v>Transportation</v>
      </c>
      <c r="E382" s="33" t="s">
        <v>85</v>
      </c>
      <c r="F382" s="13">
        <f>IFERROR(VLOOKUP($E382,ghg_sort!$A$3:$B$21,2,0),0)</f>
        <v>0</v>
      </c>
      <c r="G382" s="13">
        <f t="shared" si="26"/>
        <v>0</v>
      </c>
      <c r="H382" s="13">
        <f t="shared" si="26"/>
        <v>0</v>
      </c>
      <c r="I382" s="13">
        <f t="shared" si="26"/>
        <v>0</v>
      </c>
      <c r="J382" s="13">
        <f t="shared" si="26"/>
        <v>0</v>
      </c>
      <c r="K382" s="13">
        <f t="shared" si="25"/>
        <v>0</v>
      </c>
      <c r="L382" s="13">
        <f t="shared" si="25"/>
        <v>0</v>
      </c>
      <c r="M382" s="13">
        <f t="shared" si="25"/>
        <v>0</v>
      </c>
      <c r="N382" s="13">
        <f t="shared" si="25"/>
        <v>0</v>
      </c>
      <c r="O382" s="13">
        <f t="shared" si="25"/>
        <v>0</v>
      </c>
      <c r="P382" s="13">
        <f t="shared" si="24"/>
        <v>0</v>
      </c>
      <c r="Q382" s="13">
        <f t="shared" si="24"/>
        <v>0</v>
      </c>
      <c r="R382" s="13" t="s">
        <v>239</v>
      </c>
      <c r="T382" s="63">
        <v>6.4334500000000003E-3</v>
      </c>
      <c r="U382" s="63">
        <v>6.3982199999999996E-3</v>
      </c>
      <c r="V382" s="63">
        <v>6.0953500000000002E-3</v>
      </c>
      <c r="W382" s="63">
        <v>4.9874100000000003E-3</v>
      </c>
      <c r="X382" s="63">
        <v>5.1388299999999996E-3</v>
      </c>
      <c r="Y382" s="63">
        <v>3.4004E-3</v>
      </c>
      <c r="Z382" s="63">
        <v>2.3442200000000002E-3</v>
      </c>
      <c r="AA382" s="63">
        <v>1.67482E-3</v>
      </c>
      <c r="AB382" s="63">
        <v>1.45882E-3</v>
      </c>
      <c r="AC382" s="63">
        <v>1.2039500000000001E-3</v>
      </c>
      <c r="AD382" s="63">
        <v>6.1260899999999996E-4</v>
      </c>
      <c r="AE382" s="13" t="s">
        <v>93</v>
      </c>
    </row>
    <row r="383" spans="1:31">
      <c r="A383" s="13" t="s">
        <v>324</v>
      </c>
      <c r="B383" s="13" t="s">
        <v>1</v>
      </c>
      <c r="C383" s="13" t="s">
        <v>159</v>
      </c>
      <c r="D383" s="13" t="str">
        <f>IFERROR(VLOOKUP(C383,ghg_sort!$A$86:$B$512,2,0),0)</f>
        <v>Transportation</v>
      </c>
      <c r="E383" s="33" t="s">
        <v>86</v>
      </c>
      <c r="F383" s="13">
        <f>IFERROR(VLOOKUP($E383,ghg_sort!$A$3:$B$21,2,0),0)</f>
        <v>3.6666666666666701</v>
      </c>
      <c r="G383" s="13">
        <f t="shared" si="26"/>
        <v>0.48860166666666716</v>
      </c>
      <c r="H383" s="13">
        <f t="shared" si="26"/>
        <v>1.1868266666666678</v>
      </c>
      <c r="I383" s="13">
        <f t="shared" si="26"/>
        <v>1.2408513333333344</v>
      </c>
      <c r="J383" s="13">
        <f t="shared" si="26"/>
        <v>1.3900920000000012</v>
      </c>
      <c r="K383" s="13">
        <f t="shared" si="25"/>
        <v>1.4322953333333346</v>
      </c>
      <c r="L383" s="13">
        <f t="shared" si="25"/>
        <v>0.94776000000000082</v>
      </c>
      <c r="M383" s="13">
        <f t="shared" si="25"/>
        <v>0.65338533333333393</v>
      </c>
      <c r="N383" s="13">
        <f t="shared" si="25"/>
        <v>0.46680700000000047</v>
      </c>
      <c r="O383" s="13">
        <f t="shared" si="25"/>
        <v>0.40660400000000041</v>
      </c>
      <c r="P383" s="13">
        <f t="shared" si="24"/>
        <v>0.33556453333333364</v>
      </c>
      <c r="Q383" s="13">
        <f t="shared" si="24"/>
        <v>0.17074676666666683</v>
      </c>
      <c r="R383" s="13" t="s">
        <v>239</v>
      </c>
      <c r="T383" s="62">
        <v>0.13325500000000001</v>
      </c>
      <c r="U383" s="62">
        <v>0.32368000000000002</v>
      </c>
      <c r="V383" s="63">
        <v>0.33841399999999999</v>
      </c>
      <c r="W383" s="63">
        <v>0.37911600000000001</v>
      </c>
      <c r="X383" s="63">
        <v>0.39062599999999997</v>
      </c>
      <c r="Y383" s="63">
        <v>0.25847999999999999</v>
      </c>
      <c r="Z383" s="63">
        <v>0.17819599999999999</v>
      </c>
      <c r="AA383" s="63">
        <v>0.12731100000000001</v>
      </c>
      <c r="AB383" s="63">
        <v>0.110892</v>
      </c>
      <c r="AC383" s="63">
        <v>9.1517600000000005E-2</v>
      </c>
      <c r="AD383" s="63">
        <v>4.6567299999999999E-2</v>
      </c>
      <c r="AE383" s="13" t="s">
        <v>94</v>
      </c>
    </row>
    <row r="384" spans="1:31">
      <c r="A384" s="13" t="s">
        <v>324</v>
      </c>
      <c r="B384" s="13" t="s">
        <v>1</v>
      </c>
      <c r="C384" s="13" t="s">
        <v>159</v>
      </c>
      <c r="D384" s="13" t="str">
        <f>IFERROR(VLOOKUP(C384,ghg_sort!$A$86:$B$512,2,0),0)</f>
        <v>Transportation</v>
      </c>
      <c r="E384" s="33" t="s">
        <v>87</v>
      </c>
      <c r="F384" s="13">
        <f>IFERROR(VLOOKUP($E384,ghg_sort!$A$3:$B$21,2,0),0)</f>
        <v>298</v>
      </c>
      <c r="G384" s="13">
        <f t="shared" si="26"/>
        <v>1.9076618999999998E-3</v>
      </c>
      <c r="H384" s="13">
        <f t="shared" si="26"/>
        <v>6.7630206E-3</v>
      </c>
      <c r="I384" s="13">
        <f t="shared" si="26"/>
        <v>7.3956150000000003E-3</v>
      </c>
      <c r="J384" s="13">
        <f t="shared" si="26"/>
        <v>8.4140002000000005E-3</v>
      </c>
      <c r="K384" s="13">
        <f t="shared" si="25"/>
        <v>8.6694457999999999E-3</v>
      </c>
      <c r="L384" s="13">
        <f t="shared" si="25"/>
        <v>5.7366490000000008E-3</v>
      </c>
      <c r="M384" s="13">
        <f t="shared" si="25"/>
        <v>3.9548175999999996E-3</v>
      </c>
      <c r="N384" s="13">
        <f t="shared" si="25"/>
        <v>2.8255048799999999E-3</v>
      </c>
      <c r="O384" s="13">
        <f t="shared" si="25"/>
        <v>2.4611015399999998E-3</v>
      </c>
      <c r="P384" s="13">
        <f t="shared" si="24"/>
        <v>2.0311173399999998E-3</v>
      </c>
      <c r="Q384" s="13">
        <f t="shared" si="24"/>
        <v>1.03350274E-3</v>
      </c>
      <c r="R384" s="13" t="s">
        <v>239</v>
      </c>
      <c r="T384" s="63">
        <v>6.4015499999999997E-6</v>
      </c>
      <c r="U384" s="63">
        <v>2.2694700000000001E-5</v>
      </c>
      <c r="V384" s="63">
        <v>2.4817500000000001E-5</v>
      </c>
      <c r="W384" s="63">
        <v>2.82349E-5</v>
      </c>
      <c r="X384" s="63">
        <v>2.9092099999999999E-5</v>
      </c>
      <c r="Y384" s="63">
        <v>1.9250500000000001E-5</v>
      </c>
      <c r="Z384" s="63">
        <v>1.3271199999999999E-5</v>
      </c>
      <c r="AA384" s="63">
        <v>9.4815599999999997E-6</v>
      </c>
      <c r="AB384" s="63">
        <v>8.2587299999999998E-6</v>
      </c>
      <c r="AC384" s="63">
        <v>6.8158299999999996E-6</v>
      </c>
      <c r="AD384" s="63">
        <v>3.4681299999999999E-6</v>
      </c>
      <c r="AE384" s="13" t="s">
        <v>93</v>
      </c>
    </row>
    <row r="385" spans="1:31">
      <c r="A385" s="13" t="s">
        <v>324</v>
      </c>
      <c r="B385" s="13" t="s">
        <v>1</v>
      </c>
      <c r="C385" s="13" t="s">
        <v>159</v>
      </c>
      <c r="D385" s="13" t="str">
        <f>IFERROR(VLOOKUP(C385,ghg_sort!$A$86:$B$512,2,0),0)</f>
        <v>Transportation</v>
      </c>
      <c r="E385" s="33" t="s">
        <v>88</v>
      </c>
      <c r="F385" s="13">
        <f>IFERROR(VLOOKUP($E385,ghg_sort!$A$3:$B$21,2,0),0)</f>
        <v>0</v>
      </c>
      <c r="G385" s="13">
        <f t="shared" si="26"/>
        <v>0</v>
      </c>
      <c r="H385" s="13">
        <f t="shared" si="26"/>
        <v>0</v>
      </c>
      <c r="I385" s="13">
        <f t="shared" si="26"/>
        <v>0</v>
      </c>
      <c r="J385" s="13">
        <f t="shared" si="26"/>
        <v>0</v>
      </c>
      <c r="K385" s="13">
        <f t="shared" si="25"/>
        <v>0</v>
      </c>
      <c r="L385" s="13">
        <f t="shared" si="25"/>
        <v>0</v>
      </c>
      <c r="M385" s="13">
        <f t="shared" si="25"/>
        <v>0</v>
      </c>
      <c r="N385" s="13">
        <f t="shared" si="25"/>
        <v>0</v>
      </c>
      <c r="O385" s="13">
        <f t="shared" si="25"/>
        <v>0</v>
      </c>
      <c r="P385" s="13">
        <f t="shared" si="24"/>
        <v>0</v>
      </c>
      <c r="Q385" s="13">
        <f t="shared" si="24"/>
        <v>0</v>
      </c>
      <c r="R385" s="13" t="s">
        <v>239</v>
      </c>
      <c r="T385" s="63">
        <v>1.3857E-5</v>
      </c>
      <c r="U385" s="63">
        <v>8.3866800000000001E-5</v>
      </c>
      <c r="V385" s="63">
        <v>9.2505500000000004E-5</v>
      </c>
      <c r="W385" s="63">
        <v>9.1538800000000005E-5</v>
      </c>
      <c r="X385" s="63">
        <v>9.4317899999999994E-5</v>
      </c>
      <c r="Y385" s="63">
        <v>6.2410799999999995E-5</v>
      </c>
      <c r="Z385" s="63">
        <v>4.3025799999999997E-5</v>
      </c>
      <c r="AA385" s="63">
        <v>3.07396E-5</v>
      </c>
      <c r="AB385" s="63">
        <v>2.6775100000000001E-5</v>
      </c>
      <c r="AC385" s="63">
        <v>2.2097199999999999E-5</v>
      </c>
      <c r="AD385" s="63">
        <v>1.1243800000000001E-5</v>
      </c>
      <c r="AE385" s="13" t="s">
        <v>93</v>
      </c>
    </row>
    <row r="386" spans="1:31">
      <c r="A386" s="13" t="s">
        <v>324</v>
      </c>
      <c r="B386" s="13" t="s">
        <v>1</v>
      </c>
      <c r="C386" s="13" t="s">
        <v>159</v>
      </c>
      <c r="D386" s="13" t="str">
        <f>IFERROR(VLOOKUP(C386,ghg_sort!$A$86:$B$512,2,0),0)</f>
        <v>Transportation</v>
      </c>
      <c r="E386" s="33" t="s">
        <v>89</v>
      </c>
      <c r="F386" s="13">
        <f>IFERROR(VLOOKUP($E386,ghg_sort!$A$3:$B$21,2,0),0)</f>
        <v>0</v>
      </c>
      <c r="G386" s="13">
        <f t="shared" si="26"/>
        <v>0</v>
      </c>
      <c r="H386" s="13">
        <f t="shared" si="26"/>
        <v>0</v>
      </c>
      <c r="I386" s="13">
        <f t="shared" si="26"/>
        <v>0</v>
      </c>
      <c r="J386" s="13">
        <f t="shared" si="26"/>
        <v>0</v>
      </c>
      <c r="K386" s="13">
        <f t="shared" si="25"/>
        <v>0</v>
      </c>
      <c r="L386" s="13">
        <f t="shared" si="25"/>
        <v>0</v>
      </c>
      <c r="M386" s="13">
        <f t="shared" si="25"/>
        <v>0</v>
      </c>
      <c r="N386" s="13">
        <f t="shared" si="25"/>
        <v>0</v>
      </c>
      <c r="O386" s="13">
        <f t="shared" si="25"/>
        <v>0</v>
      </c>
      <c r="P386" s="13">
        <f t="shared" si="24"/>
        <v>0</v>
      </c>
      <c r="Q386" s="13">
        <f t="shared" si="24"/>
        <v>0</v>
      </c>
      <c r="R386" s="13" t="s">
        <v>239</v>
      </c>
      <c r="T386" s="63">
        <v>1.1725500000000001E-3</v>
      </c>
      <c r="U386" s="63">
        <v>1.16171E-3</v>
      </c>
      <c r="V386" s="63">
        <v>6.8313399999999995E-4</v>
      </c>
      <c r="W386" s="63">
        <v>6.0138800000000001E-4</v>
      </c>
      <c r="X386" s="63">
        <v>6.1964599999999996E-4</v>
      </c>
      <c r="Y386" s="63">
        <v>4.1002399999999999E-4</v>
      </c>
      <c r="Z386" s="63">
        <v>2.8267E-4</v>
      </c>
      <c r="AA386" s="63">
        <v>2.0195200000000001E-4</v>
      </c>
      <c r="AB386" s="63">
        <v>1.7590600000000001E-4</v>
      </c>
      <c r="AC386" s="63">
        <v>1.4517299999999999E-4</v>
      </c>
      <c r="AD386" s="63">
        <v>7.3869199999999994E-5</v>
      </c>
      <c r="AE386" s="13" t="s">
        <v>93</v>
      </c>
    </row>
    <row r="387" spans="1:31">
      <c r="A387" s="13" t="s">
        <v>324</v>
      </c>
      <c r="B387" s="13" t="s">
        <v>1</v>
      </c>
      <c r="C387" s="13" t="s">
        <v>159</v>
      </c>
      <c r="D387" s="13" t="str">
        <f>IFERROR(VLOOKUP(C387,ghg_sort!$A$86:$B$512,2,0),0)</f>
        <v>Transportation</v>
      </c>
      <c r="E387" s="33" t="s">
        <v>90</v>
      </c>
      <c r="F387" s="13">
        <f>IFERROR(VLOOKUP($E387,ghg_sort!$A$3:$B$21,2,0),0)</f>
        <v>0</v>
      </c>
      <c r="G387" s="13">
        <f t="shared" si="26"/>
        <v>0</v>
      </c>
      <c r="H387" s="13">
        <f t="shared" si="26"/>
        <v>0</v>
      </c>
      <c r="I387" s="13">
        <f t="shared" si="26"/>
        <v>0</v>
      </c>
      <c r="J387" s="13">
        <f t="shared" si="26"/>
        <v>0</v>
      </c>
      <c r="K387" s="13">
        <f t="shared" si="25"/>
        <v>0</v>
      </c>
      <c r="L387" s="13">
        <f t="shared" si="25"/>
        <v>0</v>
      </c>
      <c r="M387" s="13">
        <f t="shared" si="25"/>
        <v>0</v>
      </c>
      <c r="N387" s="13">
        <f t="shared" si="25"/>
        <v>0</v>
      </c>
      <c r="O387" s="13">
        <f t="shared" si="25"/>
        <v>0</v>
      </c>
      <c r="P387" s="13">
        <f t="shared" si="24"/>
        <v>0</v>
      </c>
      <c r="Q387" s="13">
        <f t="shared" si="24"/>
        <v>0</v>
      </c>
      <c r="R387" s="13" t="s">
        <v>239</v>
      </c>
      <c r="T387" s="62">
        <v>3.0125299999999998E-3</v>
      </c>
      <c r="U387" s="63">
        <v>4.31855E-3</v>
      </c>
      <c r="V387" s="63">
        <v>3.1260099999999998E-3</v>
      </c>
      <c r="W387" s="63">
        <v>3.6960399999999998E-3</v>
      </c>
      <c r="X387" s="63">
        <v>3.80825E-3</v>
      </c>
      <c r="Y387" s="63">
        <v>2.51994E-3</v>
      </c>
      <c r="Z387" s="63">
        <v>1.7372399999999999E-3</v>
      </c>
      <c r="AA387" s="63">
        <v>1.24116E-3</v>
      </c>
      <c r="AB387" s="63">
        <v>1.08109E-3</v>
      </c>
      <c r="AC387" s="63">
        <v>8.9221199999999997E-4</v>
      </c>
      <c r="AD387" s="63">
        <v>4.53988E-4</v>
      </c>
      <c r="AE387" s="13" t="s">
        <v>93</v>
      </c>
    </row>
    <row r="388" spans="1:31">
      <c r="A388" s="13" t="s">
        <v>324</v>
      </c>
      <c r="B388" s="13" t="s">
        <v>1</v>
      </c>
      <c r="C388" s="13" t="s">
        <v>159</v>
      </c>
      <c r="D388" s="13" t="str">
        <f>IFERROR(VLOOKUP(C388,ghg_sort!$A$86:$B$512,2,0),0)</f>
        <v>Transportation</v>
      </c>
      <c r="E388" s="12" t="s">
        <v>91</v>
      </c>
      <c r="F388" s="13">
        <f>IFERROR(VLOOKUP($E388,ghg_sort!$A$3:$B$21,2,0),0)</f>
        <v>0</v>
      </c>
      <c r="G388" s="13">
        <f t="shared" si="26"/>
        <v>0</v>
      </c>
      <c r="H388" s="13">
        <f t="shared" si="26"/>
        <v>0</v>
      </c>
      <c r="I388" s="13">
        <f t="shared" si="26"/>
        <v>0</v>
      </c>
      <c r="J388" s="13">
        <f t="shared" si="26"/>
        <v>0</v>
      </c>
      <c r="K388" s="13">
        <f t="shared" si="25"/>
        <v>0</v>
      </c>
      <c r="L388" s="13">
        <f t="shared" si="25"/>
        <v>0</v>
      </c>
      <c r="M388" s="13">
        <f t="shared" si="25"/>
        <v>0</v>
      </c>
      <c r="N388" s="13">
        <f t="shared" si="25"/>
        <v>0</v>
      </c>
      <c r="O388" s="13">
        <f t="shared" si="25"/>
        <v>0</v>
      </c>
      <c r="P388" s="13">
        <f t="shared" si="24"/>
        <v>0</v>
      </c>
      <c r="Q388" s="13">
        <f t="shared" si="24"/>
        <v>0</v>
      </c>
      <c r="R388" s="13" t="s">
        <v>239</v>
      </c>
      <c r="T388" s="63">
        <v>1.59617E-4</v>
      </c>
      <c r="U388" s="63">
        <v>1.1979799999999999E-4</v>
      </c>
      <c r="V388" s="63">
        <v>3.7629999999999997E-5</v>
      </c>
      <c r="W388" s="63">
        <v>4.4078E-5</v>
      </c>
      <c r="X388" s="63">
        <v>4.5416200000000001E-5</v>
      </c>
      <c r="Y388" s="63">
        <v>3.00522E-5</v>
      </c>
      <c r="Z388" s="63">
        <v>2.07179E-5</v>
      </c>
      <c r="AA388" s="63">
        <v>1.4801799999999999E-5</v>
      </c>
      <c r="AB388" s="63">
        <v>1.28928E-5</v>
      </c>
      <c r="AC388" s="63">
        <v>1.06403E-5</v>
      </c>
      <c r="AD388" s="63">
        <v>5.4141499999999997E-6</v>
      </c>
      <c r="AE388" s="13" t="s">
        <v>93</v>
      </c>
    </row>
    <row r="389" spans="1:31">
      <c r="A389" s="13" t="s">
        <v>324</v>
      </c>
      <c r="B389" s="13" t="s">
        <v>1</v>
      </c>
      <c r="C389" s="13" t="s">
        <v>159</v>
      </c>
      <c r="D389" s="13" t="str">
        <f>IFERROR(VLOOKUP(C389,ghg_sort!$A$86:$B$512,2,0),0)</f>
        <v>Transportation</v>
      </c>
      <c r="E389" s="33" t="s">
        <v>92</v>
      </c>
      <c r="F389" s="13">
        <f>IFERROR(VLOOKUP($E389,ghg_sort!$A$3:$B$21,2,0),0)</f>
        <v>0</v>
      </c>
      <c r="G389" s="13">
        <f t="shared" si="26"/>
        <v>0</v>
      </c>
      <c r="H389" s="13">
        <f t="shared" si="26"/>
        <v>0</v>
      </c>
      <c r="I389" s="13">
        <f t="shared" si="26"/>
        <v>0</v>
      </c>
      <c r="J389" s="13">
        <f t="shared" si="26"/>
        <v>0</v>
      </c>
      <c r="K389" s="13">
        <f t="shared" si="25"/>
        <v>0</v>
      </c>
      <c r="L389" s="13">
        <f t="shared" si="25"/>
        <v>0</v>
      </c>
      <c r="M389" s="13">
        <f t="shared" si="25"/>
        <v>0</v>
      </c>
      <c r="N389" s="13">
        <f t="shared" si="25"/>
        <v>0</v>
      </c>
      <c r="O389" s="13">
        <f t="shared" si="25"/>
        <v>0</v>
      </c>
      <c r="P389" s="13">
        <f t="shared" si="24"/>
        <v>0</v>
      </c>
      <c r="Q389" s="13">
        <f t="shared" si="24"/>
        <v>0</v>
      </c>
      <c r="R389" s="13" t="s">
        <v>239</v>
      </c>
      <c r="T389" s="63">
        <v>2.4656899999999998E-4</v>
      </c>
      <c r="U389" s="63">
        <v>7.9672799999999994E-5</v>
      </c>
      <c r="V389" s="63">
        <v>1.0964E-5</v>
      </c>
      <c r="W389" s="63">
        <v>2.5864899999999999E-6</v>
      </c>
      <c r="X389" s="63">
        <v>2.66502E-6</v>
      </c>
      <c r="Y389" s="63">
        <v>1.7634600000000001E-6</v>
      </c>
      <c r="Z389" s="63">
        <v>1.21572E-6</v>
      </c>
      <c r="AA389" s="63">
        <v>8.68568E-7</v>
      </c>
      <c r="AB389" s="63">
        <v>7.5654999999999998E-7</v>
      </c>
      <c r="AC389" s="63">
        <v>6.2437100000000005E-7</v>
      </c>
      <c r="AD389" s="63">
        <v>3.1770199999999999E-7</v>
      </c>
      <c r="AE389" s="13" t="s">
        <v>93</v>
      </c>
    </row>
    <row r="390" spans="1:31">
      <c r="A390" s="13" t="s">
        <v>324</v>
      </c>
      <c r="B390" s="13" t="s">
        <v>1</v>
      </c>
      <c r="C390" s="13" t="s">
        <v>160</v>
      </c>
      <c r="D390" s="13" t="str">
        <f>IFERROR(VLOOKUP(C390,ghg_sort!$A$86:$B$512,2,0),0)</f>
        <v>Transportation</v>
      </c>
      <c r="E390" s="33" t="s">
        <v>83</v>
      </c>
      <c r="F390" s="13">
        <f>IFERROR(VLOOKUP($E390,ghg_sort!$A$3:$B$21,2,0),0)</f>
        <v>0</v>
      </c>
      <c r="G390" s="13">
        <f t="shared" si="26"/>
        <v>0</v>
      </c>
      <c r="H390" s="13">
        <f t="shared" si="26"/>
        <v>0</v>
      </c>
      <c r="I390" s="13">
        <f t="shared" si="26"/>
        <v>0</v>
      </c>
      <c r="J390" s="13">
        <f t="shared" si="26"/>
        <v>0</v>
      </c>
      <c r="K390" s="13">
        <f t="shared" si="25"/>
        <v>0</v>
      </c>
      <c r="L390" s="13">
        <f t="shared" si="25"/>
        <v>0</v>
      </c>
      <c r="M390" s="13">
        <f t="shared" si="25"/>
        <v>0</v>
      </c>
      <c r="N390" s="13">
        <f t="shared" si="25"/>
        <v>0</v>
      </c>
      <c r="O390" s="13">
        <f t="shared" si="25"/>
        <v>0</v>
      </c>
      <c r="P390" s="13">
        <f t="shared" si="24"/>
        <v>0</v>
      </c>
      <c r="Q390" s="13">
        <f t="shared" si="24"/>
        <v>0</v>
      </c>
      <c r="R390" s="13" t="s">
        <v>239</v>
      </c>
      <c r="T390" s="63">
        <v>1.4639919999999999E-3</v>
      </c>
      <c r="U390" s="63">
        <v>8.5176499999999999E-4</v>
      </c>
      <c r="V390" s="63">
        <v>4.3218299999999999E-4</v>
      </c>
      <c r="W390" s="63">
        <v>7.0001700000000004E-4</v>
      </c>
      <c r="X390" s="63">
        <v>6.8371259999999896E-4</v>
      </c>
      <c r="Y390" s="63">
        <v>5.7749410000000004E-4</v>
      </c>
      <c r="Z390" s="63">
        <v>3.899188E-4</v>
      </c>
      <c r="AA390" s="63">
        <v>2.32890149999999E-4</v>
      </c>
      <c r="AB390" s="63">
        <v>1.0399289E-4</v>
      </c>
      <c r="AC390" s="63">
        <v>5.4602989999999998E-5</v>
      </c>
      <c r="AD390" s="63">
        <v>2.5133045000000001E-5</v>
      </c>
      <c r="AE390" s="13" t="s">
        <v>93</v>
      </c>
    </row>
    <row r="391" spans="1:31">
      <c r="A391" s="13" t="s">
        <v>324</v>
      </c>
      <c r="B391" s="13" t="s">
        <v>1</v>
      </c>
      <c r="C391" s="13" t="s">
        <v>160</v>
      </c>
      <c r="D391" s="13" t="str">
        <f>IFERROR(VLOOKUP(C391,ghg_sort!$A$86:$B$512,2,0),0)</f>
        <v>Transportation</v>
      </c>
      <c r="E391" s="33" t="s">
        <v>84</v>
      </c>
      <c r="F391" s="13">
        <f>IFERROR(VLOOKUP($E391,ghg_sort!$A$3:$B$21,2,0),0)</f>
        <v>25</v>
      </c>
      <c r="G391" s="13">
        <f t="shared" si="26"/>
        <v>0.14242574999999999</v>
      </c>
      <c r="H391" s="13">
        <f t="shared" si="26"/>
        <v>0.32672488032000002</v>
      </c>
      <c r="I391" s="13">
        <f t="shared" si="26"/>
        <v>0.33807386150500002</v>
      </c>
      <c r="J391" s="13">
        <f t="shared" si="26"/>
        <v>0.29794970318249997</v>
      </c>
      <c r="K391" s="13">
        <f t="shared" si="25"/>
        <v>0.29101863040499998</v>
      </c>
      <c r="L391" s="13">
        <f t="shared" si="25"/>
        <v>0.24581927584749999</v>
      </c>
      <c r="M391" s="13">
        <f t="shared" si="25"/>
        <v>0.16598512109250002</v>
      </c>
      <c r="N391" s="13">
        <f t="shared" si="25"/>
        <v>9.9148339649499748E-2</v>
      </c>
      <c r="O391" s="13">
        <f t="shared" si="25"/>
        <v>4.4282210595000003E-2</v>
      </c>
      <c r="P391" s="13">
        <f t="shared" si="24"/>
        <v>2.32552895175E-2</v>
      </c>
      <c r="Q391" s="13">
        <f t="shared" si="24"/>
        <v>1.0706471335E-2</v>
      </c>
      <c r="R391" s="13" t="s">
        <v>239</v>
      </c>
      <c r="T391" s="63">
        <v>5.6970299999999996E-3</v>
      </c>
      <c r="U391" s="63">
        <v>1.30689952128E-2</v>
      </c>
      <c r="V391" s="63">
        <v>1.35229544602E-2</v>
      </c>
      <c r="W391" s="63">
        <v>1.19179881273E-2</v>
      </c>
      <c r="X391" s="63">
        <v>1.16407452162E-2</v>
      </c>
      <c r="Y391" s="63">
        <v>9.8327710338999997E-3</v>
      </c>
      <c r="Z391" s="63">
        <v>6.6394048437000003E-3</v>
      </c>
      <c r="AA391" s="63">
        <v>3.9659335859799898E-3</v>
      </c>
      <c r="AB391" s="63">
        <v>1.7712884238000001E-3</v>
      </c>
      <c r="AC391" s="63">
        <v>9.3021158070000004E-4</v>
      </c>
      <c r="AD391" s="63">
        <v>4.2825885340000002E-4</v>
      </c>
      <c r="AE391" s="13" t="s">
        <v>93</v>
      </c>
    </row>
    <row r="392" spans="1:31">
      <c r="A392" s="13" t="s">
        <v>324</v>
      </c>
      <c r="B392" s="13" t="s">
        <v>1</v>
      </c>
      <c r="C392" s="13" t="s">
        <v>160</v>
      </c>
      <c r="D392" s="13" t="str">
        <f>IFERROR(VLOOKUP(C392,ghg_sort!$A$86:$B$512,2,0),0)</f>
        <v>Transportation</v>
      </c>
      <c r="E392" s="33" t="s">
        <v>85</v>
      </c>
      <c r="F392" s="13">
        <f>IFERROR(VLOOKUP($E392,ghg_sort!$A$3:$B$21,2,0),0)</f>
        <v>0</v>
      </c>
      <c r="G392" s="13">
        <f t="shared" si="26"/>
        <v>0</v>
      </c>
      <c r="H392" s="13">
        <f t="shared" si="26"/>
        <v>0</v>
      </c>
      <c r="I392" s="13">
        <f t="shared" si="26"/>
        <v>0</v>
      </c>
      <c r="J392" s="13">
        <f t="shared" si="26"/>
        <v>0</v>
      </c>
      <c r="K392" s="13">
        <f t="shared" si="25"/>
        <v>0</v>
      </c>
      <c r="L392" s="13">
        <f t="shared" si="25"/>
        <v>0</v>
      </c>
      <c r="M392" s="13">
        <f t="shared" si="25"/>
        <v>0</v>
      </c>
      <c r="N392" s="13">
        <f t="shared" si="25"/>
        <v>0</v>
      </c>
      <c r="O392" s="13">
        <f t="shared" si="25"/>
        <v>0</v>
      </c>
      <c r="P392" s="13">
        <f t="shared" si="24"/>
        <v>0</v>
      </c>
      <c r="Q392" s="13">
        <f t="shared" si="24"/>
        <v>0</v>
      </c>
      <c r="R392" s="13" t="s">
        <v>239</v>
      </c>
      <c r="T392" s="63">
        <v>0.39927099999999999</v>
      </c>
      <c r="U392" s="62">
        <v>0.37116001555542</v>
      </c>
      <c r="V392" s="62">
        <v>0.31842803930769997</v>
      </c>
      <c r="W392" s="62">
        <v>0.25635004183870003</v>
      </c>
      <c r="X392" s="62">
        <v>0.25037932503429999</v>
      </c>
      <c r="Y392" s="62">
        <v>0.2114819477139</v>
      </c>
      <c r="Z392" s="62">
        <v>0.14279096258405999</v>
      </c>
      <c r="AA392" s="62">
        <v>8.5286209953830003E-2</v>
      </c>
      <c r="AB392" s="63">
        <v>3.8083194091E-2</v>
      </c>
      <c r="AC392" s="63">
        <v>1.9996228483299999E-2</v>
      </c>
      <c r="AD392" s="63">
        <v>9.2040521755799992E-3</v>
      </c>
      <c r="AE392" s="13" t="s">
        <v>93</v>
      </c>
    </row>
    <row r="393" spans="1:31">
      <c r="A393" s="13" t="s">
        <v>324</v>
      </c>
      <c r="B393" s="13" t="s">
        <v>1</v>
      </c>
      <c r="C393" s="13" t="s">
        <v>160</v>
      </c>
      <c r="D393" s="13" t="str">
        <f>IFERROR(VLOOKUP(C393,ghg_sort!$A$86:$B$512,2,0),0)</f>
        <v>Transportation</v>
      </c>
      <c r="E393" s="33" t="s">
        <v>86</v>
      </c>
      <c r="F393" s="13">
        <f>IFERROR(VLOOKUP($E393,ghg_sort!$A$3:$B$21,2,0),0)</f>
        <v>3.6666666666666701</v>
      </c>
      <c r="G393" s="13">
        <f t="shared" si="26"/>
        <v>16.483280000000015</v>
      </c>
      <c r="H393" s="13">
        <f t="shared" si="26"/>
        <v>40.047390496666338</v>
      </c>
      <c r="I393" s="13">
        <f t="shared" si="26"/>
        <v>41.890320266666706</v>
      </c>
      <c r="J393" s="13">
        <f t="shared" si="26"/>
        <v>46.929138300000041</v>
      </c>
      <c r="K393" s="13">
        <f t="shared" si="25"/>
        <v>46.515824850000044</v>
      </c>
      <c r="L393" s="13">
        <f t="shared" si="25"/>
        <v>40.438616533333004</v>
      </c>
      <c r="M393" s="13">
        <f t="shared" si="25"/>
        <v>28.968171283333323</v>
      </c>
      <c r="N393" s="13">
        <f t="shared" si="25"/>
        <v>18.839521341666682</v>
      </c>
      <c r="O393" s="13">
        <f t="shared" si="25"/>
        <v>9.8795313100000079</v>
      </c>
      <c r="P393" s="13">
        <f t="shared" si="24"/>
        <v>5.8581440866666723</v>
      </c>
      <c r="Q393" s="13">
        <f t="shared" si="24"/>
        <v>3.0413624633333365</v>
      </c>
      <c r="R393" s="13" t="s">
        <v>239</v>
      </c>
      <c r="T393" s="63">
        <v>4.4954400000000003</v>
      </c>
      <c r="U393" s="63">
        <v>10.9220155899999</v>
      </c>
      <c r="V393" s="63">
        <v>11.424632799999999</v>
      </c>
      <c r="W393" s="63">
        <v>12.7988559</v>
      </c>
      <c r="X393" s="63">
        <v>12.68613405</v>
      </c>
      <c r="Y393" s="63">
        <v>11.0287135999999</v>
      </c>
      <c r="Z393" s="63">
        <v>7.9004103499999898</v>
      </c>
      <c r="AA393" s="63">
        <v>5.1380512749999996</v>
      </c>
      <c r="AB393" s="63">
        <v>2.6944176299999998</v>
      </c>
      <c r="AC393" s="63">
        <v>1.5976756599999999</v>
      </c>
      <c r="AD393" s="63">
        <v>0.82946249000000005</v>
      </c>
      <c r="AE393" s="13" t="s">
        <v>94</v>
      </c>
    </row>
    <row r="394" spans="1:31">
      <c r="A394" s="13" t="s">
        <v>324</v>
      </c>
      <c r="B394" s="13" t="s">
        <v>1</v>
      </c>
      <c r="C394" s="13" t="s">
        <v>160</v>
      </c>
      <c r="D394" s="13" t="str">
        <f>IFERROR(VLOOKUP(C394,ghg_sort!$A$86:$B$512,2,0),0)</f>
        <v>Transportation</v>
      </c>
      <c r="E394" s="33" t="s">
        <v>87</v>
      </c>
      <c r="F394" s="13">
        <f>IFERROR(VLOOKUP($E394,ghg_sort!$A$3:$B$21,2,0),0)</f>
        <v>298</v>
      </c>
      <c r="G394" s="13">
        <f t="shared" si="26"/>
        <v>6.8439275999999993E-2</v>
      </c>
      <c r="H394" s="13">
        <f t="shared" si="26"/>
        <v>0.13858579399999998</v>
      </c>
      <c r="I394" s="13">
        <f t="shared" si="26"/>
        <v>8.5116249999999699E-2</v>
      </c>
      <c r="J394" s="13">
        <f t="shared" si="26"/>
        <v>0.102588586</v>
      </c>
      <c r="K394" s="13">
        <f t="shared" si="25"/>
        <v>0.1001989836</v>
      </c>
      <c r="L394" s="13">
        <f t="shared" si="25"/>
        <v>8.4632566199999704E-2</v>
      </c>
      <c r="M394" s="13">
        <f t="shared" si="25"/>
        <v>5.7143168800000005E-2</v>
      </c>
      <c r="N394" s="13">
        <f t="shared" si="25"/>
        <v>3.4130437659999999E-2</v>
      </c>
      <c r="O394" s="13">
        <f t="shared" si="25"/>
        <v>1.5240327920000001E-2</v>
      </c>
      <c r="P394" s="13">
        <f t="shared" si="24"/>
        <v>8.0021606240000005E-3</v>
      </c>
      <c r="Q394" s="13">
        <f t="shared" si="24"/>
        <v>3.6832916518000003E-3</v>
      </c>
      <c r="R394" s="13" t="s">
        <v>239</v>
      </c>
      <c r="T394" s="63">
        <v>2.29662E-4</v>
      </c>
      <c r="U394" s="63">
        <v>4.6505299999999999E-4</v>
      </c>
      <c r="V394" s="63">
        <v>2.8562499999999899E-4</v>
      </c>
      <c r="W394" s="63">
        <v>3.4425699999999999E-4</v>
      </c>
      <c r="X394" s="63">
        <v>3.362382E-4</v>
      </c>
      <c r="Y394" s="63">
        <v>2.8400189999999899E-4</v>
      </c>
      <c r="Z394" s="63">
        <v>1.9175560000000001E-4</v>
      </c>
      <c r="AA394" s="63">
        <v>1.1453167E-4</v>
      </c>
      <c r="AB394" s="63">
        <v>5.1142040000000002E-5</v>
      </c>
      <c r="AC394" s="63">
        <v>2.6852887999999999E-5</v>
      </c>
      <c r="AD394" s="63">
        <v>1.23600391E-5</v>
      </c>
      <c r="AE394" s="13" t="s">
        <v>93</v>
      </c>
    </row>
    <row r="395" spans="1:31">
      <c r="A395" s="13" t="s">
        <v>324</v>
      </c>
      <c r="B395" s="13" t="s">
        <v>1</v>
      </c>
      <c r="C395" s="13" t="s">
        <v>160</v>
      </c>
      <c r="D395" s="13" t="str">
        <f>IFERROR(VLOOKUP(C395,ghg_sort!$A$86:$B$512,2,0),0)</f>
        <v>Transportation</v>
      </c>
      <c r="E395" s="33" t="s">
        <v>88</v>
      </c>
      <c r="F395" s="13">
        <f>IFERROR(VLOOKUP($E395,ghg_sort!$A$3:$B$21,2,0),0)</f>
        <v>0</v>
      </c>
      <c r="G395" s="13">
        <f t="shared" si="26"/>
        <v>0</v>
      </c>
      <c r="H395" s="13">
        <f t="shared" si="26"/>
        <v>0</v>
      </c>
      <c r="I395" s="13">
        <f t="shared" si="26"/>
        <v>0</v>
      </c>
      <c r="J395" s="13">
        <f t="shared" si="26"/>
        <v>0</v>
      </c>
      <c r="K395" s="13">
        <f t="shared" si="25"/>
        <v>0</v>
      </c>
      <c r="L395" s="13">
        <f t="shared" si="25"/>
        <v>0</v>
      </c>
      <c r="M395" s="13">
        <f t="shared" si="25"/>
        <v>0</v>
      </c>
      <c r="N395" s="13">
        <f t="shared" si="25"/>
        <v>0</v>
      </c>
      <c r="O395" s="13">
        <f t="shared" si="25"/>
        <v>0</v>
      </c>
      <c r="P395" s="13">
        <f t="shared" si="24"/>
        <v>0</v>
      </c>
      <c r="Q395" s="13">
        <f t="shared" si="24"/>
        <v>0</v>
      </c>
      <c r="R395" s="13" t="s">
        <v>239</v>
      </c>
      <c r="T395" s="63">
        <v>5.9310399999999903E-4</v>
      </c>
      <c r="U395" s="63">
        <v>5.4838205446389897E-3</v>
      </c>
      <c r="V395" s="63">
        <v>5.9207818850679998E-3</v>
      </c>
      <c r="W395" s="63">
        <v>5.7576720049639998E-3</v>
      </c>
      <c r="X395" s="63">
        <v>5.6235787839370001E-3</v>
      </c>
      <c r="Y395" s="63">
        <v>4.7499294549929998E-3</v>
      </c>
      <c r="Z395" s="63">
        <v>3.207126042903E-3</v>
      </c>
      <c r="AA395" s="63">
        <v>1.9155588584280001E-3</v>
      </c>
      <c r="AB395" s="63">
        <v>8.5536692298099999E-4</v>
      </c>
      <c r="AC395" s="63">
        <v>4.4912722251799899E-4</v>
      </c>
      <c r="AD395" s="63">
        <v>2.0672991828099999E-4</v>
      </c>
      <c r="AE395" s="13" t="s">
        <v>93</v>
      </c>
    </row>
    <row r="396" spans="1:31">
      <c r="A396" s="13" t="s">
        <v>324</v>
      </c>
      <c r="B396" s="13" t="s">
        <v>1</v>
      </c>
      <c r="C396" s="13" t="s">
        <v>160</v>
      </c>
      <c r="D396" s="13" t="str">
        <f>IFERROR(VLOOKUP(C396,ghg_sort!$A$86:$B$512,2,0),0)</f>
        <v>Transportation</v>
      </c>
      <c r="E396" s="33" t="s">
        <v>89</v>
      </c>
      <c r="F396" s="13">
        <f>IFERROR(VLOOKUP($E396,ghg_sort!$A$3:$B$21,2,0),0)</f>
        <v>0</v>
      </c>
      <c r="G396" s="13">
        <f t="shared" si="26"/>
        <v>0</v>
      </c>
      <c r="H396" s="13">
        <f t="shared" si="26"/>
        <v>0</v>
      </c>
      <c r="I396" s="13">
        <f t="shared" si="26"/>
        <v>0</v>
      </c>
      <c r="J396" s="13">
        <f t="shared" si="26"/>
        <v>0</v>
      </c>
      <c r="K396" s="13">
        <f t="shared" si="25"/>
        <v>0</v>
      </c>
      <c r="L396" s="13">
        <f t="shared" si="25"/>
        <v>0</v>
      </c>
      <c r="M396" s="13">
        <f t="shared" si="25"/>
        <v>0</v>
      </c>
      <c r="N396" s="13">
        <f t="shared" si="25"/>
        <v>0</v>
      </c>
      <c r="O396" s="13">
        <f t="shared" si="25"/>
        <v>0</v>
      </c>
      <c r="P396" s="13">
        <f t="shared" si="24"/>
        <v>0</v>
      </c>
      <c r="Q396" s="13">
        <f t="shared" si="24"/>
        <v>0</v>
      </c>
      <c r="R396" s="13" t="s">
        <v>239</v>
      </c>
      <c r="T396" s="62">
        <v>7.4406799999999995E-2</v>
      </c>
      <c r="U396" s="62">
        <v>6.903950936514E-2</v>
      </c>
      <c r="V396" s="63">
        <v>3.6481420748990002E-2</v>
      </c>
      <c r="W396" s="63">
        <v>3.1425520607319998E-2</v>
      </c>
      <c r="X396" s="63">
        <v>3.0693700838899999E-2</v>
      </c>
      <c r="Y396" s="63">
        <v>2.59253505174999E-2</v>
      </c>
      <c r="Z396" s="63">
        <v>1.7504668394609901E-2</v>
      </c>
      <c r="AA396" s="63">
        <v>1.04552882483299E-2</v>
      </c>
      <c r="AB396" s="63">
        <v>4.6687088825099997E-3</v>
      </c>
      <c r="AC396" s="63">
        <v>2.4514207036099999E-3</v>
      </c>
      <c r="AD396" s="63">
        <v>1.12838332294E-3</v>
      </c>
      <c r="AE396" s="13" t="s">
        <v>93</v>
      </c>
    </row>
    <row r="397" spans="1:31">
      <c r="A397" s="13" t="s">
        <v>324</v>
      </c>
      <c r="B397" s="13" t="s">
        <v>1</v>
      </c>
      <c r="C397" s="13" t="s">
        <v>160</v>
      </c>
      <c r="D397" s="13" t="str">
        <f>IFERROR(VLOOKUP(C397,ghg_sort!$A$86:$B$512,2,0),0)</f>
        <v>Transportation</v>
      </c>
      <c r="E397" s="33" t="s">
        <v>90</v>
      </c>
      <c r="F397" s="13">
        <f>IFERROR(VLOOKUP($E397,ghg_sort!$A$3:$B$21,2,0),0)</f>
        <v>0</v>
      </c>
      <c r="G397" s="13">
        <f t="shared" si="26"/>
        <v>0</v>
      </c>
      <c r="H397" s="13">
        <f t="shared" si="26"/>
        <v>0</v>
      </c>
      <c r="I397" s="13">
        <f t="shared" si="26"/>
        <v>0</v>
      </c>
      <c r="J397" s="13">
        <f t="shared" si="26"/>
        <v>0</v>
      </c>
      <c r="K397" s="13">
        <f t="shared" si="25"/>
        <v>0</v>
      </c>
      <c r="L397" s="13">
        <f t="shared" si="25"/>
        <v>0</v>
      </c>
      <c r="M397" s="13">
        <f t="shared" si="25"/>
        <v>0</v>
      </c>
      <c r="N397" s="13">
        <f t="shared" si="25"/>
        <v>0</v>
      </c>
      <c r="O397" s="13">
        <f t="shared" si="25"/>
        <v>0</v>
      </c>
      <c r="P397" s="13">
        <f t="shared" si="24"/>
        <v>0</v>
      </c>
      <c r="Q397" s="13">
        <f t="shared" si="24"/>
        <v>0</v>
      </c>
      <c r="R397" s="13" t="s">
        <v>239</v>
      </c>
      <c r="T397" s="62">
        <v>0.1080778</v>
      </c>
      <c r="U397" s="62">
        <v>8.8494509365139903E-2</v>
      </c>
      <c r="V397" s="62">
        <v>3.5977424054499899E-2</v>
      </c>
      <c r="W397" s="62">
        <v>4.5064223262999997E-2</v>
      </c>
      <c r="X397" s="62">
        <v>4.4014815122240002E-2</v>
      </c>
      <c r="Y397" s="62">
        <v>3.7176938934790002E-2</v>
      </c>
      <c r="Z397" s="62">
        <v>2.5101680563930001E-2</v>
      </c>
      <c r="AA397" s="62">
        <v>1.4992800981259999E-2</v>
      </c>
      <c r="AB397" s="62">
        <v>6.6948748004600003E-3</v>
      </c>
      <c r="AC397" s="62">
        <v>3.5152934008900001E-3</v>
      </c>
      <c r="AD397" s="62">
        <v>1.61807266480999E-3</v>
      </c>
      <c r="AE397" s="13" t="s">
        <v>93</v>
      </c>
    </row>
    <row r="398" spans="1:31">
      <c r="A398" s="13" t="s">
        <v>324</v>
      </c>
      <c r="B398" s="13" t="s">
        <v>1</v>
      </c>
      <c r="C398" s="13" t="s">
        <v>160</v>
      </c>
      <c r="D398" s="13" t="str">
        <f>IFERROR(VLOOKUP(C398,ghg_sort!$A$86:$B$512,2,0),0)</f>
        <v>Transportation</v>
      </c>
      <c r="E398" s="12" t="s">
        <v>91</v>
      </c>
      <c r="F398" s="13">
        <f>IFERROR(VLOOKUP($E398,ghg_sort!$A$3:$B$21,2,0),0)</f>
        <v>0</v>
      </c>
      <c r="G398" s="13">
        <f t="shared" si="26"/>
        <v>0</v>
      </c>
      <c r="H398" s="13">
        <f t="shared" si="26"/>
        <v>0</v>
      </c>
      <c r="I398" s="13">
        <f t="shared" si="26"/>
        <v>0</v>
      </c>
      <c r="J398" s="13">
        <f t="shared" si="26"/>
        <v>0</v>
      </c>
      <c r="K398" s="13">
        <f t="shared" si="25"/>
        <v>0</v>
      </c>
      <c r="L398" s="13">
        <f t="shared" si="25"/>
        <v>0</v>
      </c>
      <c r="M398" s="13">
        <f t="shared" si="25"/>
        <v>0</v>
      </c>
      <c r="N398" s="13">
        <f t="shared" si="25"/>
        <v>0</v>
      </c>
      <c r="O398" s="13">
        <f t="shared" si="25"/>
        <v>0</v>
      </c>
      <c r="P398" s="13">
        <f t="shared" si="24"/>
        <v>0</v>
      </c>
      <c r="Q398" s="13">
        <f t="shared" si="24"/>
        <v>0</v>
      </c>
      <c r="R398" s="13" t="s">
        <v>239</v>
      </c>
      <c r="T398" s="63">
        <v>2.3890399999999998E-3</v>
      </c>
      <c r="U398" s="62">
        <v>1.9277439999999999E-3</v>
      </c>
      <c r="V398" s="63">
        <v>6.3298399999999996E-4</v>
      </c>
      <c r="W398" s="63">
        <v>8.8249599999999997E-4</v>
      </c>
      <c r="X398" s="63">
        <v>8.6194129999999996E-4</v>
      </c>
      <c r="Y398" s="63">
        <v>7.280346E-4</v>
      </c>
      <c r="Z398" s="63">
        <v>4.9156139999999998E-4</v>
      </c>
      <c r="AA398" s="63">
        <v>2.935999E-4</v>
      </c>
      <c r="AB398" s="63">
        <v>1.3110168999999901E-4</v>
      </c>
      <c r="AC398" s="63">
        <v>6.8836760000000002E-5</v>
      </c>
      <c r="AD398" s="63">
        <v>3.1684682000000003E-5</v>
      </c>
      <c r="AE398" s="13" t="s">
        <v>93</v>
      </c>
    </row>
    <row r="399" spans="1:31">
      <c r="A399" s="13" t="s">
        <v>324</v>
      </c>
      <c r="B399" s="13" t="s">
        <v>1</v>
      </c>
      <c r="C399" s="13" t="s">
        <v>160</v>
      </c>
      <c r="D399" s="13" t="str">
        <f>IFERROR(VLOOKUP(C399,ghg_sort!$A$86:$B$512,2,0),0)</f>
        <v>Transportation</v>
      </c>
      <c r="E399" s="33" t="s">
        <v>92</v>
      </c>
      <c r="F399" s="13">
        <f>IFERROR(VLOOKUP($E399,ghg_sort!$A$3:$B$21,2,0),0)</f>
        <v>0</v>
      </c>
      <c r="G399" s="13">
        <f t="shared" si="26"/>
        <v>0</v>
      </c>
      <c r="H399" s="13">
        <f t="shared" si="26"/>
        <v>0</v>
      </c>
      <c r="I399" s="13">
        <f t="shared" si="26"/>
        <v>0</v>
      </c>
      <c r="J399" s="13">
        <f t="shared" si="26"/>
        <v>0</v>
      </c>
      <c r="K399" s="13">
        <f t="shared" si="25"/>
        <v>0</v>
      </c>
      <c r="L399" s="13">
        <f t="shared" si="25"/>
        <v>0</v>
      </c>
      <c r="M399" s="13">
        <f t="shared" si="25"/>
        <v>0</v>
      </c>
      <c r="N399" s="13">
        <f t="shared" si="25"/>
        <v>0</v>
      </c>
      <c r="O399" s="13">
        <f t="shared" si="25"/>
        <v>0</v>
      </c>
      <c r="P399" s="13">
        <f t="shared" si="24"/>
        <v>0</v>
      </c>
      <c r="Q399" s="13">
        <f t="shared" si="24"/>
        <v>0</v>
      </c>
      <c r="R399" s="13" t="s">
        <v>239</v>
      </c>
      <c r="T399" s="63">
        <v>1.5157879999999999E-3</v>
      </c>
      <c r="U399" s="63">
        <v>1.017048770465E-3</v>
      </c>
      <c r="V399" s="63">
        <v>1.0595614262E-4</v>
      </c>
      <c r="W399" s="63">
        <v>6.4469475089999997E-5</v>
      </c>
      <c r="X399" s="63">
        <v>6.2980096110000001E-5</v>
      </c>
      <c r="Y399" s="63">
        <v>5.3212845985000001E-5</v>
      </c>
      <c r="Z399" s="63">
        <v>3.5943482033E-5</v>
      </c>
      <c r="AA399" s="63">
        <v>2.14807310229999E-5</v>
      </c>
      <c r="AB399" s="63">
        <v>9.6051381699999898E-6</v>
      </c>
      <c r="AC399" s="63">
        <v>5.0493477419999998E-6</v>
      </c>
      <c r="AD399" s="63">
        <v>2.3275179129999998E-6</v>
      </c>
      <c r="AE399" s="13" t="s">
        <v>93</v>
      </c>
    </row>
    <row r="400" spans="1:31">
      <c r="A400" s="13" t="s">
        <v>324</v>
      </c>
      <c r="B400" s="13" t="s">
        <v>1</v>
      </c>
      <c r="C400" s="13" t="s">
        <v>161</v>
      </c>
      <c r="D400" s="13" t="str">
        <f>IFERROR(VLOOKUP(C400,ghg_sort!$A$86:$B$512,2,0),0)</f>
        <v>International</v>
      </c>
      <c r="E400" s="33" t="s">
        <v>83</v>
      </c>
      <c r="F400" s="13">
        <f>IFERROR(VLOOKUP($E400,ghg_sort!$A$3:$B$21,2,0),0)</f>
        <v>0</v>
      </c>
      <c r="G400" s="13">
        <f t="shared" si="26"/>
        <v>0</v>
      </c>
      <c r="H400" s="13">
        <f t="shared" si="26"/>
        <v>0</v>
      </c>
      <c r="I400" s="13">
        <f t="shared" si="26"/>
        <v>0</v>
      </c>
      <c r="J400" s="13">
        <f t="shared" si="26"/>
        <v>0</v>
      </c>
      <c r="K400" s="13">
        <f t="shared" si="25"/>
        <v>0</v>
      </c>
      <c r="L400" s="13">
        <f t="shared" si="25"/>
        <v>0</v>
      </c>
      <c r="M400" s="13">
        <f t="shared" si="25"/>
        <v>0</v>
      </c>
      <c r="N400" s="13">
        <f t="shared" si="25"/>
        <v>0</v>
      </c>
      <c r="O400" s="13">
        <f t="shared" si="25"/>
        <v>0</v>
      </c>
      <c r="P400" s="13">
        <f t="shared" si="24"/>
        <v>0</v>
      </c>
      <c r="Q400" s="13">
        <f t="shared" si="24"/>
        <v>0</v>
      </c>
      <c r="R400" s="13" t="s">
        <v>239</v>
      </c>
      <c r="T400" s="63">
        <v>1.2791199999999999E-3</v>
      </c>
      <c r="U400" s="62">
        <v>9.1301100000000003E-3</v>
      </c>
      <c r="V400" s="62">
        <v>6.6608099999999996E-3</v>
      </c>
      <c r="W400" s="62">
        <v>7.1941499999999999E-3</v>
      </c>
      <c r="X400" s="62">
        <v>5.1733899999999999E-3</v>
      </c>
      <c r="Y400" s="62">
        <v>2.9075099999999999E-3</v>
      </c>
      <c r="Z400" s="62">
        <v>2.2868300000000001E-3</v>
      </c>
      <c r="AA400" s="62">
        <v>1.83909E-3</v>
      </c>
      <c r="AB400" s="63">
        <v>1.49438E-3</v>
      </c>
      <c r="AC400" s="63">
        <v>1.27144E-3</v>
      </c>
      <c r="AD400" s="63">
        <v>8.4140500000000004E-4</v>
      </c>
      <c r="AE400" s="13" t="s">
        <v>93</v>
      </c>
    </row>
    <row r="401" spans="1:31">
      <c r="A401" s="13" t="s">
        <v>324</v>
      </c>
      <c r="B401" s="13" t="s">
        <v>1</v>
      </c>
      <c r="C401" s="13" t="s">
        <v>161</v>
      </c>
      <c r="D401" s="13" t="str">
        <f>IFERROR(VLOOKUP(C401,ghg_sort!$A$86:$B$512,2,0),0)</f>
        <v>International</v>
      </c>
      <c r="E401" s="33" t="s">
        <v>84</v>
      </c>
      <c r="F401" s="13">
        <f>IFERROR(VLOOKUP($E401,ghg_sort!$A$3:$B$21,2,0),0)</f>
        <v>25</v>
      </c>
      <c r="G401" s="13">
        <f t="shared" si="26"/>
        <v>5.0000000000000001E-3</v>
      </c>
      <c r="H401" s="13">
        <f t="shared" si="26"/>
        <v>0.03</v>
      </c>
      <c r="I401" s="13">
        <f t="shared" si="26"/>
        <v>2.6249999999999999E-2</v>
      </c>
      <c r="J401" s="13">
        <f t="shared" si="26"/>
        <v>2.6499999999999999E-2</v>
      </c>
      <c r="K401" s="13">
        <f t="shared" si="25"/>
        <v>2.7685250000000002E-2</v>
      </c>
      <c r="L401" s="13">
        <f t="shared" si="25"/>
        <v>2.5549499999999999E-2</v>
      </c>
      <c r="M401" s="13">
        <f t="shared" si="25"/>
        <v>2.4939424999999998E-2</v>
      </c>
      <c r="N401" s="13">
        <f t="shared" si="25"/>
        <v>2.3673100000000002E-2</v>
      </c>
      <c r="O401" s="13">
        <f t="shared" si="25"/>
        <v>2.2107775E-2</v>
      </c>
      <c r="P401" s="13">
        <f t="shared" si="24"/>
        <v>2.0147000000000002E-2</v>
      </c>
      <c r="Q401" s="13">
        <f t="shared" si="24"/>
        <v>1.4550875E-2</v>
      </c>
      <c r="R401" s="13" t="s">
        <v>239</v>
      </c>
      <c r="T401" s="63">
        <v>2.0000000000000001E-4</v>
      </c>
      <c r="U401" s="62">
        <v>1.1999999999999999E-3</v>
      </c>
      <c r="V401" s="62">
        <v>1.0499999999999999E-3</v>
      </c>
      <c r="W401" s="62">
        <v>1.06E-3</v>
      </c>
      <c r="X401" s="62">
        <v>1.1074100000000001E-3</v>
      </c>
      <c r="Y401" s="63">
        <v>1.02198E-3</v>
      </c>
      <c r="Z401" s="63">
        <v>9.9757699999999993E-4</v>
      </c>
      <c r="AA401" s="63">
        <v>9.4692400000000003E-4</v>
      </c>
      <c r="AB401" s="63">
        <v>8.8431100000000004E-4</v>
      </c>
      <c r="AC401" s="63">
        <v>8.0588000000000003E-4</v>
      </c>
      <c r="AD401" s="63">
        <v>5.8203499999999995E-4</v>
      </c>
      <c r="AE401" s="13" t="s">
        <v>93</v>
      </c>
    </row>
    <row r="402" spans="1:31">
      <c r="A402" s="13" t="s">
        <v>324</v>
      </c>
      <c r="B402" s="13" t="s">
        <v>1</v>
      </c>
      <c r="C402" s="13" t="s">
        <v>161</v>
      </c>
      <c r="D402" s="13" t="str">
        <f>IFERROR(VLOOKUP(C402,ghg_sort!$A$86:$B$512,2,0),0)</f>
        <v>International</v>
      </c>
      <c r="E402" s="33" t="s">
        <v>85</v>
      </c>
      <c r="F402" s="13">
        <f>IFERROR(VLOOKUP($E402,ghg_sort!$A$3:$B$21,2,0),0)</f>
        <v>0</v>
      </c>
      <c r="G402" s="13">
        <f t="shared" si="26"/>
        <v>0</v>
      </c>
      <c r="H402" s="13">
        <f t="shared" si="26"/>
        <v>0</v>
      </c>
      <c r="I402" s="13">
        <f t="shared" si="26"/>
        <v>0</v>
      </c>
      <c r="J402" s="13">
        <f t="shared" si="26"/>
        <v>0</v>
      </c>
      <c r="K402" s="13">
        <f t="shared" si="25"/>
        <v>0</v>
      </c>
      <c r="L402" s="13">
        <f t="shared" si="25"/>
        <v>0</v>
      </c>
      <c r="M402" s="13">
        <f t="shared" si="25"/>
        <v>0</v>
      </c>
      <c r="N402" s="13">
        <f t="shared" si="25"/>
        <v>0</v>
      </c>
      <c r="O402" s="13">
        <f t="shared" si="25"/>
        <v>0</v>
      </c>
      <c r="P402" s="13">
        <f t="shared" si="24"/>
        <v>0</v>
      </c>
      <c r="Q402" s="13">
        <f t="shared" si="24"/>
        <v>0</v>
      </c>
      <c r="R402" s="13" t="s">
        <v>239</v>
      </c>
      <c r="T402" s="63">
        <v>5.2763999999999997E-3</v>
      </c>
      <c r="U402" s="63">
        <v>3.7694400000000003E-2</v>
      </c>
      <c r="V402" s="63">
        <v>2.75024E-2</v>
      </c>
      <c r="W402" s="63">
        <v>2.9696400000000001E-2</v>
      </c>
      <c r="X402" s="63">
        <v>2.1354999999999999E-2</v>
      </c>
      <c r="Y402" s="63">
        <v>1.20018E-2</v>
      </c>
      <c r="Z402" s="63">
        <v>9.4396800000000006E-3</v>
      </c>
      <c r="AA402" s="63">
        <v>7.5914800000000003E-3</v>
      </c>
      <c r="AB402" s="63">
        <v>6.16857E-3</v>
      </c>
      <c r="AC402" s="63">
        <v>5.2483199999999999E-3</v>
      </c>
      <c r="AD402" s="63">
        <v>3.4731900000000001E-3</v>
      </c>
      <c r="AE402" s="13" t="s">
        <v>93</v>
      </c>
    </row>
    <row r="403" spans="1:31">
      <c r="A403" s="13" t="s">
        <v>324</v>
      </c>
      <c r="B403" s="13" t="s">
        <v>1</v>
      </c>
      <c r="C403" s="13" t="s">
        <v>161</v>
      </c>
      <c r="D403" s="13" t="str">
        <f>IFERROR(VLOOKUP(C403,ghg_sort!$A$86:$B$512,2,0),0)</f>
        <v>International</v>
      </c>
      <c r="E403" s="33" t="s">
        <v>86</v>
      </c>
      <c r="F403" s="13">
        <f>IFERROR(VLOOKUP($E403,ghg_sort!$A$3:$B$21,2,0),0)</f>
        <v>3.6666666666666701</v>
      </c>
      <c r="G403" s="13">
        <f t="shared" si="26"/>
        <v>4.7456566666666715</v>
      </c>
      <c r="H403" s="13">
        <f t="shared" si="26"/>
        <v>29.917910000000028</v>
      </c>
      <c r="I403" s="13">
        <f t="shared" si="26"/>
        <v>25.764713333333358</v>
      </c>
      <c r="J403" s="13">
        <f t="shared" si="26"/>
        <v>24.240223333333358</v>
      </c>
      <c r="K403" s="13">
        <f t="shared" si="25"/>
        <v>25.324310000000022</v>
      </c>
      <c r="L403" s="13">
        <f t="shared" si="25"/>
        <v>23.37074666666669</v>
      </c>
      <c r="M403" s="13">
        <f t="shared" si="25"/>
        <v>22.812753333333355</v>
      </c>
      <c r="N403" s="13">
        <f t="shared" si="25"/>
        <v>21.654416666666688</v>
      </c>
      <c r="O403" s="13">
        <f t="shared" si="25"/>
        <v>20.222546666666688</v>
      </c>
      <c r="P403" s="13">
        <f t="shared" si="24"/>
        <v>18.428960000000018</v>
      </c>
      <c r="Q403" s="13">
        <f t="shared" si="24"/>
        <v>13.310073333333346</v>
      </c>
      <c r="R403" s="13" t="s">
        <v>239</v>
      </c>
      <c r="T403" s="62">
        <v>1.29427</v>
      </c>
      <c r="U403" s="62">
        <v>8.1594300000000004</v>
      </c>
      <c r="V403" s="63">
        <v>7.0267400000000002</v>
      </c>
      <c r="W403" s="63">
        <v>6.61097</v>
      </c>
      <c r="X403" s="63">
        <v>6.9066299999999998</v>
      </c>
      <c r="Y403" s="63">
        <v>6.3738400000000004</v>
      </c>
      <c r="Z403" s="63">
        <v>6.22166</v>
      </c>
      <c r="AA403" s="63">
        <v>5.9057500000000003</v>
      </c>
      <c r="AB403" s="63">
        <v>5.5152400000000004</v>
      </c>
      <c r="AC403" s="63">
        <v>5.0260800000000003</v>
      </c>
      <c r="AD403" s="63">
        <v>3.63002</v>
      </c>
      <c r="AE403" s="13" t="s">
        <v>94</v>
      </c>
    </row>
    <row r="404" spans="1:31">
      <c r="A404" s="13" t="s">
        <v>324</v>
      </c>
      <c r="B404" s="13" t="s">
        <v>1</v>
      </c>
      <c r="C404" s="13" t="s">
        <v>161</v>
      </c>
      <c r="D404" s="13" t="str">
        <f>IFERROR(VLOOKUP(C404,ghg_sort!$A$86:$B$512,2,0),0)</f>
        <v>International</v>
      </c>
      <c r="E404" s="33" t="s">
        <v>87</v>
      </c>
      <c r="F404" s="13">
        <f>IFERROR(VLOOKUP($E404,ghg_sort!$A$3:$B$21,2,0),0)</f>
        <v>298</v>
      </c>
      <c r="G404" s="13">
        <f t="shared" si="26"/>
        <v>8.7508295999999999E-2</v>
      </c>
      <c r="H404" s="13">
        <f t="shared" si="26"/>
        <v>0.63040410000000002</v>
      </c>
      <c r="I404" s="13">
        <f t="shared" si="26"/>
        <v>0.45830909999999997</v>
      </c>
      <c r="J404" s="13">
        <f t="shared" si="26"/>
        <v>0.49671236000000002</v>
      </c>
      <c r="K404" s="13">
        <f t="shared" si="25"/>
        <v>0.51892825999999992</v>
      </c>
      <c r="L404" s="13">
        <f t="shared" si="25"/>
        <v>0.47889493999999999</v>
      </c>
      <c r="M404" s="13">
        <f t="shared" si="25"/>
        <v>0.46746067999999996</v>
      </c>
      <c r="N404" s="13">
        <f t="shared" si="25"/>
        <v>0.44372497999999999</v>
      </c>
      <c r="O404" s="13">
        <f t="shared" si="25"/>
        <v>0.41438688000000001</v>
      </c>
      <c r="P404" s="13">
        <f t="shared" si="24"/>
        <v>0.37763454000000002</v>
      </c>
      <c r="Q404" s="13">
        <f t="shared" si="24"/>
        <v>0.27274032800000003</v>
      </c>
      <c r="R404" s="13" t="s">
        <v>239</v>
      </c>
      <c r="T404" s="63">
        <v>2.9365199999999999E-4</v>
      </c>
      <c r="U404" s="62">
        <v>2.1154500000000001E-3</v>
      </c>
      <c r="V404" s="63">
        <v>1.53795E-3</v>
      </c>
      <c r="W404" s="63">
        <v>1.6668200000000001E-3</v>
      </c>
      <c r="X404" s="63">
        <v>1.7413699999999999E-3</v>
      </c>
      <c r="Y404" s="63">
        <v>1.60703E-3</v>
      </c>
      <c r="Z404" s="63">
        <v>1.5686599999999999E-3</v>
      </c>
      <c r="AA404" s="63">
        <v>1.48901E-3</v>
      </c>
      <c r="AB404" s="63">
        <v>1.3905600000000001E-3</v>
      </c>
      <c r="AC404" s="63">
        <v>1.26723E-3</v>
      </c>
      <c r="AD404" s="63">
        <v>9.1523600000000004E-4</v>
      </c>
      <c r="AE404" s="13" t="s">
        <v>93</v>
      </c>
    </row>
    <row r="405" spans="1:31">
      <c r="A405" s="13" t="s">
        <v>324</v>
      </c>
      <c r="B405" s="13" t="s">
        <v>1</v>
      </c>
      <c r="C405" s="13" t="s">
        <v>161</v>
      </c>
      <c r="D405" s="13" t="str">
        <f>IFERROR(VLOOKUP(C405,ghg_sort!$A$86:$B$512,2,0),0)</f>
        <v>International</v>
      </c>
      <c r="E405" s="33" t="s">
        <v>88</v>
      </c>
      <c r="F405" s="13">
        <f>IFERROR(VLOOKUP($E405,ghg_sort!$A$3:$B$21,2,0),0)</f>
        <v>0</v>
      </c>
      <c r="G405" s="13">
        <f t="shared" si="26"/>
        <v>0</v>
      </c>
      <c r="H405" s="13">
        <f t="shared" si="26"/>
        <v>0</v>
      </c>
      <c r="I405" s="13">
        <f t="shared" si="26"/>
        <v>0</v>
      </c>
      <c r="J405" s="13">
        <f t="shared" si="26"/>
        <v>0</v>
      </c>
      <c r="K405" s="13">
        <f t="shared" si="25"/>
        <v>0</v>
      </c>
      <c r="L405" s="13">
        <f t="shared" si="25"/>
        <v>0</v>
      </c>
      <c r="M405" s="13">
        <f t="shared" si="25"/>
        <v>0</v>
      </c>
      <c r="N405" s="13">
        <f t="shared" si="25"/>
        <v>0</v>
      </c>
      <c r="O405" s="13">
        <f t="shared" si="25"/>
        <v>0</v>
      </c>
      <c r="P405" s="13">
        <f t="shared" si="24"/>
        <v>0</v>
      </c>
      <c r="Q405" s="13">
        <f t="shared" si="24"/>
        <v>0</v>
      </c>
      <c r="R405" s="13" t="s">
        <v>239</v>
      </c>
      <c r="T405" s="63">
        <v>1.2909900000000001E-4</v>
      </c>
      <c r="U405" s="63">
        <v>8.9857399999999997E-4</v>
      </c>
      <c r="V405" s="63">
        <v>6.9240199999999995E-4</v>
      </c>
      <c r="W405" s="63">
        <v>7.2372799999999998E-4</v>
      </c>
      <c r="X405" s="63">
        <v>7.5609500000000003E-4</v>
      </c>
      <c r="Y405" s="63">
        <v>6.9776799999999998E-4</v>
      </c>
      <c r="Z405" s="63">
        <v>6.8110800000000004E-4</v>
      </c>
      <c r="AA405" s="63">
        <v>6.4652399999999999E-4</v>
      </c>
      <c r="AB405" s="63">
        <v>6.0377399999999996E-4</v>
      </c>
      <c r="AC405" s="63">
        <v>5.5022399999999998E-4</v>
      </c>
      <c r="AD405" s="63">
        <v>3.9739199999999999E-4</v>
      </c>
      <c r="AE405" s="13" t="s">
        <v>93</v>
      </c>
    </row>
    <row r="406" spans="1:31">
      <c r="A406" s="13" t="s">
        <v>324</v>
      </c>
      <c r="B406" s="13" t="s">
        <v>1</v>
      </c>
      <c r="C406" s="13" t="s">
        <v>161</v>
      </c>
      <c r="D406" s="13" t="str">
        <f>IFERROR(VLOOKUP(C406,ghg_sort!$A$86:$B$512,2,0),0)</f>
        <v>International</v>
      </c>
      <c r="E406" s="33" t="s">
        <v>89</v>
      </c>
      <c r="F406" s="13">
        <f>IFERROR(VLOOKUP($E406,ghg_sort!$A$3:$B$21,2,0),0)</f>
        <v>0</v>
      </c>
      <c r="G406" s="13">
        <f t="shared" si="26"/>
        <v>0</v>
      </c>
      <c r="H406" s="13">
        <f t="shared" si="26"/>
        <v>0</v>
      </c>
      <c r="I406" s="13">
        <f t="shared" si="26"/>
        <v>0</v>
      </c>
      <c r="J406" s="13">
        <f t="shared" si="26"/>
        <v>0</v>
      </c>
      <c r="K406" s="13">
        <f t="shared" si="25"/>
        <v>0</v>
      </c>
      <c r="L406" s="13">
        <f t="shared" si="25"/>
        <v>0</v>
      </c>
      <c r="M406" s="13">
        <f t="shared" si="25"/>
        <v>0</v>
      </c>
      <c r="N406" s="13">
        <f t="shared" si="25"/>
        <v>0</v>
      </c>
      <c r="O406" s="13">
        <f t="shared" si="25"/>
        <v>0</v>
      </c>
      <c r="P406" s="13">
        <f t="shared" si="24"/>
        <v>0</v>
      </c>
      <c r="Q406" s="13">
        <f t="shared" si="24"/>
        <v>0</v>
      </c>
      <c r="R406" s="13" t="s">
        <v>239</v>
      </c>
      <c r="T406" s="63">
        <v>5.8632399999999996E-3</v>
      </c>
      <c r="U406" s="62">
        <v>4.19104E-2</v>
      </c>
      <c r="V406" s="62">
        <v>3.0576300000000001E-2</v>
      </c>
      <c r="W406" s="62">
        <v>3.3026899999999998E-2</v>
      </c>
      <c r="X406" s="62">
        <v>2.375E-2</v>
      </c>
      <c r="Y406" s="62">
        <v>1.33478E-2</v>
      </c>
      <c r="Z406" s="63">
        <v>1.04984E-2</v>
      </c>
      <c r="AA406" s="63">
        <v>8.4428899999999998E-3</v>
      </c>
      <c r="AB406" s="63">
        <v>6.8604E-3</v>
      </c>
      <c r="AC406" s="63">
        <v>5.8369299999999997E-3</v>
      </c>
      <c r="AD406" s="62">
        <v>3.86272E-3</v>
      </c>
      <c r="AE406" s="13" t="s">
        <v>93</v>
      </c>
    </row>
    <row r="407" spans="1:31">
      <c r="A407" s="13" t="s">
        <v>324</v>
      </c>
      <c r="B407" s="13" t="s">
        <v>1</v>
      </c>
      <c r="C407" s="13" t="s">
        <v>161</v>
      </c>
      <c r="D407" s="13" t="str">
        <f>IFERROR(VLOOKUP(C407,ghg_sort!$A$86:$B$512,2,0),0)</f>
        <v>International</v>
      </c>
      <c r="E407" s="33" t="s">
        <v>90</v>
      </c>
      <c r="F407" s="13">
        <f>IFERROR(VLOOKUP($E407,ghg_sort!$A$3:$B$21,2,0),0)</f>
        <v>0</v>
      </c>
      <c r="G407" s="13">
        <f t="shared" si="26"/>
        <v>0</v>
      </c>
      <c r="H407" s="13">
        <f t="shared" si="26"/>
        <v>0</v>
      </c>
      <c r="I407" s="13">
        <f t="shared" si="26"/>
        <v>0</v>
      </c>
      <c r="J407" s="13">
        <f t="shared" si="26"/>
        <v>0</v>
      </c>
      <c r="K407" s="13">
        <f t="shared" si="25"/>
        <v>0</v>
      </c>
      <c r="L407" s="13">
        <f t="shared" si="25"/>
        <v>0</v>
      </c>
      <c r="M407" s="13">
        <f t="shared" si="25"/>
        <v>0</v>
      </c>
      <c r="N407" s="13">
        <f t="shared" si="25"/>
        <v>0</v>
      </c>
      <c r="O407" s="13">
        <f t="shared" si="25"/>
        <v>0</v>
      </c>
      <c r="P407" s="13">
        <f t="shared" si="24"/>
        <v>0</v>
      </c>
      <c r="Q407" s="13">
        <f t="shared" si="24"/>
        <v>0</v>
      </c>
      <c r="R407" s="13" t="s">
        <v>239</v>
      </c>
      <c r="T407" s="63">
        <v>0.174238</v>
      </c>
      <c r="U407" s="63">
        <v>1.2442299999999999</v>
      </c>
      <c r="V407" s="63">
        <v>0.91170099999999998</v>
      </c>
      <c r="W407" s="63">
        <v>0.98137200000000002</v>
      </c>
      <c r="X407" s="63">
        <v>0.70571399999999995</v>
      </c>
      <c r="Y407" s="63">
        <v>0.39661999999999997</v>
      </c>
      <c r="Z407" s="63">
        <v>0.31195200000000001</v>
      </c>
      <c r="AA407" s="63">
        <v>0.25087399999999999</v>
      </c>
      <c r="AB407" s="63">
        <v>0.20385200000000001</v>
      </c>
      <c r="AC407" s="63">
        <v>0.17344000000000001</v>
      </c>
      <c r="AD407" s="63">
        <v>0.11477800000000001</v>
      </c>
      <c r="AE407" s="13" t="s">
        <v>93</v>
      </c>
    </row>
    <row r="408" spans="1:31">
      <c r="A408" s="13" t="s">
        <v>324</v>
      </c>
      <c r="B408" s="13" t="s">
        <v>1</v>
      </c>
      <c r="C408" s="13" t="s">
        <v>161</v>
      </c>
      <c r="D408" s="13" t="str">
        <f>IFERROR(VLOOKUP(C408,ghg_sort!$A$86:$B$512,2,0),0)</f>
        <v>International</v>
      </c>
      <c r="E408" s="12" t="s">
        <v>91</v>
      </c>
      <c r="F408" s="13">
        <f>IFERROR(VLOOKUP($E408,ghg_sort!$A$3:$B$21,2,0),0)</f>
        <v>0</v>
      </c>
      <c r="G408" s="13">
        <f t="shared" si="26"/>
        <v>0</v>
      </c>
      <c r="H408" s="13">
        <f t="shared" si="26"/>
        <v>0</v>
      </c>
      <c r="I408" s="13">
        <f t="shared" si="26"/>
        <v>0</v>
      </c>
      <c r="J408" s="13">
        <f t="shared" si="26"/>
        <v>0</v>
      </c>
      <c r="K408" s="13">
        <f t="shared" si="25"/>
        <v>0</v>
      </c>
      <c r="L408" s="13">
        <f t="shared" si="25"/>
        <v>0</v>
      </c>
      <c r="M408" s="13">
        <f t="shared" si="25"/>
        <v>0</v>
      </c>
      <c r="N408" s="13">
        <f t="shared" si="25"/>
        <v>0</v>
      </c>
      <c r="O408" s="13">
        <f t="shared" si="25"/>
        <v>0</v>
      </c>
      <c r="P408" s="13">
        <f t="shared" si="24"/>
        <v>0</v>
      </c>
      <c r="Q408" s="13">
        <f t="shared" si="24"/>
        <v>0</v>
      </c>
      <c r="R408" s="13" t="s">
        <v>239</v>
      </c>
      <c r="T408" s="63">
        <v>9.6293300000000002E-4</v>
      </c>
      <c r="U408" s="62">
        <v>6.9301600000000003E-3</v>
      </c>
      <c r="V408" s="62">
        <v>5.0590399999999999E-3</v>
      </c>
      <c r="W408" s="62">
        <v>5.4614099999999999E-3</v>
      </c>
      <c r="X408" s="62">
        <v>3.9273499999999996E-3</v>
      </c>
      <c r="Y408" s="62">
        <v>2.2072200000000002E-3</v>
      </c>
      <c r="Z408" s="62">
        <v>1.73603E-3</v>
      </c>
      <c r="AA408" s="62">
        <v>1.39613E-3</v>
      </c>
      <c r="AB408" s="63">
        <v>1.13445E-3</v>
      </c>
      <c r="AC408" s="63">
        <v>9.6520799999999995E-4</v>
      </c>
      <c r="AD408" s="63">
        <v>6.6657900000000004E-4</v>
      </c>
      <c r="AE408" s="13" t="s">
        <v>93</v>
      </c>
    </row>
    <row r="409" spans="1:31">
      <c r="A409" s="13" t="s">
        <v>324</v>
      </c>
      <c r="B409" s="13" t="s">
        <v>1</v>
      </c>
      <c r="C409" s="13" t="s">
        <v>161</v>
      </c>
      <c r="D409" s="13" t="str">
        <f>IFERROR(VLOOKUP(C409,ghg_sort!$A$86:$B$512,2,0),0)</f>
        <v>International</v>
      </c>
      <c r="E409" s="33" t="s">
        <v>92</v>
      </c>
      <c r="F409" s="13">
        <f>IFERROR(VLOOKUP($E409,ghg_sort!$A$3:$B$21,2,0),0)</f>
        <v>0</v>
      </c>
      <c r="G409" s="13">
        <f t="shared" si="26"/>
        <v>0</v>
      </c>
      <c r="H409" s="13">
        <f t="shared" si="26"/>
        <v>0</v>
      </c>
      <c r="I409" s="13">
        <f t="shared" si="26"/>
        <v>0</v>
      </c>
      <c r="J409" s="13">
        <f t="shared" si="26"/>
        <v>0</v>
      </c>
      <c r="K409" s="13">
        <f t="shared" si="25"/>
        <v>0</v>
      </c>
      <c r="L409" s="13">
        <f t="shared" si="25"/>
        <v>0</v>
      </c>
      <c r="M409" s="13">
        <f t="shared" si="25"/>
        <v>0</v>
      </c>
      <c r="N409" s="13">
        <f t="shared" si="25"/>
        <v>0</v>
      </c>
      <c r="O409" s="13">
        <f t="shared" si="25"/>
        <v>0</v>
      </c>
      <c r="P409" s="13">
        <f t="shared" si="24"/>
        <v>0</v>
      </c>
      <c r="Q409" s="13">
        <f t="shared" si="24"/>
        <v>0</v>
      </c>
      <c r="R409" s="13" t="s">
        <v>239</v>
      </c>
      <c r="T409" s="63">
        <v>8.7604000000000001E-2</v>
      </c>
      <c r="U409" s="62">
        <v>0.60352499999999998</v>
      </c>
      <c r="V409" s="63">
        <v>0.419985</v>
      </c>
      <c r="W409" s="62">
        <v>0.40111799999999997</v>
      </c>
      <c r="X409" s="62">
        <v>0.28844799999999998</v>
      </c>
      <c r="Y409" s="63">
        <v>0.16211100000000001</v>
      </c>
      <c r="Z409" s="63">
        <v>0.12750500000000001</v>
      </c>
      <c r="AA409" s="63">
        <v>0.10254000000000001</v>
      </c>
      <c r="AB409" s="63">
        <v>8.3320699999999998E-2</v>
      </c>
      <c r="AC409" s="63">
        <v>7.0890499999999995E-2</v>
      </c>
      <c r="AD409" s="63">
        <v>4.6913400000000001E-2</v>
      </c>
      <c r="AE409" s="13" t="s">
        <v>93</v>
      </c>
    </row>
    <row r="410" spans="1:31">
      <c r="A410" s="13" t="s">
        <v>324</v>
      </c>
      <c r="B410" s="13" t="s">
        <v>1</v>
      </c>
      <c r="C410" s="13" t="s">
        <v>232</v>
      </c>
      <c r="D410" s="13" t="str">
        <f>IFERROR(VLOOKUP(C410,ghg_sort!$A$86:$B$512,2,0),0)</f>
        <v>Industry</v>
      </c>
      <c r="E410" s="33" t="s">
        <v>83</v>
      </c>
      <c r="F410" s="13">
        <f>IFERROR(VLOOKUP($E410,ghg_sort!$A$3:$B$21,2,0),0)</f>
        <v>0</v>
      </c>
      <c r="G410" s="13">
        <f t="shared" si="26"/>
        <v>0</v>
      </c>
      <c r="H410" s="13">
        <f t="shared" si="26"/>
        <v>0</v>
      </c>
      <c r="I410" s="13">
        <f t="shared" si="26"/>
        <v>0</v>
      </c>
      <c r="J410" s="13">
        <f t="shared" si="26"/>
        <v>0</v>
      </c>
      <c r="K410" s="13">
        <f t="shared" si="25"/>
        <v>0</v>
      </c>
      <c r="L410" s="13">
        <f t="shared" si="25"/>
        <v>0</v>
      </c>
      <c r="M410" s="13">
        <f t="shared" si="25"/>
        <v>0</v>
      </c>
      <c r="N410" s="13">
        <f t="shared" si="25"/>
        <v>0</v>
      </c>
      <c r="O410" s="13">
        <f t="shared" si="25"/>
        <v>0</v>
      </c>
      <c r="P410" s="13">
        <f t="shared" si="25"/>
        <v>0</v>
      </c>
      <c r="Q410" s="13">
        <f t="shared" si="25"/>
        <v>0</v>
      </c>
      <c r="R410" s="13" t="s">
        <v>239</v>
      </c>
      <c r="T410" s="63">
        <v>5.64733E-5</v>
      </c>
      <c r="U410" s="63">
        <v>1.02577E-4</v>
      </c>
      <c r="V410" s="63">
        <v>1.0935200000000001E-4</v>
      </c>
      <c r="W410" s="63">
        <v>1.1340099999999999E-4</v>
      </c>
      <c r="X410" s="63">
        <v>8.0666200000000004E-5</v>
      </c>
      <c r="Y410" s="63">
        <v>8.0062399999999994E-5</v>
      </c>
      <c r="Z410" s="63">
        <v>7.9674900000000005E-5</v>
      </c>
      <c r="AA410" s="63">
        <v>7.9161300000000004E-5</v>
      </c>
      <c r="AB410" s="63">
        <v>7.8109399999999995E-5</v>
      </c>
      <c r="AC410" s="63">
        <v>7.6299500000000004E-5</v>
      </c>
      <c r="AD410" s="63">
        <v>7.3699200000000001E-5</v>
      </c>
      <c r="AE410" s="13" t="s">
        <v>93</v>
      </c>
    </row>
    <row r="411" spans="1:31">
      <c r="A411" s="13" t="s">
        <v>324</v>
      </c>
      <c r="B411" s="13" t="s">
        <v>1</v>
      </c>
      <c r="C411" s="13" t="s">
        <v>232</v>
      </c>
      <c r="D411" s="13" t="str">
        <f>IFERROR(VLOOKUP(C411,ghg_sort!$A$86:$B$512,2,0),0)</f>
        <v>Industry</v>
      </c>
      <c r="E411" s="33" t="s">
        <v>84</v>
      </c>
      <c r="F411" s="13">
        <f>IFERROR(VLOOKUP($E411,ghg_sort!$A$3:$B$21,2,0),0)</f>
        <v>25</v>
      </c>
      <c r="G411" s="13">
        <f t="shared" si="26"/>
        <v>7.4664999999999999</v>
      </c>
      <c r="H411" s="13">
        <f t="shared" si="26"/>
        <v>13.139249999999999</v>
      </c>
      <c r="I411" s="13">
        <f t="shared" si="26"/>
        <v>12.846250000000001</v>
      </c>
      <c r="J411" s="13">
        <f t="shared" si="26"/>
        <v>12.86225</v>
      </c>
      <c r="K411" s="13">
        <f t="shared" si="25"/>
        <v>13.052008125</v>
      </c>
      <c r="L411" s="13">
        <f t="shared" si="25"/>
        <v>11.840889524999975</v>
      </c>
      <c r="M411" s="13">
        <f t="shared" si="25"/>
        <v>11.0773177</v>
      </c>
      <c r="N411" s="13">
        <f t="shared" si="25"/>
        <v>10.606172825</v>
      </c>
      <c r="O411" s="13">
        <f t="shared" si="25"/>
        <v>10.295725725</v>
      </c>
      <c r="P411" s="13">
        <f t="shared" si="25"/>
        <v>9.8580672499999995</v>
      </c>
      <c r="Q411" s="13">
        <f t="shared" si="25"/>
        <v>8.6426056749999987</v>
      </c>
      <c r="R411" s="13" t="s">
        <v>239</v>
      </c>
      <c r="T411" s="62">
        <v>0.29865999999999998</v>
      </c>
      <c r="U411" s="63">
        <v>0.52556999999999998</v>
      </c>
      <c r="V411" s="62">
        <v>0.51385000000000003</v>
      </c>
      <c r="W411" s="62">
        <v>0.51449</v>
      </c>
      <c r="X411" s="63">
        <v>0.52208032500000001</v>
      </c>
      <c r="Y411" s="63">
        <v>0.47363558099999897</v>
      </c>
      <c r="Z411" s="63">
        <v>0.443092708</v>
      </c>
      <c r="AA411" s="63">
        <v>0.424246913</v>
      </c>
      <c r="AB411" s="63">
        <v>0.41182902900000001</v>
      </c>
      <c r="AC411" s="63">
        <v>0.39432268999999998</v>
      </c>
      <c r="AD411" s="63">
        <v>0.34570422699999998</v>
      </c>
      <c r="AE411" s="13" t="s">
        <v>93</v>
      </c>
    </row>
    <row r="412" spans="1:31">
      <c r="A412" s="13" t="s">
        <v>324</v>
      </c>
      <c r="B412" s="13" t="s">
        <v>1</v>
      </c>
      <c r="C412" s="13" t="s">
        <v>232</v>
      </c>
      <c r="D412" s="13" t="str">
        <f>IFERROR(VLOOKUP(C412,ghg_sort!$A$86:$B$512,2,0),0)</f>
        <v>Industry</v>
      </c>
      <c r="E412" s="33" t="s">
        <v>85</v>
      </c>
      <c r="F412" s="13">
        <f>IFERROR(VLOOKUP($E412,ghg_sort!$A$3:$B$21,2,0),0)</f>
        <v>0</v>
      </c>
      <c r="G412" s="13">
        <f t="shared" si="26"/>
        <v>0</v>
      </c>
      <c r="H412" s="13">
        <f t="shared" si="26"/>
        <v>0</v>
      </c>
      <c r="I412" s="13">
        <f t="shared" si="26"/>
        <v>0</v>
      </c>
      <c r="J412" s="13">
        <f t="shared" si="26"/>
        <v>0</v>
      </c>
      <c r="K412" s="13">
        <f t="shared" si="25"/>
        <v>0</v>
      </c>
      <c r="L412" s="13">
        <f t="shared" si="25"/>
        <v>0</v>
      </c>
      <c r="M412" s="13">
        <f t="shared" si="25"/>
        <v>0</v>
      </c>
      <c r="N412" s="13">
        <f t="shared" si="25"/>
        <v>0</v>
      </c>
      <c r="O412" s="13">
        <f t="shared" si="25"/>
        <v>0</v>
      </c>
      <c r="P412" s="13">
        <f t="shared" si="25"/>
        <v>0</v>
      </c>
      <c r="Q412" s="13">
        <f t="shared" si="25"/>
        <v>0</v>
      </c>
      <c r="R412" s="13" t="s">
        <v>239</v>
      </c>
      <c r="T412" s="63">
        <v>9.7000000000000005E-4</v>
      </c>
      <c r="U412" s="62">
        <v>1.6900000000000001E-3</v>
      </c>
      <c r="V412" s="63">
        <v>7.6999999999999996E-4</v>
      </c>
      <c r="W412" s="62">
        <v>1.81E-3</v>
      </c>
      <c r="X412" s="62">
        <v>1.2660499999999999E-3</v>
      </c>
      <c r="Y412" s="63">
        <v>7.6524000000000004E-4</v>
      </c>
      <c r="Z412" s="63">
        <v>6.1361800000000002E-4</v>
      </c>
      <c r="AA412" s="63">
        <v>5.1652299999999996E-4</v>
      </c>
      <c r="AB412" s="63">
        <v>4.4345400000000003E-4</v>
      </c>
      <c r="AC412" s="63">
        <v>4.0442400000000002E-4</v>
      </c>
      <c r="AD412" s="63">
        <v>3.5793799999999997E-4</v>
      </c>
      <c r="AE412" s="13" t="s">
        <v>93</v>
      </c>
    </row>
    <row r="413" spans="1:31">
      <c r="A413" s="13" t="s">
        <v>324</v>
      </c>
      <c r="B413" s="13" t="s">
        <v>1</v>
      </c>
      <c r="C413" s="13" t="s">
        <v>232</v>
      </c>
      <c r="D413" s="13" t="str">
        <f>IFERROR(VLOOKUP(C413,ghg_sort!$A$86:$B$512,2,0),0)</f>
        <v>Industry</v>
      </c>
      <c r="E413" s="33" t="s">
        <v>233</v>
      </c>
      <c r="F413" s="13">
        <f>IFERROR(VLOOKUP($E413,ghg_sort!$A$3:$B$21,2,0),0)</f>
        <v>3.22</v>
      </c>
      <c r="G413" s="13">
        <f t="shared" si="26"/>
        <v>0</v>
      </c>
      <c r="H413" s="13">
        <f t="shared" si="26"/>
        <v>8.6730378000000011E-2</v>
      </c>
      <c r="I413" s="13">
        <f t="shared" si="26"/>
        <v>0.15535759399999999</v>
      </c>
      <c r="J413" s="13">
        <f t="shared" si="26"/>
        <v>0.22366635200000001</v>
      </c>
      <c r="K413" s="13">
        <f t="shared" si="25"/>
        <v>0.14647393600000003</v>
      </c>
      <c r="L413" s="13">
        <f t="shared" si="25"/>
        <v>0.14527996000000001</v>
      </c>
      <c r="M413" s="13">
        <f t="shared" si="25"/>
        <v>0.16522753800000001</v>
      </c>
      <c r="N413" s="13">
        <f t="shared" si="25"/>
        <v>0.16399266800000001</v>
      </c>
      <c r="O413" s="13">
        <f t="shared" si="25"/>
        <v>0.16181337200000001</v>
      </c>
      <c r="P413" s="13">
        <f t="shared" si="25"/>
        <v>0.15790558000000002</v>
      </c>
      <c r="Q413" s="13">
        <f t="shared" si="25"/>
        <v>0.152523994</v>
      </c>
      <c r="R413" s="13" t="s">
        <v>239</v>
      </c>
      <c r="T413" s="63">
        <v>0</v>
      </c>
      <c r="U413" s="62">
        <v>2.6934900000000001E-2</v>
      </c>
      <c r="V413" s="62">
        <v>4.8247699999999998E-2</v>
      </c>
      <c r="W413" s="62">
        <v>6.9461599999999998E-2</v>
      </c>
      <c r="X413" s="62">
        <v>4.5488800000000003E-2</v>
      </c>
      <c r="Y413" s="62">
        <v>4.5117999999999998E-2</v>
      </c>
      <c r="Z413" s="62">
        <v>5.1312900000000002E-2</v>
      </c>
      <c r="AA413" s="62">
        <v>5.09294E-2</v>
      </c>
      <c r="AB413" s="62">
        <v>5.0252600000000001E-2</v>
      </c>
      <c r="AC413" s="62">
        <v>4.9038999999999999E-2</v>
      </c>
      <c r="AD413" s="62">
        <v>4.7367699999999999E-2</v>
      </c>
      <c r="AE413" s="13" t="s">
        <v>131</v>
      </c>
    </row>
    <row r="414" spans="1:31">
      <c r="A414" s="13" t="s">
        <v>324</v>
      </c>
      <c r="B414" s="13" t="s">
        <v>1</v>
      </c>
      <c r="C414" s="13" t="s">
        <v>232</v>
      </c>
      <c r="D414" s="13" t="str">
        <f>IFERROR(VLOOKUP(C414,ghg_sort!$A$86:$B$512,2,0),0)</f>
        <v>Industry</v>
      </c>
      <c r="E414" s="33" t="s">
        <v>234</v>
      </c>
      <c r="F414" s="13">
        <f>IFERROR(VLOOKUP($E414,ghg_sort!$A$3:$B$21,2,0),0)</f>
        <v>9.81</v>
      </c>
      <c r="G414" s="13">
        <f t="shared" si="26"/>
        <v>0</v>
      </c>
      <c r="H414" s="13">
        <f t="shared" si="26"/>
        <v>7.1124265800000001E-3</v>
      </c>
      <c r="I414" s="13">
        <f t="shared" si="26"/>
        <v>1.0498563900000001E-2</v>
      </c>
      <c r="J414" s="13">
        <f t="shared" si="26"/>
        <v>1.5114659400000001E-2</v>
      </c>
      <c r="K414" s="13">
        <f t="shared" si="25"/>
        <v>7.1997944399999998E-3</v>
      </c>
      <c r="L414" s="13">
        <f t="shared" si="25"/>
        <v>7.1411110200000003E-3</v>
      </c>
      <c r="M414" s="13">
        <f t="shared" si="25"/>
        <v>7.5624701400000011E-3</v>
      </c>
      <c r="N414" s="13">
        <f t="shared" si="25"/>
        <v>7.5059547300000001E-3</v>
      </c>
      <c r="O414" s="13">
        <f t="shared" si="25"/>
        <v>7.4062066500000003E-3</v>
      </c>
      <c r="P414" s="13">
        <f t="shared" si="25"/>
        <v>7.227350730000001E-3</v>
      </c>
      <c r="Q414" s="13">
        <f t="shared" si="25"/>
        <v>6.9810314400000004E-3</v>
      </c>
      <c r="R414" s="13" t="s">
        <v>239</v>
      </c>
      <c r="T414" s="62">
        <v>0</v>
      </c>
      <c r="U414" s="63">
        <v>7.2501800000000002E-4</v>
      </c>
      <c r="V414" s="62">
        <v>1.0701899999999999E-3</v>
      </c>
      <c r="W414" s="62">
        <v>1.5407400000000001E-3</v>
      </c>
      <c r="X414" s="63">
        <v>7.3392399999999995E-4</v>
      </c>
      <c r="Y414" s="63">
        <v>7.2794199999999998E-4</v>
      </c>
      <c r="Z414" s="63">
        <v>7.7089400000000005E-4</v>
      </c>
      <c r="AA414" s="63">
        <v>7.6513299999999998E-4</v>
      </c>
      <c r="AB414" s="63">
        <v>7.5496500000000002E-4</v>
      </c>
      <c r="AC414" s="63">
        <v>7.3673300000000005E-4</v>
      </c>
      <c r="AD414" s="63">
        <v>7.11624E-4</v>
      </c>
      <c r="AE414" s="13" t="s">
        <v>131</v>
      </c>
    </row>
    <row r="415" spans="1:31">
      <c r="A415" s="13" t="s">
        <v>324</v>
      </c>
      <c r="B415" s="13" t="s">
        <v>1</v>
      </c>
      <c r="C415" s="13" t="s">
        <v>232</v>
      </c>
      <c r="D415" s="13" t="str">
        <f>IFERROR(VLOOKUP(C415,ghg_sort!$A$86:$B$512,2,0),0)</f>
        <v>Industry</v>
      </c>
      <c r="E415" s="33" t="s">
        <v>87</v>
      </c>
      <c r="F415" s="13">
        <f>IFERROR(VLOOKUP($E415,ghg_sort!$A$3:$B$21,2,0),0)</f>
        <v>298</v>
      </c>
      <c r="G415" s="13">
        <f t="shared" si="26"/>
        <v>0.66156000000000004</v>
      </c>
      <c r="H415" s="13">
        <f t="shared" si="26"/>
        <v>0.78969999999999996</v>
      </c>
      <c r="I415" s="13">
        <f t="shared" si="26"/>
        <v>0.93572</v>
      </c>
      <c r="J415" s="13">
        <f t="shared" si="26"/>
        <v>0.99234</v>
      </c>
      <c r="K415" s="13">
        <f t="shared" si="25"/>
        <v>1.0076118145999999</v>
      </c>
      <c r="L415" s="13">
        <f t="shared" si="25"/>
        <v>0.93385556300000006</v>
      </c>
      <c r="M415" s="13">
        <f t="shared" si="25"/>
        <v>0.88098878359999999</v>
      </c>
      <c r="N415" s="13">
        <f t="shared" si="25"/>
        <v>0.84865316120000012</v>
      </c>
      <c r="O415" s="13">
        <f t="shared" si="25"/>
        <v>0.82624353140000006</v>
      </c>
      <c r="P415" s="13">
        <f t="shared" si="25"/>
        <v>0.7930994052</v>
      </c>
      <c r="Q415" s="13">
        <f t="shared" si="25"/>
        <v>0.696091346</v>
      </c>
      <c r="R415" s="13" t="s">
        <v>239</v>
      </c>
      <c r="T415" s="63">
        <v>2.2200000000000002E-3</v>
      </c>
      <c r="U415" s="63">
        <v>2.65E-3</v>
      </c>
      <c r="V415" s="63">
        <v>3.14E-3</v>
      </c>
      <c r="W415" s="63">
        <v>3.3300000000000001E-3</v>
      </c>
      <c r="X415" s="63">
        <v>3.3812476999999998E-3</v>
      </c>
      <c r="Y415" s="63">
        <v>3.1337435000000002E-3</v>
      </c>
      <c r="Z415" s="63">
        <v>2.9563381999999998E-3</v>
      </c>
      <c r="AA415" s="63">
        <v>2.8478294000000002E-3</v>
      </c>
      <c r="AB415" s="63">
        <v>2.7726293000000001E-3</v>
      </c>
      <c r="AC415" s="63">
        <v>2.6614073999999999E-3</v>
      </c>
      <c r="AD415" s="63">
        <v>2.3358770000000001E-3</v>
      </c>
      <c r="AE415" s="13" t="s">
        <v>93</v>
      </c>
    </row>
    <row r="416" spans="1:31">
      <c r="A416" s="13" t="s">
        <v>324</v>
      </c>
      <c r="B416" s="13" t="s">
        <v>1</v>
      </c>
      <c r="C416" s="13" t="s">
        <v>232</v>
      </c>
      <c r="D416" s="13" t="str">
        <f>IFERROR(VLOOKUP(C416,ghg_sort!$A$86:$B$512,2,0),0)</f>
        <v>Industry</v>
      </c>
      <c r="E416" s="33" t="s">
        <v>88</v>
      </c>
      <c r="F416" s="13">
        <f>IFERROR(VLOOKUP($E416,ghg_sort!$A$3:$B$21,2,0),0)</f>
        <v>0</v>
      </c>
      <c r="G416" s="13">
        <f t="shared" si="26"/>
        <v>0</v>
      </c>
      <c r="H416" s="13">
        <f t="shared" si="26"/>
        <v>0</v>
      </c>
      <c r="I416" s="13">
        <f t="shared" si="26"/>
        <v>0</v>
      </c>
      <c r="J416" s="13">
        <f t="shared" si="26"/>
        <v>0</v>
      </c>
      <c r="K416" s="13">
        <f t="shared" si="25"/>
        <v>0</v>
      </c>
      <c r="L416" s="13">
        <f t="shared" si="25"/>
        <v>0</v>
      </c>
      <c r="M416" s="13">
        <f t="shared" si="25"/>
        <v>0</v>
      </c>
      <c r="N416" s="13">
        <f t="shared" ref="N416:Q420" si="27">AA416*$F416</f>
        <v>0</v>
      </c>
      <c r="O416" s="13">
        <f t="shared" si="27"/>
        <v>0</v>
      </c>
      <c r="P416" s="13">
        <f t="shared" si="27"/>
        <v>0</v>
      </c>
      <c r="Q416" s="13">
        <f t="shared" si="27"/>
        <v>0</v>
      </c>
      <c r="R416" s="13" t="s">
        <v>239</v>
      </c>
      <c r="T416" s="63">
        <v>7.016E-2</v>
      </c>
      <c r="U416" s="63">
        <v>3.5299999999999998E-2</v>
      </c>
      <c r="V416" s="63">
        <v>3.1359999999999999E-2</v>
      </c>
      <c r="W416" s="63">
        <v>2.5649999999999999E-2</v>
      </c>
      <c r="X416" s="63">
        <v>2.6065339E-2</v>
      </c>
      <c r="Y416" s="63">
        <v>2.5870217000000001E-2</v>
      </c>
      <c r="Z416" s="63">
        <v>2.5745041E-2</v>
      </c>
      <c r="AA416" s="63">
        <v>2.5579147E-2</v>
      </c>
      <c r="AB416" s="63">
        <v>2.5239196999999901E-2</v>
      </c>
      <c r="AC416" s="63">
        <v>2.4654336999999998E-2</v>
      </c>
      <c r="AD416" s="63">
        <v>2.3814084999999999E-2</v>
      </c>
      <c r="AE416" s="13" t="s">
        <v>93</v>
      </c>
    </row>
    <row r="417" spans="1:31">
      <c r="A417" s="13" t="s">
        <v>324</v>
      </c>
      <c r="B417" s="13" t="s">
        <v>1</v>
      </c>
      <c r="C417" s="13" t="s">
        <v>232</v>
      </c>
      <c r="D417" s="13" t="str">
        <f>IFERROR(VLOOKUP(C417,ghg_sort!$A$86:$B$512,2,0),0)</f>
        <v>Industry</v>
      </c>
      <c r="E417" s="33" t="s">
        <v>89</v>
      </c>
      <c r="F417" s="13">
        <f>IFERROR(VLOOKUP($E417,ghg_sort!$A$3:$B$21,2,0),0)</f>
        <v>0</v>
      </c>
      <c r="G417" s="13">
        <f t="shared" si="26"/>
        <v>0</v>
      </c>
      <c r="H417" s="13">
        <f t="shared" si="26"/>
        <v>0</v>
      </c>
      <c r="I417" s="13">
        <f t="shared" si="26"/>
        <v>0</v>
      </c>
      <c r="J417" s="13">
        <f t="shared" si="26"/>
        <v>0</v>
      </c>
      <c r="K417" s="13">
        <f t="shared" si="26"/>
        <v>0</v>
      </c>
      <c r="L417" s="13">
        <f t="shared" si="26"/>
        <v>0</v>
      </c>
      <c r="M417" s="13">
        <f t="shared" si="26"/>
        <v>0</v>
      </c>
      <c r="N417" s="13">
        <f t="shared" si="27"/>
        <v>0</v>
      </c>
      <c r="O417" s="13">
        <f t="shared" si="27"/>
        <v>0</v>
      </c>
      <c r="P417" s="13">
        <f t="shared" si="27"/>
        <v>0</v>
      </c>
      <c r="Q417" s="13">
        <f t="shared" si="27"/>
        <v>0</v>
      </c>
      <c r="R417" s="13" t="s">
        <v>239</v>
      </c>
      <c r="T417" s="63">
        <v>1.5599999999999999E-2</v>
      </c>
      <c r="U417" s="62">
        <v>2.496E-2</v>
      </c>
      <c r="V417" s="63">
        <v>2.6759999999999999E-2</v>
      </c>
      <c r="W417" s="62">
        <v>3.6659999999999998E-2</v>
      </c>
      <c r="X417" s="62">
        <v>2.5664854500000001E-2</v>
      </c>
      <c r="Y417" s="63">
        <v>1.5540248099999999E-2</v>
      </c>
      <c r="Z417" s="63">
        <v>1.47604634E-2</v>
      </c>
      <c r="AA417" s="63">
        <v>1.46653304999999E-2</v>
      </c>
      <c r="AB417" s="63">
        <v>1.4470500799999999E-2</v>
      </c>
      <c r="AC417" s="63">
        <v>1.4135203900000001E-2</v>
      </c>
      <c r="AD417" s="63">
        <v>1.36534558E-2</v>
      </c>
      <c r="AE417" s="13" t="s">
        <v>93</v>
      </c>
    </row>
    <row r="418" spans="1:31">
      <c r="A418" s="13" t="s">
        <v>324</v>
      </c>
      <c r="B418" s="13" t="s">
        <v>1</v>
      </c>
      <c r="C418" s="13" t="s">
        <v>232</v>
      </c>
      <c r="D418" s="13" t="str">
        <f>IFERROR(VLOOKUP(C418,ghg_sort!$A$86:$B$512,2,0),0)</f>
        <v>Industry</v>
      </c>
      <c r="E418" s="33" t="s">
        <v>90</v>
      </c>
      <c r="F418" s="13">
        <f>IFERROR(VLOOKUP($E418,ghg_sort!$A$3:$B$21,2,0),0)</f>
        <v>0</v>
      </c>
      <c r="G418" s="13">
        <f t="shared" si="26"/>
        <v>0</v>
      </c>
      <c r="H418" s="13">
        <f t="shared" si="26"/>
        <v>0</v>
      </c>
      <c r="I418" s="13">
        <f t="shared" si="26"/>
        <v>0</v>
      </c>
      <c r="J418" s="13">
        <f t="shared" si="26"/>
        <v>0</v>
      </c>
      <c r="K418" s="13">
        <f t="shared" si="26"/>
        <v>0</v>
      </c>
      <c r="L418" s="13">
        <f t="shared" si="26"/>
        <v>0</v>
      </c>
      <c r="M418" s="13">
        <f t="shared" si="26"/>
        <v>0</v>
      </c>
      <c r="N418" s="13">
        <f t="shared" si="27"/>
        <v>0</v>
      </c>
      <c r="O418" s="13">
        <f t="shared" si="27"/>
        <v>0</v>
      </c>
      <c r="P418" s="13">
        <f t="shared" si="27"/>
        <v>0</v>
      </c>
      <c r="Q418" s="13">
        <f t="shared" si="27"/>
        <v>0</v>
      </c>
      <c r="R418" s="13" t="s">
        <v>239</v>
      </c>
      <c r="T418" s="62">
        <v>4.3400000000000001E-3</v>
      </c>
      <c r="U418" s="62">
        <v>7.8899999999999994E-3</v>
      </c>
      <c r="V418" s="62">
        <v>4.8700000000000002E-3</v>
      </c>
      <c r="W418" s="62">
        <v>8.6499999999999997E-3</v>
      </c>
      <c r="X418" s="62">
        <v>6.0504399999999998E-3</v>
      </c>
      <c r="Y418" s="62">
        <v>3.65709E-3</v>
      </c>
      <c r="Z418" s="62">
        <v>2.9324799999999999E-3</v>
      </c>
      <c r="AA418" s="62">
        <v>2.46847E-3</v>
      </c>
      <c r="AB418" s="62">
        <v>2.1192699999999999E-3</v>
      </c>
      <c r="AC418" s="62">
        <v>1.93275E-3</v>
      </c>
      <c r="AD418" s="62">
        <v>1.7105899999999999E-3</v>
      </c>
      <c r="AE418" s="13" t="s">
        <v>93</v>
      </c>
    </row>
    <row r="419" spans="1:31">
      <c r="A419" s="13" t="s">
        <v>324</v>
      </c>
      <c r="B419" s="13" t="s">
        <v>1</v>
      </c>
      <c r="C419" s="13" t="s">
        <v>232</v>
      </c>
      <c r="D419" s="13" t="str">
        <f>IFERROR(VLOOKUP(C419,ghg_sort!$A$86:$B$512,2,0),0)</f>
        <v>Industry</v>
      </c>
      <c r="E419" s="33" t="s">
        <v>91</v>
      </c>
      <c r="F419" s="13">
        <f>IFERROR(VLOOKUP($E419,ghg_sort!$A$3:$B$21,2,0),0)</f>
        <v>0</v>
      </c>
      <c r="G419" s="13">
        <f t="shared" si="26"/>
        <v>0</v>
      </c>
      <c r="H419" s="13">
        <f t="shared" si="26"/>
        <v>0</v>
      </c>
      <c r="I419" s="13">
        <f t="shared" si="26"/>
        <v>0</v>
      </c>
      <c r="J419" s="13">
        <f t="shared" si="26"/>
        <v>0</v>
      </c>
      <c r="K419" s="13">
        <f t="shared" si="26"/>
        <v>0</v>
      </c>
      <c r="L419" s="13">
        <f t="shared" si="26"/>
        <v>0</v>
      </c>
      <c r="M419" s="13">
        <f t="shared" si="26"/>
        <v>0</v>
      </c>
      <c r="N419" s="13">
        <f t="shared" si="27"/>
        <v>0</v>
      </c>
      <c r="O419" s="13">
        <f t="shared" si="27"/>
        <v>0</v>
      </c>
      <c r="P419" s="13">
        <f t="shared" si="27"/>
        <v>0</v>
      </c>
      <c r="Q419" s="13">
        <f t="shared" si="27"/>
        <v>0</v>
      </c>
      <c r="R419" s="13" t="s">
        <v>239</v>
      </c>
      <c r="T419" s="63">
        <v>3.5E-4</v>
      </c>
      <c r="U419" s="63">
        <v>6.4000000000000005E-4</v>
      </c>
      <c r="V419" s="63">
        <v>6.8000000000000005E-4</v>
      </c>
      <c r="W419" s="63">
        <v>7.1000000000000002E-4</v>
      </c>
      <c r="X419" s="63">
        <v>5.0504800000000002E-4</v>
      </c>
      <c r="Y419" s="63">
        <v>5.0126800000000003E-4</v>
      </c>
      <c r="Z419" s="63">
        <v>4.9884099999999998E-4</v>
      </c>
      <c r="AA419" s="63">
        <v>4.9562599999999999E-4</v>
      </c>
      <c r="AB419" s="63">
        <v>4.8904000000000005E-4</v>
      </c>
      <c r="AC419" s="63">
        <v>4.7770799999999997E-4</v>
      </c>
      <c r="AD419" s="63">
        <v>4.61428E-4</v>
      </c>
      <c r="AE419" s="13" t="s">
        <v>93</v>
      </c>
    </row>
    <row r="420" spans="1:31">
      <c r="A420" s="13" t="s">
        <v>324</v>
      </c>
      <c r="B420" s="13" t="s">
        <v>1</v>
      </c>
      <c r="C420" s="13" t="s">
        <v>232</v>
      </c>
      <c r="D420" s="13" t="str">
        <f>IFERROR(VLOOKUP(C420,ghg_sort!$A$86:$B$512,2,0),0)</f>
        <v>Industry</v>
      </c>
      <c r="E420" s="33" t="s">
        <v>92</v>
      </c>
      <c r="F420" s="13">
        <f>IFERROR(VLOOKUP($E420,ghg_sort!$A$3:$B$21,2,0),0)</f>
        <v>0</v>
      </c>
      <c r="G420" s="13">
        <f t="shared" si="26"/>
        <v>0</v>
      </c>
      <c r="H420" s="13">
        <f t="shared" si="26"/>
        <v>0</v>
      </c>
      <c r="I420" s="13">
        <f t="shared" si="26"/>
        <v>0</v>
      </c>
      <c r="J420" s="13">
        <f t="shared" si="26"/>
        <v>0</v>
      </c>
      <c r="K420" s="13">
        <f t="shared" si="26"/>
        <v>0</v>
      </c>
      <c r="L420" s="13">
        <f t="shared" si="26"/>
        <v>0</v>
      </c>
      <c r="M420" s="13">
        <f t="shared" si="26"/>
        <v>0</v>
      </c>
      <c r="N420" s="13">
        <f t="shared" si="27"/>
        <v>0</v>
      </c>
      <c r="O420" s="13">
        <f t="shared" si="27"/>
        <v>0</v>
      </c>
      <c r="P420" s="13">
        <f t="shared" si="27"/>
        <v>0</v>
      </c>
      <c r="Q420" s="13">
        <f t="shared" si="27"/>
        <v>0</v>
      </c>
      <c r="R420" s="13" t="s">
        <v>239</v>
      </c>
      <c r="T420" s="63">
        <v>7.1199700000000002E-4</v>
      </c>
      <c r="U420" s="62">
        <v>1.2539000000000001E-3</v>
      </c>
      <c r="V420" s="62">
        <v>1.17347E-3</v>
      </c>
      <c r="W420" s="62">
        <v>5.8689099999999998E-3</v>
      </c>
      <c r="X420" s="62">
        <v>4.1051400000000002E-3</v>
      </c>
      <c r="Y420" s="62">
        <v>2.9596499999999999E-3</v>
      </c>
      <c r="Z420" s="62">
        <v>2.9453299999999999E-3</v>
      </c>
      <c r="AA420" s="62">
        <v>2.9263399999999999E-3</v>
      </c>
      <c r="AB420" s="62">
        <v>2.8874500000000002E-3</v>
      </c>
      <c r="AC420" s="62">
        <v>2.8205499999999998E-3</v>
      </c>
      <c r="AD420" s="62">
        <v>2.72442E-3</v>
      </c>
      <c r="AE420" s="13" t="s">
        <v>93</v>
      </c>
    </row>
    <row r="421" spans="1:31">
      <c r="E421" s="33"/>
    </row>
    <row r="422" spans="1:31">
      <c r="E422" s="33"/>
    </row>
    <row r="423" spans="1:31">
      <c r="E423" s="33"/>
    </row>
    <row r="424" spans="1:31">
      <c r="E424" s="33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</row>
    <row r="425" spans="1:31">
      <c r="E425" s="33"/>
      <c r="T425" s="14"/>
    </row>
    <row r="430" spans="1:31">
      <c r="A430" s="1" t="s">
        <v>494</v>
      </c>
    </row>
    <row r="431" spans="1:31">
      <c r="A431" s="13" t="s">
        <v>240</v>
      </c>
      <c r="B431" s="13" t="s">
        <v>241</v>
      </c>
      <c r="C431" s="13" t="s">
        <v>242</v>
      </c>
      <c r="G431" s="13">
        <v>1990</v>
      </c>
      <c r="H431" s="13">
        <v>2005</v>
      </c>
      <c r="I431" s="13">
        <v>2010</v>
      </c>
      <c r="J431" s="13">
        <v>2015</v>
      </c>
      <c r="K431" s="13">
        <v>2020</v>
      </c>
      <c r="L431" s="13">
        <v>2025</v>
      </c>
      <c r="M431" s="13">
        <v>2030</v>
      </c>
      <c r="N431" s="13">
        <v>2035</v>
      </c>
      <c r="O431" s="13">
        <v>2040</v>
      </c>
      <c r="P431" s="13">
        <v>2045</v>
      </c>
      <c r="Q431" s="13">
        <v>2050</v>
      </c>
      <c r="R431" s="13" t="s">
        <v>243</v>
      </c>
      <c r="T431" s="13">
        <v>1990</v>
      </c>
      <c r="U431" s="13">
        <v>2005</v>
      </c>
      <c r="V431" s="13">
        <v>2010</v>
      </c>
      <c r="W431" s="13">
        <v>2015</v>
      </c>
      <c r="X431" s="13">
        <v>2020</v>
      </c>
      <c r="Y431" s="13">
        <v>2025</v>
      </c>
      <c r="Z431" s="13">
        <v>2030</v>
      </c>
      <c r="AA431" s="13">
        <v>2035</v>
      </c>
      <c r="AB431" s="13">
        <v>2040</v>
      </c>
      <c r="AC431" s="13">
        <v>2045</v>
      </c>
      <c r="AD431" s="13">
        <v>2050</v>
      </c>
      <c r="AE431" s="13" t="s">
        <v>243</v>
      </c>
    </row>
    <row r="432" spans="1:31">
      <c r="A432" s="13" t="s">
        <v>324</v>
      </c>
      <c r="B432" s="13" t="s">
        <v>1</v>
      </c>
      <c r="C432" s="13" t="s">
        <v>140</v>
      </c>
      <c r="D432" s="13" t="str">
        <f>IFERROR(VLOOKUP(C432,ghg_sort!$A$86:$B$512,2,0),0)</f>
        <v>Industry</v>
      </c>
      <c r="E432" s="13" t="s">
        <v>86</v>
      </c>
      <c r="F432" s="13">
        <f>IFERROR(VLOOKUP($E432,ghg_sort!$A$3:$B$21,2,0),0)</f>
        <v>3.6666666666666701</v>
      </c>
      <c r="G432" s="13">
        <f>T432*$F432</f>
        <v>0</v>
      </c>
      <c r="H432" s="13">
        <f t="shared" ref="H432:Q447" si="28">U432*$F432</f>
        <v>0</v>
      </c>
      <c r="I432" s="13">
        <f t="shared" si="28"/>
        <v>0</v>
      </c>
      <c r="J432" s="13">
        <f t="shared" si="28"/>
        <v>0</v>
      </c>
      <c r="K432" s="13">
        <f t="shared" si="28"/>
        <v>6.699698986018654E-2</v>
      </c>
      <c r="L432" s="13">
        <f t="shared" si="28"/>
        <v>0.31177449571638105</v>
      </c>
      <c r="M432" s="13">
        <f t="shared" si="28"/>
        <v>0.87085351771984953</v>
      </c>
      <c r="N432" s="13">
        <f t="shared" si="28"/>
        <v>-1.8538254914720693</v>
      </c>
      <c r="O432" s="13">
        <f t="shared" si="28"/>
        <v>-8.9915968401120487</v>
      </c>
      <c r="P432" s="13">
        <f t="shared" si="28"/>
        <v>-15.374112641872834</v>
      </c>
      <c r="Q432" s="13">
        <f t="shared" si="28"/>
        <v>-18.547200816531767</v>
      </c>
      <c r="R432" s="13" t="s">
        <v>239</v>
      </c>
      <c r="T432" s="62">
        <v>0</v>
      </c>
      <c r="U432" s="62">
        <v>0</v>
      </c>
      <c r="V432" s="62">
        <v>0</v>
      </c>
      <c r="W432" s="62">
        <v>0</v>
      </c>
      <c r="X432" s="62">
        <v>1.8271906325505401E-2</v>
      </c>
      <c r="Y432" s="62">
        <v>8.5029407922649305E-2</v>
      </c>
      <c r="Z432" s="62">
        <v>0.23750550483268601</v>
      </c>
      <c r="AA432" s="62">
        <v>-0.50558877040147299</v>
      </c>
      <c r="AB432" s="62">
        <v>-2.4522536836669202</v>
      </c>
      <c r="AC432" s="62">
        <v>-4.1929398114198602</v>
      </c>
      <c r="AD432" s="62">
        <v>-5.0583274954177497</v>
      </c>
      <c r="AE432" s="13" t="s">
        <v>244</v>
      </c>
    </row>
    <row r="433" spans="1:31">
      <c r="A433" s="13" t="s">
        <v>324</v>
      </c>
      <c r="B433" s="13" t="s">
        <v>1</v>
      </c>
      <c r="C433" s="13" t="s">
        <v>141</v>
      </c>
      <c r="D433" s="13" t="str">
        <f>IFERROR(VLOOKUP(C433,ghg_sort!$A$86:$B$512,2,0),0)</f>
        <v>Industry</v>
      </c>
      <c r="E433" s="13" t="s">
        <v>86</v>
      </c>
      <c r="F433" s="13">
        <f>IFERROR(VLOOKUP($E433,ghg_sort!$A$3:$B$21,2,0),0)</f>
        <v>3.6666666666666701</v>
      </c>
      <c r="G433" s="13">
        <f t="shared" ref="G433:Q471" si="29">T433*$F433</f>
        <v>0</v>
      </c>
      <c r="H433" s="13">
        <f t="shared" si="28"/>
        <v>0</v>
      </c>
      <c r="I433" s="13">
        <f t="shared" si="28"/>
        <v>0</v>
      </c>
      <c r="J433" s="13">
        <f t="shared" si="28"/>
        <v>0</v>
      </c>
      <c r="K433" s="13">
        <f t="shared" si="28"/>
        <v>4.6069949171140441E-2</v>
      </c>
      <c r="L433" s="13">
        <f t="shared" si="28"/>
        <v>0.47736611218905806</v>
      </c>
      <c r="M433" s="13">
        <f t="shared" si="28"/>
        <v>2.0180350523469199</v>
      </c>
      <c r="N433" s="13">
        <f t="shared" si="28"/>
        <v>4.047927226929267</v>
      </c>
      <c r="O433" s="13">
        <f t="shared" si="28"/>
        <v>4.4680577408606741</v>
      </c>
      <c r="P433" s="13">
        <f t="shared" si="28"/>
        <v>3.7180430183266</v>
      </c>
      <c r="Q433" s="13">
        <f t="shared" si="28"/>
        <v>1.0721892209013344</v>
      </c>
      <c r="R433" s="13" t="s">
        <v>239</v>
      </c>
      <c r="T433" s="62">
        <v>0</v>
      </c>
      <c r="U433" s="62">
        <v>0</v>
      </c>
      <c r="V433" s="62">
        <v>0</v>
      </c>
      <c r="W433" s="62">
        <v>0</v>
      </c>
      <c r="X433" s="62">
        <v>1.25645315921292E-2</v>
      </c>
      <c r="Y433" s="62">
        <v>0.13019075786974299</v>
      </c>
      <c r="Z433" s="62">
        <v>0.55037319609461399</v>
      </c>
      <c r="AA433" s="62">
        <v>1.1039801527988899</v>
      </c>
      <c r="AB433" s="63">
        <v>1.21856120205291</v>
      </c>
      <c r="AC433" s="63">
        <v>1.0140117322708899</v>
      </c>
      <c r="AD433" s="62">
        <v>0.29241524206399999</v>
      </c>
      <c r="AE433" s="13" t="s">
        <v>244</v>
      </c>
    </row>
    <row r="434" spans="1:31">
      <c r="A434" s="13" t="s">
        <v>324</v>
      </c>
      <c r="B434" s="13" t="s">
        <v>1</v>
      </c>
      <c r="C434" s="13" t="s">
        <v>63</v>
      </c>
      <c r="D434" s="13" t="str">
        <f>IFERROR(VLOOKUP(C434,ghg_sort!$A$86:$B$512,2,0),0)</f>
        <v>Agriculture</v>
      </c>
      <c r="E434" s="13" t="s">
        <v>86</v>
      </c>
      <c r="F434" s="13">
        <f>IFERROR(VLOOKUP($E434,ghg_sort!$A$3:$B$21,2,0),0)</f>
        <v>3.6666666666666701</v>
      </c>
      <c r="G434" s="13">
        <f t="shared" si="29"/>
        <v>2.1263130613577585</v>
      </c>
      <c r="H434" s="13">
        <f t="shared" si="28"/>
        <v>0.80629536348178843</v>
      </c>
      <c r="I434" s="13">
        <f t="shared" si="28"/>
        <v>0.64856045367945758</v>
      </c>
      <c r="J434" s="13">
        <f t="shared" si="28"/>
        <v>0.33665395367627499</v>
      </c>
      <c r="K434" s="13">
        <f t="shared" si="28"/>
        <v>0.35041060637625238</v>
      </c>
      <c r="L434" s="13">
        <f t="shared" si="28"/>
        <v>0.351660507157187</v>
      </c>
      <c r="M434" s="13">
        <f t="shared" si="28"/>
        <v>0.34115001801891703</v>
      </c>
      <c r="N434" s="13">
        <f t="shared" si="28"/>
        <v>0.29445772291664618</v>
      </c>
      <c r="O434" s="13">
        <f t="shared" si="28"/>
        <v>0.21472011377937947</v>
      </c>
      <c r="P434" s="13">
        <f t="shared" si="28"/>
        <v>0.16113702071531694</v>
      </c>
      <c r="Q434" s="13">
        <f t="shared" si="28"/>
        <v>0.10350423896271113</v>
      </c>
      <c r="R434" s="13" t="s">
        <v>239</v>
      </c>
      <c r="T434" s="62">
        <v>0.57990356218847905</v>
      </c>
      <c r="U434" s="62">
        <v>0.219898735495033</v>
      </c>
      <c r="V434" s="62">
        <v>0.17688012373076101</v>
      </c>
      <c r="W434" s="62">
        <v>9.1814714638983996E-2</v>
      </c>
      <c r="X434" s="62">
        <v>9.5566529011705106E-2</v>
      </c>
      <c r="Y434" s="62">
        <v>9.5907411042869095E-2</v>
      </c>
      <c r="Z434" s="62">
        <v>9.3040914005159098E-2</v>
      </c>
      <c r="AA434" s="62">
        <v>8.0306651704539794E-2</v>
      </c>
      <c r="AB434" s="62">
        <v>5.8560031030739798E-2</v>
      </c>
      <c r="AC434" s="62">
        <v>4.3946460195086398E-2</v>
      </c>
      <c r="AD434" s="62">
        <v>2.8228428808012102E-2</v>
      </c>
      <c r="AE434" s="13" t="s">
        <v>244</v>
      </c>
    </row>
    <row r="435" spans="1:31">
      <c r="A435" s="13" t="s">
        <v>324</v>
      </c>
      <c r="B435" s="13" t="s">
        <v>1</v>
      </c>
      <c r="C435" s="13" t="s">
        <v>64</v>
      </c>
      <c r="D435" s="13" t="str">
        <f>IFERROR(VLOOKUP(C435,ghg_sort!$A$86:$B$512,2,0),0)</f>
        <v>Industry</v>
      </c>
      <c r="E435" s="13" t="s">
        <v>86</v>
      </c>
      <c r="F435" s="13">
        <f>IFERROR(VLOOKUP($E435,ghg_sort!$A$3:$B$21,2,0),0)</f>
        <v>3.6666666666666701</v>
      </c>
      <c r="G435" s="13">
        <f t="shared" si="29"/>
        <v>4.605773333333337</v>
      </c>
      <c r="H435" s="13">
        <f t="shared" si="28"/>
        <v>4.3076479642037278</v>
      </c>
      <c r="I435" s="13">
        <f t="shared" si="28"/>
        <v>3.7690731626259102</v>
      </c>
      <c r="J435" s="13">
        <f t="shared" si="28"/>
        <v>1.3971509246868483</v>
      </c>
      <c r="K435" s="13">
        <f t="shared" si="28"/>
        <v>1.3867638901773007</v>
      </c>
      <c r="L435" s="13">
        <f t="shared" si="28"/>
        <v>1.6369690815465696</v>
      </c>
      <c r="M435" s="13">
        <f t="shared" si="28"/>
        <v>1.6148859045146315</v>
      </c>
      <c r="N435" s="13">
        <f t="shared" si="28"/>
        <v>1.4363255557698167</v>
      </c>
      <c r="O435" s="13">
        <f t="shared" si="28"/>
        <v>1.1763501692539275</v>
      </c>
      <c r="P435" s="13">
        <f t="shared" si="28"/>
        <v>0.84183576737676236</v>
      </c>
      <c r="Q435" s="13">
        <f t="shared" si="28"/>
        <v>0.26028165906016876</v>
      </c>
      <c r="R435" s="13" t="s">
        <v>239</v>
      </c>
      <c r="T435" s="62">
        <v>1.2561199999999999</v>
      </c>
      <c r="U435" s="62">
        <v>1.1748130811464701</v>
      </c>
      <c r="V435" s="62">
        <v>1.02792904435252</v>
      </c>
      <c r="W435" s="62">
        <v>0.38104116127823101</v>
      </c>
      <c r="X435" s="62">
        <v>0.37820833368471801</v>
      </c>
      <c r="Y435" s="62">
        <v>0.44644611314906402</v>
      </c>
      <c r="Z435" s="62">
        <v>0.44042342850399002</v>
      </c>
      <c r="AA435" s="62">
        <v>0.39172515157358601</v>
      </c>
      <c r="AB435" s="62">
        <v>0.32082277343288901</v>
      </c>
      <c r="AC435" s="62">
        <v>0.22959157292093499</v>
      </c>
      <c r="AD435" s="62">
        <v>7.0985907016409597E-2</v>
      </c>
      <c r="AE435" s="13" t="s">
        <v>244</v>
      </c>
    </row>
    <row r="436" spans="1:31">
      <c r="A436" s="13" t="s">
        <v>324</v>
      </c>
      <c r="B436" s="13" t="s">
        <v>1</v>
      </c>
      <c r="C436" s="13" t="s">
        <v>189</v>
      </c>
      <c r="D436" s="13" t="str">
        <f>IFERROR(VLOOKUP(C436,ghg_sort!$A$86:$B$512,2,0),0)</f>
        <v>DAC</v>
      </c>
      <c r="E436" s="13" t="s">
        <v>86</v>
      </c>
      <c r="F436" s="13">
        <f>IFERROR(VLOOKUP($E436,ghg_sort!$A$3:$B$21,2,0),0)</f>
        <v>3.6666666666666701</v>
      </c>
      <c r="G436" s="13">
        <f t="shared" si="29"/>
        <v>0</v>
      </c>
      <c r="H436" s="13">
        <f t="shared" si="28"/>
        <v>0</v>
      </c>
      <c r="I436" s="13">
        <f t="shared" si="28"/>
        <v>0</v>
      </c>
      <c r="J436" s="13">
        <f t="shared" si="28"/>
        <v>0</v>
      </c>
      <c r="K436" s="13">
        <f t="shared" si="28"/>
        <v>0</v>
      </c>
      <c r="L436" s="13">
        <f t="shared" si="28"/>
        <v>0</v>
      </c>
      <c r="M436" s="13">
        <f t="shared" si="28"/>
        <v>0</v>
      </c>
      <c r="N436" s="13">
        <f t="shared" si="28"/>
        <v>0</v>
      </c>
      <c r="O436" s="13">
        <f t="shared" si="28"/>
        <v>0</v>
      </c>
      <c r="P436" s="13">
        <f t="shared" si="28"/>
        <v>0</v>
      </c>
      <c r="Q436" s="13">
        <f t="shared" si="28"/>
        <v>-3.7623666666666704</v>
      </c>
      <c r="R436" s="13" t="s">
        <v>239</v>
      </c>
      <c r="T436" s="62">
        <v>0</v>
      </c>
      <c r="U436" s="62">
        <v>0</v>
      </c>
      <c r="V436" s="62">
        <v>0</v>
      </c>
      <c r="W436" s="62">
        <v>0</v>
      </c>
      <c r="X436" s="62">
        <v>0</v>
      </c>
      <c r="Y436" s="63">
        <v>0</v>
      </c>
      <c r="Z436" s="63">
        <v>0</v>
      </c>
      <c r="AA436" s="63">
        <v>0</v>
      </c>
      <c r="AB436" s="63">
        <v>0</v>
      </c>
      <c r="AC436" s="63">
        <v>0</v>
      </c>
      <c r="AD436" s="62">
        <v>-1.0261</v>
      </c>
      <c r="AE436" s="13" t="s">
        <v>244</v>
      </c>
    </row>
    <row r="437" spans="1:31">
      <c r="A437" s="13" t="s">
        <v>324</v>
      </c>
      <c r="B437" s="13" t="s">
        <v>1</v>
      </c>
      <c r="C437" s="13" t="s">
        <v>142</v>
      </c>
      <c r="D437" s="13" t="str">
        <f>IFERROR(VLOOKUP(C437,ghg_sort!$A$86:$B$512,2,0),0)</f>
        <v>Electricity</v>
      </c>
      <c r="E437" s="13" t="s">
        <v>86</v>
      </c>
      <c r="F437" s="13">
        <f>IFERROR(VLOOKUP($E437,ghg_sort!$A$3:$B$21,2,0),0)</f>
        <v>3.6666666666666701</v>
      </c>
      <c r="G437" s="13">
        <f t="shared" si="29"/>
        <v>0</v>
      </c>
      <c r="H437" s="13">
        <f t="shared" si="28"/>
        <v>0</v>
      </c>
      <c r="I437" s="13">
        <f t="shared" si="28"/>
        <v>0</v>
      </c>
      <c r="J437" s="13">
        <f t="shared" si="28"/>
        <v>0</v>
      </c>
      <c r="K437" s="13">
        <f t="shared" si="28"/>
        <v>0.11996272910735714</v>
      </c>
      <c r="L437" s="13">
        <f t="shared" si="28"/>
        <v>0.52924767935744887</v>
      </c>
      <c r="M437" s="13">
        <f t="shared" si="28"/>
        <v>1.8308172952567683</v>
      </c>
      <c r="N437" s="13">
        <f t="shared" si="28"/>
        <v>3.815748057475937</v>
      </c>
      <c r="O437" s="13">
        <f t="shared" si="28"/>
        <v>6.283378539521606</v>
      </c>
      <c r="P437" s="13">
        <f t="shared" si="28"/>
        <v>8.344531987814447</v>
      </c>
      <c r="Q437" s="13">
        <f t="shared" si="28"/>
        <v>8.6204913785720105</v>
      </c>
      <c r="R437" s="13" t="s">
        <v>239</v>
      </c>
      <c r="T437" s="62">
        <v>0</v>
      </c>
      <c r="U437" s="62">
        <v>0</v>
      </c>
      <c r="V437" s="62">
        <v>0</v>
      </c>
      <c r="W437" s="62">
        <v>0</v>
      </c>
      <c r="X437" s="62">
        <v>3.2717107938370099E-2</v>
      </c>
      <c r="Y437" s="62">
        <v>0.14434027618839501</v>
      </c>
      <c r="Z437" s="62">
        <v>0.4993138077973</v>
      </c>
      <c r="AA437" s="62">
        <v>1.0406585611298</v>
      </c>
      <c r="AB437" s="62">
        <v>1.7136486925968</v>
      </c>
      <c r="AC437" s="62">
        <v>2.2757814512221199</v>
      </c>
      <c r="AD437" s="62">
        <v>2.3510431032469099</v>
      </c>
      <c r="AE437" s="13" t="s">
        <v>244</v>
      </c>
    </row>
    <row r="438" spans="1:31">
      <c r="A438" s="13" t="s">
        <v>324</v>
      </c>
      <c r="B438" s="13" t="s">
        <v>1</v>
      </c>
      <c r="C438" s="13" t="s">
        <v>61</v>
      </c>
      <c r="D438" s="13" t="str">
        <f>IFERROR(VLOOKUP(C438,ghg_sort!$A$86:$B$512,2,0),0)</f>
        <v>Industry</v>
      </c>
      <c r="E438" s="13" t="s">
        <v>86</v>
      </c>
      <c r="F438" s="13">
        <f>IFERROR(VLOOKUP($E438,ghg_sort!$A$3:$B$21,2,0),0)</f>
        <v>3.6666666666666701</v>
      </c>
      <c r="G438" s="13">
        <f t="shared" si="29"/>
        <v>16.756666666666682</v>
      </c>
      <c r="H438" s="13">
        <f t="shared" si="28"/>
        <v>25.626333333333356</v>
      </c>
      <c r="I438" s="13">
        <f t="shared" si="28"/>
        <v>24.99566666666669</v>
      </c>
      <c r="J438" s="13">
        <f t="shared" si="28"/>
        <v>24.99566666666669</v>
      </c>
      <c r="K438" s="13">
        <f t="shared" si="28"/>
        <v>25.89722666666669</v>
      </c>
      <c r="L438" s="13">
        <f t="shared" si="28"/>
        <v>26.32770066666669</v>
      </c>
      <c r="M438" s="13">
        <f t="shared" si="28"/>
        <v>23.595590333333355</v>
      </c>
      <c r="N438" s="13">
        <f t="shared" si="28"/>
        <v>18.390489333333353</v>
      </c>
      <c r="O438" s="13">
        <f t="shared" si="28"/>
        <v>10.601275666666641</v>
      </c>
      <c r="P438" s="13">
        <f t="shared" si="28"/>
        <v>5.980925500000005</v>
      </c>
      <c r="Q438" s="13">
        <f t="shared" si="28"/>
        <v>1.9284506120000016</v>
      </c>
      <c r="R438" s="13" t="s">
        <v>239</v>
      </c>
      <c r="T438" s="62">
        <v>4.57</v>
      </c>
      <c r="U438" s="62">
        <v>6.9889999999999999</v>
      </c>
      <c r="V438" s="62">
        <v>6.8170000000000002</v>
      </c>
      <c r="W438" s="62">
        <v>6.8170000000000002</v>
      </c>
      <c r="X438" s="62">
        <v>7.0628799999999998</v>
      </c>
      <c r="Y438" s="62">
        <v>7.1802820000000001</v>
      </c>
      <c r="Z438" s="62">
        <v>6.4351609999999999</v>
      </c>
      <c r="AA438" s="62">
        <v>5.0155880000000002</v>
      </c>
      <c r="AB438" s="62">
        <v>2.8912569999999902</v>
      </c>
      <c r="AC438" s="62">
        <v>1.6311614999999999</v>
      </c>
      <c r="AD438" s="62">
        <v>0.52594107599999995</v>
      </c>
      <c r="AE438" s="13" t="s">
        <v>244</v>
      </c>
    </row>
    <row r="439" spans="1:31">
      <c r="A439" s="13" t="s">
        <v>324</v>
      </c>
      <c r="B439" s="13" t="s">
        <v>1</v>
      </c>
      <c r="C439" s="13" t="s">
        <v>56</v>
      </c>
      <c r="D439" s="13" t="str">
        <f>IFERROR(VLOOKUP(C439,ghg_sort!$A$86:$B$512,2,0),0)</f>
        <v>Industry</v>
      </c>
      <c r="E439" s="13" t="s">
        <v>86</v>
      </c>
      <c r="F439" s="13">
        <f>IFERROR(VLOOKUP($E439,ghg_sort!$A$3:$B$21,2,0),0)</f>
        <v>3.6666666666666701</v>
      </c>
      <c r="G439" s="13">
        <f t="shared" si="29"/>
        <v>7.0924510108533836</v>
      </c>
      <c r="H439" s="13">
        <f t="shared" si="28"/>
        <v>5.6013318843510289</v>
      </c>
      <c r="I439" s="13">
        <f t="shared" si="28"/>
        <v>6.9047962747947036</v>
      </c>
      <c r="J439" s="13">
        <f t="shared" si="28"/>
        <v>4.8798783168513813</v>
      </c>
      <c r="K439" s="13">
        <f t="shared" si="28"/>
        <v>5.2679387061882945</v>
      </c>
      <c r="L439" s="13">
        <f t="shared" si="28"/>
        <v>5.9317201372748052</v>
      </c>
      <c r="M439" s="13">
        <f t="shared" si="28"/>
        <v>6.4532945408423492</v>
      </c>
      <c r="N439" s="13">
        <f t="shared" si="28"/>
        <v>5.8721614957413886</v>
      </c>
      <c r="O439" s="13">
        <f t="shared" si="28"/>
        <v>3.8818640988048565</v>
      </c>
      <c r="P439" s="13">
        <f t="shared" si="28"/>
        <v>1.8721264397445516</v>
      </c>
      <c r="Q439" s="13">
        <f t="shared" si="28"/>
        <v>-1.0373615102876785</v>
      </c>
      <c r="R439" s="13" t="s">
        <v>239</v>
      </c>
      <c r="T439" s="62">
        <v>1.9343048211418301</v>
      </c>
      <c r="U439" s="62">
        <v>1.5276359684593701</v>
      </c>
      <c r="V439" s="62">
        <v>1.88312625676219</v>
      </c>
      <c r="W439" s="62">
        <v>1.3308759045958301</v>
      </c>
      <c r="X439" s="62">
        <v>1.4367105562331699</v>
      </c>
      <c r="Y439" s="62">
        <v>1.6177418556204</v>
      </c>
      <c r="Z439" s="62">
        <v>1.7599894202297299</v>
      </c>
      <c r="AA439" s="62">
        <v>1.6014985897476499</v>
      </c>
      <c r="AB439" s="62">
        <v>1.0586902087649599</v>
      </c>
      <c r="AC439" s="62">
        <v>0.51057993811214997</v>
      </c>
      <c r="AD439" s="62">
        <v>-0.28291677553300298</v>
      </c>
      <c r="AE439" s="13" t="s">
        <v>244</v>
      </c>
    </row>
    <row r="440" spans="1:31">
      <c r="A440" s="13" t="s">
        <v>324</v>
      </c>
      <c r="B440" s="13" t="s">
        <v>1</v>
      </c>
      <c r="C440" s="13" t="s">
        <v>20</v>
      </c>
      <c r="D440" s="13" t="str">
        <f>IFERROR(VLOOKUP(C440,ghg_sort!$A$86:$B$512,2,0),0)</f>
        <v>Industry</v>
      </c>
      <c r="E440" s="13" t="s">
        <v>86</v>
      </c>
      <c r="F440" s="13">
        <f>IFERROR(VLOOKUP($E440,ghg_sort!$A$3:$B$21,2,0),0)</f>
        <v>3.6666666666666701</v>
      </c>
      <c r="G440" s="13">
        <f t="shared" si="29"/>
        <v>1.6988876666666681</v>
      </c>
      <c r="H440" s="13">
        <f t="shared" si="28"/>
        <v>8.5346218185851779</v>
      </c>
      <c r="I440" s="13">
        <f t="shared" si="28"/>
        <v>12.155551287113642</v>
      </c>
      <c r="J440" s="13">
        <f t="shared" si="28"/>
        <v>15.314344419946856</v>
      </c>
      <c r="K440" s="13">
        <f t="shared" si="28"/>
        <v>14.99386983101958</v>
      </c>
      <c r="L440" s="13">
        <f t="shared" si="28"/>
        <v>13.714805045607614</v>
      </c>
      <c r="M440" s="13">
        <f t="shared" si="28"/>
        <v>14.46973227049113</v>
      </c>
      <c r="N440" s="13">
        <f t="shared" si="28"/>
        <v>14.283443474870326</v>
      </c>
      <c r="O440" s="13">
        <f t="shared" si="28"/>
        <v>9.3036010487541461</v>
      </c>
      <c r="P440" s="13">
        <f t="shared" si="28"/>
        <v>-0.97475575863207375</v>
      </c>
      <c r="Q440" s="13">
        <f t="shared" si="28"/>
        <v>-10.440283620320887</v>
      </c>
      <c r="R440" s="13" t="s">
        <v>239</v>
      </c>
      <c r="T440" s="62">
        <v>0.46333299999999999</v>
      </c>
      <c r="U440" s="62">
        <v>2.32762413234141</v>
      </c>
      <c r="V440" s="62">
        <v>3.3151503510309901</v>
      </c>
      <c r="W440" s="62">
        <v>4.1766393872582297</v>
      </c>
      <c r="X440" s="62">
        <v>4.0892372266416999</v>
      </c>
      <c r="Y440" s="62">
        <v>3.7404013760748001</v>
      </c>
      <c r="Z440" s="62">
        <v>3.9462906192248499</v>
      </c>
      <c r="AA440" s="62">
        <v>3.8954845840555401</v>
      </c>
      <c r="AB440" s="62">
        <v>2.5373457405693101</v>
      </c>
      <c r="AC440" s="62">
        <v>-0.26584247962692897</v>
      </c>
      <c r="AD440" s="62">
        <v>-2.8473500782693302</v>
      </c>
      <c r="AE440" s="13" t="s">
        <v>244</v>
      </c>
    </row>
    <row r="441" spans="1:31">
      <c r="A441" s="13" t="s">
        <v>324</v>
      </c>
      <c r="B441" s="13" t="s">
        <v>1</v>
      </c>
      <c r="C441" s="13" t="s">
        <v>143</v>
      </c>
      <c r="D441" s="13" t="str">
        <f>IFERROR(VLOOKUP(C441,ghg_sort!$A$86:$B$512,2,0),0)</f>
        <v>Building</v>
      </c>
      <c r="E441" s="13" t="s">
        <v>86</v>
      </c>
      <c r="F441" s="13">
        <f>IFERROR(VLOOKUP($E441,ghg_sort!$A$3:$B$21,2,0),0)</f>
        <v>3.6666666666666701</v>
      </c>
      <c r="G441" s="13">
        <f t="shared" si="29"/>
        <v>2.207646056141737E-2</v>
      </c>
      <c r="H441" s="13">
        <f t="shared" si="28"/>
        <v>0.48726633484955478</v>
      </c>
      <c r="I441" s="13">
        <f t="shared" si="28"/>
        <v>0.56189045903865653</v>
      </c>
      <c r="J441" s="13">
        <f t="shared" si="28"/>
        <v>0.58534261678130761</v>
      </c>
      <c r="K441" s="13">
        <f t="shared" si="28"/>
        <v>0.60457533418080389</v>
      </c>
      <c r="L441" s="13">
        <f t="shared" si="28"/>
        <v>0.55700503217016584</v>
      </c>
      <c r="M441" s="13">
        <f t="shared" si="28"/>
        <v>0.51025807616668184</v>
      </c>
      <c r="N441" s="13">
        <f t="shared" si="28"/>
        <v>0.4222664069713104</v>
      </c>
      <c r="O441" s="13">
        <f t="shared" si="28"/>
        <v>0.30401747629540754</v>
      </c>
      <c r="P441" s="13">
        <f t="shared" si="28"/>
        <v>0.204057190135251</v>
      </c>
      <c r="Q441" s="13">
        <f t="shared" si="28"/>
        <v>5.515888440877692E-2</v>
      </c>
      <c r="R441" s="13" t="s">
        <v>239</v>
      </c>
      <c r="T441" s="62">
        <v>6.0208528803865503E-3</v>
      </c>
      <c r="U441" s="62">
        <v>0.132890818595333</v>
      </c>
      <c r="V441" s="62">
        <v>0.15324285246508801</v>
      </c>
      <c r="W441" s="62">
        <v>0.15963889548581101</v>
      </c>
      <c r="X441" s="62">
        <v>0.16488418204930999</v>
      </c>
      <c r="Y441" s="62">
        <v>0.15191046331913599</v>
      </c>
      <c r="Z441" s="62">
        <v>0.139161293500004</v>
      </c>
      <c r="AA441" s="62">
        <v>0.11516356553763001</v>
      </c>
      <c r="AB441" s="62">
        <v>8.2913857171474703E-2</v>
      </c>
      <c r="AC441" s="62">
        <v>5.5651960945977498E-2</v>
      </c>
      <c r="AD441" s="62">
        <v>1.5043332111484601E-2</v>
      </c>
      <c r="AE441" s="13" t="s">
        <v>244</v>
      </c>
    </row>
    <row r="442" spans="1:31">
      <c r="A442" s="13" t="s">
        <v>324</v>
      </c>
      <c r="B442" s="13" t="s">
        <v>1</v>
      </c>
      <c r="C442" s="13" t="s">
        <v>144</v>
      </c>
      <c r="D442" s="13" t="str">
        <f>IFERROR(VLOOKUP(C442,ghg_sort!$A$86:$B$512,2,0),0)</f>
        <v>Building</v>
      </c>
      <c r="E442" s="13" t="s">
        <v>86</v>
      </c>
      <c r="F442" s="13">
        <f>IFERROR(VLOOKUP($E442,ghg_sort!$A$3:$B$21,2,0),0)</f>
        <v>3.6666666666666701</v>
      </c>
      <c r="G442" s="13">
        <f t="shared" si="29"/>
        <v>11.381111018598761</v>
      </c>
      <c r="H442" s="13">
        <f t="shared" si="28"/>
        <v>13.759372321297583</v>
      </c>
      <c r="I442" s="13">
        <f t="shared" si="28"/>
        <v>10.705193534172768</v>
      </c>
      <c r="J442" s="13">
        <f t="shared" si="28"/>
        <v>9.8225620356508418</v>
      </c>
      <c r="K442" s="13">
        <f t="shared" si="28"/>
        <v>9.1897531578022953</v>
      </c>
      <c r="L442" s="13">
        <f t="shared" si="28"/>
        <v>8.6709317025518811</v>
      </c>
      <c r="M442" s="13">
        <f t="shared" si="28"/>
        <v>8.6415893170378659</v>
      </c>
      <c r="N442" s="13">
        <f t="shared" si="28"/>
        <v>8.0932010431109642</v>
      </c>
      <c r="O442" s="13">
        <f t="shared" si="28"/>
        <v>6.8328894346847262</v>
      </c>
      <c r="P442" s="13">
        <f t="shared" si="28"/>
        <v>5.0010419313203478</v>
      </c>
      <c r="Q442" s="13">
        <f t="shared" si="28"/>
        <v>1.3510600013530778</v>
      </c>
      <c r="R442" s="13" t="s">
        <v>239</v>
      </c>
      <c r="T442" s="62">
        <v>3.1039393687087502</v>
      </c>
      <c r="U442" s="63">
        <v>3.7525560876266102</v>
      </c>
      <c r="V442" s="62">
        <v>2.9195982365925701</v>
      </c>
      <c r="W442" s="62">
        <v>2.6788805551774999</v>
      </c>
      <c r="X442" s="62">
        <v>2.5062963157642599</v>
      </c>
      <c r="Y442" s="62">
        <v>2.36479955524142</v>
      </c>
      <c r="Z442" s="62">
        <v>2.3567970864648702</v>
      </c>
      <c r="AA442" s="62">
        <v>2.20723664812117</v>
      </c>
      <c r="AB442" s="62">
        <v>1.8635153003685601</v>
      </c>
      <c r="AC442" s="62">
        <v>1.36392052672373</v>
      </c>
      <c r="AD442" s="62">
        <v>0.36847090945993</v>
      </c>
      <c r="AE442" s="13" t="s">
        <v>244</v>
      </c>
    </row>
    <row r="443" spans="1:31">
      <c r="A443" s="13" t="s">
        <v>324</v>
      </c>
      <c r="B443" s="13" t="s">
        <v>1</v>
      </c>
      <c r="C443" s="13" t="s">
        <v>145</v>
      </c>
      <c r="D443" s="13" t="str">
        <f>IFERROR(VLOOKUP(C443,ghg_sort!$A$86:$B$512,2,0),0)</f>
        <v>Building</v>
      </c>
      <c r="E443" s="13" t="s">
        <v>86</v>
      </c>
      <c r="F443" s="13">
        <f>IFERROR(VLOOKUP($E443,ghg_sort!$A$3:$B$21,2,0),0)</f>
        <v>3.6666666666666701</v>
      </c>
      <c r="G443" s="13">
        <f t="shared" si="29"/>
        <v>13.451076053389015</v>
      </c>
      <c r="H443" s="13">
        <f t="shared" si="28"/>
        <v>13.952049618316346</v>
      </c>
      <c r="I443" s="13">
        <f t="shared" si="28"/>
        <v>9.992732696569929</v>
      </c>
      <c r="J443" s="13">
        <f t="shared" si="28"/>
        <v>8.8396075974677242</v>
      </c>
      <c r="K443" s="13">
        <f t="shared" si="28"/>
        <v>9.7561780708842729</v>
      </c>
      <c r="L443" s="13">
        <f t="shared" si="28"/>
        <v>8.4664318923676145</v>
      </c>
      <c r="M443" s="13">
        <f t="shared" si="28"/>
        <v>7.2649898466465173</v>
      </c>
      <c r="N443" s="13">
        <f t="shared" si="28"/>
        <v>5.3796017412741319</v>
      </c>
      <c r="O443" s="13">
        <f t="shared" si="28"/>
        <v>3.3316515401808351</v>
      </c>
      <c r="P443" s="13">
        <f t="shared" si="28"/>
        <v>1.8142126340347882</v>
      </c>
      <c r="Q443" s="13">
        <f t="shared" si="28"/>
        <v>0.3314996019303092</v>
      </c>
      <c r="R443" s="13" t="s">
        <v>239</v>
      </c>
      <c r="T443" s="62">
        <v>3.6684752872879098</v>
      </c>
      <c r="U443" s="62">
        <v>3.8051044413590001</v>
      </c>
      <c r="V443" s="63">
        <v>2.7252907354281599</v>
      </c>
      <c r="W443" s="62">
        <v>2.4108020720366499</v>
      </c>
      <c r="X443" s="62">
        <v>2.6607758375138899</v>
      </c>
      <c r="Y443" s="63">
        <v>2.3090268797366198</v>
      </c>
      <c r="Z443" s="62">
        <v>1.98136086726723</v>
      </c>
      <c r="AA443" s="62">
        <v>1.4671641112565801</v>
      </c>
      <c r="AB443" s="62">
        <v>0.90863223823113604</v>
      </c>
      <c r="AC443" s="62">
        <v>0.49478526382766902</v>
      </c>
      <c r="AD443" s="62">
        <v>9.0408982344629699E-2</v>
      </c>
      <c r="AE443" s="13" t="s">
        <v>244</v>
      </c>
    </row>
    <row r="444" spans="1:31">
      <c r="A444" s="13" t="s">
        <v>324</v>
      </c>
      <c r="B444" s="13" t="s">
        <v>1</v>
      </c>
      <c r="C444" s="13" t="s">
        <v>67</v>
      </c>
      <c r="D444" s="13" t="str">
        <f>IFERROR(VLOOKUP(C444,ghg_sort!$A$86:$B$512,2,0),0)</f>
        <v>Industry</v>
      </c>
      <c r="E444" s="13" t="s">
        <v>86</v>
      </c>
      <c r="F444" s="13">
        <f>IFERROR(VLOOKUP($E444,ghg_sort!$A$3:$B$21,2,0),0)</f>
        <v>3.6666666666666701</v>
      </c>
      <c r="G444" s="13">
        <f t="shared" si="29"/>
        <v>1.5342506666666682</v>
      </c>
      <c r="H444" s="13">
        <f t="shared" si="28"/>
        <v>1.8108255676316023</v>
      </c>
      <c r="I444" s="13">
        <f t="shared" si="28"/>
        <v>2.4469682026932036</v>
      </c>
      <c r="J444" s="13">
        <f t="shared" si="28"/>
        <v>2.4809548613127546</v>
      </c>
      <c r="K444" s="13">
        <f t="shared" si="28"/>
        <v>2.6702789225569732</v>
      </c>
      <c r="L444" s="13">
        <f t="shared" si="28"/>
        <v>2.6000196926644148</v>
      </c>
      <c r="M444" s="13">
        <f t="shared" si="28"/>
        <v>2.293493265265472</v>
      </c>
      <c r="N444" s="13">
        <f t="shared" si="28"/>
        <v>1.9316678495862385</v>
      </c>
      <c r="O444" s="13">
        <f t="shared" si="28"/>
        <v>1.6645388244659329</v>
      </c>
      <c r="P444" s="13">
        <f t="shared" si="28"/>
        <v>1.3789565502054444</v>
      </c>
      <c r="Q444" s="13">
        <f t="shared" si="28"/>
        <v>0.71049212055001842</v>
      </c>
      <c r="R444" s="13" t="s">
        <v>239</v>
      </c>
      <c r="T444" s="62">
        <v>0.41843200000000003</v>
      </c>
      <c r="U444" s="63">
        <v>0.493861518444982</v>
      </c>
      <c r="V444" s="62">
        <v>0.66735496437087305</v>
      </c>
      <c r="W444" s="62">
        <v>0.67662405308529605</v>
      </c>
      <c r="X444" s="62">
        <v>0.72825788797008295</v>
      </c>
      <c r="Y444" s="63">
        <v>0.70909627981756695</v>
      </c>
      <c r="Z444" s="62">
        <v>0.62549816325421903</v>
      </c>
      <c r="AA444" s="62">
        <v>0.52681850443261002</v>
      </c>
      <c r="AB444" s="62">
        <v>0.45396513394525401</v>
      </c>
      <c r="AC444" s="62">
        <v>0.37607905914693901</v>
      </c>
      <c r="AD444" s="63">
        <v>0.19377057833182301</v>
      </c>
      <c r="AE444" s="13" t="s">
        <v>244</v>
      </c>
    </row>
    <row r="445" spans="1:31">
      <c r="A445" s="13" t="s">
        <v>324</v>
      </c>
      <c r="B445" s="13" t="s">
        <v>1</v>
      </c>
      <c r="C445" s="13" t="s">
        <v>21</v>
      </c>
      <c r="D445" s="13" t="str">
        <f>IFERROR(VLOOKUP(C445,ghg_sort!$A$86:$B$512,2,0),0)</f>
        <v>Industry</v>
      </c>
      <c r="E445" s="13" t="s">
        <v>86</v>
      </c>
      <c r="F445" s="13">
        <f>IFERROR(VLOOKUP($E445,ghg_sort!$A$3:$B$21,2,0),0)</f>
        <v>3.6666666666666701</v>
      </c>
      <c r="G445" s="13">
        <f t="shared" si="29"/>
        <v>0</v>
      </c>
      <c r="H445" s="13">
        <f t="shared" si="28"/>
        <v>-3.8838125110607206E-4</v>
      </c>
      <c r="I445" s="13">
        <f t="shared" si="28"/>
        <v>-1.2364429624086662E-2</v>
      </c>
      <c r="J445" s="13">
        <f t="shared" si="28"/>
        <v>-1.3288318793391964E-2</v>
      </c>
      <c r="K445" s="13">
        <f t="shared" si="28"/>
        <v>-1.8295701360886124E-2</v>
      </c>
      <c r="L445" s="13">
        <f t="shared" si="28"/>
        <v>-2.3663195643597128E-2</v>
      </c>
      <c r="M445" s="13">
        <f t="shared" si="28"/>
        <v>-2.4464615228376313E-2</v>
      </c>
      <c r="N445" s="13">
        <f t="shared" si="28"/>
        <v>-4.1573145557680401E-2</v>
      </c>
      <c r="O445" s="13">
        <f t="shared" si="28"/>
        <v>-9.372927535338299E-2</v>
      </c>
      <c r="P445" s="13">
        <f t="shared" si="28"/>
        <v>-0.21660946294433472</v>
      </c>
      <c r="Q445" s="13">
        <f t="shared" si="28"/>
        <v>-0.41276069277462468</v>
      </c>
      <c r="R445" s="13" t="s">
        <v>239</v>
      </c>
      <c r="T445" s="63">
        <v>0</v>
      </c>
      <c r="U445" s="63">
        <v>-1.05922159392565E-4</v>
      </c>
      <c r="V445" s="63">
        <v>-3.37211717020545E-3</v>
      </c>
      <c r="W445" s="63">
        <v>-3.6240869436523502E-3</v>
      </c>
      <c r="X445" s="63">
        <v>-4.9897367347871199E-3</v>
      </c>
      <c r="Y445" s="63">
        <v>-6.4535988118901199E-3</v>
      </c>
      <c r="Z445" s="63">
        <v>-6.6721677895571702E-3</v>
      </c>
      <c r="AA445" s="63">
        <v>-1.1338130606640099E-2</v>
      </c>
      <c r="AB445" s="63">
        <v>-2.5562529641831699E-2</v>
      </c>
      <c r="AC445" s="63">
        <v>-5.9075308075727598E-2</v>
      </c>
      <c r="AD445" s="63">
        <v>-0.112571098029443</v>
      </c>
      <c r="AE445" s="13" t="s">
        <v>244</v>
      </c>
    </row>
    <row r="446" spans="1:31">
      <c r="A446" s="13" t="s">
        <v>324</v>
      </c>
      <c r="B446" s="13" t="s">
        <v>1</v>
      </c>
      <c r="C446" s="13" t="s">
        <v>3</v>
      </c>
      <c r="D446" s="13">
        <f>IFERROR(VLOOKUP(C446,ghg_sort!$A$86:$B$512,2,0),0)</f>
        <v>0</v>
      </c>
      <c r="E446" s="13" t="s">
        <v>86</v>
      </c>
      <c r="F446" s="13">
        <f>IFERROR(VLOOKUP($E446,ghg_sort!$A$3:$B$21,2,0),0)</f>
        <v>3.6666666666666701</v>
      </c>
      <c r="G446" s="13">
        <f t="shared" si="29"/>
        <v>0</v>
      </c>
      <c r="H446" s="13">
        <f t="shared" si="28"/>
        <v>0</v>
      </c>
      <c r="I446" s="13">
        <f t="shared" si="28"/>
        <v>-3.6666732639900037E-6</v>
      </c>
      <c r="J446" s="13">
        <f t="shared" si="28"/>
        <v>0</v>
      </c>
      <c r="K446" s="13">
        <f t="shared" si="28"/>
        <v>-2.9333308405830027E-5</v>
      </c>
      <c r="L446" s="13">
        <f t="shared" si="28"/>
        <v>-2.9333398074456694E-5</v>
      </c>
      <c r="M446" s="13">
        <f t="shared" si="28"/>
        <v>-3.2999920890860028E-5</v>
      </c>
      <c r="N446" s="13">
        <f t="shared" si="28"/>
        <v>-4.7666502072823374E-5</v>
      </c>
      <c r="O446" s="13">
        <f t="shared" si="28"/>
        <v>0</v>
      </c>
      <c r="P446" s="13">
        <f t="shared" si="28"/>
        <v>0</v>
      </c>
      <c r="Q446" s="13">
        <f t="shared" si="28"/>
        <v>-1.8333316170620018E-5</v>
      </c>
      <c r="R446" s="13" t="s">
        <v>239</v>
      </c>
      <c r="T446" s="62">
        <v>0</v>
      </c>
      <c r="U446" s="63">
        <v>0</v>
      </c>
      <c r="V446" s="63">
        <v>-1.00000179927E-6</v>
      </c>
      <c r="W446" s="62">
        <v>0</v>
      </c>
      <c r="X446" s="63">
        <v>-7.9999932015899998E-6</v>
      </c>
      <c r="Y446" s="63">
        <v>-8.0000176566699998E-6</v>
      </c>
      <c r="Z446" s="63">
        <v>-8.9999784247799995E-6</v>
      </c>
      <c r="AA446" s="63">
        <v>-1.299995511077E-5</v>
      </c>
      <c r="AB446" s="63">
        <v>0</v>
      </c>
      <c r="AC446" s="63">
        <v>0</v>
      </c>
      <c r="AD446" s="63">
        <v>-4.9999953192600002E-6</v>
      </c>
      <c r="AE446" s="13" t="s">
        <v>244</v>
      </c>
    </row>
    <row r="447" spans="1:31">
      <c r="A447" s="13" t="s">
        <v>324</v>
      </c>
      <c r="B447" s="13" t="s">
        <v>1</v>
      </c>
      <c r="C447" s="13" t="s">
        <v>162</v>
      </c>
      <c r="D447" s="13">
        <f>IFERROR(VLOOKUP(C447,ghg_sort!$A$86:$B$512,2,0),0)</f>
        <v>0</v>
      </c>
      <c r="E447" s="13" t="s">
        <v>86</v>
      </c>
      <c r="F447" s="13">
        <f>IFERROR(VLOOKUP($E447,ghg_sort!$A$3:$B$21,2,0),0)</f>
        <v>3.6666666666666701</v>
      </c>
      <c r="G447" s="13">
        <f t="shared" si="29"/>
        <v>0</v>
      </c>
      <c r="H447" s="13">
        <f t="shared" si="28"/>
        <v>-8.0244658360866348E-8</v>
      </c>
      <c r="I447" s="13">
        <f t="shared" si="28"/>
        <v>0</v>
      </c>
      <c r="J447" s="13">
        <f t="shared" si="28"/>
        <v>0</v>
      </c>
      <c r="K447" s="13">
        <f t="shared" si="28"/>
        <v>0</v>
      </c>
      <c r="L447" s="13">
        <f t="shared" si="28"/>
        <v>0</v>
      </c>
      <c r="M447" s="13">
        <f t="shared" si="28"/>
        <v>0</v>
      </c>
      <c r="N447" s="13">
        <f t="shared" si="28"/>
        <v>-2.5236517065158288E-7</v>
      </c>
      <c r="O447" s="13">
        <f t="shared" si="28"/>
        <v>-3.0467104835737488E-7</v>
      </c>
      <c r="P447" s="13">
        <f t="shared" si="28"/>
        <v>-1.5475582762763619E-7</v>
      </c>
      <c r="Q447" s="13">
        <f t="shared" si="28"/>
        <v>-1.145188123207261E-9</v>
      </c>
      <c r="R447" s="13" t="s">
        <v>239</v>
      </c>
      <c r="T447" s="63">
        <v>0</v>
      </c>
      <c r="U447" s="63">
        <v>-2.1884906825690801E-8</v>
      </c>
      <c r="V447" s="63">
        <v>0</v>
      </c>
      <c r="W447" s="63">
        <v>0</v>
      </c>
      <c r="X447" s="63">
        <v>0</v>
      </c>
      <c r="Y447" s="63">
        <v>0</v>
      </c>
      <c r="Z447" s="63">
        <v>0</v>
      </c>
      <c r="AA447" s="63">
        <v>-6.88268647231589E-8</v>
      </c>
      <c r="AB447" s="63">
        <v>-8.3092104097465799E-8</v>
      </c>
      <c r="AC447" s="63">
        <v>-4.2206134807537102E-8</v>
      </c>
      <c r="AD447" s="63">
        <v>-3.1232403360197998E-10</v>
      </c>
      <c r="AE447" s="13" t="s">
        <v>244</v>
      </c>
    </row>
    <row r="448" spans="1:31">
      <c r="A448" s="13" t="s">
        <v>324</v>
      </c>
      <c r="B448" s="13" t="s">
        <v>1</v>
      </c>
      <c r="C448" s="13" t="s">
        <v>146</v>
      </c>
      <c r="D448" s="13" t="str">
        <f>IFERROR(VLOOKUP(C448,ghg_sort!$A$86:$B$512,2,0),0)</f>
        <v>Electricity</v>
      </c>
      <c r="E448" s="13" t="s">
        <v>86</v>
      </c>
      <c r="F448" s="13">
        <f>IFERROR(VLOOKUP($E448,ghg_sort!$A$3:$B$21,2,0),0)</f>
        <v>3.6666666666666701</v>
      </c>
      <c r="G448" s="13">
        <f t="shared" si="29"/>
        <v>2.1896434690780268E-4</v>
      </c>
      <c r="H448" s="13">
        <f t="shared" si="29"/>
        <v>4.403752012408654E-4</v>
      </c>
      <c r="I448" s="13">
        <f t="shared" si="29"/>
        <v>4.1622197862839039E-4</v>
      </c>
      <c r="J448" s="13">
        <f t="shared" si="29"/>
        <v>4.0291476397360138E-4</v>
      </c>
      <c r="K448" s="13">
        <f t="shared" si="29"/>
        <v>7.7498174317134347E-4</v>
      </c>
      <c r="L448" s="13">
        <f t="shared" si="29"/>
        <v>8.4158842924969709E-4</v>
      </c>
      <c r="M448" s="13">
        <f t="shared" si="29"/>
        <v>8.750263062510318E-4</v>
      </c>
      <c r="N448" s="13">
        <f t="shared" si="29"/>
        <v>8.1555502477051608E-4</v>
      </c>
      <c r="O448" s="13">
        <f t="shared" si="29"/>
        <v>7.1977651990231964E-4</v>
      </c>
      <c r="P448" s="13">
        <f t="shared" si="29"/>
        <v>6.0506030079329331E-4</v>
      </c>
      <c r="Q448" s="13">
        <f t="shared" si="29"/>
        <v>3.2047049995725555E-4</v>
      </c>
      <c r="R448" s="13" t="s">
        <v>239</v>
      </c>
      <c r="T448" s="63">
        <v>5.97175491566734E-5</v>
      </c>
      <c r="U448" s="63">
        <v>1.20102327611145E-4</v>
      </c>
      <c r="V448" s="63">
        <v>1.1351508508047E-4</v>
      </c>
      <c r="W448" s="63">
        <v>1.0988584472007301E-4</v>
      </c>
      <c r="X448" s="63">
        <v>2.1135865722854801E-4</v>
      </c>
      <c r="Y448" s="63">
        <v>2.29524117068099E-4</v>
      </c>
      <c r="Z448" s="63">
        <v>2.3864353806846299E-4</v>
      </c>
      <c r="AA448" s="63">
        <v>2.22424097664686E-4</v>
      </c>
      <c r="AB448" s="63">
        <v>1.96302687246087E-4</v>
      </c>
      <c r="AC448" s="63">
        <v>1.6501644567089801E-4</v>
      </c>
      <c r="AD448" s="63">
        <v>8.7401045442887801E-5</v>
      </c>
      <c r="AE448" s="13" t="s">
        <v>244</v>
      </c>
    </row>
    <row r="449" spans="1:31">
      <c r="A449" s="13" t="s">
        <v>324</v>
      </c>
      <c r="B449" s="13" t="s">
        <v>1</v>
      </c>
      <c r="C449" s="13" t="s">
        <v>406</v>
      </c>
      <c r="D449" s="13" t="str">
        <f>IFERROR(VLOOKUP(C449,ghg_sort!$A$86:$B$512,2,0),0)</f>
        <v>Industry</v>
      </c>
      <c r="E449" s="13" t="s">
        <v>86</v>
      </c>
      <c r="F449" s="13">
        <f>IFERROR(VLOOKUP($E449,ghg_sort!$A$3:$B$21,2,0),0)</f>
        <v>3.6666666666666701</v>
      </c>
      <c r="G449" s="13">
        <f t="shared" ref="G449:Q449" si="30">T449*$F449</f>
        <v>0</v>
      </c>
      <c r="H449" s="13">
        <f t="shared" si="30"/>
        <v>0.29201396234358395</v>
      </c>
      <c r="I449" s="13">
        <f t="shared" si="30"/>
        <v>0.41188034684177738</v>
      </c>
      <c r="J449" s="13">
        <f t="shared" si="30"/>
        <v>0.58259806963866623</v>
      </c>
      <c r="K449" s="13">
        <f t="shared" si="30"/>
        <v>0.78646102045668742</v>
      </c>
      <c r="L449" s="13">
        <f t="shared" si="30"/>
        <v>0.86222086675687315</v>
      </c>
      <c r="M449" s="13">
        <f t="shared" si="30"/>
        <v>1.015479739646945</v>
      </c>
      <c r="N449" s="13">
        <f t="shared" si="30"/>
        <v>1.0983897223186334</v>
      </c>
      <c r="O449" s="13">
        <f t="shared" si="30"/>
        <v>1.2047190719949306</v>
      </c>
      <c r="P449" s="13">
        <f t="shared" si="30"/>
        <v>1.3223296217235767</v>
      </c>
      <c r="Q449" s="13">
        <f t="shared" si="30"/>
        <v>1.443145183300111</v>
      </c>
      <c r="R449" s="13" t="s">
        <v>239</v>
      </c>
      <c r="T449" s="63">
        <v>0</v>
      </c>
      <c r="U449" s="63">
        <v>7.9640171548250094E-2</v>
      </c>
      <c r="V449" s="63">
        <v>0.11233100368412099</v>
      </c>
      <c r="W449" s="63">
        <v>0.15889038262872701</v>
      </c>
      <c r="X449" s="63">
        <v>0.21448936921546</v>
      </c>
      <c r="Y449" s="63">
        <v>0.23515114547914701</v>
      </c>
      <c r="Z449" s="63">
        <v>0.27694901990371201</v>
      </c>
      <c r="AA449" s="63">
        <v>0.29956083335962702</v>
      </c>
      <c r="AB449" s="63">
        <v>0.32855974690770801</v>
      </c>
      <c r="AC449" s="63">
        <v>0.36063535137915698</v>
      </c>
      <c r="AD449" s="63">
        <v>0.39358504999093902</v>
      </c>
    </row>
    <row r="450" spans="1:31">
      <c r="A450" s="13" t="s">
        <v>324</v>
      </c>
      <c r="B450" s="13" t="s">
        <v>1</v>
      </c>
      <c r="C450" s="13" t="s">
        <v>132</v>
      </c>
      <c r="D450" s="13" t="str">
        <f>IFERROR(VLOOKUP(C450,ghg_sort!$A$86:$B$512,2,0),0)</f>
        <v>Electricity</v>
      </c>
      <c r="E450" s="13" t="s">
        <v>86</v>
      </c>
      <c r="F450" s="13">
        <f>IFERROR(VLOOKUP($E450,ghg_sort!$A$3:$B$21,2,0),0)</f>
        <v>3.6666666666666701</v>
      </c>
      <c r="G450" s="13">
        <f t="shared" si="29"/>
        <v>0</v>
      </c>
      <c r="H450" s="13">
        <f t="shared" si="29"/>
        <v>0</v>
      </c>
      <c r="I450" s="13">
        <f t="shared" si="29"/>
        <v>0</v>
      </c>
      <c r="J450" s="13">
        <f t="shared" si="29"/>
        <v>0</v>
      </c>
      <c r="K450" s="13">
        <f t="shared" si="29"/>
        <v>0</v>
      </c>
      <c r="L450" s="13">
        <f t="shared" si="29"/>
        <v>-2.7907298599892386E-2</v>
      </c>
      <c r="M450" s="13">
        <f t="shared" si="29"/>
        <v>-0.26125909023615485</v>
      </c>
      <c r="N450" s="13">
        <f t="shared" si="29"/>
        <v>-2.2436093062593634</v>
      </c>
      <c r="O450" s="13">
        <f t="shared" si="29"/>
        <v>-7.5828518056002139</v>
      </c>
      <c r="P450" s="13">
        <f t="shared" si="29"/>
        <v>-12.917452927902245</v>
      </c>
      <c r="Q450" s="13">
        <f t="shared" si="29"/>
        <v>-14.153503654538833</v>
      </c>
      <c r="R450" s="13" t="s">
        <v>239</v>
      </c>
      <c r="T450" s="62">
        <v>0</v>
      </c>
      <c r="U450" s="63">
        <v>0</v>
      </c>
      <c r="V450" s="63">
        <v>0</v>
      </c>
      <c r="W450" s="63">
        <v>0</v>
      </c>
      <c r="X450" s="62">
        <v>0</v>
      </c>
      <c r="Y450" s="63">
        <v>-7.6110814363342799E-3</v>
      </c>
      <c r="Z450" s="63">
        <v>-7.1252479155314893E-2</v>
      </c>
      <c r="AA450" s="63">
        <v>-0.61189344716164396</v>
      </c>
      <c r="AB450" s="63">
        <v>-2.06805049243642</v>
      </c>
      <c r="AC450" s="62">
        <v>-3.5229417076097</v>
      </c>
      <c r="AD450" s="63">
        <v>-3.8600464512378601</v>
      </c>
      <c r="AE450" s="13" t="s">
        <v>244</v>
      </c>
    </row>
    <row r="451" spans="1:31">
      <c r="A451" s="13" t="s">
        <v>324</v>
      </c>
      <c r="B451" s="13" t="s">
        <v>1</v>
      </c>
      <c r="C451" s="13" t="s">
        <v>133</v>
      </c>
      <c r="D451" s="13" t="str">
        <f>IFERROR(VLOOKUP(C451,ghg_sort!$A$86:$B$512,2,0),0)</f>
        <v>Electricity</v>
      </c>
      <c r="E451" s="13" t="s">
        <v>86</v>
      </c>
      <c r="F451" s="13">
        <f>IFERROR(VLOOKUP($E451,ghg_sort!$A$3:$B$21,2,0),0)</f>
        <v>3.6666666666666701</v>
      </c>
      <c r="G451" s="13">
        <f t="shared" si="29"/>
        <v>0</v>
      </c>
      <c r="H451" s="13">
        <f t="shared" si="29"/>
        <v>0</v>
      </c>
      <c r="I451" s="13">
        <f t="shared" si="29"/>
        <v>0</v>
      </c>
      <c r="J451" s="13">
        <f t="shared" si="29"/>
        <v>0</v>
      </c>
      <c r="K451" s="13">
        <f t="shared" si="29"/>
        <v>0</v>
      </c>
      <c r="L451" s="13">
        <f t="shared" si="29"/>
        <v>-1.5264918657849498E-2</v>
      </c>
      <c r="M451" s="13">
        <f t="shared" si="29"/>
        <v>-0.16418383352735189</v>
      </c>
      <c r="N451" s="13">
        <f t="shared" si="29"/>
        <v>-1.806502192224926</v>
      </c>
      <c r="O451" s="13">
        <f t="shared" si="29"/>
        <v>-5.9494732072736456</v>
      </c>
      <c r="P451" s="13">
        <f t="shared" si="29"/>
        <v>-9.0893116667596914</v>
      </c>
      <c r="Q451" s="13">
        <f t="shared" si="29"/>
        <v>-5.4527797463074883</v>
      </c>
      <c r="R451" s="13" t="s">
        <v>239</v>
      </c>
      <c r="T451" s="63">
        <v>0</v>
      </c>
      <c r="U451" s="63">
        <v>0</v>
      </c>
      <c r="V451" s="63">
        <v>0</v>
      </c>
      <c r="W451" s="63">
        <v>0</v>
      </c>
      <c r="X451" s="63">
        <v>0</v>
      </c>
      <c r="Y451" s="63">
        <v>-4.16315963395895E-3</v>
      </c>
      <c r="Z451" s="62">
        <v>-4.4777409143823201E-2</v>
      </c>
      <c r="AA451" s="62">
        <v>-0.492682416061343</v>
      </c>
      <c r="AB451" s="63">
        <v>-1.6225836019837201</v>
      </c>
      <c r="AC451" s="62">
        <v>-2.4789031818435499</v>
      </c>
      <c r="AD451" s="63">
        <v>-1.48712174899295</v>
      </c>
      <c r="AE451" s="13" t="s">
        <v>244</v>
      </c>
    </row>
    <row r="452" spans="1:31">
      <c r="A452" s="13" t="s">
        <v>324</v>
      </c>
      <c r="B452" s="13" t="s">
        <v>1</v>
      </c>
      <c r="C452" s="13" t="s">
        <v>136</v>
      </c>
      <c r="D452" s="13" t="str">
        <f>IFERROR(VLOOKUP(C452,ghg_sort!$A$86:$B$512,2,0),0)</f>
        <v>Electricity</v>
      </c>
      <c r="E452" s="13" t="s">
        <v>86</v>
      </c>
      <c r="F452" s="13">
        <f>IFERROR(VLOOKUP($E452,ghg_sort!$A$3:$B$21,2,0),0)</f>
        <v>3.6666666666666701</v>
      </c>
      <c r="G452" s="13">
        <f t="shared" si="29"/>
        <v>0</v>
      </c>
      <c r="H452" s="13">
        <f t="shared" si="29"/>
        <v>0</v>
      </c>
      <c r="I452" s="13">
        <f t="shared" si="29"/>
        <v>0</v>
      </c>
      <c r="J452" s="13">
        <f t="shared" si="29"/>
        <v>0</v>
      </c>
      <c r="K452" s="13">
        <f t="shared" si="29"/>
        <v>0</v>
      </c>
      <c r="L452" s="13">
        <f t="shared" si="29"/>
        <v>0</v>
      </c>
      <c r="M452" s="13">
        <f t="shared" si="29"/>
        <v>0.3090702281138889</v>
      </c>
      <c r="N452" s="13">
        <f t="shared" si="29"/>
        <v>0.81171246664747509</v>
      </c>
      <c r="O452" s="13">
        <f t="shared" si="29"/>
        <v>1.6213238647923403</v>
      </c>
      <c r="P452" s="13">
        <f t="shared" si="29"/>
        <v>2.6418153732801954</v>
      </c>
      <c r="Q452" s="13">
        <f t="shared" si="29"/>
        <v>3.0152948820019034</v>
      </c>
      <c r="R452" s="13" t="s">
        <v>239</v>
      </c>
      <c r="T452" s="63">
        <v>0</v>
      </c>
      <c r="U452" s="63">
        <v>0</v>
      </c>
      <c r="V452" s="63">
        <v>0</v>
      </c>
      <c r="W452" s="63">
        <v>0</v>
      </c>
      <c r="X452" s="62">
        <v>0</v>
      </c>
      <c r="Y452" s="63">
        <v>0</v>
      </c>
      <c r="Z452" s="62">
        <v>8.42918803946969E-2</v>
      </c>
      <c r="AA452" s="63">
        <v>0.22137612726749301</v>
      </c>
      <c r="AB452" s="63">
        <v>0.442179235852456</v>
      </c>
      <c r="AC452" s="63">
        <v>0.72049510180368903</v>
      </c>
      <c r="AD452" s="63">
        <v>0.822353149636882</v>
      </c>
      <c r="AE452" s="13" t="s">
        <v>244</v>
      </c>
    </row>
    <row r="453" spans="1:31">
      <c r="A453" s="13" t="s">
        <v>324</v>
      </c>
      <c r="B453" s="13" t="s">
        <v>1</v>
      </c>
      <c r="C453" s="13" t="s">
        <v>59</v>
      </c>
      <c r="D453" s="13" t="str">
        <f>IFERROR(VLOOKUP(C453,ghg_sort!$A$86:$B$512,2,0),0)</f>
        <v>Electricity</v>
      </c>
      <c r="E453" s="13" t="s">
        <v>86</v>
      </c>
      <c r="F453" s="13">
        <f>IFERROR(VLOOKUP($E453,ghg_sort!$A$3:$B$21,2,0),0)</f>
        <v>3.6666666666666701</v>
      </c>
      <c r="G453" s="13">
        <f t="shared" si="29"/>
        <v>34.424549247056277</v>
      </c>
      <c r="H453" s="13">
        <f t="shared" si="29"/>
        <v>173.72254658319565</v>
      </c>
      <c r="I453" s="13">
        <f t="shared" si="29"/>
        <v>246.00203749961278</v>
      </c>
      <c r="J453" s="13">
        <f t="shared" si="29"/>
        <v>253.59974956224687</v>
      </c>
      <c r="K453" s="13">
        <f t="shared" si="29"/>
        <v>259.90081826876849</v>
      </c>
      <c r="L453" s="13">
        <f t="shared" si="29"/>
        <v>175.13189063287993</v>
      </c>
      <c r="M453" s="13">
        <f t="shared" si="29"/>
        <v>109.04748687687737</v>
      </c>
      <c r="N453" s="13">
        <f t="shared" si="29"/>
        <v>65.008700589452459</v>
      </c>
      <c r="O453" s="13">
        <f t="shared" si="29"/>
        <v>37.066124163688798</v>
      </c>
      <c r="P453" s="13">
        <f t="shared" si="29"/>
        <v>14.077212932589964</v>
      </c>
      <c r="Q453" s="13">
        <f t="shared" si="29"/>
        <v>0.27510786086396016</v>
      </c>
      <c r="R453" s="13" t="s">
        <v>239</v>
      </c>
      <c r="T453" s="62">
        <v>9.3885134310153404</v>
      </c>
      <c r="U453" s="62">
        <v>47.3788763408715</v>
      </c>
      <c r="V453" s="62">
        <v>67.091464772621606</v>
      </c>
      <c r="W453" s="62">
        <v>69.163568062430897</v>
      </c>
      <c r="X453" s="62">
        <v>70.882041346027705</v>
      </c>
      <c r="Y453" s="62">
        <v>47.763242899876303</v>
      </c>
      <c r="Z453" s="62">
        <v>29.7402236936938</v>
      </c>
      <c r="AA453" s="62">
        <v>17.729645615305198</v>
      </c>
      <c r="AB453" s="62">
        <v>10.108942953733299</v>
      </c>
      <c r="AC453" s="62">
        <v>3.8392398907063501</v>
      </c>
      <c r="AD453" s="62">
        <v>7.5029416599261795E-2</v>
      </c>
      <c r="AE453" s="13" t="s">
        <v>244</v>
      </c>
    </row>
    <row r="454" spans="1:31">
      <c r="A454" s="13" t="s">
        <v>324</v>
      </c>
      <c r="B454" s="13" t="s">
        <v>1</v>
      </c>
      <c r="C454" s="13" t="s">
        <v>163</v>
      </c>
      <c r="D454" s="13" t="str">
        <f>IFERROR(VLOOKUP(C454,ghg_sort!$A$86:$B$512,2,0),0)</f>
        <v>Industry</v>
      </c>
      <c r="E454" s="13" t="s">
        <v>86</v>
      </c>
      <c r="F454" s="13">
        <f>IFERROR(VLOOKUP($E454,ghg_sort!$A$3:$B$21,2,0),0)</f>
        <v>3.6666666666666701</v>
      </c>
      <c r="G454" s="13">
        <f t="shared" si="29"/>
        <v>0</v>
      </c>
      <c r="H454" s="13">
        <f t="shared" si="29"/>
        <v>-6.2894747411195391E-7</v>
      </c>
      <c r="I454" s="13">
        <f t="shared" si="29"/>
        <v>-2.6730592860294609E-7</v>
      </c>
      <c r="J454" s="13">
        <f t="shared" si="29"/>
        <v>-1.3251332841245228E-6</v>
      </c>
      <c r="K454" s="13">
        <f t="shared" si="29"/>
        <v>-2.1285290848151058E-6</v>
      </c>
      <c r="L454" s="13">
        <f t="shared" si="29"/>
        <v>-1.3143018092201078E-6</v>
      </c>
      <c r="M454" s="13">
        <f t="shared" si="29"/>
        <v>0</v>
      </c>
      <c r="N454" s="13">
        <f t="shared" si="29"/>
        <v>-3.1174574495655647E-6</v>
      </c>
      <c r="O454" s="13">
        <f t="shared" si="29"/>
        <v>0</v>
      </c>
      <c r="P454" s="13">
        <f t="shared" si="29"/>
        <v>0</v>
      </c>
      <c r="Q454" s="13">
        <f t="shared" si="29"/>
        <v>0</v>
      </c>
      <c r="R454" s="13" t="s">
        <v>239</v>
      </c>
      <c r="T454" s="62">
        <v>0</v>
      </c>
      <c r="U454" s="63">
        <v>-1.7153112930326E-7</v>
      </c>
      <c r="V454" s="63">
        <v>-7.2901616891712502E-8</v>
      </c>
      <c r="W454" s="63">
        <v>-3.61399986579415E-7</v>
      </c>
      <c r="X454" s="63">
        <v>-5.8050793222230101E-7</v>
      </c>
      <c r="Y454" s="63">
        <v>-3.5844594796911999E-7</v>
      </c>
      <c r="Z454" s="63">
        <v>0</v>
      </c>
      <c r="AA454" s="63">
        <v>-8.5021566806333499E-7</v>
      </c>
      <c r="AB454" s="63">
        <v>0</v>
      </c>
      <c r="AC454" s="63">
        <v>0</v>
      </c>
      <c r="AD454" s="63">
        <v>0</v>
      </c>
      <c r="AE454" s="13" t="s">
        <v>244</v>
      </c>
    </row>
    <row r="455" spans="1:31">
      <c r="A455" s="13" t="s">
        <v>324</v>
      </c>
      <c r="B455" s="13" t="s">
        <v>1</v>
      </c>
      <c r="C455" s="13" t="s">
        <v>147</v>
      </c>
      <c r="D455" s="13" t="s">
        <v>245</v>
      </c>
      <c r="E455" s="13" t="s">
        <v>86</v>
      </c>
      <c r="F455" s="13">
        <f>IFERROR(VLOOKUP($E455,ghg_sort!$A$3:$B$21,2,0),0)</f>
        <v>3.6666666666666701</v>
      </c>
      <c r="G455" s="13">
        <f t="shared" si="29"/>
        <v>3.6727754664187806E-7</v>
      </c>
      <c r="H455" s="13">
        <f t="shared" si="29"/>
        <v>4.3128216513828639E-7</v>
      </c>
      <c r="I455" s="13">
        <f t="shared" si="29"/>
        <v>-1.8090575256331691E-6</v>
      </c>
      <c r="J455" s="13">
        <f t="shared" si="29"/>
        <v>5.5974148889063212E-7</v>
      </c>
      <c r="K455" s="13">
        <f t="shared" si="29"/>
        <v>4.0575813175999974E-2</v>
      </c>
      <c r="L455" s="13">
        <f t="shared" si="29"/>
        <v>1.2731455915587359E-2</v>
      </c>
      <c r="M455" s="13">
        <f t="shared" si="29"/>
        <v>8.1931109573893882E-3</v>
      </c>
      <c r="N455" s="13">
        <f t="shared" si="29"/>
        <v>3.8139343553339998E-3</v>
      </c>
      <c r="O455" s="13">
        <f t="shared" si="29"/>
        <v>2.4680942264180641E-3</v>
      </c>
      <c r="P455" s="13">
        <f t="shared" si="29"/>
        <v>7.737066125154344E-4</v>
      </c>
      <c r="Q455" s="13">
        <f t="shared" si="29"/>
        <v>1.4802594275479976E-5</v>
      </c>
      <c r="R455" s="13" t="s">
        <v>239</v>
      </c>
      <c r="T455" s="63">
        <v>1.0016660362960301E-7</v>
      </c>
      <c r="U455" s="63">
        <v>1.1762240867407799E-7</v>
      </c>
      <c r="V455" s="63">
        <v>-4.9337932517268204E-7</v>
      </c>
      <c r="W455" s="63">
        <v>1.5265676969744499E-7</v>
      </c>
      <c r="X455" s="62">
        <v>1.10661308661818E-2</v>
      </c>
      <c r="Y455" s="62">
        <v>3.4722152497056401E-3</v>
      </c>
      <c r="Z455" s="63">
        <v>2.2344848065607402E-3</v>
      </c>
      <c r="AA455" s="63">
        <v>1.0401639150910899E-3</v>
      </c>
      <c r="AB455" s="63">
        <v>6.7311660720492596E-4</v>
      </c>
      <c r="AC455" s="63">
        <v>2.1101089432239099E-4</v>
      </c>
      <c r="AD455" s="63">
        <v>4.0370711660399898E-6</v>
      </c>
      <c r="AE455" s="13" t="s">
        <v>244</v>
      </c>
    </row>
    <row r="456" spans="1:31">
      <c r="A456" s="13" t="s">
        <v>324</v>
      </c>
      <c r="B456" s="13" t="s">
        <v>1</v>
      </c>
      <c r="C456" s="13" t="s">
        <v>32</v>
      </c>
      <c r="D456" s="13" t="str">
        <f>IFERROR(VLOOKUP(C456,ghg_sort!$A$86:$B$512,2,0),0)</f>
        <v>Industry</v>
      </c>
      <c r="E456" s="13" t="s">
        <v>86</v>
      </c>
      <c r="F456" s="13">
        <f>IFERROR(VLOOKUP($E456,ghg_sort!$A$3:$B$21,2,0),0)</f>
        <v>3.6666666666666701</v>
      </c>
      <c r="G456" s="13">
        <f t="shared" si="29"/>
        <v>27.038264000000026</v>
      </c>
      <c r="H456" s="13">
        <f t="shared" si="29"/>
        <v>3.7567432831888334</v>
      </c>
      <c r="I456" s="13">
        <f t="shared" si="29"/>
        <v>4.3146748054813369</v>
      </c>
      <c r="J456" s="13">
        <f t="shared" si="29"/>
        <v>89.060708201292016</v>
      </c>
      <c r="K456" s="13">
        <f t="shared" si="29"/>
        <v>84.608988583967914</v>
      </c>
      <c r="L456" s="13">
        <f t="shared" si="29"/>
        <v>74.034165276268709</v>
      </c>
      <c r="M456" s="13">
        <f t="shared" si="29"/>
        <v>53.290388914324517</v>
      </c>
      <c r="N456" s="13">
        <f t="shared" si="29"/>
        <v>34.304366955900242</v>
      </c>
      <c r="O456" s="13">
        <f t="shared" si="29"/>
        <v>24.664066651517025</v>
      </c>
      <c r="P456" s="13">
        <f t="shared" si="29"/>
        <v>15.287833320371567</v>
      </c>
      <c r="Q456" s="13">
        <f t="shared" si="29"/>
        <v>5.4440891783491088</v>
      </c>
      <c r="R456" s="13" t="s">
        <v>239</v>
      </c>
      <c r="T456" s="62">
        <v>7.374072</v>
      </c>
      <c r="U456" s="63">
        <v>1.0245663499605899</v>
      </c>
      <c r="V456" s="62">
        <v>1.1767294924039999</v>
      </c>
      <c r="W456" s="62">
        <v>24.289284054897799</v>
      </c>
      <c r="X456" s="62">
        <v>23.0751787047185</v>
      </c>
      <c r="Y456" s="62">
        <v>20.191135984436901</v>
      </c>
      <c r="Z456" s="62">
        <v>14.5337424311794</v>
      </c>
      <c r="AA456" s="62">
        <v>9.3557364425182392</v>
      </c>
      <c r="AB456" s="62">
        <v>6.72656363223191</v>
      </c>
      <c r="AC456" s="62">
        <v>4.1694090873740599</v>
      </c>
      <c r="AD456" s="62">
        <v>1.4847515940952101</v>
      </c>
      <c r="AE456" s="13" t="s">
        <v>244</v>
      </c>
    </row>
    <row r="457" spans="1:31">
      <c r="A457" s="13" t="s">
        <v>324</v>
      </c>
      <c r="B457" s="13" t="s">
        <v>1</v>
      </c>
      <c r="C457" s="13" t="s">
        <v>66</v>
      </c>
      <c r="D457" s="13" t="str">
        <f>IFERROR(VLOOKUP(C457,ghg_sort!$A$86:$B$512,2,0),0)</f>
        <v>Industry</v>
      </c>
      <c r="E457" s="13" t="s">
        <v>86</v>
      </c>
      <c r="F457" s="13">
        <f>IFERROR(VLOOKUP($E457,ghg_sort!$A$3:$B$21,2,0),0)</f>
        <v>3.6666666666666701</v>
      </c>
      <c r="G457" s="13">
        <f t="shared" si="29"/>
        <v>0.33994510000000033</v>
      </c>
      <c r="H457" s="13">
        <f t="shared" si="29"/>
        <v>0.17747164048703445</v>
      </c>
      <c r="I457" s="13">
        <f t="shared" si="29"/>
        <v>0.25489086138252354</v>
      </c>
      <c r="J457" s="13">
        <f t="shared" si="29"/>
        <v>0.19181033255703753</v>
      </c>
      <c r="K457" s="13">
        <f t="shared" si="29"/>
        <v>0.17401189370591966</v>
      </c>
      <c r="L457" s="13">
        <f t="shared" si="29"/>
        <v>0.21623197657985277</v>
      </c>
      <c r="M457" s="13">
        <f t="shared" si="29"/>
        <v>0.21727566030141418</v>
      </c>
      <c r="N457" s="13">
        <f t="shared" si="29"/>
        <v>0.19824450015339917</v>
      </c>
      <c r="O457" s="13">
        <f t="shared" si="29"/>
        <v>0.16354092364599787</v>
      </c>
      <c r="P457" s="13">
        <f t="shared" si="29"/>
        <v>0.11533489527594513</v>
      </c>
      <c r="Q457" s="13">
        <f t="shared" si="29"/>
        <v>3.4272833611961262E-2</v>
      </c>
      <c r="R457" s="13" t="s">
        <v>239</v>
      </c>
      <c r="T457" s="62">
        <v>9.2712299999999997E-2</v>
      </c>
      <c r="U457" s="63">
        <v>4.8401356496463897E-2</v>
      </c>
      <c r="V457" s="63">
        <v>6.9515689467960898E-2</v>
      </c>
      <c r="W457" s="63">
        <v>5.2311908879192001E-2</v>
      </c>
      <c r="X457" s="63">
        <v>4.7457789192523497E-2</v>
      </c>
      <c r="Y457" s="63">
        <v>5.89723572490507E-2</v>
      </c>
      <c r="Z457" s="63">
        <v>5.9256998264021997E-2</v>
      </c>
      <c r="AA457" s="63">
        <v>5.4066681860017902E-2</v>
      </c>
      <c r="AB457" s="62">
        <v>4.4602070085272102E-2</v>
      </c>
      <c r="AC457" s="62">
        <v>3.14549714388941E-2</v>
      </c>
      <c r="AD457" s="63">
        <v>9.3471364396257896E-3</v>
      </c>
      <c r="AE457" s="13" t="s">
        <v>244</v>
      </c>
    </row>
    <row r="458" spans="1:31">
      <c r="A458" s="13" t="s">
        <v>324</v>
      </c>
      <c r="B458" s="13" t="s">
        <v>1</v>
      </c>
      <c r="C458" s="13" t="s">
        <v>68</v>
      </c>
      <c r="D458" s="13" t="s">
        <v>245</v>
      </c>
      <c r="E458" s="13" t="s">
        <v>86</v>
      </c>
      <c r="F458" s="13">
        <f>IFERROR(VLOOKUP($E458,ghg_sort!$A$3:$B$21,2,0),0)</f>
        <v>3.6666666666666701</v>
      </c>
      <c r="G458" s="13">
        <f t="shared" si="29"/>
        <v>43.655256701498971</v>
      </c>
      <c r="H458" s="13">
        <f t="shared" si="29"/>
        <v>100.77346756798099</v>
      </c>
      <c r="I458" s="13">
        <f t="shared" si="29"/>
        <v>117.31356681388567</v>
      </c>
      <c r="J458" s="13">
        <f t="shared" si="29"/>
        <v>54.87277606669582</v>
      </c>
      <c r="K458" s="13">
        <f t="shared" si="29"/>
        <v>58.17158461340312</v>
      </c>
      <c r="L458" s="13">
        <f t="shared" si="29"/>
        <v>59.780683000913655</v>
      </c>
      <c r="M458" s="13">
        <f t="shared" si="29"/>
        <v>56.360850140120583</v>
      </c>
      <c r="N458" s="13">
        <f t="shared" si="29"/>
        <v>44.377563686591706</v>
      </c>
      <c r="O458" s="13">
        <f t="shared" si="29"/>
        <v>28.815883742818876</v>
      </c>
      <c r="P458" s="13">
        <f t="shared" si="29"/>
        <v>18.66874457858518</v>
      </c>
      <c r="Q458" s="13">
        <f t="shared" si="29"/>
        <v>5.7064624224037885</v>
      </c>
      <c r="R458" s="13" t="s">
        <v>239</v>
      </c>
      <c r="T458" s="63">
        <v>11.9059791004088</v>
      </c>
      <c r="U458" s="63">
        <v>27.483672973085699</v>
      </c>
      <c r="V458" s="63">
        <v>31.994609131059701</v>
      </c>
      <c r="W458" s="63">
        <v>14.9653025636443</v>
      </c>
      <c r="X458" s="62">
        <v>15.8649776218372</v>
      </c>
      <c r="Y458" s="63">
        <v>16.3038226366128</v>
      </c>
      <c r="Z458" s="62">
        <v>15.3711409473056</v>
      </c>
      <c r="AA458" s="63">
        <v>12.102971914525</v>
      </c>
      <c r="AB458" s="62">
        <v>7.8588773844051403</v>
      </c>
      <c r="AC458" s="63">
        <v>5.0914757941595896</v>
      </c>
      <c r="AD458" s="63">
        <v>1.55630793338285</v>
      </c>
      <c r="AE458" s="13" t="s">
        <v>244</v>
      </c>
    </row>
    <row r="459" spans="1:31">
      <c r="A459" s="13" t="s">
        <v>324</v>
      </c>
      <c r="B459" s="13" t="s">
        <v>1</v>
      </c>
      <c r="C459" s="13" t="s">
        <v>22</v>
      </c>
      <c r="D459" s="13" t="str">
        <f>IFERROR(VLOOKUP(C459,ghg_sort!$A$86:$B$512,2,0),0)</f>
        <v>Industry</v>
      </c>
      <c r="E459" s="13" t="s">
        <v>86</v>
      </c>
      <c r="F459" s="13">
        <f>IFERROR(VLOOKUP($E459,ghg_sort!$A$3:$B$21,2,0),0)</f>
        <v>3.6666666666666701</v>
      </c>
      <c r="G459" s="13">
        <f t="shared" si="29"/>
        <v>0</v>
      </c>
      <c r="H459" s="13">
        <f t="shared" si="29"/>
        <v>-2.3974151302844771E-4</v>
      </c>
      <c r="I459" s="13">
        <f t="shared" si="29"/>
        <v>-7.2342073588457642E-3</v>
      </c>
      <c r="J459" s="13">
        <f t="shared" si="29"/>
        <v>-7.8537217290184109E-3</v>
      </c>
      <c r="K459" s="13">
        <f t="shared" si="29"/>
        <v>-1.0868473980953867E-2</v>
      </c>
      <c r="L459" s="13">
        <f t="shared" si="29"/>
        <v>-1.5804188924153827E-2</v>
      </c>
      <c r="M459" s="13">
        <f t="shared" si="29"/>
        <v>-2.0175103271206273E-2</v>
      </c>
      <c r="N459" s="13">
        <f t="shared" si="29"/>
        <v>-5.1957473597077447E-2</v>
      </c>
      <c r="O459" s="13">
        <f t="shared" si="29"/>
        <v>-0.17107697113512993</v>
      </c>
      <c r="P459" s="13">
        <f t="shared" si="29"/>
        <v>-0.47972571918605439</v>
      </c>
      <c r="Q459" s="13">
        <f t="shared" si="29"/>
        <v>-1.0507942306917486</v>
      </c>
      <c r="R459" s="13" t="s">
        <v>239</v>
      </c>
      <c r="T459" s="62">
        <v>0</v>
      </c>
      <c r="U459" s="63">
        <v>-6.5384049007758405E-5</v>
      </c>
      <c r="V459" s="63">
        <v>-1.9729656433215702E-3</v>
      </c>
      <c r="W459" s="63">
        <v>-2.1419241079141099E-3</v>
      </c>
      <c r="X459" s="62">
        <v>-2.9641292675328698E-3</v>
      </c>
      <c r="Y459" s="63">
        <v>-4.3102333429510401E-3</v>
      </c>
      <c r="Z459" s="63">
        <v>-5.5023008921471599E-3</v>
      </c>
      <c r="AA459" s="63">
        <v>-1.41702200719302E-2</v>
      </c>
      <c r="AB459" s="62">
        <v>-4.6657355764126301E-2</v>
      </c>
      <c r="AC459" s="62">
        <v>-0.13083428705074199</v>
      </c>
      <c r="AD459" s="63">
        <v>-0.28658024473411298</v>
      </c>
      <c r="AE459" s="13" t="s">
        <v>244</v>
      </c>
    </row>
    <row r="460" spans="1:31">
      <c r="A460" s="13" t="s">
        <v>324</v>
      </c>
      <c r="B460" s="13" t="s">
        <v>1</v>
      </c>
      <c r="C460" s="13" t="s">
        <v>62</v>
      </c>
      <c r="D460" s="13" t="str">
        <f>IFERROR(VLOOKUP(C460,ghg_sort!$A$86:$B$512,2,0),0)</f>
        <v>Industry</v>
      </c>
      <c r="E460" s="13" t="s">
        <v>86</v>
      </c>
      <c r="F460" s="13">
        <f>IFERROR(VLOOKUP($E460,ghg_sort!$A$3:$B$21,2,0),0)</f>
        <v>3.6666666666666701</v>
      </c>
      <c r="G460" s="13">
        <f t="shared" si="29"/>
        <v>9.7891444583392992</v>
      </c>
      <c r="H460" s="13">
        <f t="shared" si="29"/>
        <v>13.385650644517884</v>
      </c>
      <c r="I460" s="13">
        <f t="shared" si="29"/>
        <v>12.734759733759702</v>
      </c>
      <c r="J460" s="13">
        <f t="shared" si="29"/>
        <v>12.98531614148763</v>
      </c>
      <c r="K460" s="13">
        <f t="shared" si="29"/>
        <v>13.695334719470042</v>
      </c>
      <c r="L460" s="13">
        <f t="shared" si="29"/>
        <v>13.232421963733879</v>
      </c>
      <c r="M460" s="13">
        <f t="shared" si="29"/>
        <v>11.181551492295224</v>
      </c>
      <c r="N460" s="13">
        <f t="shared" si="29"/>
        <v>7.4196911679481135</v>
      </c>
      <c r="O460" s="13">
        <f t="shared" si="29"/>
        <v>4.4825709968054444</v>
      </c>
      <c r="P460" s="13">
        <f t="shared" si="29"/>
        <v>2.8537284541035151</v>
      </c>
      <c r="Q460" s="13">
        <f t="shared" si="29"/>
        <v>1.7753031112559543</v>
      </c>
      <c r="R460" s="13" t="s">
        <v>239</v>
      </c>
      <c r="T460" s="62">
        <v>2.6697666704561702</v>
      </c>
      <c r="U460" s="62">
        <v>3.6506319939594198</v>
      </c>
      <c r="V460" s="63">
        <v>3.4731162910253701</v>
      </c>
      <c r="W460" s="62">
        <v>3.5414498567693502</v>
      </c>
      <c r="X460" s="62">
        <v>3.7350912871281898</v>
      </c>
      <c r="Y460" s="62">
        <v>3.6088423537456</v>
      </c>
      <c r="Z460" s="63">
        <v>3.0495140433532399</v>
      </c>
      <c r="AA460" s="63">
        <v>2.02355213671312</v>
      </c>
      <c r="AB460" s="62">
        <v>1.2225193627651201</v>
      </c>
      <c r="AC460" s="63">
        <v>0.77828957839186697</v>
      </c>
      <c r="AD460" s="63">
        <v>0.48417357579707798</v>
      </c>
      <c r="AE460" s="13" t="s">
        <v>244</v>
      </c>
    </row>
    <row r="461" spans="1:31">
      <c r="A461" s="13" t="s">
        <v>324</v>
      </c>
      <c r="B461" s="13" t="s">
        <v>1</v>
      </c>
      <c r="C461" s="13" t="s">
        <v>190</v>
      </c>
      <c r="D461" s="13" t="str">
        <f>IFERROR(VLOOKUP(C461,ghg_sort!$A$86:$B$512,2,0),0)</f>
        <v>DAC</v>
      </c>
      <c r="E461" s="13" t="s">
        <v>86</v>
      </c>
      <c r="F461" s="13">
        <f>IFERROR(VLOOKUP($E461,ghg_sort!$A$3:$B$21,2,0),0)</f>
        <v>3.6666666666666701</v>
      </c>
      <c r="G461" s="13">
        <f t="shared" si="29"/>
        <v>0</v>
      </c>
      <c r="H461" s="13">
        <f t="shared" si="29"/>
        <v>0</v>
      </c>
      <c r="I461" s="13">
        <f t="shared" si="29"/>
        <v>0</v>
      </c>
      <c r="J461" s="13">
        <f t="shared" si="29"/>
        <v>0</v>
      </c>
      <c r="K461" s="13">
        <f t="shared" si="29"/>
        <v>0</v>
      </c>
      <c r="L461" s="13">
        <f t="shared" si="29"/>
        <v>0</v>
      </c>
      <c r="M461" s="13">
        <f t="shared" si="29"/>
        <v>0</v>
      </c>
      <c r="N461" s="13">
        <f t="shared" si="29"/>
        <v>0</v>
      </c>
      <c r="O461" s="13">
        <f t="shared" si="29"/>
        <v>0</v>
      </c>
      <c r="P461" s="13">
        <f t="shared" si="29"/>
        <v>0</v>
      </c>
      <c r="Q461" s="13">
        <f t="shared" si="29"/>
        <v>7.9220839463743337E-2</v>
      </c>
      <c r="R461" s="13" t="s">
        <v>239</v>
      </c>
      <c r="T461" s="62">
        <v>0</v>
      </c>
      <c r="U461" s="62">
        <v>0</v>
      </c>
      <c r="V461" s="62">
        <v>0</v>
      </c>
      <c r="W461" s="62">
        <v>0</v>
      </c>
      <c r="X461" s="62">
        <v>0</v>
      </c>
      <c r="Y461" s="63">
        <v>0</v>
      </c>
      <c r="Z461" s="63">
        <v>0</v>
      </c>
      <c r="AA461" s="63">
        <v>0</v>
      </c>
      <c r="AB461" s="63">
        <v>0</v>
      </c>
      <c r="AC461" s="63">
        <v>0</v>
      </c>
      <c r="AD461" s="63">
        <v>2.1605683490111799E-2</v>
      </c>
      <c r="AE461" s="13" t="s">
        <v>244</v>
      </c>
    </row>
    <row r="462" spans="1:31">
      <c r="A462" s="13" t="s">
        <v>324</v>
      </c>
      <c r="B462" s="13" t="s">
        <v>1</v>
      </c>
      <c r="C462" s="13" t="s">
        <v>164</v>
      </c>
      <c r="D462" s="13">
        <f>IFERROR(VLOOKUP(C462,ghg_sort!$A$86:$B$512,2,0),0)</f>
        <v>0</v>
      </c>
      <c r="E462" s="13" t="s">
        <v>86</v>
      </c>
      <c r="F462" s="13">
        <f>IFERROR(VLOOKUP($E462,ghg_sort!$A$3:$B$21,2,0),0)</f>
        <v>3.6666666666666701</v>
      </c>
      <c r="G462" s="13">
        <f t="shared" si="29"/>
        <v>0</v>
      </c>
      <c r="H462" s="13">
        <f t="shared" si="29"/>
        <v>0</v>
      </c>
      <c r="I462" s="13">
        <f t="shared" si="29"/>
        <v>-8.8992840452238148E-7</v>
      </c>
      <c r="J462" s="13">
        <f t="shared" si="29"/>
        <v>-1.5359606931265571E-6</v>
      </c>
      <c r="K462" s="13">
        <f t="shared" si="29"/>
        <v>-2.3405657786320024E-6</v>
      </c>
      <c r="L462" s="13">
        <f t="shared" si="29"/>
        <v>0</v>
      </c>
      <c r="M462" s="13">
        <f t="shared" si="29"/>
        <v>-1.127068627321506E-6</v>
      </c>
      <c r="N462" s="13">
        <f t="shared" si="29"/>
        <v>0</v>
      </c>
      <c r="O462" s="13">
        <f t="shared" si="29"/>
        <v>-4.1703565947098778E-6</v>
      </c>
      <c r="P462" s="13">
        <f t="shared" si="29"/>
        <v>-8.3207041807521222E-6</v>
      </c>
      <c r="Q462" s="13">
        <f t="shared" si="29"/>
        <v>0</v>
      </c>
      <c r="R462" s="13" t="s">
        <v>239</v>
      </c>
      <c r="T462" s="62">
        <v>0</v>
      </c>
      <c r="U462" s="63">
        <v>0</v>
      </c>
      <c r="V462" s="63">
        <v>-2.42707746687922E-7</v>
      </c>
      <c r="W462" s="63">
        <v>-4.1889837085269699E-7</v>
      </c>
      <c r="X462" s="63">
        <v>-6.3833612144509098E-7</v>
      </c>
      <c r="Y462" s="63">
        <v>0</v>
      </c>
      <c r="Z462" s="63">
        <v>-3.07382352905865E-7</v>
      </c>
      <c r="AA462" s="63">
        <v>0</v>
      </c>
      <c r="AB462" s="63">
        <v>-1.1373699803754201E-6</v>
      </c>
      <c r="AC462" s="63">
        <v>-2.2692829583869401E-6</v>
      </c>
      <c r="AD462" s="63">
        <v>0</v>
      </c>
      <c r="AE462" s="13" t="s">
        <v>244</v>
      </c>
    </row>
    <row r="463" spans="1:31">
      <c r="A463" s="13" t="s">
        <v>324</v>
      </c>
      <c r="B463" s="13" t="s">
        <v>1</v>
      </c>
      <c r="C463" s="13" t="s">
        <v>6</v>
      </c>
      <c r="D463" s="13" t="str">
        <f>IFERROR(VLOOKUP(C463,ghg_sort!$A$86:$B$512,2,0),0)</f>
        <v>Industry</v>
      </c>
      <c r="E463" s="13" t="s">
        <v>86</v>
      </c>
      <c r="F463" s="13">
        <f>IFERROR(VLOOKUP($E463,ghg_sort!$A$3:$B$21,2,0),0)</f>
        <v>3.6666666666666701</v>
      </c>
      <c r="G463" s="13">
        <f t="shared" si="29"/>
        <v>0</v>
      </c>
      <c r="H463" s="13">
        <f t="shared" si="29"/>
        <v>0</v>
      </c>
      <c r="I463" s="13">
        <f t="shared" si="29"/>
        <v>-5.1522214521970545E-7</v>
      </c>
      <c r="J463" s="13">
        <f t="shared" si="29"/>
        <v>0</v>
      </c>
      <c r="K463" s="13">
        <f t="shared" si="29"/>
        <v>0</v>
      </c>
      <c r="L463" s="13">
        <f t="shared" si="29"/>
        <v>0</v>
      </c>
      <c r="M463" s="13">
        <f t="shared" si="29"/>
        <v>-2.5142281029532467E-6</v>
      </c>
      <c r="N463" s="13">
        <f t="shared" si="29"/>
        <v>-3.6039233416947675E-6</v>
      </c>
      <c r="O463" s="13">
        <f t="shared" si="29"/>
        <v>-1.7376516750191076E-6</v>
      </c>
      <c r="P463" s="13">
        <f t="shared" si="29"/>
        <v>0</v>
      </c>
      <c r="Q463" s="13">
        <f t="shared" si="29"/>
        <v>0</v>
      </c>
      <c r="R463" s="13" t="s">
        <v>239</v>
      </c>
      <c r="T463" s="62">
        <v>0</v>
      </c>
      <c r="U463" s="62">
        <v>0</v>
      </c>
      <c r="V463" s="63">
        <v>-1.40515130514465E-7</v>
      </c>
      <c r="W463" s="62">
        <v>0</v>
      </c>
      <c r="X463" s="63">
        <v>0</v>
      </c>
      <c r="Y463" s="63">
        <v>0</v>
      </c>
      <c r="Z463" s="63">
        <v>-6.8569857353270301E-7</v>
      </c>
      <c r="AA463" s="63">
        <v>-9.8288818409857204E-7</v>
      </c>
      <c r="AB463" s="63">
        <v>-4.7390500227793799E-7</v>
      </c>
      <c r="AC463" s="63">
        <v>0</v>
      </c>
      <c r="AD463" s="63">
        <v>0</v>
      </c>
      <c r="AE463" s="13" t="s">
        <v>244</v>
      </c>
    </row>
    <row r="464" spans="1:31">
      <c r="A464" s="13" t="s">
        <v>324</v>
      </c>
      <c r="B464" s="13" t="s">
        <v>1</v>
      </c>
      <c r="C464" s="13" t="s">
        <v>148</v>
      </c>
      <c r="D464" s="13" t="str">
        <f>IFERROR(VLOOKUP(C464,ghg_sort!$A$86:$B$512,2,0),0)</f>
        <v>Industry</v>
      </c>
      <c r="E464" s="13" t="s">
        <v>86</v>
      </c>
      <c r="F464" s="13">
        <f>IFERROR(VLOOKUP($E464,ghg_sort!$A$3:$B$21,2,0),0)</f>
        <v>3.6666666666666701</v>
      </c>
      <c r="G464" s="13">
        <f t="shared" si="29"/>
        <v>2.0245353333333354</v>
      </c>
      <c r="H464" s="13">
        <f t="shared" si="29"/>
        <v>15.065143455436118</v>
      </c>
      <c r="I464" s="13">
        <f t="shared" si="29"/>
        <v>21.17748904879786</v>
      </c>
      <c r="J464" s="13">
        <f t="shared" si="29"/>
        <v>31.351522788308351</v>
      </c>
      <c r="K464" s="13">
        <f t="shared" si="29"/>
        <v>30.310676595950405</v>
      </c>
      <c r="L464" s="13">
        <f t="shared" si="29"/>
        <v>29.879947588455643</v>
      </c>
      <c r="M464" s="13">
        <f t="shared" si="29"/>
        <v>28.861150290684201</v>
      </c>
      <c r="N464" s="13">
        <f t="shared" si="29"/>
        <v>26.548693937951008</v>
      </c>
      <c r="O464" s="13">
        <f t="shared" si="29"/>
        <v>21.223517161013291</v>
      </c>
      <c r="P464" s="13">
        <f t="shared" si="29"/>
        <v>8.0193934632331381</v>
      </c>
      <c r="Q464" s="13">
        <f t="shared" si="29"/>
        <v>-13.697544524604687</v>
      </c>
      <c r="R464" s="13" t="s">
        <v>239</v>
      </c>
      <c r="T464" s="62">
        <v>0.55214600000000003</v>
      </c>
      <c r="U464" s="62">
        <v>4.1086754878462104</v>
      </c>
      <c r="V464" s="62">
        <v>5.7756788314903202</v>
      </c>
      <c r="W464" s="62">
        <v>8.5504153059022698</v>
      </c>
      <c r="X464" s="62">
        <v>8.2665481625319206</v>
      </c>
      <c r="Y464" s="63">
        <v>8.1490766150333496</v>
      </c>
      <c r="Z464" s="63">
        <v>7.8712228065502297</v>
      </c>
      <c r="AA464" s="63">
        <v>7.2405528921684503</v>
      </c>
      <c r="AB464" s="62">
        <v>5.7882319530036197</v>
      </c>
      <c r="AC464" s="62">
        <v>2.1871073081544901</v>
      </c>
      <c r="AD464" s="62">
        <v>-3.7356939612558202</v>
      </c>
      <c r="AE464" s="13" t="s">
        <v>244</v>
      </c>
    </row>
    <row r="465" spans="1:31">
      <c r="A465" s="13" t="s">
        <v>324</v>
      </c>
      <c r="B465" s="13" t="s">
        <v>1</v>
      </c>
      <c r="C465" s="13" t="s">
        <v>152</v>
      </c>
      <c r="D465" s="13" t="str">
        <f>IFERROR(VLOOKUP(C465,ghg_sort!$A$86:$B$512,2,0),0)</f>
        <v>Building</v>
      </c>
      <c r="E465" s="13" t="s">
        <v>86</v>
      </c>
      <c r="F465" s="13">
        <f>IFERROR(VLOOKUP($E465,ghg_sort!$A$3:$B$21,2,0),0)</f>
        <v>3.6666666666666701</v>
      </c>
      <c r="G465" s="13">
        <f t="shared" si="29"/>
        <v>15.650855202105838</v>
      </c>
      <c r="H465" s="13">
        <f t="shared" si="29"/>
        <v>19.751219919670525</v>
      </c>
      <c r="I465" s="13">
        <f t="shared" si="29"/>
        <v>19.76055040233679</v>
      </c>
      <c r="J465" s="13">
        <f t="shared" si="29"/>
        <v>18.335950936101277</v>
      </c>
      <c r="K465" s="13">
        <f t="shared" si="29"/>
        <v>14.814027244972353</v>
      </c>
      <c r="L465" s="13">
        <f t="shared" si="29"/>
        <v>13.590680573292877</v>
      </c>
      <c r="M465" s="13">
        <f t="shared" si="29"/>
        <v>12.277221208491737</v>
      </c>
      <c r="N465" s="13">
        <f t="shared" si="29"/>
        <v>9.515114293190889</v>
      </c>
      <c r="O465" s="13">
        <f t="shared" si="29"/>
        <v>5.6286632292694145</v>
      </c>
      <c r="P465" s="13">
        <f t="shared" si="29"/>
        <v>1.9836369149395721</v>
      </c>
      <c r="Q465" s="13">
        <f t="shared" si="29"/>
        <v>5.6597958229531087E-8</v>
      </c>
      <c r="R465" s="13" t="s">
        <v>239</v>
      </c>
      <c r="T465" s="62">
        <v>4.2684150551197702</v>
      </c>
      <c r="U465" s="62">
        <v>5.38669634172832</v>
      </c>
      <c r="V465" s="63">
        <v>5.3892410188191198</v>
      </c>
      <c r="W465" s="63">
        <v>5.0007138916639802</v>
      </c>
      <c r="X465" s="63">
        <v>4.0401892486288196</v>
      </c>
      <c r="Y465" s="63">
        <v>3.7065492472616901</v>
      </c>
      <c r="Z465" s="63">
        <v>3.3483330568613798</v>
      </c>
      <c r="AA465" s="62">
        <v>2.5950311708702398</v>
      </c>
      <c r="AB465" s="63">
        <v>1.5350899716189299</v>
      </c>
      <c r="AC465" s="62">
        <v>0.54099188589261005</v>
      </c>
      <c r="AD465" s="63">
        <v>1.5435806789872101E-8</v>
      </c>
      <c r="AE465" s="13" t="s">
        <v>244</v>
      </c>
    </row>
    <row r="466" spans="1:31">
      <c r="A466" s="13" t="s">
        <v>324</v>
      </c>
      <c r="B466" s="13" t="s">
        <v>1</v>
      </c>
      <c r="C466" s="13" t="s">
        <v>153</v>
      </c>
      <c r="D466" s="13" t="str">
        <f>IFERROR(VLOOKUP(C466,ghg_sort!$A$86:$B$512,2,0),0)</f>
        <v>Building</v>
      </c>
      <c r="E466" s="13" t="s">
        <v>86</v>
      </c>
      <c r="F466" s="13">
        <f>IFERROR(VLOOKUP($E466,ghg_sort!$A$3:$B$21,2,0),0)</f>
        <v>3.6666666666666701</v>
      </c>
      <c r="G466" s="13">
        <f t="shared" si="29"/>
        <v>27.314761492950971</v>
      </c>
      <c r="H466" s="13">
        <f t="shared" si="29"/>
        <v>12.740593929886618</v>
      </c>
      <c r="I466" s="13">
        <f t="shared" si="29"/>
        <v>12.693356183611082</v>
      </c>
      <c r="J466" s="13">
        <f t="shared" si="29"/>
        <v>11.385905968042698</v>
      </c>
      <c r="K466" s="13">
        <f t="shared" si="29"/>
        <v>9.6888557093110297</v>
      </c>
      <c r="L466" s="13">
        <f t="shared" si="29"/>
        <v>9.8575138371248823</v>
      </c>
      <c r="M466" s="13">
        <f t="shared" si="29"/>
        <v>9.7720727782746657</v>
      </c>
      <c r="N466" s="13">
        <f t="shared" si="29"/>
        <v>8.6396514626279082</v>
      </c>
      <c r="O466" s="13">
        <f t="shared" si="29"/>
        <v>6.5865759816539526</v>
      </c>
      <c r="P466" s="13">
        <f t="shared" si="29"/>
        <v>4.4614728981116105</v>
      </c>
      <c r="Q466" s="13">
        <f t="shared" si="29"/>
        <v>1.0509020661122914</v>
      </c>
      <c r="R466" s="13" t="s">
        <v>239</v>
      </c>
      <c r="T466" s="62">
        <v>7.4494804071684397</v>
      </c>
      <c r="U466" s="62">
        <v>3.4747074354236198</v>
      </c>
      <c r="V466" s="63">
        <v>3.4618244137121099</v>
      </c>
      <c r="W466" s="62">
        <v>3.1052470821934599</v>
      </c>
      <c r="X466" s="63">
        <v>2.6424151934484601</v>
      </c>
      <c r="Y466" s="62">
        <v>2.6884128646704202</v>
      </c>
      <c r="Z466" s="62">
        <v>2.66511075771127</v>
      </c>
      <c r="AA466" s="63">
        <v>2.3562685807167001</v>
      </c>
      <c r="AB466" s="62">
        <v>1.79633890408744</v>
      </c>
      <c r="AC466" s="63">
        <v>1.2167653358486199</v>
      </c>
      <c r="AD466" s="63">
        <v>0.286609654394261</v>
      </c>
      <c r="AE466" s="13" t="s">
        <v>244</v>
      </c>
    </row>
    <row r="467" spans="1:31">
      <c r="A467" s="13" t="s">
        <v>324</v>
      </c>
      <c r="B467" s="13" t="s">
        <v>1</v>
      </c>
      <c r="C467" s="13" t="s">
        <v>407</v>
      </c>
      <c r="D467" s="13" t="str">
        <f>IFERROR(VLOOKUP(C467,ghg_sort!$A$86:$B$512,2,0),0)</f>
        <v>Industry</v>
      </c>
      <c r="E467" s="13" t="s">
        <v>86</v>
      </c>
      <c r="F467" s="13">
        <f>IFERROR(VLOOKUP($E467,ghg_sort!$A$3:$B$21,2,0),0)</f>
        <v>3.6666666666666701</v>
      </c>
      <c r="G467" s="13">
        <f t="shared" ref="G467:Q467" si="31">T467*$F467</f>
        <v>0</v>
      </c>
      <c r="H467" s="13">
        <f t="shared" si="31"/>
        <v>0.3937467409273534</v>
      </c>
      <c r="I467" s="13">
        <f t="shared" si="31"/>
        <v>0.48845386124086976</v>
      </c>
      <c r="J467" s="13">
        <f t="shared" si="31"/>
        <v>0.6374527405845799</v>
      </c>
      <c r="K467" s="13">
        <f t="shared" si="31"/>
        <v>0.86050912461826479</v>
      </c>
      <c r="L467" s="13">
        <f t="shared" si="31"/>
        <v>0.9434026349680652</v>
      </c>
      <c r="M467" s="13">
        <f t="shared" si="31"/>
        <v>1.0419928452507685</v>
      </c>
      <c r="N467" s="13">
        <f t="shared" si="31"/>
        <v>1.1374861391766669</v>
      </c>
      <c r="O467" s="13">
        <f t="shared" si="31"/>
        <v>1.2671461822713406</v>
      </c>
      <c r="P467" s="13">
        <f t="shared" si="31"/>
        <v>1.405880494401476</v>
      </c>
      <c r="Q467" s="13">
        <f t="shared" si="31"/>
        <v>1.5505953458005832</v>
      </c>
      <c r="R467" s="13" t="s">
        <v>239</v>
      </c>
      <c r="T467" s="62">
        <v>0</v>
      </c>
      <c r="U467" s="62">
        <v>0.107385474798369</v>
      </c>
      <c r="V467" s="63">
        <v>0.13321468942932799</v>
      </c>
      <c r="W467" s="62">
        <v>0.173850747432158</v>
      </c>
      <c r="X467" s="63">
        <v>0.23468430671407201</v>
      </c>
      <c r="Y467" s="62">
        <v>0.25729162771856301</v>
      </c>
      <c r="Z467" s="62">
        <v>0.28417986688657298</v>
      </c>
      <c r="AA467" s="63">
        <v>0.31022349250272702</v>
      </c>
      <c r="AB467" s="62">
        <v>0.34558532243763801</v>
      </c>
      <c r="AC467" s="63">
        <v>0.38342195301858401</v>
      </c>
      <c r="AD467" s="63">
        <v>0.42288963976379501</v>
      </c>
    </row>
    <row r="468" spans="1:31">
      <c r="A468" s="13" t="s">
        <v>324</v>
      </c>
      <c r="B468" s="13" t="s">
        <v>1</v>
      </c>
      <c r="C468" s="13" t="s">
        <v>154</v>
      </c>
      <c r="D468" s="13" t="str">
        <f>IFERROR(VLOOKUP(C468,ghg_sort!$A$86:$B$512,2,0),0)</f>
        <v>International</v>
      </c>
      <c r="E468" s="13" t="s">
        <v>86</v>
      </c>
      <c r="F468" s="13">
        <f>IFERROR(VLOOKUP($E468,ghg_sort!$A$3:$B$21,2,0),0)</f>
        <v>3.6666666666666701</v>
      </c>
      <c r="G468" s="13">
        <f t="shared" si="29"/>
        <v>0.5610513333333339</v>
      </c>
      <c r="H468" s="13">
        <f t="shared" si="29"/>
        <v>10.16141683577527</v>
      </c>
      <c r="I468" s="13">
        <f t="shared" si="29"/>
        <v>11.947433457445211</v>
      </c>
      <c r="J468" s="13">
        <f t="shared" si="29"/>
        <v>15.461122520925672</v>
      </c>
      <c r="K468" s="13">
        <f t="shared" si="29"/>
        <v>16.169793650244792</v>
      </c>
      <c r="L468" s="13">
        <f t="shared" si="29"/>
        <v>16.336064712665774</v>
      </c>
      <c r="M468" s="13">
        <f t="shared" si="29"/>
        <v>16.332919076815639</v>
      </c>
      <c r="N468" s="13">
        <f t="shared" si="29"/>
        <v>15.881199501955678</v>
      </c>
      <c r="O468" s="13">
        <f t="shared" si="29"/>
        <v>15.103755529058105</v>
      </c>
      <c r="P468" s="13">
        <f t="shared" si="29"/>
        <v>13.571711322230062</v>
      </c>
      <c r="Q468" s="13">
        <f t="shared" si="29"/>
        <v>10.149916785094616</v>
      </c>
      <c r="R468" s="13" t="s">
        <v>239</v>
      </c>
      <c r="T468" s="62">
        <v>0.15301400000000001</v>
      </c>
      <c r="U468" s="62">
        <v>2.7712955006659801</v>
      </c>
      <c r="V468" s="62">
        <v>3.2583909429396001</v>
      </c>
      <c r="W468" s="62">
        <v>4.2166697784342704</v>
      </c>
      <c r="X468" s="62">
        <v>4.4099437227940301</v>
      </c>
      <c r="Y468" s="62">
        <v>4.4552903761815701</v>
      </c>
      <c r="Z468" s="62">
        <v>4.4544324754951701</v>
      </c>
      <c r="AA468" s="62">
        <v>4.3312362278060901</v>
      </c>
      <c r="AB468" s="62">
        <v>4.1192060533794796</v>
      </c>
      <c r="AC468" s="62">
        <v>3.70137581515365</v>
      </c>
      <c r="AD468" s="62">
        <v>2.7681591232076199</v>
      </c>
      <c r="AE468" s="13" t="s">
        <v>244</v>
      </c>
    </row>
    <row r="469" spans="1:31">
      <c r="A469" s="13" t="s">
        <v>324</v>
      </c>
      <c r="B469" s="13" t="s">
        <v>1</v>
      </c>
      <c r="C469" s="13" t="s">
        <v>155</v>
      </c>
      <c r="D469" s="13" t="str">
        <f>IFERROR(VLOOKUP(C469,ghg_sort!$A$86:$B$512,2,0),0)</f>
        <v>Transportation</v>
      </c>
      <c r="E469" s="13" t="s">
        <v>86</v>
      </c>
      <c r="F469" s="13">
        <f>IFERROR(VLOOKUP($E469,ghg_sort!$A$3:$B$21,2,0),0)</f>
        <v>3.6666666666666701</v>
      </c>
      <c r="G469" s="13">
        <f t="shared" si="29"/>
        <v>5.0582154333333378</v>
      </c>
      <c r="H469" s="13">
        <f t="shared" si="29"/>
        <v>2.9109752243785021</v>
      </c>
      <c r="I469" s="13">
        <f t="shared" si="29"/>
        <v>2.2964146719912586</v>
      </c>
      <c r="J469" s="13">
        <f t="shared" si="29"/>
        <v>0.96798718071190748</v>
      </c>
      <c r="K469" s="13">
        <f t="shared" si="29"/>
        <v>1.0496804427006416</v>
      </c>
      <c r="L469" s="13">
        <f t="shared" si="29"/>
        <v>0.8438355101212125</v>
      </c>
      <c r="M469" s="13">
        <f t="shared" si="29"/>
        <v>0.80780756618184035</v>
      </c>
      <c r="N469" s="13">
        <f t="shared" si="29"/>
        <v>0.6651770169984873</v>
      </c>
      <c r="O469" s="13">
        <f t="shared" si="29"/>
        <v>0.49497430332173681</v>
      </c>
      <c r="P469" s="13">
        <f t="shared" si="29"/>
        <v>0.34434646823964749</v>
      </c>
      <c r="Q469" s="13">
        <f t="shared" si="29"/>
        <v>0.13019554149700241</v>
      </c>
      <c r="R469" s="13" t="s">
        <v>239</v>
      </c>
      <c r="T469" s="62">
        <v>1.3795132999999999</v>
      </c>
      <c r="U469" s="62">
        <v>0.79390233392140896</v>
      </c>
      <c r="V469" s="62">
        <v>0.62629491054306996</v>
      </c>
      <c r="W469" s="62">
        <v>0.26399650383051998</v>
      </c>
      <c r="X469" s="62">
        <v>0.28627648437290198</v>
      </c>
      <c r="Y469" s="62">
        <v>0.23013695730578501</v>
      </c>
      <c r="Z469" s="62">
        <v>0.22031115441322899</v>
      </c>
      <c r="AA469" s="62">
        <v>0.18141191372686</v>
      </c>
      <c r="AB469" s="62">
        <v>0.134992991815019</v>
      </c>
      <c r="AC469" s="62">
        <v>9.3912673156267404E-2</v>
      </c>
      <c r="AD469" s="62">
        <v>3.5507874953727897E-2</v>
      </c>
      <c r="AE469" s="13" t="s">
        <v>244</v>
      </c>
    </row>
    <row r="470" spans="1:31">
      <c r="A470" s="13" t="s">
        <v>324</v>
      </c>
      <c r="B470" s="13" t="s">
        <v>1</v>
      </c>
      <c r="C470" s="13" t="s">
        <v>156</v>
      </c>
      <c r="D470" s="13" t="str">
        <f>IFERROR(VLOOKUP(C470,ghg_sort!$A$86:$B$512,2,0),0)</f>
        <v>Transportation</v>
      </c>
      <c r="E470" s="13" t="s">
        <v>86</v>
      </c>
      <c r="F470" s="13">
        <f>IFERROR(VLOOKUP($E470,ghg_sort!$A$3:$B$21,2,0),0)</f>
        <v>3.6666666666666701</v>
      </c>
      <c r="G470" s="13">
        <f t="shared" si="29"/>
        <v>9.4148633333333418</v>
      </c>
      <c r="H470" s="13">
        <f t="shared" si="29"/>
        <v>22.867889884136243</v>
      </c>
      <c r="I470" s="13">
        <f t="shared" si="29"/>
        <v>23.83525453164858</v>
      </c>
      <c r="J470" s="13">
        <f t="shared" si="29"/>
        <v>26.687851972849309</v>
      </c>
      <c r="K470" s="13">
        <f t="shared" si="29"/>
        <v>28.662763406185579</v>
      </c>
      <c r="L470" s="13">
        <f t="shared" si="29"/>
        <v>30.085969300978242</v>
      </c>
      <c r="M470" s="13">
        <f t="shared" si="29"/>
        <v>29.315533315190898</v>
      </c>
      <c r="N470" s="13">
        <f t="shared" si="29"/>
        <v>26.68387435546575</v>
      </c>
      <c r="O470" s="13">
        <f t="shared" si="29"/>
        <v>22.084610741553856</v>
      </c>
      <c r="P470" s="13">
        <f t="shared" si="29"/>
        <v>16.445100563122857</v>
      </c>
      <c r="Q470" s="13">
        <f t="shared" si="29"/>
        <v>11.00305292155829</v>
      </c>
      <c r="R470" s="13" t="s">
        <v>239</v>
      </c>
      <c r="T470" s="62">
        <v>2.5676899999999998</v>
      </c>
      <c r="U470" s="62">
        <v>6.2366972411280601</v>
      </c>
      <c r="V470" s="62">
        <v>6.5005239631768799</v>
      </c>
      <c r="W470" s="62">
        <v>7.2785050835043501</v>
      </c>
      <c r="X470" s="62">
        <v>7.8171172925960599</v>
      </c>
      <c r="Y470" s="62">
        <v>8.2052643548122397</v>
      </c>
      <c r="Z470" s="62">
        <v>7.9951454495975103</v>
      </c>
      <c r="AA470" s="62">
        <v>7.2774202787633797</v>
      </c>
      <c r="AB470" s="62">
        <v>6.0230756567874097</v>
      </c>
      <c r="AC470" s="62">
        <v>4.48502742630623</v>
      </c>
      <c r="AD470" s="62">
        <v>3.0008326149704398</v>
      </c>
      <c r="AE470" s="13" t="s">
        <v>244</v>
      </c>
    </row>
    <row r="471" spans="1:31">
      <c r="A471" s="13" t="s">
        <v>324</v>
      </c>
      <c r="B471" s="13" t="s">
        <v>1</v>
      </c>
      <c r="C471" s="13" t="s">
        <v>157</v>
      </c>
      <c r="D471" s="13" t="str">
        <f>IFERROR(VLOOKUP(C471,ghg_sort!$A$86:$B$512,2,0),0)</f>
        <v>Transportation</v>
      </c>
      <c r="E471" s="13" t="s">
        <v>86</v>
      </c>
      <c r="F471" s="13">
        <f>IFERROR(VLOOKUP($E471,ghg_sort!$A$3:$B$21,2,0),0)</f>
        <v>3.6666666666666701</v>
      </c>
      <c r="G471" s="13">
        <f t="shared" si="29"/>
        <v>6.3019835999999687</v>
      </c>
      <c r="H471" s="13">
        <f t="shared" si="29"/>
        <v>1.466122198992126</v>
      </c>
      <c r="I471" s="13">
        <f t="shared" si="29"/>
        <v>1.6532101999798015</v>
      </c>
      <c r="J471" s="13">
        <f t="shared" si="29"/>
        <v>2.0432535467011195</v>
      </c>
      <c r="K471" s="13">
        <f t="shared" si="29"/>
        <v>2.1796635341211261</v>
      </c>
      <c r="L471" s="13">
        <f t="shared" si="29"/>
        <v>2.1499791547594822</v>
      </c>
      <c r="M471" s="13">
        <f t="shared" si="29"/>
        <v>2.1270753506108133</v>
      </c>
      <c r="N471" s="13">
        <f t="shared" si="29"/>
        <v>2.043462722877512</v>
      </c>
      <c r="O471" s="13">
        <f t="shared" si="29"/>
        <v>1.8946940693879788</v>
      </c>
      <c r="P471" s="13">
        <f t="shared" ref="P471:Q476" si="32">AC471*$F471</f>
        <v>1.6719295729928603</v>
      </c>
      <c r="Q471" s="13">
        <f t="shared" si="32"/>
        <v>1.1847100299950348</v>
      </c>
      <c r="R471" s="13" t="s">
        <v>239</v>
      </c>
      <c r="T471" s="63">
        <v>1.7187227999999899</v>
      </c>
      <c r="U471" s="63">
        <v>0.39985150881603398</v>
      </c>
      <c r="V471" s="63">
        <v>0.45087550908539997</v>
      </c>
      <c r="W471" s="63">
        <v>0.55725096728212298</v>
      </c>
      <c r="X471" s="63">
        <v>0.59445369112394297</v>
      </c>
      <c r="Y471" s="62">
        <v>0.58635795129804003</v>
      </c>
      <c r="Z471" s="63">
        <v>0.58011145925749397</v>
      </c>
      <c r="AA471" s="62">
        <v>0.55730801533023</v>
      </c>
      <c r="AB471" s="62">
        <v>0.516734746196721</v>
      </c>
      <c r="AC471" s="63">
        <v>0.45598079263441599</v>
      </c>
      <c r="AD471" s="63">
        <v>0.32310273545319101</v>
      </c>
      <c r="AE471" s="13" t="s">
        <v>244</v>
      </c>
    </row>
    <row r="472" spans="1:31">
      <c r="A472" s="13" t="s">
        <v>324</v>
      </c>
      <c r="B472" s="13" t="s">
        <v>1</v>
      </c>
      <c r="C472" s="13" t="s">
        <v>158</v>
      </c>
      <c r="D472" s="13" t="str">
        <f>IFERROR(VLOOKUP(C472,ghg_sort!$A$86:$B$512,2,0),0)</f>
        <v>Transportation</v>
      </c>
      <c r="E472" s="13" t="s">
        <v>86</v>
      </c>
      <c r="F472" s="13">
        <f>IFERROR(VLOOKUP($E472,ghg_sort!$A$3:$B$21,2,0),0)</f>
        <v>3.6666666666666701</v>
      </c>
      <c r="G472" s="13">
        <f t="shared" ref="G472:O476" si="33">T472*$F472</f>
        <v>6.1170266666666722</v>
      </c>
      <c r="H472" s="13">
        <f t="shared" si="33"/>
        <v>15.551390976597206</v>
      </c>
      <c r="I472" s="13">
        <f t="shared" si="33"/>
        <v>17.673541300724082</v>
      </c>
      <c r="J472" s="13">
        <f t="shared" si="33"/>
        <v>19.829553376803446</v>
      </c>
      <c r="K472" s="13">
        <f t="shared" si="33"/>
        <v>20.241653496213875</v>
      </c>
      <c r="L472" s="13">
        <f t="shared" si="33"/>
        <v>16.40708760375848</v>
      </c>
      <c r="M472" s="13">
        <f t="shared" si="33"/>
        <v>12.736596270210573</v>
      </c>
      <c r="N472" s="13">
        <f t="shared" si="33"/>
        <v>9.8533644358296844</v>
      </c>
      <c r="O472" s="13">
        <f t="shared" si="33"/>
        <v>8.4847108662708397</v>
      </c>
      <c r="P472" s="13">
        <f t="shared" si="32"/>
        <v>7.3098995051694038</v>
      </c>
      <c r="Q472" s="13">
        <f t="shared" si="32"/>
        <v>5.4463359705882652</v>
      </c>
      <c r="R472" s="13" t="s">
        <v>239</v>
      </c>
      <c r="T472" s="62">
        <v>1.66828</v>
      </c>
      <c r="U472" s="62">
        <v>4.2412884481628703</v>
      </c>
      <c r="V472" s="62">
        <v>4.8200567183792904</v>
      </c>
      <c r="W472" s="62">
        <v>5.40806001185548</v>
      </c>
      <c r="X472" s="62">
        <v>5.5204509535128699</v>
      </c>
      <c r="Y472" s="62">
        <v>4.4746602555704902</v>
      </c>
      <c r="Z472" s="62">
        <v>3.4736171646028802</v>
      </c>
      <c r="AA472" s="62">
        <v>2.6872812097717298</v>
      </c>
      <c r="AB472" s="62">
        <v>2.3140120544374998</v>
      </c>
      <c r="AC472" s="62">
        <v>1.9936089559552901</v>
      </c>
      <c r="AD472" s="62">
        <v>1.48536435561498</v>
      </c>
      <c r="AE472" s="13" t="s">
        <v>244</v>
      </c>
    </row>
    <row r="473" spans="1:31">
      <c r="A473" s="13" t="s">
        <v>324</v>
      </c>
      <c r="B473" s="13" t="s">
        <v>1</v>
      </c>
      <c r="C473" s="13" t="s">
        <v>159</v>
      </c>
      <c r="D473" s="13" t="str">
        <f>IFERROR(VLOOKUP(C473,ghg_sort!$A$86:$B$512,2,0),0)</f>
        <v>Transportation</v>
      </c>
      <c r="E473" s="13" t="s">
        <v>86</v>
      </c>
      <c r="F473" s="13">
        <f>IFERROR(VLOOKUP($E473,ghg_sort!$A$3:$B$21,2,0),0)</f>
        <v>3.6666666666666701</v>
      </c>
      <c r="G473" s="13">
        <f t="shared" si="33"/>
        <v>0.48860166666666716</v>
      </c>
      <c r="H473" s="13">
        <f t="shared" si="33"/>
        <v>1.1867005588701498</v>
      </c>
      <c r="I473" s="13">
        <f t="shared" si="33"/>
        <v>1.2368886599206257</v>
      </c>
      <c r="J473" s="13">
        <f t="shared" si="33"/>
        <v>1.3848928256871045</v>
      </c>
      <c r="K473" s="13">
        <f t="shared" si="33"/>
        <v>1.4255726560027968</v>
      </c>
      <c r="L473" s="13">
        <f t="shared" si="33"/>
        <v>0.94233274974933701</v>
      </c>
      <c r="M473" s="13">
        <f t="shared" si="33"/>
        <v>0.64952305846244729</v>
      </c>
      <c r="N473" s="13">
        <f t="shared" si="33"/>
        <v>0.46202762928681007</v>
      </c>
      <c r="O473" s="13">
        <f t="shared" si="33"/>
        <v>0.39696948522700737</v>
      </c>
      <c r="P473" s="13">
        <f t="shared" si="32"/>
        <v>0.31690056909423509</v>
      </c>
      <c r="Q473" s="13">
        <f t="shared" si="32"/>
        <v>0.15232998520135344</v>
      </c>
      <c r="R473" s="13" t="s">
        <v>239</v>
      </c>
      <c r="T473" s="63">
        <v>0.13325500000000001</v>
      </c>
      <c r="U473" s="62">
        <v>0.323645606964586</v>
      </c>
      <c r="V473" s="63">
        <v>0.33733327088744303</v>
      </c>
      <c r="W473" s="63">
        <v>0.37769804336920998</v>
      </c>
      <c r="X473" s="62">
        <v>0.38879254254621698</v>
      </c>
      <c r="Y473" s="62">
        <v>0.25699984084072802</v>
      </c>
      <c r="Z473" s="63">
        <v>0.17714265230793999</v>
      </c>
      <c r="AA473" s="63">
        <v>0.12600753526003899</v>
      </c>
      <c r="AB473" s="62">
        <v>0.108264405061911</v>
      </c>
      <c r="AC473" s="63">
        <v>8.6427427934791301E-2</v>
      </c>
      <c r="AD473" s="62">
        <v>4.15445414185509E-2</v>
      </c>
      <c r="AE473" s="13" t="s">
        <v>244</v>
      </c>
    </row>
    <row r="474" spans="1:31">
      <c r="A474" s="13" t="s">
        <v>324</v>
      </c>
      <c r="B474" s="13" t="s">
        <v>1</v>
      </c>
      <c r="C474" s="13" t="s">
        <v>160</v>
      </c>
      <c r="D474" s="13" t="str">
        <f>IFERROR(VLOOKUP(C474,ghg_sort!$A$86:$B$512,2,0),0)</f>
        <v>Transportation</v>
      </c>
      <c r="E474" s="13" t="s">
        <v>86</v>
      </c>
      <c r="F474" s="13">
        <f>IFERROR(VLOOKUP($E474,ghg_sort!$A$3:$B$21,2,0),0)</f>
        <v>3.6666666666666701</v>
      </c>
      <c r="G474" s="13">
        <f t="shared" si="33"/>
        <v>16.483280000000015</v>
      </c>
      <c r="H474" s="13">
        <f t="shared" si="33"/>
        <v>40.04310849116824</v>
      </c>
      <c r="I474" s="13">
        <f t="shared" si="33"/>
        <v>41.756483394666738</v>
      </c>
      <c r="J474" s="13">
        <f t="shared" si="33"/>
        <v>46.753585941542013</v>
      </c>
      <c r="K474" s="13">
        <f t="shared" si="33"/>
        <v>46.296844297086942</v>
      </c>
      <c r="L474" s="13">
        <f t="shared" si="33"/>
        <v>40.201936246121868</v>
      </c>
      <c r="M474" s="13">
        <f t="shared" si="33"/>
        <v>28.790174130835396</v>
      </c>
      <c r="N474" s="13">
        <f t="shared" si="33"/>
        <v>18.642607290759852</v>
      </c>
      <c r="O474" s="13">
        <f t="shared" si="33"/>
        <v>9.6490915471783882</v>
      </c>
      <c r="P474" s="13">
        <f t="shared" si="32"/>
        <v>5.5453659078048414</v>
      </c>
      <c r="Q474" s="13">
        <f t="shared" si="32"/>
        <v>2.7302471911096604</v>
      </c>
      <c r="R474" s="13" t="s">
        <v>239</v>
      </c>
      <c r="T474" s="62">
        <v>4.4954400000000003</v>
      </c>
      <c r="U474" s="62">
        <v>10.9208477703186</v>
      </c>
      <c r="V474" s="62">
        <v>11.3881318349091</v>
      </c>
      <c r="W474" s="62">
        <v>12.750977984056901</v>
      </c>
      <c r="X474" s="62">
        <v>12.6264120810237</v>
      </c>
      <c r="Y474" s="62">
        <v>10.9641644307605</v>
      </c>
      <c r="Z474" s="62">
        <v>7.85186567204601</v>
      </c>
      <c r="AA474" s="62">
        <v>5.0843474429344999</v>
      </c>
      <c r="AB474" s="62">
        <v>2.6315704219577398</v>
      </c>
      <c r="AC474" s="62">
        <v>1.5123725203104099</v>
      </c>
      <c r="AD474" s="62">
        <v>0.74461287030263401</v>
      </c>
      <c r="AE474" s="13" t="s">
        <v>244</v>
      </c>
    </row>
    <row r="475" spans="1:31">
      <c r="A475" s="13" t="s">
        <v>324</v>
      </c>
      <c r="B475" s="13" t="s">
        <v>1</v>
      </c>
      <c r="C475" s="13" t="s">
        <v>161</v>
      </c>
      <c r="D475" s="13" t="str">
        <f>IFERROR(VLOOKUP(C475,ghg_sort!$A$86:$B$512,2,0),0)</f>
        <v>International</v>
      </c>
      <c r="E475" s="13" t="s">
        <v>86</v>
      </c>
      <c r="F475" s="13">
        <f>IFERROR(VLOOKUP($E475,ghg_sort!$A$3:$B$21,2,0),0)</f>
        <v>3.6666666666666701</v>
      </c>
      <c r="G475" s="13">
        <f t="shared" si="33"/>
        <v>4.7456566666666715</v>
      </c>
      <c r="H475" s="13">
        <f t="shared" si="33"/>
        <v>29.914731040106652</v>
      </c>
      <c r="I475" s="13">
        <f t="shared" si="33"/>
        <v>25.682433352030827</v>
      </c>
      <c r="J475" s="13">
        <f t="shared" si="33"/>
        <v>24.149560938741686</v>
      </c>
      <c r="K475" s="13">
        <f t="shared" si="33"/>
        <v>25.205446868972871</v>
      </c>
      <c r="L475" s="13">
        <f t="shared" si="33"/>
        <v>23.236916909427855</v>
      </c>
      <c r="M475" s="13">
        <f t="shared" si="33"/>
        <v>22.67790309508726</v>
      </c>
      <c r="N475" s="13">
        <f t="shared" si="33"/>
        <v>21.432708962493088</v>
      </c>
      <c r="O475" s="13">
        <f t="shared" si="33"/>
        <v>19.743370155909346</v>
      </c>
      <c r="P475" s="13">
        <f t="shared" si="32"/>
        <v>17.403946113061878</v>
      </c>
      <c r="Q475" s="13">
        <f t="shared" si="32"/>
        <v>11.874445266560848</v>
      </c>
      <c r="R475" s="13" t="s">
        <v>239</v>
      </c>
      <c r="T475" s="62">
        <v>1.29427</v>
      </c>
      <c r="U475" s="62">
        <v>8.1585630109381704</v>
      </c>
      <c r="V475" s="62">
        <v>7.0043000050993101</v>
      </c>
      <c r="W475" s="62">
        <v>6.5862438923840898</v>
      </c>
      <c r="X475" s="62">
        <v>6.87421278244714</v>
      </c>
      <c r="Y475" s="62">
        <v>6.3373409752984999</v>
      </c>
      <c r="Z475" s="62">
        <v>6.1848826622965198</v>
      </c>
      <c r="AA475" s="62">
        <v>5.8452842624981098</v>
      </c>
      <c r="AB475" s="62">
        <v>5.38455549706618</v>
      </c>
      <c r="AC475" s="62">
        <v>4.74653075810778</v>
      </c>
      <c r="AD475" s="62">
        <v>3.2384850726984098</v>
      </c>
      <c r="AE475" s="13" t="s">
        <v>244</v>
      </c>
    </row>
    <row r="476" spans="1:31">
      <c r="A476" s="13" t="s">
        <v>324</v>
      </c>
      <c r="B476" s="13" t="s">
        <v>1</v>
      </c>
      <c r="C476" s="13" t="s">
        <v>7</v>
      </c>
      <c r="D476" s="13">
        <f>IFERROR(VLOOKUP(C476,ghg_sort!$A$86:$B$512,2,0),0)</f>
        <v>0</v>
      </c>
      <c r="E476" s="13" t="s">
        <v>86</v>
      </c>
      <c r="F476" s="13">
        <f>IFERROR(VLOOKUP($E476,ghg_sort!$A$3:$B$21,2,0),0)</f>
        <v>3.6666666666666701</v>
      </c>
      <c r="G476" s="13">
        <f t="shared" si="33"/>
        <v>-1.5875003831509291E-8</v>
      </c>
      <c r="H476" s="13">
        <f t="shared" si="33"/>
        <v>0</v>
      </c>
      <c r="I476" s="13">
        <f t="shared" si="33"/>
        <v>-3.0549178687298618E-7</v>
      </c>
      <c r="J476" s="13">
        <f t="shared" si="33"/>
        <v>-1.0193300674918361E-6</v>
      </c>
      <c r="K476" s="13">
        <f t="shared" si="33"/>
        <v>0</v>
      </c>
      <c r="L476" s="13">
        <f t="shared" si="33"/>
        <v>-1.7524012680711075E-6</v>
      </c>
      <c r="M476" s="13">
        <f t="shared" si="33"/>
        <v>-2.5791300560903409E-6</v>
      </c>
      <c r="N476" s="13">
        <f t="shared" si="33"/>
        <v>-1.1876005017784903E-6</v>
      </c>
      <c r="O476" s="13">
        <f t="shared" si="33"/>
        <v>0</v>
      </c>
      <c r="P476" s="13">
        <f t="shared" si="32"/>
        <v>-9.4572855562289229E-7</v>
      </c>
      <c r="Q476" s="13">
        <f t="shared" si="32"/>
        <v>0</v>
      </c>
      <c r="R476" s="13" t="s">
        <v>239</v>
      </c>
      <c r="T476" s="63">
        <v>-4.3295464995025302E-9</v>
      </c>
      <c r="U476" s="63">
        <v>0</v>
      </c>
      <c r="V476" s="63">
        <v>-8.3315941874450703E-8</v>
      </c>
      <c r="W476" s="63">
        <v>-2.7799910931595501E-7</v>
      </c>
      <c r="X476" s="63">
        <v>0</v>
      </c>
      <c r="Y476" s="63">
        <v>-4.7792761856484702E-7</v>
      </c>
      <c r="Z476" s="63">
        <v>-7.0339910620645597E-7</v>
      </c>
      <c r="AA476" s="63">
        <v>-3.2389104593958798E-7</v>
      </c>
      <c r="AB476" s="63">
        <v>0</v>
      </c>
      <c r="AC476" s="63">
        <v>-2.5792596971533401E-7</v>
      </c>
      <c r="AD476" s="63">
        <v>0</v>
      </c>
      <c r="AE476" s="13" t="s">
        <v>244</v>
      </c>
    </row>
    <row r="479" spans="1:31">
      <c r="T479" s="14"/>
      <c r="U479" s="14"/>
      <c r="V479" s="14"/>
      <c r="W479" s="14"/>
      <c r="Y479" s="14"/>
      <c r="AB479" s="14"/>
      <c r="AC479" s="14"/>
      <c r="AD479" s="14"/>
    </row>
    <row r="482" spans="16:38">
      <c r="X482" s="13">
        <v>2035</v>
      </c>
      <c r="Y482" s="13">
        <v>2040</v>
      </c>
      <c r="Z482" s="13">
        <v>2045</v>
      </c>
      <c r="AA482" s="13">
        <v>2050</v>
      </c>
      <c r="AB482" s="13">
        <v>2055</v>
      </c>
    </row>
    <row r="483" spans="16:38">
      <c r="X483" s="13">
        <v>-1.0408340855860843E-17</v>
      </c>
      <c r="Y483" s="13">
        <v>1.6666666666666701E-2</v>
      </c>
      <c r="Z483" s="13">
        <v>3.3333333333333298E-2</v>
      </c>
      <c r="AA483" s="13">
        <v>0.05</v>
      </c>
    </row>
    <row r="485" spans="16:38">
      <c r="T485" s="13">
        <v>2015</v>
      </c>
      <c r="U485" s="13">
        <v>2020</v>
      </c>
      <c r="V485" s="13">
        <v>2025</v>
      </c>
      <c r="W485" s="13">
        <v>2030</v>
      </c>
      <c r="X485" s="13">
        <v>2035</v>
      </c>
      <c r="Y485" s="13">
        <v>2040</v>
      </c>
      <c r="Z485" s="13">
        <v>2045</v>
      </c>
      <c r="AA485" s="13">
        <v>2050</v>
      </c>
      <c r="AB485" s="13" t="s">
        <v>76</v>
      </c>
    </row>
    <row r="486" spans="16:38">
      <c r="P486" s="62" t="s">
        <v>691</v>
      </c>
      <c r="Q486" s="13">
        <v>72.988476041568958</v>
      </c>
      <c r="R486" s="13" t="s">
        <v>248</v>
      </c>
      <c r="S486" s="13" t="s">
        <v>173</v>
      </c>
      <c r="T486" s="13">
        <f t="shared" ref="T486:AA489" si="34">SUMIF($D$3:$D$425,$S486,J$3:J$425)-SUMIFS(J$3:J$425,$D$3:$D$425,$S486,$E$3:$E$425,$R486)+SUMIFS(J$432:J$479,$D$432:$D$479,$S486,$E$432:$E$479,$R486)</f>
        <v>72.988476041563871</v>
      </c>
      <c r="U486" s="13">
        <f t="shared" si="34"/>
        <v>69.69408075109078</v>
      </c>
      <c r="V486" s="13">
        <f t="shared" si="34"/>
        <v>62.2239590335274</v>
      </c>
      <c r="W486" s="13">
        <f t="shared" si="34"/>
        <v>55.758438439967456</v>
      </c>
      <c r="X486" s="13">
        <f t="shared" si="34"/>
        <v>45.5771104837252</v>
      </c>
      <c r="Y486" s="13">
        <f t="shared" si="34"/>
        <v>35.886372693234335</v>
      </c>
      <c r="Z486" s="13">
        <f t="shared" si="34"/>
        <v>21.977359602425572</v>
      </c>
      <c r="AA486" s="13">
        <f t="shared" si="34"/>
        <v>10.687096294823416</v>
      </c>
      <c r="AB486" s="62" t="s">
        <v>495</v>
      </c>
      <c r="AD486" s="13" t="s">
        <v>669</v>
      </c>
      <c r="AE486" s="13">
        <v>72.988476041563871</v>
      </c>
      <c r="AF486" s="13">
        <v>69.69408075109078</v>
      </c>
      <c r="AG486" s="13">
        <v>62.2239590335274</v>
      </c>
      <c r="AH486" s="13">
        <v>55.758438439967456</v>
      </c>
      <c r="AI486" s="13">
        <v>45.5771104837252</v>
      </c>
      <c r="AJ486" s="13">
        <v>35.886372693234335</v>
      </c>
      <c r="AK486" s="13">
        <v>21.977359602425572</v>
      </c>
      <c r="AL486" s="13">
        <v>10.687096294823416</v>
      </c>
    </row>
    <row r="487" spans="16:38">
      <c r="P487" s="62" t="s">
        <v>692</v>
      </c>
      <c r="Q487" s="13">
        <v>254.10687452013894</v>
      </c>
      <c r="R487" s="13" t="s">
        <v>248</v>
      </c>
      <c r="S487" s="13" t="s">
        <v>172</v>
      </c>
      <c r="T487" s="13">
        <f t="shared" si="34"/>
        <v>267.61340792029443</v>
      </c>
      <c r="U487" s="13">
        <f t="shared" si="34"/>
        <v>268.71523963267782</v>
      </c>
      <c r="V487" s="13">
        <f t="shared" si="34"/>
        <v>254.54947120337792</v>
      </c>
      <c r="W487" s="13">
        <f t="shared" si="34"/>
        <v>226.54967314197344</v>
      </c>
      <c r="X487" s="13">
        <f t="shared" si="34"/>
        <v>181.81536010871164</v>
      </c>
      <c r="Y487" s="13">
        <f t="shared" si="34"/>
        <v>126.02287843391711</v>
      </c>
      <c r="Z487" s="13">
        <f t="shared" si="34"/>
        <v>66.220465415731383</v>
      </c>
      <c r="AA487" s="13">
        <f t="shared" si="34"/>
        <v>-4.9730383233982245</v>
      </c>
      <c r="AB487" s="62" t="s">
        <v>504</v>
      </c>
      <c r="AD487" s="13" t="s">
        <v>670</v>
      </c>
      <c r="AE487" s="13">
        <v>267.61340792029443</v>
      </c>
      <c r="AF487" s="13">
        <v>268.71523963267782</v>
      </c>
      <c r="AG487" s="13">
        <v>254.54947120337792</v>
      </c>
      <c r="AH487" s="13">
        <v>226.54967314197344</v>
      </c>
      <c r="AI487" s="13">
        <v>181.81536010871164</v>
      </c>
      <c r="AJ487" s="13">
        <v>126.02287843391711</v>
      </c>
      <c r="AK487" s="13">
        <v>66.220465415731383</v>
      </c>
      <c r="AL487" s="13">
        <v>-4.9730383233982245</v>
      </c>
    </row>
    <row r="488" spans="16:38">
      <c r="P488" s="62" t="s">
        <v>693</v>
      </c>
      <c r="Q488" s="13">
        <v>98.935342939451303</v>
      </c>
      <c r="R488" s="13" t="s">
        <v>248</v>
      </c>
      <c r="S488" s="13" t="s">
        <v>175</v>
      </c>
      <c r="T488" s="13">
        <f t="shared" si="34"/>
        <v>98.9353429394274</v>
      </c>
      <c r="U488" s="13">
        <f t="shared" si="34"/>
        <v>101.15625598351595</v>
      </c>
      <c r="V488" s="13">
        <f t="shared" si="34"/>
        <v>91.83832965983612</v>
      </c>
      <c r="W488" s="13">
        <f t="shared" si="34"/>
        <v>75.460085763184452</v>
      </c>
      <c r="X488" s="13">
        <f t="shared" si="34"/>
        <v>59.19892237095759</v>
      </c>
      <c r="Y488" s="13">
        <f t="shared" si="34"/>
        <v>43.665108625094803</v>
      </c>
      <c r="Z488" s="13">
        <f t="shared" si="34"/>
        <v>32.137269681305341</v>
      </c>
      <c r="AA488" s="13">
        <f t="shared" si="34"/>
        <v>20.99395377276641</v>
      </c>
      <c r="AB488" s="62" t="s">
        <v>497</v>
      </c>
      <c r="AD488" s="13" t="s">
        <v>671</v>
      </c>
      <c r="AE488" s="13">
        <v>98.9353429394274</v>
      </c>
      <c r="AF488" s="13">
        <v>101.15625598351595</v>
      </c>
      <c r="AG488" s="13">
        <v>91.83832965983612</v>
      </c>
      <c r="AH488" s="13">
        <v>75.460085763184452</v>
      </c>
      <c r="AI488" s="13">
        <v>59.19892237095759</v>
      </c>
      <c r="AJ488" s="13">
        <v>43.665108625094803</v>
      </c>
      <c r="AK488" s="13">
        <v>32.137269681305341</v>
      </c>
      <c r="AL488" s="13">
        <v>20.99395377276641</v>
      </c>
    </row>
    <row r="489" spans="16:38">
      <c r="P489" s="62" t="s">
        <v>694</v>
      </c>
      <c r="Q489" s="13">
        <v>259.66756094423556</v>
      </c>
      <c r="R489" s="13" t="s">
        <v>248</v>
      </c>
      <c r="S489" s="13" t="s">
        <v>17</v>
      </c>
      <c r="T489" s="13">
        <f t="shared" si="34"/>
        <v>259.66756087801082</v>
      </c>
      <c r="U489" s="13">
        <f t="shared" si="34"/>
        <v>265.55958042361902</v>
      </c>
      <c r="V489" s="13">
        <f t="shared" si="34"/>
        <v>179.58831964209327</v>
      </c>
      <c r="W489" s="13">
        <f t="shared" si="34"/>
        <v>113.74576243633476</v>
      </c>
      <c r="X489" s="13">
        <f t="shared" si="34"/>
        <v>68.18785024177636</v>
      </c>
      <c r="Y489" s="13">
        <f t="shared" si="34"/>
        <v>33.878620895738784</v>
      </c>
      <c r="Z489" s="13">
        <f t="shared" si="34"/>
        <v>5.1931448772644657</v>
      </c>
      <c r="AA489" s="13">
        <f t="shared" si="34"/>
        <v>-5.6585074771068378</v>
      </c>
      <c r="AB489" s="62" t="s">
        <v>498</v>
      </c>
      <c r="AD489" s="13" t="s">
        <v>524</v>
      </c>
      <c r="AE489" s="13">
        <v>259.66756087801082</v>
      </c>
      <c r="AF489" s="13">
        <v>265.55958042361902</v>
      </c>
      <c r="AG489" s="13">
        <v>179.58831964209327</v>
      </c>
      <c r="AH489" s="13">
        <v>113.74576243633476</v>
      </c>
      <c r="AI489" s="13">
        <v>68.18785024177636</v>
      </c>
      <c r="AJ489" s="13">
        <v>33.878620895738784</v>
      </c>
      <c r="AK489" s="13">
        <v>5.1931448772644657</v>
      </c>
      <c r="AL489" s="13">
        <v>-5.6585074771068378</v>
      </c>
    </row>
    <row r="490" spans="16:38">
      <c r="P490" s="62" t="s">
        <v>695</v>
      </c>
      <c r="Q490" s="13">
        <v>16.311936076203967</v>
      </c>
      <c r="R490" s="13" t="s">
        <v>248</v>
      </c>
      <c r="S490" s="13" t="s">
        <v>177</v>
      </c>
      <c r="T490" s="13">
        <f t="shared" ref="T490:Z491" si="35">SUMIF($D$3:$D$425,$S490,J$3:J$425)-SUMIFS(J$3:J$425,$D$3:$D$425,$S490,$E$3:$E$425,$R490)+SUMIFS(J$432:J$479,$D$432:$D$479,$S490,$E$432:$E$479,$R490)</f>
        <v>16.311936075645395</v>
      </c>
      <c r="U490" s="13">
        <f t="shared" si="35"/>
        <v>17.257564145670653</v>
      </c>
      <c r="V490" s="13">
        <f t="shared" si="35"/>
        <v>17.237320220144273</v>
      </c>
      <c r="W490" s="13">
        <f t="shared" si="35"/>
        <v>17.085016721348694</v>
      </c>
      <c r="X490" s="13">
        <f t="shared" si="35"/>
        <v>17.137254661682501</v>
      </c>
      <c r="Y490" s="13">
        <f t="shared" si="35"/>
        <v>16.940464717368304</v>
      </c>
      <c r="Z490" s="13">
        <f t="shared" si="35"/>
        <v>16.607967137120575</v>
      </c>
      <c r="AA490" s="13">
        <f>SUMIF($D$3:$D$425,$S490,Q$3:Q$425)-SUMIFS(Q$3:Q$425,$D$3:$D$425,$S490,$E$3:$E$425,$R490)+SUMIFS(Q$432:Q$479,$D$432:$D$479,$S490,$E$432:$E$479,$R490)</f>
        <v>16.157549699595648</v>
      </c>
      <c r="AB490" s="62" t="s">
        <v>499</v>
      </c>
      <c r="AD490" s="13" t="s">
        <v>672</v>
      </c>
      <c r="AE490" s="13">
        <v>16.311936075645395</v>
      </c>
      <c r="AF490" s="13">
        <v>17.257564145670653</v>
      </c>
      <c r="AG490" s="13">
        <v>17.237320220144273</v>
      </c>
      <c r="AH490" s="13">
        <v>17.085016721348694</v>
      </c>
      <c r="AI490" s="13">
        <v>17.137254661682501</v>
      </c>
      <c r="AJ490" s="13">
        <v>16.940464717368304</v>
      </c>
      <c r="AK490" s="13">
        <v>16.607967137120575</v>
      </c>
      <c r="AL490" s="13">
        <v>16.157549699595648</v>
      </c>
    </row>
    <row r="491" spans="16:38">
      <c r="P491" s="62" t="s">
        <v>696</v>
      </c>
      <c r="Q491" s="13">
        <v>0</v>
      </c>
      <c r="R491" s="13" t="s">
        <v>248</v>
      </c>
      <c r="S491" s="13" t="s">
        <v>174</v>
      </c>
      <c r="T491" s="13">
        <f t="shared" si="35"/>
        <v>0</v>
      </c>
      <c r="U491" s="13">
        <f t="shared" si="35"/>
        <v>0</v>
      </c>
      <c r="V491" s="13">
        <f t="shared" si="35"/>
        <v>0</v>
      </c>
      <c r="W491" s="13">
        <f t="shared" si="35"/>
        <v>0</v>
      </c>
      <c r="X491" s="13">
        <f t="shared" si="35"/>
        <v>0</v>
      </c>
      <c r="Y491" s="13">
        <f t="shared" si="35"/>
        <v>0</v>
      </c>
      <c r="Z491" s="13">
        <f t="shared" si="35"/>
        <v>0</v>
      </c>
      <c r="AA491" s="13">
        <f>SUMIF($D$3:$D$425,$S491,Q$3:Q$425)-SUMIFS(Q$3:Q$425,$D$3:$D$425,$S491,$E$3:$E$425,$R491)+SUMIFS(Q$432:Q$479,$D$432:$D$479,$S491,$E$432:$E$479,$R491)</f>
        <v>-3.6831458272029272</v>
      </c>
      <c r="AB491" s="62" t="s">
        <v>500</v>
      </c>
      <c r="AD491" s="13" t="s">
        <v>673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-3.6831458272029272</v>
      </c>
    </row>
    <row r="492" spans="16:38">
      <c r="P492" s="62" t="s">
        <v>697</v>
      </c>
      <c r="Q492" s="13">
        <v>-45</v>
      </c>
      <c r="R492" s="13" t="s">
        <v>248</v>
      </c>
      <c r="S492" s="13" t="s">
        <v>176</v>
      </c>
      <c r="T492" s="31">
        <v>-45</v>
      </c>
      <c r="U492" s="31">
        <v>-45</v>
      </c>
      <c r="V492" s="31">
        <v>-44.875</v>
      </c>
      <c r="W492" s="31">
        <v>-43.0625</v>
      </c>
      <c r="X492" s="13">
        <v>-39.4375</v>
      </c>
      <c r="Y492" s="13">
        <v>-37.625</v>
      </c>
      <c r="Z492" s="13">
        <v>-35.8125</v>
      </c>
      <c r="AA492" s="13">
        <v>-34</v>
      </c>
      <c r="AB492" s="62" t="s">
        <v>501</v>
      </c>
      <c r="AD492" s="13" t="s">
        <v>674</v>
      </c>
      <c r="AE492" s="13">
        <v>-45</v>
      </c>
      <c r="AF492" s="13">
        <v>-45</v>
      </c>
      <c r="AG492" s="13">
        <v>-44.875</v>
      </c>
      <c r="AH492" s="13">
        <v>-43.0625</v>
      </c>
      <c r="AI492" s="13">
        <v>-39.4375</v>
      </c>
      <c r="AJ492" s="13">
        <v>-37.625</v>
      </c>
      <c r="AK492" s="13">
        <v>-35.8125</v>
      </c>
      <c r="AL492" s="13">
        <v>-34</v>
      </c>
    </row>
    <row r="493" spans="16:38">
      <c r="Q493" s="13">
        <v>40.256075819677285</v>
      </c>
      <c r="R493" s="13" t="s">
        <v>248</v>
      </c>
      <c r="S493" s="13" t="s">
        <v>178</v>
      </c>
      <c r="T493" s="13">
        <f>SUMIF($D$3:$D$425,$S493,J$3:J$425)-SUMIFS(J$3:J$425,$D$3:$D$425,$S493,$E$3:$E$425,$R493)+SUMIFS(J$432:J$479,$D$432:$D$479,$S493,$E$432:$E$479,$R493)</f>
        <v>40.256075819667352</v>
      </c>
      <c r="U493" s="13">
        <f t="shared" ref="U493:AA493" si="36">SUMIF($D$3:$D$425,$S493,K$3:K$425)-SUMIFS(K$3:K$425,$D$3:$D$425,$S493,$E$3:$E$425,$R493)+SUMIFS(K$432:K$479,$D$432:$D$479,$S493,$E$432:$E$479,$R493)</f>
        <v>42.049756523217667</v>
      </c>
      <c r="V493" s="13">
        <f t="shared" si="36"/>
        <v>40.20677802809363</v>
      </c>
      <c r="W493" s="13">
        <f t="shared" si="36"/>
        <v>39.632573348902909</v>
      </c>
      <c r="X493" s="13">
        <f t="shared" si="36"/>
        <v>37.907629936448764</v>
      </c>
      <c r="Y493" s="13">
        <f t="shared" si="36"/>
        <v>35.405415621967457</v>
      </c>
      <c r="Z493" s="13">
        <f t="shared" si="36"/>
        <v>31.486579741291944</v>
      </c>
      <c r="AA493" s="13">
        <f t="shared" si="36"/>
        <v>22.401222816655466</v>
      </c>
      <c r="AB493" s="62" t="s">
        <v>502</v>
      </c>
    </row>
    <row r="494" spans="16:38">
      <c r="S494" s="13" t="s">
        <v>29</v>
      </c>
      <c r="T494" s="13">
        <f>SUM(T486:T492)</f>
        <v>670.51672385494192</v>
      </c>
      <c r="U494" s="13">
        <f t="shared" ref="U494:Z494" si="37">SUM(U486:U492)</f>
        <v>677.38272093657429</v>
      </c>
      <c r="V494" s="13">
        <f t="shared" si="37"/>
        <v>560.56239975897893</v>
      </c>
      <c r="W494" s="13">
        <f t="shared" si="37"/>
        <v>445.5364765028088</v>
      </c>
      <c r="X494" s="13">
        <f t="shared" si="37"/>
        <v>332.47899786685326</v>
      </c>
      <c r="Y494" s="13">
        <f t="shared" si="37"/>
        <v>218.76844536535333</v>
      </c>
      <c r="Z494" s="13">
        <f t="shared" si="37"/>
        <v>106.32370671384732</v>
      </c>
      <c r="AA494" s="13">
        <f>SUM(AA486:AA492)</f>
        <v>-0.47609186052251573</v>
      </c>
      <c r="AB494" s="62" t="s">
        <v>503</v>
      </c>
      <c r="AD494" s="62" t="s">
        <v>669</v>
      </c>
      <c r="AE494" s="62" t="s">
        <v>670</v>
      </c>
      <c r="AF494" s="62" t="s">
        <v>671</v>
      </c>
      <c r="AG494" s="62" t="s">
        <v>524</v>
      </c>
      <c r="AH494" s="62" t="s">
        <v>672</v>
      </c>
      <c r="AI494" s="62" t="s">
        <v>673</v>
      </c>
      <c r="AJ494" s="62" t="s">
        <v>674</v>
      </c>
    </row>
    <row r="495" spans="16:38">
      <c r="T495" s="13">
        <f>SUM(T486:T491,T493)</f>
        <v>755.77279967460925</v>
      </c>
      <c r="U495" s="13">
        <f t="shared" ref="U495:Z495" si="38">SUM(U486:U491,U493)</f>
        <v>764.43247745979193</v>
      </c>
      <c r="V495" s="13">
        <f t="shared" si="38"/>
        <v>645.64417778707252</v>
      </c>
      <c r="W495" s="13">
        <f t="shared" si="38"/>
        <v>528.23154985171175</v>
      </c>
      <c r="X495" s="13">
        <f t="shared" si="38"/>
        <v>409.82412780330202</v>
      </c>
      <c r="Y495" s="13">
        <f t="shared" si="38"/>
        <v>291.79886098732078</v>
      </c>
      <c r="Z495" s="13">
        <f t="shared" si="38"/>
        <v>173.62278645513925</v>
      </c>
      <c r="AA495" s="13">
        <f>SUM(AA486:AA491,AA493)</f>
        <v>55.925130956132946</v>
      </c>
      <c r="AD495" s="27">
        <v>72.988476041563871</v>
      </c>
      <c r="AE495" s="27">
        <v>267.61340792029443</v>
      </c>
      <c r="AF495" s="27">
        <v>98.9353429394274</v>
      </c>
      <c r="AG495" s="27">
        <v>259.66756087801082</v>
      </c>
      <c r="AH495" s="27">
        <v>16.311936075645395</v>
      </c>
      <c r="AI495" s="27">
        <v>0</v>
      </c>
      <c r="AJ495" s="27">
        <v>-45</v>
      </c>
    </row>
    <row r="496" spans="16:38">
      <c r="AD496" s="27">
        <v>69.69408075109078</v>
      </c>
      <c r="AE496" s="27">
        <v>268.71523963267782</v>
      </c>
      <c r="AF496" s="27">
        <v>101.15625598351595</v>
      </c>
      <c r="AG496" s="27">
        <v>265.55958042361902</v>
      </c>
      <c r="AH496" s="27">
        <v>17.257564145670653</v>
      </c>
      <c r="AI496" s="27">
        <v>0</v>
      </c>
      <c r="AJ496" s="27">
        <v>-45</v>
      </c>
    </row>
    <row r="497" spans="3:36">
      <c r="AD497" s="27">
        <v>62.2239590335274</v>
      </c>
      <c r="AE497" s="27">
        <v>254.54947120337792</v>
      </c>
      <c r="AF497" s="27">
        <v>91.83832965983612</v>
      </c>
      <c r="AG497" s="27">
        <v>179.58831964209327</v>
      </c>
      <c r="AH497" s="27">
        <v>17.237320220144273</v>
      </c>
      <c r="AI497" s="27">
        <v>0</v>
      </c>
      <c r="AJ497" s="27">
        <v>-44.875</v>
      </c>
    </row>
    <row r="498" spans="3:36">
      <c r="C498" s="1" t="s">
        <v>140</v>
      </c>
      <c r="D498" s="1" t="s">
        <v>140</v>
      </c>
      <c r="AD498" s="27">
        <v>55.758438439967456</v>
      </c>
      <c r="AE498" s="27">
        <v>226.54967314197344</v>
      </c>
      <c r="AF498" s="27">
        <v>75.460085763184452</v>
      </c>
      <c r="AG498" s="27">
        <v>113.74576243633476</v>
      </c>
      <c r="AH498" s="27">
        <v>17.085016721348694</v>
      </c>
      <c r="AI498" s="27">
        <v>0</v>
      </c>
      <c r="AJ498" s="27">
        <v>-43.0625</v>
      </c>
    </row>
    <row r="499" spans="3:36">
      <c r="C499" s="1" t="s">
        <v>141</v>
      </c>
      <c r="D499" s="1" t="s">
        <v>141</v>
      </c>
      <c r="AD499" s="27">
        <v>45.5771104837252</v>
      </c>
      <c r="AE499" s="27">
        <v>181.81536010871164</v>
      </c>
      <c r="AF499" s="27">
        <v>59.19892237095759</v>
      </c>
      <c r="AG499" s="27">
        <v>68.18785024177636</v>
      </c>
      <c r="AH499" s="27">
        <v>17.137254661682501</v>
      </c>
      <c r="AI499" s="27">
        <v>0</v>
      </c>
      <c r="AJ499" s="27">
        <v>-39.4375</v>
      </c>
    </row>
    <row r="500" spans="3:36">
      <c r="C500" s="1" t="s">
        <v>63</v>
      </c>
      <c r="D500" s="1" t="s">
        <v>63</v>
      </c>
      <c r="AD500" s="27">
        <v>35.886372693234335</v>
      </c>
      <c r="AE500" s="27">
        <v>126.02287843391711</v>
      </c>
      <c r="AF500" s="27">
        <v>43.665108625094803</v>
      </c>
      <c r="AG500" s="27">
        <v>33.878620895738784</v>
      </c>
      <c r="AH500" s="27">
        <v>16.940464717368304</v>
      </c>
      <c r="AI500" s="27">
        <v>0</v>
      </c>
      <c r="AJ500" s="27">
        <v>-37.625</v>
      </c>
    </row>
    <row r="501" spans="3:36">
      <c r="C501" s="1" t="s">
        <v>64</v>
      </c>
      <c r="D501" s="1" t="s">
        <v>64</v>
      </c>
      <c r="AD501" s="27">
        <v>21.977359602425572</v>
      </c>
      <c r="AE501" s="27">
        <v>66.220465415731383</v>
      </c>
      <c r="AF501" s="27">
        <v>32.137269681305341</v>
      </c>
      <c r="AG501" s="27">
        <v>5.1931448772644657</v>
      </c>
      <c r="AH501" s="27">
        <v>16.607967137120575</v>
      </c>
      <c r="AI501" s="27">
        <v>0</v>
      </c>
      <c r="AJ501" s="27">
        <v>-35.8125</v>
      </c>
    </row>
    <row r="502" spans="3:36">
      <c r="C502" s="1" t="s">
        <v>142</v>
      </c>
      <c r="D502" s="1" t="s">
        <v>142</v>
      </c>
      <c r="AD502" s="27">
        <v>10.687096294823416</v>
      </c>
      <c r="AE502" s="27">
        <v>-4.9730383233982245</v>
      </c>
      <c r="AF502" s="27">
        <v>20.99395377276641</v>
      </c>
      <c r="AG502" s="27">
        <v>-5.6585074771068378</v>
      </c>
      <c r="AH502" s="27">
        <v>16.157549699595648</v>
      </c>
      <c r="AI502" s="27">
        <v>-3.6831458272029272</v>
      </c>
      <c r="AJ502" s="27">
        <v>-34</v>
      </c>
    </row>
    <row r="503" spans="3:36">
      <c r="C503" s="1" t="s">
        <v>247</v>
      </c>
      <c r="D503" s="1" t="s">
        <v>61</v>
      </c>
    </row>
    <row r="504" spans="3:36">
      <c r="C504" s="1" t="s">
        <v>56</v>
      </c>
      <c r="D504" s="1" t="s">
        <v>56</v>
      </c>
    </row>
    <row r="505" spans="3:36">
      <c r="C505" s="1" t="s">
        <v>20</v>
      </c>
      <c r="D505" s="1" t="s">
        <v>20</v>
      </c>
    </row>
    <row r="506" spans="3:36">
      <c r="C506" s="1" t="s">
        <v>143</v>
      </c>
      <c r="D506" s="1" t="s">
        <v>143</v>
      </c>
    </row>
    <row r="507" spans="3:36">
      <c r="C507" s="1" t="s">
        <v>144</v>
      </c>
      <c r="D507" s="1" t="s">
        <v>144</v>
      </c>
    </row>
    <row r="508" spans="3:36">
      <c r="C508" s="1" t="s">
        <v>145</v>
      </c>
      <c r="D508" s="1" t="s">
        <v>145</v>
      </c>
    </row>
    <row r="509" spans="3:36">
      <c r="C509" s="1" t="s">
        <v>67</v>
      </c>
      <c r="D509" s="1" t="s">
        <v>67</v>
      </c>
      <c r="E509" s="1" t="s">
        <v>21</v>
      </c>
    </row>
    <row r="510" spans="3:36">
      <c r="C510" s="1" t="s">
        <v>146</v>
      </c>
      <c r="D510" s="1" t="s">
        <v>146</v>
      </c>
    </row>
    <row r="511" spans="3:36">
      <c r="C511" s="1" t="s">
        <v>122</v>
      </c>
      <c r="E511" s="1" t="s">
        <v>59</v>
      </c>
    </row>
    <row r="512" spans="3:36">
      <c r="C512" s="1" t="s">
        <v>123</v>
      </c>
      <c r="D512" s="1"/>
      <c r="E512" s="13" t="s">
        <v>3</v>
      </c>
    </row>
    <row r="513" spans="3:28">
      <c r="C513" s="1" t="s">
        <v>124</v>
      </c>
      <c r="D513" s="1"/>
      <c r="E513" s="13" t="s">
        <v>162</v>
      </c>
    </row>
    <row r="514" spans="3:28">
      <c r="C514" s="1" t="s">
        <v>125</v>
      </c>
      <c r="D514" s="1"/>
    </row>
    <row r="515" spans="3:28">
      <c r="C515" s="1" t="s">
        <v>126</v>
      </c>
      <c r="D515" s="1"/>
    </row>
    <row r="516" spans="3:28">
      <c r="C516" s="1" t="s">
        <v>127</v>
      </c>
      <c r="D516" s="1"/>
    </row>
    <row r="517" spans="3:28">
      <c r="C517" s="1" t="s">
        <v>128</v>
      </c>
      <c r="D517" s="1"/>
    </row>
    <row r="518" spans="3:28">
      <c r="C518" s="1" t="s">
        <v>129</v>
      </c>
      <c r="D518" s="1"/>
    </row>
    <row r="519" spans="3:28">
      <c r="C519" s="1" t="s">
        <v>147</v>
      </c>
      <c r="D519" s="1" t="s">
        <v>147</v>
      </c>
      <c r="E519" s="1" t="s">
        <v>246</v>
      </c>
    </row>
    <row r="520" spans="3:28">
      <c r="C520" s="1" t="s">
        <v>32</v>
      </c>
      <c r="D520" s="1" t="s">
        <v>32</v>
      </c>
    </row>
    <row r="521" spans="3:28">
      <c r="C521" s="1" t="s">
        <v>66</v>
      </c>
      <c r="D521" s="1" t="s">
        <v>66</v>
      </c>
    </row>
    <row r="522" spans="3:28">
      <c r="C522" s="1" t="s">
        <v>68</v>
      </c>
      <c r="D522" s="1" t="s">
        <v>68</v>
      </c>
      <c r="E522" s="1" t="s">
        <v>22</v>
      </c>
      <c r="T522" s="13">
        <v>2015</v>
      </c>
      <c r="U522" s="13">
        <v>2020</v>
      </c>
      <c r="V522" s="13">
        <v>2025</v>
      </c>
      <c r="W522" s="13">
        <v>2030</v>
      </c>
      <c r="X522" s="13">
        <v>2035</v>
      </c>
      <c r="Y522" s="13">
        <v>2040</v>
      </c>
      <c r="Z522" s="13">
        <v>2045</v>
      </c>
      <c r="AA522" s="13">
        <v>2050</v>
      </c>
      <c r="AB522" s="13" t="s">
        <v>76</v>
      </c>
    </row>
    <row r="523" spans="3:28">
      <c r="C523" s="1" t="s">
        <v>62</v>
      </c>
      <c r="D523" s="1" t="s">
        <v>62</v>
      </c>
      <c r="R523" s="13" t="s">
        <v>248</v>
      </c>
      <c r="S523" s="13" t="s">
        <v>454</v>
      </c>
      <c r="T523" s="13">
        <f>SUMIF($C$3:$C$420,$S523,J$3:J$420)-SUMIFS(J$3:J$420,$C$3:$C$420,$S523,$E$3:$E$420,$R523)+SUMIFS(J$432:J$476,$C$432:$C$476,$S523,$E$432:$E$476,$R523)</f>
        <v>89.175478270492022</v>
      </c>
      <c r="U523" s="13">
        <f t="shared" ref="U523:AA523" si="39">SUMIF($C$3:$C$420,$S523,K$3:K$420)-SUMIFS(K$3:K$420,$C$3:$C$420,$S523,$E$3:$E$420,$R523)+SUMIFS(K$432:K$476,$C$432:$C$476,$S523,$E$432:$E$476,$R523)</f>
        <v>84.718681268607924</v>
      </c>
      <c r="V523" s="13">
        <f t="shared" si="39"/>
        <v>74.157401767548706</v>
      </c>
      <c r="W523" s="13">
        <f t="shared" si="39"/>
        <v>53.405849738304518</v>
      </c>
      <c r="X523" s="13">
        <f t="shared" si="39"/>
        <v>34.40265601356824</v>
      </c>
      <c r="Y523" s="13">
        <f t="shared" si="39"/>
        <v>24.744818716247025</v>
      </c>
      <c r="Z523" s="13">
        <f t="shared" si="39"/>
        <v>15.346353770201567</v>
      </c>
      <c r="AA523" s="13">
        <f t="shared" si="39"/>
        <v>5.474068150284209</v>
      </c>
      <c r="AB523" s="13" t="s">
        <v>193</v>
      </c>
    </row>
    <row r="524" spans="3:28">
      <c r="C524" s="1" t="s">
        <v>148</v>
      </c>
      <c r="D524" s="1" t="s">
        <v>148</v>
      </c>
      <c r="R524" s="13" t="s">
        <v>248</v>
      </c>
      <c r="S524" s="13" t="s">
        <v>455</v>
      </c>
      <c r="T524" s="13">
        <f>SUMIF($C$3:$C$420,"*chemical*",J$3:J$420)-SUMIFS(J$3:J$420,$C$3:$C$420,"*chemical*",$E$3:$E$420,$R524)+SUMIFS(J$432:J$476,$C$432:$C$476,"*chemical*",$E$432:$E$476,$R524)</f>
        <v>20.240312736798238</v>
      </c>
      <c r="U524" s="13">
        <f t="shared" ref="U524:AA524" si="40">SUMIF($C$3:$C$420,"*chemical*",K$3:K$420)-SUMIFS(K$3:K$420,$C$3:$C$420,"*chemical*",$E$3:$E$420,$R524)+SUMIFS(K$432:K$476,$C$432:$C$476,"*chemical*",$E$432:$E$476,$R524)</f>
        <v>20.311706435883877</v>
      </c>
      <c r="V524" s="13">
        <f t="shared" si="40"/>
        <v>19.706249650222421</v>
      </c>
      <c r="W524" s="13">
        <f t="shared" si="40"/>
        <v>20.99272944936148</v>
      </c>
      <c r="X524" s="13">
        <f t="shared" si="40"/>
        <v>20.226906775683712</v>
      </c>
      <c r="Y524" s="13">
        <f t="shared" si="40"/>
        <v>13.246049856668003</v>
      </c>
      <c r="Z524" s="13">
        <f t="shared" si="40"/>
        <v>0.94566497461507815</v>
      </c>
      <c r="AA524" s="13">
        <f t="shared" si="40"/>
        <v>-11.457495223983145</v>
      </c>
      <c r="AB524" s="13" t="s">
        <v>193</v>
      </c>
    </row>
    <row r="525" spans="3:28">
      <c r="C525" s="13" t="s">
        <v>149</v>
      </c>
      <c r="E525" s="1" t="s">
        <v>164</v>
      </c>
      <c r="R525" s="13" t="s">
        <v>248</v>
      </c>
      <c r="S525" s="13" t="s">
        <v>456</v>
      </c>
      <c r="T525" s="13">
        <f>SUMIF($C$3:$C$420,"*cement*",J$3:J$420)-SUMIFS(J$3:J$420,$C$3:$C$420,"*cement*",$E$3:$E$420,$R525)+SUMIFS(J$432:J$476,$C$432:$C$476,"*cement*",$E$432:$E$476,$R525)</f>
        <v>38.102302808154327</v>
      </c>
      <c r="U525" s="13">
        <f t="shared" ref="U525:AA525" si="41">SUMIF($C$3:$C$420,"*cement*",K$3:K$420)-SUMIFS(K$3:K$420,$C$3:$C$420,"*cement*",$E$3:$E$420,$R525)+SUMIFS(K$432:K$476,$C$432:$C$476,"*cement*",$E$432:$E$476,$R525)</f>
        <v>39.723212572276729</v>
      </c>
      <c r="V525" s="13">
        <f t="shared" si="41"/>
        <v>39.703951286876574</v>
      </c>
      <c r="W525" s="13">
        <f t="shared" si="41"/>
        <v>34.914351176527575</v>
      </c>
      <c r="X525" s="13">
        <f t="shared" si="41"/>
        <v>25.955604615647463</v>
      </c>
      <c r="Y525" s="13">
        <f t="shared" si="41"/>
        <v>15.244632006865084</v>
      </c>
      <c r="Z525" s="13">
        <f t="shared" si="41"/>
        <v>9.0000385518535175</v>
      </c>
      <c r="AA525" s="13">
        <f t="shared" si="41"/>
        <v>3.8448790129525556</v>
      </c>
      <c r="AB525" s="13" t="s">
        <v>193</v>
      </c>
    </row>
    <row r="526" spans="3:28">
      <c r="C526" s="13" t="s">
        <v>150</v>
      </c>
      <c r="E526" s="1" t="s">
        <v>6</v>
      </c>
      <c r="R526" s="13" t="s">
        <v>248</v>
      </c>
      <c r="S526" s="13" t="s">
        <v>457</v>
      </c>
      <c r="T526" s="13">
        <f t="shared" ref="T526:AA530" si="42">SUMIF($C$3:$C$420,$S526,J$3:J$420)-SUMIFS(J$3:J$420,$C$3:$C$420,$S526,$E$3:$E$420,$R526)+SUMIFS(J$432:J$476,$C$432:$C$476,$S526,$E$432:$E$476,$R526)</f>
        <v>0.6374527405845799</v>
      </c>
      <c r="U526" s="13">
        <f t="shared" si="42"/>
        <v>0.86050912461826479</v>
      </c>
      <c r="V526" s="13">
        <f t="shared" si="42"/>
        <v>0.9434026349680652</v>
      </c>
      <c r="W526" s="13">
        <f t="shared" si="42"/>
        <v>1.0419928452507685</v>
      </c>
      <c r="X526" s="13">
        <f t="shared" si="42"/>
        <v>1.1374861391766669</v>
      </c>
      <c r="Y526" s="13">
        <f t="shared" si="42"/>
        <v>1.2671461822713406</v>
      </c>
      <c r="Z526" s="13">
        <f t="shared" si="42"/>
        <v>1.405880494401476</v>
      </c>
      <c r="AA526" s="13">
        <f t="shared" si="42"/>
        <v>1.5505953458005832</v>
      </c>
      <c r="AB526" s="13" t="s">
        <v>193</v>
      </c>
    </row>
    <row r="527" spans="3:28">
      <c r="C527" s="13" t="s">
        <v>151</v>
      </c>
      <c r="R527" s="13" t="s">
        <v>248</v>
      </c>
      <c r="S527" s="13" t="s">
        <v>458</v>
      </c>
      <c r="T527" s="13">
        <f t="shared" si="42"/>
        <v>0.58259806963866623</v>
      </c>
      <c r="U527" s="13">
        <f t="shared" si="42"/>
        <v>0.78646102045668742</v>
      </c>
      <c r="V527" s="13">
        <f t="shared" si="42"/>
        <v>0.86222086675687315</v>
      </c>
      <c r="W527" s="13">
        <f t="shared" si="42"/>
        <v>1.015479739646945</v>
      </c>
      <c r="X527" s="13">
        <f t="shared" si="42"/>
        <v>1.0983897223186334</v>
      </c>
      <c r="Y527" s="13">
        <f t="shared" si="42"/>
        <v>1.2047190719949306</v>
      </c>
      <c r="Z527" s="13">
        <f t="shared" si="42"/>
        <v>1.3223296217235767</v>
      </c>
      <c r="AA527" s="13">
        <f t="shared" si="42"/>
        <v>1.443145183300111</v>
      </c>
      <c r="AB527" s="13" t="s">
        <v>193</v>
      </c>
    </row>
    <row r="528" spans="3:28">
      <c r="C528" s="1" t="s">
        <v>152</v>
      </c>
      <c r="D528" s="1" t="s">
        <v>152</v>
      </c>
      <c r="R528" s="13" t="s">
        <v>248</v>
      </c>
      <c r="S528" s="13" t="s">
        <v>463</v>
      </c>
      <c r="T528" s="13">
        <f t="shared" si="42"/>
        <v>0.35744067867627499</v>
      </c>
      <c r="U528" s="13">
        <f t="shared" si="42"/>
        <v>0.37212658137625237</v>
      </c>
      <c r="V528" s="13">
        <f t="shared" si="42"/>
        <v>0.373710902157187</v>
      </c>
      <c r="W528" s="13">
        <f t="shared" si="42"/>
        <v>0.36257250301891703</v>
      </c>
      <c r="X528" s="13">
        <f t="shared" si="42"/>
        <v>0.31277840791664618</v>
      </c>
      <c r="Y528" s="13">
        <f t="shared" si="42"/>
        <v>0.22756760877937945</v>
      </c>
      <c r="Z528" s="13">
        <f t="shared" si="42"/>
        <v>0.17020394021531693</v>
      </c>
      <c r="AA528" s="13">
        <f t="shared" si="42"/>
        <v>0.10858937608521113</v>
      </c>
      <c r="AB528" s="13" t="s">
        <v>193</v>
      </c>
    </row>
    <row r="529" spans="3:28">
      <c r="C529" s="1" t="s">
        <v>153</v>
      </c>
      <c r="D529" s="1" t="s">
        <v>153</v>
      </c>
      <c r="R529" s="13" t="s">
        <v>248</v>
      </c>
      <c r="S529" s="13" t="s">
        <v>459</v>
      </c>
      <c r="T529" s="13">
        <f t="shared" si="42"/>
        <v>1.4314709246868484</v>
      </c>
      <c r="U529" s="13">
        <f t="shared" si="42"/>
        <v>1.4211979141373008</v>
      </c>
      <c r="V529" s="13">
        <f t="shared" si="42"/>
        <v>1.6850030281665695</v>
      </c>
      <c r="W529" s="13">
        <f t="shared" si="42"/>
        <v>1.6694924874346315</v>
      </c>
      <c r="X529" s="13">
        <f t="shared" si="42"/>
        <v>1.4901980338118166</v>
      </c>
      <c r="Y529" s="13">
        <f t="shared" si="42"/>
        <v>1.2210929022939276</v>
      </c>
      <c r="Z529" s="13">
        <f t="shared" si="42"/>
        <v>0.87352412527676238</v>
      </c>
      <c r="AA529" s="13">
        <f t="shared" si="42"/>
        <v>0.26956096878416874</v>
      </c>
      <c r="AB529" s="13" t="s">
        <v>193</v>
      </c>
    </row>
    <row r="530" spans="3:28">
      <c r="C530" s="1" t="s">
        <v>154</v>
      </c>
      <c r="D530" s="1" t="s">
        <v>154</v>
      </c>
      <c r="R530" s="13" t="s">
        <v>248</v>
      </c>
      <c r="S530" s="13" t="s">
        <v>460</v>
      </c>
      <c r="T530" s="13">
        <f t="shared" si="42"/>
        <v>0.19181033255703753</v>
      </c>
      <c r="U530" s="13">
        <f t="shared" si="42"/>
        <v>0.17401189370591966</v>
      </c>
      <c r="V530" s="13">
        <f t="shared" si="42"/>
        <v>0.21623197657985277</v>
      </c>
      <c r="W530" s="13">
        <f t="shared" si="42"/>
        <v>0.21727566030141418</v>
      </c>
      <c r="X530" s="13">
        <f t="shared" si="42"/>
        <v>0.19824450015339917</v>
      </c>
      <c r="Y530" s="13">
        <f t="shared" si="42"/>
        <v>0.16354092364599787</v>
      </c>
      <c r="Z530" s="13">
        <f t="shared" si="42"/>
        <v>0.11533489527594513</v>
      </c>
      <c r="AA530" s="13">
        <f t="shared" si="42"/>
        <v>3.4272833611961262E-2</v>
      </c>
      <c r="AB530" s="13" t="s">
        <v>193</v>
      </c>
    </row>
    <row r="531" spans="3:28">
      <c r="C531" s="1" t="s">
        <v>155</v>
      </c>
      <c r="D531" s="1" t="s">
        <v>155</v>
      </c>
      <c r="R531" s="13" t="s">
        <v>248</v>
      </c>
      <c r="S531" s="13" t="s">
        <v>461</v>
      </c>
      <c r="T531" s="13">
        <f>SUMIF($C$3:$C$420,"*construction*",J$3:J$420)-SUMIFS(J$3:J$420,$C$3:$C$420,"*construction*",$E$3:$E$420,$R531)+SUMIFS(J$432:J$476,$C$432:$C$476,"*construction*",$E$432:$E$476,$R531)</f>
        <v>2.4778565425193628</v>
      </c>
      <c r="U531" s="13">
        <f t="shared" ref="U531:AA531" si="43">SUMIF($C$3:$C$420,"*construction*",K$3:K$420)-SUMIFS(K$3:K$420,$C$3:$C$420,"*construction*",$E$3:$E$420,$R531)+SUMIFS(K$432:K$476,$C$432:$C$476,"*construction*",$E$432:$E$476,$R531)</f>
        <v>2.6634515660360871</v>
      </c>
      <c r="V531" s="13">
        <f t="shared" si="43"/>
        <v>2.5941758860508175</v>
      </c>
      <c r="W531" s="13">
        <f t="shared" si="43"/>
        <v>2.2945006013870954</v>
      </c>
      <c r="X531" s="13">
        <f t="shared" si="43"/>
        <v>1.9208037233385582</v>
      </c>
      <c r="Y531" s="13">
        <f t="shared" si="43"/>
        <v>1.5997291911785501</v>
      </c>
      <c r="Z531" s="13">
        <f t="shared" si="43"/>
        <v>1.1859062373691098</v>
      </c>
      <c r="AA531" s="13">
        <f t="shared" si="43"/>
        <v>0.30806231602639367</v>
      </c>
      <c r="AB531" s="13" t="s">
        <v>193</v>
      </c>
    </row>
    <row r="532" spans="3:28">
      <c r="C532" s="1" t="s">
        <v>156</v>
      </c>
      <c r="D532" s="1" t="s">
        <v>156</v>
      </c>
      <c r="R532" s="13" t="s">
        <v>248</v>
      </c>
      <c r="S532" s="13" t="s">
        <v>462</v>
      </c>
      <c r="T532" s="13">
        <f>SUMIF($C$3:$C$420,"*other industrial*",J$3:J$420)-SUMIFS(J$3:J$420,$C$3:$C$420,"*other industrial*",$E$3:$E$420,$R532)+SUMIFS(J$432:J$476,$C$432:$C$476,"*other industrial*",$E$432:$E$476,$R532)</f>
        <v>55.057755594966793</v>
      </c>
      <c r="U532" s="13">
        <f t="shared" ref="U532:AA532" si="44">SUMIF($C$3:$C$420,"*other industrial*",K$3:K$420)-SUMIFS(K$3:K$420,$C$3:$C$420,"*other industrial*",$E$3:$E$420,$R532)+SUMIFS(K$432:K$476,$C$432:$C$476,"*other industrial*",$E$432:$E$476,$R532)</f>
        <v>58.368457700812158</v>
      </c>
      <c r="V532" s="13">
        <f t="shared" si="44"/>
        <v>59.998782528339497</v>
      </c>
      <c r="W532" s="13">
        <f t="shared" si="44"/>
        <v>56.591622741749376</v>
      </c>
      <c r="X532" s="13">
        <f t="shared" si="44"/>
        <v>44.586361342684626</v>
      </c>
      <c r="Y532" s="13">
        <f t="shared" si="44"/>
        <v>28.880238695463753</v>
      </c>
      <c r="Z532" s="13">
        <f t="shared" si="44"/>
        <v>18.38613965911113</v>
      </c>
      <c r="AA532" s="13">
        <f t="shared" si="44"/>
        <v>4.715604973466041</v>
      </c>
      <c r="AB532" s="13" t="s">
        <v>193</v>
      </c>
    </row>
    <row r="533" spans="3:28">
      <c r="C533" s="1" t="s">
        <v>157</v>
      </c>
      <c r="D533" s="1" t="s">
        <v>157</v>
      </c>
    </row>
    <row r="534" spans="3:28">
      <c r="C534" s="1" t="s">
        <v>158</v>
      </c>
      <c r="D534" s="1" t="s">
        <v>158</v>
      </c>
    </row>
    <row r="535" spans="3:28">
      <c r="C535" s="1" t="s">
        <v>159</v>
      </c>
      <c r="D535" s="1" t="s">
        <v>159</v>
      </c>
    </row>
    <row r="536" spans="3:28">
      <c r="C536" s="1" t="s">
        <v>160</v>
      </c>
      <c r="D536" s="1" t="s">
        <v>160</v>
      </c>
    </row>
    <row r="537" spans="3:28">
      <c r="C537" s="1" t="s">
        <v>161</v>
      </c>
      <c r="D537" s="1" t="s">
        <v>161</v>
      </c>
      <c r="E537" s="1" t="s">
        <v>7</v>
      </c>
    </row>
    <row r="540" spans="3:28">
      <c r="C540" s="13" t="s">
        <v>140</v>
      </c>
      <c r="D540" s="13" t="s">
        <v>257</v>
      </c>
    </row>
    <row r="541" spans="3:28">
      <c r="C541" s="13" t="s">
        <v>141</v>
      </c>
      <c r="D541" s="13" t="s">
        <v>141</v>
      </c>
    </row>
    <row r="542" spans="3:28">
      <c r="C542" s="13" t="s">
        <v>63</v>
      </c>
      <c r="D542" s="13" t="s">
        <v>63</v>
      </c>
    </row>
    <row r="543" spans="3:28">
      <c r="C543" s="13" t="s">
        <v>64</v>
      </c>
      <c r="D543" s="13" t="s">
        <v>64</v>
      </c>
    </row>
    <row r="544" spans="3:28">
      <c r="C544" s="13" t="s">
        <v>189</v>
      </c>
      <c r="D544" s="13" t="s">
        <v>189</v>
      </c>
    </row>
    <row r="545" spans="3:5">
      <c r="C545" s="13" t="s">
        <v>142</v>
      </c>
      <c r="D545" s="13" t="s">
        <v>142</v>
      </c>
    </row>
    <row r="546" spans="3:5">
      <c r="C546" s="13" t="s">
        <v>61</v>
      </c>
      <c r="D546" s="13" t="s">
        <v>61</v>
      </c>
    </row>
    <row r="547" spans="3:5">
      <c r="C547" s="13" t="s">
        <v>56</v>
      </c>
      <c r="D547" s="13" t="s">
        <v>56</v>
      </c>
    </row>
    <row r="548" spans="3:5">
      <c r="C548" s="13" t="s">
        <v>20</v>
      </c>
      <c r="D548" s="13" t="s">
        <v>20</v>
      </c>
    </row>
    <row r="549" spans="3:5">
      <c r="C549" s="13" t="s">
        <v>143</v>
      </c>
      <c r="D549" s="13" t="s">
        <v>143</v>
      </c>
    </row>
    <row r="550" spans="3:5">
      <c r="C550" s="13" t="s">
        <v>144</v>
      </c>
      <c r="D550" s="13" t="s">
        <v>144</v>
      </c>
    </row>
    <row r="551" spans="3:5">
      <c r="C551" s="13" t="s">
        <v>145</v>
      </c>
      <c r="D551" s="13" t="s">
        <v>145</v>
      </c>
    </row>
    <row r="552" spans="3:5">
      <c r="C552" s="13" t="s">
        <v>67</v>
      </c>
      <c r="D552" s="13" t="s">
        <v>67</v>
      </c>
      <c r="E552" s="13" t="s">
        <v>21</v>
      </c>
    </row>
    <row r="553" spans="3:5">
      <c r="C553" s="13" t="s">
        <v>146</v>
      </c>
      <c r="D553" s="13" t="s">
        <v>146</v>
      </c>
      <c r="E553" s="13" t="s">
        <v>3</v>
      </c>
    </row>
    <row r="554" spans="3:5">
      <c r="C554" s="13" t="s">
        <v>132</v>
      </c>
      <c r="D554" s="13" t="s">
        <v>132</v>
      </c>
      <c r="E554" s="13" t="s">
        <v>162</v>
      </c>
    </row>
    <row r="555" spans="3:5">
      <c r="C555" s="13" t="s">
        <v>122</v>
      </c>
    </row>
    <row r="556" spans="3:5">
      <c r="C556" s="13" t="s">
        <v>133</v>
      </c>
      <c r="D556" s="13" t="s">
        <v>133</v>
      </c>
    </row>
    <row r="557" spans="3:5">
      <c r="C557" s="13" t="s">
        <v>123</v>
      </c>
    </row>
    <row r="558" spans="3:5">
      <c r="C558" s="13" t="s">
        <v>134</v>
      </c>
      <c r="D558" s="13" t="s">
        <v>134</v>
      </c>
    </row>
    <row r="559" spans="3:5">
      <c r="C559" s="13" t="s">
        <v>124</v>
      </c>
    </row>
    <row r="560" spans="3:5">
      <c r="C560" s="13" t="s">
        <v>135</v>
      </c>
      <c r="D560" s="13" t="s">
        <v>135</v>
      </c>
    </row>
    <row r="561" spans="3:5">
      <c r="C561" s="13" t="s">
        <v>125</v>
      </c>
    </row>
    <row r="562" spans="3:5">
      <c r="C562" s="13" t="s">
        <v>136</v>
      </c>
      <c r="D562" s="13" t="s">
        <v>136</v>
      </c>
    </row>
    <row r="563" spans="3:5">
      <c r="C563" s="13" t="s">
        <v>126</v>
      </c>
    </row>
    <row r="564" spans="3:5">
      <c r="C564" s="13" t="s">
        <v>127</v>
      </c>
    </row>
    <row r="565" spans="3:5">
      <c r="C565" s="13" t="s">
        <v>137</v>
      </c>
      <c r="D565" s="13" t="s">
        <v>137</v>
      </c>
    </row>
    <row r="566" spans="3:5">
      <c r="C566" s="13" t="s">
        <v>128</v>
      </c>
    </row>
    <row r="567" spans="3:5">
      <c r="C567" s="13" t="s">
        <v>129</v>
      </c>
      <c r="E567" s="1" t="s">
        <v>59</v>
      </c>
    </row>
    <row r="568" spans="3:5">
      <c r="C568" s="13" t="s">
        <v>147</v>
      </c>
      <c r="D568" s="13" t="s">
        <v>147</v>
      </c>
      <c r="E568" s="13" t="s">
        <v>163</v>
      </c>
    </row>
    <row r="569" spans="3:5">
      <c r="C569" s="13" t="s">
        <v>32</v>
      </c>
      <c r="D569" s="13" t="s">
        <v>32</v>
      </c>
    </row>
    <row r="570" spans="3:5">
      <c r="C570" s="13" t="s">
        <v>66</v>
      </c>
      <c r="D570" s="13" t="s">
        <v>66</v>
      </c>
    </row>
    <row r="571" spans="3:5">
      <c r="C571" s="13" t="s">
        <v>68</v>
      </c>
      <c r="D571" s="13" t="s">
        <v>68</v>
      </c>
      <c r="E571" s="13" t="s">
        <v>22</v>
      </c>
    </row>
    <row r="572" spans="3:5">
      <c r="C572" s="13" t="s">
        <v>62</v>
      </c>
      <c r="D572" s="13" t="s">
        <v>62</v>
      </c>
    </row>
    <row r="573" spans="3:5">
      <c r="C573" s="13" t="s">
        <v>190</v>
      </c>
      <c r="D573" s="13" t="s">
        <v>190</v>
      </c>
    </row>
    <row r="574" spans="3:5">
      <c r="C574" s="13" t="s">
        <v>148</v>
      </c>
      <c r="D574" s="13" t="s">
        <v>148</v>
      </c>
      <c r="E574" s="13" t="s">
        <v>164</v>
      </c>
    </row>
    <row r="575" spans="3:5">
      <c r="C575" s="13" t="s">
        <v>149</v>
      </c>
      <c r="E575" s="13" t="s">
        <v>6</v>
      </c>
    </row>
    <row r="576" spans="3:5">
      <c r="C576" s="13" t="s">
        <v>150</v>
      </c>
    </row>
    <row r="577" spans="3:5">
      <c r="C577" s="13" t="s">
        <v>151</v>
      </c>
    </row>
    <row r="578" spans="3:5">
      <c r="C578" s="13" t="s">
        <v>152</v>
      </c>
      <c r="D578" s="13" t="s">
        <v>152</v>
      </c>
    </row>
    <row r="579" spans="3:5">
      <c r="C579" s="13" t="s">
        <v>153</v>
      </c>
      <c r="D579" s="13" t="s">
        <v>153</v>
      </c>
    </row>
    <row r="580" spans="3:5">
      <c r="C580" s="13" t="s">
        <v>154</v>
      </c>
      <c r="D580" s="13" t="s">
        <v>154</v>
      </c>
    </row>
    <row r="581" spans="3:5">
      <c r="C581" s="13" t="s">
        <v>155</v>
      </c>
      <c r="D581" s="13" t="s">
        <v>155</v>
      </c>
    </row>
    <row r="582" spans="3:5">
      <c r="C582" s="13" t="s">
        <v>156</v>
      </c>
      <c r="D582" s="13" t="s">
        <v>156</v>
      </c>
    </row>
    <row r="583" spans="3:5">
      <c r="C583" s="13" t="s">
        <v>157</v>
      </c>
      <c r="D583" s="13" t="s">
        <v>157</v>
      </c>
    </row>
    <row r="584" spans="3:5">
      <c r="C584" s="13" t="s">
        <v>158</v>
      </c>
      <c r="D584" s="13" t="s">
        <v>158</v>
      </c>
    </row>
    <row r="585" spans="3:5">
      <c r="C585" s="13" t="s">
        <v>159</v>
      </c>
      <c r="D585" s="13" t="s">
        <v>159</v>
      </c>
    </row>
    <row r="586" spans="3:5">
      <c r="C586" s="13" t="s">
        <v>160</v>
      </c>
      <c r="D586" s="13" t="s">
        <v>160</v>
      </c>
    </row>
    <row r="587" spans="3:5">
      <c r="C587" s="13" t="s">
        <v>161</v>
      </c>
      <c r="D587" s="13" t="s">
        <v>161</v>
      </c>
      <c r="E587" s="13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FBB0-B4F7-4891-A567-5F9450C82DFB}">
  <dimension ref="A1:P55"/>
  <sheetViews>
    <sheetView topLeftCell="A7" zoomScale="70" zoomScaleNormal="70" workbookViewId="0">
      <selection activeCell="F15" sqref="F15"/>
    </sheetView>
  </sheetViews>
  <sheetFormatPr defaultColWidth="8.69921875" defaultRowHeight="17.399999999999999"/>
  <cols>
    <col min="1" max="2" width="8.69921875" style="13"/>
    <col min="3" max="3" width="24.3984375" style="13" bestFit="1" customWidth="1"/>
    <col min="4" max="4" width="32.5" style="13" bestFit="1" customWidth="1"/>
    <col min="5" max="5" width="18.3984375" style="13" bestFit="1" customWidth="1"/>
    <col min="6" max="16384" width="8.69921875" style="13"/>
  </cols>
  <sheetData>
    <row r="1" spans="1:16">
      <c r="A1" s="13" t="s">
        <v>396</v>
      </c>
    </row>
    <row r="2" spans="1:16">
      <c r="A2" s="13" t="s">
        <v>8</v>
      </c>
      <c r="B2" s="13" t="s">
        <v>9</v>
      </c>
      <c r="C2" s="13" t="s">
        <v>39</v>
      </c>
      <c r="D2" s="13" t="s">
        <v>42</v>
      </c>
      <c r="E2" s="13" t="s">
        <v>40</v>
      </c>
      <c r="F2" s="13">
        <v>1990</v>
      </c>
      <c r="G2" s="13">
        <v>2005</v>
      </c>
      <c r="H2" s="13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16">
      <c r="A3" s="13" t="s">
        <v>364</v>
      </c>
      <c r="B3" s="13" t="s">
        <v>1</v>
      </c>
      <c r="C3" s="13" t="s">
        <v>140</v>
      </c>
      <c r="D3" s="13" t="s">
        <v>327</v>
      </c>
      <c r="E3" s="13" t="s">
        <v>57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4">
        <v>4.7071099999999997E-5</v>
      </c>
      <c r="L3" s="13">
        <v>9.9379299999999993E-3</v>
      </c>
      <c r="M3" s="13">
        <v>0.89885999999999999</v>
      </c>
      <c r="N3" s="13">
        <v>3.2089599999999998</v>
      </c>
      <c r="O3" s="13">
        <v>3.9417900000000001</v>
      </c>
      <c r="P3" s="13">
        <v>3.5130599999999998</v>
      </c>
    </row>
    <row r="4" spans="1:16">
      <c r="A4" s="13" t="s">
        <v>364</v>
      </c>
      <c r="B4" s="13" t="s">
        <v>1</v>
      </c>
      <c r="C4" s="13" t="s">
        <v>140</v>
      </c>
      <c r="D4" s="13" t="s">
        <v>328</v>
      </c>
      <c r="E4" s="13" t="s">
        <v>58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3.0660400000000001E-2</v>
      </c>
      <c r="L4" s="13">
        <v>0.157111</v>
      </c>
      <c r="M4" s="13">
        <v>0.42747600000000002</v>
      </c>
      <c r="N4" s="13">
        <v>0.74408099999999999</v>
      </c>
      <c r="O4" s="13">
        <v>1.02763</v>
      </c>
      <c r="P4" s="13">
        <v>1.1842699999999999</v>
      </c>
    </row>
    <row r="5" spans="1:16">
      <c r="A5" s="13" t="s">
        <v>364</v>
      </c>
      <c r="B5" s="13" t="s">
        <v>1</v>
      </c>
      <c r="C5" s="13" t="s">
        <v>140</v>
      </c>
      <c r="D5" s="13" t="s">
        <v>331</v>
      </c>
      <c r="E5" s="13" t="s">
        <v>60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4">
        <v>1.0070000000000001E-3</v>
      </c>
      <c r="L5" s="13">
        <v>4.2643100000000003E-2</v>
      </c>
      <c r="M5" s="13">
        <v>0.31893199999999999</v>
      </c>
      <c r="N5" s="13">
        <v>0.81989000000000001</v>
      </c>
      <c r="O5" s="13">
        <v>1.3298099999999999</v>
      </c>
      <c r="P5" s="13">
        <v>1.56294</v>
      </c>
    </row>
    <row r="6" spans="1:16">
      <c r="A6" s="13" t="s">
        <v>364</v>
      </c>
      <c r="B6" s="13" t="s">
        <v>1</v>
      </c>
      <c r="C6" s="13" t="s">
        <v>63</v>
      </c>
      <c r="D6" s="13" t="s">
        <v>111</v>
      </c>
      <c r="E6" s="13" t="s">
        <v>60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4">
        <v>4.0756400000000002E-5</v>
      </c>
      <c r="L6" s="14">
        <v>5.7648629999999996E-4</v>
      </c>
      <c r="M6" s="13">
        <v>5.9002424000000001E-3</v>
      </c>
      <c r="N6" s="13">
        <v>2.11562314999999E-2</v>
      </c>
      <c r="O6" s="13">
        <v>3.4557935299999898E-2</v>
      </c>
      <c r="P6" s="13">
        <v>4.3673713329999898E-2</v>
      </c>
    </row>
    <row r="7" spans="1:16">
      <c r="A7" s="13" t="s">
        <v>364</v>
      </c>
      <c r="B7" s="13" t="s">
        <v>1</v>
      </c>
      <c r="C7" s="13" t="s">
        <v>61</v>
      </c>
      <c r="D7" s="13" t="s">
        <v>116</v>
      </c>
      <c r="E7" s="13" t="s">
        <v>61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9.3903500000000001E-2</v>
      </c>
      <c r="N7" s="13">
        <v>1.2385541</v>
      </c>
      <c r="O7" s="13">
        <v>1.6927281999999999</v>
      </c>
      <c r="P7" s="13">
        <v>1.6850721</v>
      </c>
    </row>
    <row r="8" spans="1:16">
      <c r="A8" s="13" t="s">
        <v>364</v>
      </c>
      <c r="B8" s="13" t="s">
        <v>1</v>
      </c>
      <c r="C8" s="13" t="s">
        <v>191</v>
      </c>
      <c r="D8" s="13" t="s">
        <v>339</v>
      </c>
      <c r="E8" s="13" t="s">
        <v>338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4">
        <v>1.0901899999999999E-4</v>
      </c>
      <c r="O8" s="13">
        <v>4.7605693999999997E-2</v>
      </c>
      <c r="P8" s="13">
        <v>13.697040612999899</v>
      </c>
    </row>
    <row r="9" spans="1:16">
      <c r="A9" s="13" t="s">
        <v>364</v>
      </c>
      <c r="B9" s="13" t="s">
        <v>1</v>
      </c>
      <c r="C9" s="13" t="s">
        <v>191</v>
      </c>
      <c r="D9" s="13" t="s">
        <v>340</v>
      </c>
      <c r="E9" s="13" t="s">
        <v>338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4">
        <v>6.7929800000000005E-7</v>
      </c>
      <c r="O9" s="14">
        <v>3.3132352399999998E-4</v>
      </c>
      <c r="P9" s="13">
        <v>0.14948805091</v>
      </c>
    </row>
    <row r="10" spans="1:16">
      <c r="A10" s="13" t="s">
        <v>364</v>
      </c>
      <c r="B10" s="13" t="s">
        <v>1</v>
      </c>
      <c r="C10" s="13" t="s">
        <v>191</v>
      </c>
      <c r="D10" s="13" t="s">
        <v>341</v>
      </c>
      <c r="E10" s="13" t="s">
        <v>338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4">
        <v>4.2134199999999999E-7</v>
      </c>
      <c r="O10" s="14">
        <v>2.04778444999999E-4</v>
      </c>
      <c r="P10" s="13">
        <v>8.9488139137999995E-2</v>
      </c>
    </row>
    <row r="11" spans="1:16">
      <c r="A11" s="13" t="s">
        <v>364</v>
      </c>
      <c r="B11" s="13" t="s">
        <v>1</v>
      </c>
      <c r="C11" s="13" t="s">
        <v>56</v>
      </c>
      <c r="D11" s="13" t="s">
        <v>109</v>
      </c>
      <c r="E11" s="13" t="s">
        <v>57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4">
        <v>2.4822599999999999E-4</v>
      </c>
      <c r="L11" s="13">
        <v>9.2395380000000003E-3</v>
      </c>
      <c r="M11" s="13">
        <v>0.164824673</v>
      </c>
      <c r="N11" s="13">
        <v>0.52809643299999998</v>
      </c>
      <c r="O11" s="13">
        <v>0.70182239299999905</v>
      </c>
      <c r="P11" s="13">
        <v>0.76344325219999998</v>
      </c>
    </row>
    <row r="12" spans="1:16">
      <c r="A12" s="13" t="s">
        <v>364</v>
      </c>
      <c r="B12" s="13" t="s">
        <v>1</v>
      </c>
      <c r="C12" s="13" t="s">
        <v>56</v>
      </c>
      <c r="D12" s="13" t="s">
        <v>110</v>
      </c>
      <c r="E12" s="13" t="s">
        <v>58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4">
        <v>3.4651499999999998E-5</v>
      </c>
      <c r="L12" s="14">
        <v>8.8422529999999998E-4</v>
      </c>
      <c r="M12" s="13">
        <v>7.0723415E-3</v>
      </c>
      <c r="N12" s="13">
        <v>1.8925451199999999E-2</v>
      </c>
      <c r="O12" s="13">
        <v>2.56501203999999E-2</v>
      </c>
      <c r="P12" s="13">
        <v>2.8877704340000001E-2</v>
      </c>
    </row>
    <row r="13" spans="1:16">
      <c r="A13" s="13" t="s">
        <v>364</v>
      </c>
      <c r="B13" s="13" t="s">
        <v>1</v>
      </c>
      <c r="C13" s="13" t="s">
        <v>56</v>
      </c>
      <c r="D13" s="13" t="s">
        <v>111</v>
      </c>
      <c r="E13" s="13" t="s">
        <v>60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1.23398E-3</v>
      </c>
      <c r="L13" s="13">
        <v>2.1286469999999998E-2</v>
      </c>
      <c r="M13" s="13">
        <v>0.13944535999999999</v>
      </c>
      <c r="N13" s="13">
        <v>0.33871246999999999</v>
      </c>
      <c r="O13" s="13">
        <v>0.46974472299999998</v>
      </c>
      <c r="P13" s="13">
        <v>0.54648077799999994</v>
      </c>
    </row>
    <row r="14" spans="1:16">
      <c r="A14" s="13" t="s">
        <v>364</v>
      </c>
      <c r="B14" s="13" t="s">
        <v>1</v>
      </c>
      <c r="C14" s="13" t="s">
        <v>56</v>
      </c>
      <c r="D14" s="13" t="s">
        <v>112</v>
      </c>
      <c r="E14" s="13" t="s">
        <v>19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1.13827E-3</v>
      </c>
      <c r="L14" s="13">
        <v>1.806609E-2</v>
      </c>
      <c r="M14" s="13">
        <v>0.11800985</v>
      </c>
      <c r="N14" s="13">
        <v>0.28346168299999902</v>
      </c>
      <c r="O14" s="13">
        <v>0.38405730399999999</v>
      </c>
      <c r="P14" s="13">
        <v>0.44122402399999999</v>
      </c>
    </row>
    <row r="15" spans="1:16">
      <c r="A15" s="13" t="s">
        <v>364</v>
      </c>
      <c r="B15" s="13" t="s">
        <v>1</v>
      </c>
      <c r="C15" s="13" t="s">
        <v>20</v>
      </c>
      <c r="D15" s="13" t="s">
        <v>19</v>
      </c>
      <c r="E15" s="13" t="s">
        <v>19</v>
      </c>
    </row>
    <row r="16" spans="1:16">
      <c r="A16" s="13" t="s">
        <v>364</v>
      </c>
      <c r="B16" s="13" t="s">
        <v>1</v>
      </c>
      <c r="C16" s="13" t="s">
        <v>21</v>
      </c>
      <c r="D16" s="13" t="s">
        <v>19</v>
      </c>
      <c r="E16" s="13" t="s">
        <v>19</v>
      </c>
    </row>
    <row r="17" spans="1:16">
      <c r="A17" s="13" t="s">
        <v>364</v>
      </c>
      <c r="B17" s="13" t="s">
        <v>1</v>
      </c>
      <c r="C17" s="13" t="s">
        <v>132</v>
      </c>
      <c r="D17" s="13" t="s">
        <v>368</v>
      </c>
      <c r="E17" s="13" t="s">
        <v>321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4">
        <v>4.2769699999999998E-5</v>
      </c>
      <c r="L17" s="14">
        <v>9.880049000000001E-4</v>
      </c>
      <c r="M17" s="13">
        <v>1.1744554000000001E-2</v>
      </c>
      <c r="N17" s="13">
        <v>4.8401482400000001E-2</v>
      </c>
      <c r="O17" s="13">
        <v>9.1704112399999996E-2</v>
      </c>
      <c r="P17" s="13">
        <v>0.1144805911</v>
      </c>
    </row>
    <row r="18" spans="1:16">
      <c r="A18" s="13" t="s">
        <v>364</v>
      </c>
      <c r="B18" s="13" t="s">
        <v>1</v>
      </c>
      <c r="C18" s="13" t="s">
        <v>132</v>
      </c>
      <c r="D18" s="13" t="s">
        <v>369</v>
      </c>
      <c r="E18" s="13" t="s">
        <v>321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1.26128E-3</v>
      </c>
      <c r="L18" s="13">
        <v>3.01827579999999E-2</v>
      </c>
      <c r="M18" s="13">
        <v>0.38239904000000002</v>
      </c>
      <c r="N18" s="13">
        <v>1.59151278</v>
      </c>
      <c r="O18" s="13">
        <v>2.98928913</v>
      </c>
      <c r="P18" s="13">
        <v>3.7763303220000002</v>
      </c>
    </row>
    <row r="19" spans="1:16">
      <c r="A19" s="13" t="s">
        <v>364</v>
      </c>
      <c r="B19" s="13" t="s">
        <v>1</v>
      </c>
      <c r="C19" s="13" t="s">
        <v>132</v>
      </c>
      <c r="D19" s="13" t="s">
        <v>371</v>
      </c>
      <c r="E19" s="13" t="s">
        <v>321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4">
        <v>3.3491700000000001E-4</v>
      </c>
      <c r="L19" s="13">
        <v>8.0758600000000007E-3</v>
      </c>
      <c r="M19" s="13">
        <v>0.10388429</v>
      </c>
      <c r="N19" s="13">
        <v>0.43409092999999999</v>
      </c>
      <c r="O19" s="13">
        <v>0.81456856199999905</v>
      </c>
      <c r="P19" s="13">
        <v>1.029441008</v>
      </c>
    </row>
    <row r="20" spans="1:16">
      <c r="A20" s="13" t="s">
        <v>364</v>
      </c>
      <c r="B20" s="13" t="s">
        <v>1</v>
      </c>
      <c r="C20" s="13" t="s">
        <v>133</v>
      </c>
      <c r="D20" s="13" t="s">
        <v>373</v>
      </c>
      <c r="E20" s="13" t="s">
        <v>322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4">
        <v>1.69018E-4</v>
      </c>
      <c r="L20" s="13">
        <v>5.3813925999999998E-3</v>
      </c>
      <c r="M20" s="13">
        <v>0.107139918</v>
      </c>
      <c r="N20" s="13">
        <v>0.44820841700000003</v>
      </c>
      <c r="O20" s="13">
        <v>0.69898762409999904</v>
      </c>
      <c r="P20" s="13">
        <v>0.59480691129999996</v>
      </c>
    </row>
    <row r="21" spans="1:16">
      <c r="A21" s="13" t="s">
        <v>364</v>
      </c>
      <c r="B21" s="13" t="s">
        <v>1</v>
      </c>
      <c r="C21" s="13" t="s">
        <v>133</v>
      </c>
      <c r="D21" s="13" t="s">
        <v>375</v>
      </c>
      <c r="E21" s="13" t="s">
        <v>322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4">
        <v>1.40011E-4</v>
      </c>
      <c r="L21" s="13">
        <v>3.4700771999999999E-3</v>
      </c>
      <c r="M21" s="13">
        <v>4.3303253399999998E-2</v>
      </c>
      <c r="N21" s="13">
        <v>0.1514967149</v>
      </c>
      <c r="O21" s="13">
        <v>0.2027327062</v>
      </c>
      <c r="P21" s="13">
        <v>0.14139810310000001</v>
      </c>
    </row>
    <row r="22" spans="1:16">
      <c r="A22" s="13" t="s">
        <v>364</v>
      </c>
      <c r="B22" s="13" t="s">
        <v>1</v>
      </c>
      <c r="C22" s="13" t="s">
        <v>133</v>
      </c>
      <c r="D22" s="13" t="s">
        <v>377</v>
      </c>
      <c r="E22" s="13" t="s">
        <v>322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4">
        <v>2.2040800000000001E-4</v>
      </c>
      <c r="L22" s="13">
        <v>7.1636881000000001E-3</v>
      </c>
      <c r="M22" s="13">
        <v>0.14858811999999999</v>
      </c>
      <c r="N22" s="13">
        <v>0.62563919700000004</v>
      </c>
      <c r="O22" s="13">
        <v>0.98847798600000003</v>
      </c>
      <c r="P22" s="13">
        <v>0.88481432130000004</v>
      </c>
    </row>
    <row r="23" spans="1:16">
      <c r="A23" s="13" t="s">
        <v>364</v>
      </c>
      <c r="B23" s="13" t="s">
        <v>1</v>
      </c>
      <c r="C23" s="13" t="s">
        <v>133</v>
      </c>
      <c r="D23" s="13" t="s">
        <v>379</v>
      </c>
      <c r="E23" s="13" t="s">
        <v>322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4">
        <v>2.2438199999999999E-4</v>
      </c>
      <c r="L23" s="13">
        <v>7.3652318000000001E-3</v>
      </c>
      <c r="M23" s="13">
        <v>0.155856983</v>
      </c>
      <c r="N23" s="13">
        <v>0.66005059099999996</v>
      </c>
      <c r="O23" s="13">
        <v>1.0451290520000001</v>
      </c>
      <c r="P23" s="13">
        <v>0.94212729920000005</v>
      </c>
    </row>
    <row r="24" spans="1:16">
      <c r="A24" s="13" t="s">
        <v>364</v>
      </c>
      <c r="B24" s="13" t="s">
        <v>1</v>
      </c>
      <c r="C24" s="13" t="s">
        <v>136</v>
      </c>
      <c r="D24" s="13" t="s">
        <v>381</v>
      </c>
      <c r="E24" s="13" t="s">
        <v>323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1.2160499999999999E-2</v>
      </c>
      <c r="M24" s="13">
        <v>3.4126799999999999E-2</v>
      </c>
      <c r="N24" s="13">
        <v>7.1200889999999906E-2</v>
      </c>
      <c r="O24" s="13">
        <v>0.12460598000000001</v>
      </c>
      <c r="P24" s="13">
        <v>0.16431602000000001</v>
      </c>
    </row>
    <row r="25" spans="1:16">
      <c r="A25" s="13" t="s">
        <v>364</v>
      </c>
      <c r="B25" s="13" t="s">
        <v>1</v>
      </c>
      <c r="C25" s="13" t="s">
        <v>136</v>
      </c>
      <c r="D25" s="13" t="s">
        <v>384</v>
      </c>
      <c r="E25" s="13" t="s">
        <v>323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0.37684400000000001</v>
      </c>
      <c r="M25" s="13">
        <v>1.070281</v>
      </c>
      <c r="N25" s="13">
        <v>2.2361650000000002</v>
      </c>
      <c r="O25" s="13">
        <v>3.9256849999999899</v>
      </c>
      <c r="P25" s="13">
        <v>5.2558689999999997</v>
      </c>
    </row>
    <row r="26" spans="1:16">
      <c r="A26" s="13" t="s">
        <v>364</v>
      </c>
      <c r="B26" s="13" t="s">
        <v>1</v>
      </c>
      <c r="C26" s="13" t="s">
        <v>136</v>
      </c>
      <c r="D26" s="13" t="s">
        <v>385</v>
      </c>
      <c r="E26" s="13" t="s">
        <v>323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0.100965</v>
      </c>
      <c r="M26" s="13">
        <v>0.2872536</v>
      </c>
      <c r="N26" s="13">
        <v>0.60060779999999903</v>
      </c>
      <c r="O26" s="13">
        <v>1.0556861</v>
      </c>
      <c r="P26" s="13">
        <v>1.4161201999999999</v>
      </c>
    </row>
    <row r="27" spans="1:16">
      <c r="A27" s="13" t="s">
        <v>364</v>
      </c>
      <c r="B27" s="13" t="s">
        <v>1</v>
      </c>
      <c r="C27" s="13" t="s">
        <v>32</v>
      </c>
      <c r="D27" s="13" t="s">
        <v>79</v>
      </c>
      <c r="E27" s="13" t="s">
        <v>33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3.0312700000000001E-2</v>
      </c>
      <c r="L27" s="13">
        <v>0.28124869999999902</v>
      </c>
      <c r="M27" s="13">
        <v>1.0394289000000001</v>
      </c>
      <c r="N27" s="13">
        <v>2.0046144300000002</v>
      </c>
      <c r="O27" s="13">
        <v>2.9235245999999999</v>
      </c>
      <c r="P27" s="13">
        <v>2.7285159999999999</v>
      </c>
    </row>
    <row r="28" spans="1:16">
      <c r="A28" s="13" t="s">
        <v>364</v>
      </c>
      <c r="B28" s="13" t="s">
        <v>1</v>
      </c>
      <c r="C28" s="13" t="s">
        <v>32</v>
      </c>
      <c r="D28" s="13" t="s">
        <v>80</v>
      </c>
      <c r="E28" s="13" t="s">
        <v>36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2.86754E-2</v>
      </c>
      <c r="L28" s="13">
        <v>0.13994100000000001</v>
      </c>
      <c r="M28" s="13">
        <v>0.41723450000000001</v>
      </c>
      <c r="N28" s="13">
        <v>0.75239926000000001</v>
      </c>
      <c r="O28" s="13">
        <v>1.1826896</v>
      </c>
      <c r="P28" s="13">
        <v>1.5652102999999999</v>
      </c>
    </row>
    <row r="29" spans="1:16">
      <c r="A29" s="13" t="s">
        <v>364</v>
      </c>
      <c r="B29" s="13" t="s">
        <v>1</v>
      </c>
      <c r="C29" s="13" t="s">
        <v>22</v>
      </c>
      <c r="D29" s="13" t="s">
        <v>19</v>
      </c>
      <c r="E29" s="13" t="s">
        <v>19</v>
      </c>
    </row>
    <row r="30" spans="1:16">
      <c r="A30" s="13" t="s">
        <v>364</v>
      </c>
      <c r="B30" s="13" t="s">
        <v>1</v>
      </c>
      <c r="C30" s="13" t="s">
        <v>190</v>
      </c>
      <c r="D30" s="13" t="s">
        <v>111</v>
      </c>
      <c r="E30" s="13" t="s">
        <v>111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4">
        <v>4.3678599999999999E-5</v>
      </c>
      <c r="O30" s="13">
        <v>1.9073300000000001E-2</v>
      </c>
      <c r="P30" s="13">
        <v>5.4877700000000003</v>
      </c>
    </row>
    <row r="31" spans="1:16">
      <c r="A31" s="13" t="s">
        <v>364</v>
      </c>
      <c r="B31" s="13" t="s">
        <v>1</v>
      </c>
      <c r="C31" s="13" t="s">
        <v>148</v>
      </c>
      <c r="D31" s="13" t="s">
        <v>388</v>
      </c>
      <c r="E31" s="13" t="s">
        <v>389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9.5342399999999994E-2</v>
      </c>
      <c r="O31" s="13">
        <v>0.62406170000000005</v>
      </c>
      <c r="P31" s="13">
        <v>1.0324441</v>
      </c>
    </row>
    <row r="32" spans="1:16">
      <c r="A32" s="13" t="s">
        <v>364</v>
      </c>
      <c r="B32" s="13" t="s">
        <v>1</v>
      </c>
      <c r="C32" s="13" t="s">
        <v>148</v>
      </c>
      <c r="D32" s="13" t="s">
        <v>390</v>
      </c>
      <c r="E32" s="13" t="s">
        <v>389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9.77711E-2</v>
      </c>
      <c r="O32" s="13">
        <v>0.75168699999999999</v>
      </c>
      <c r="P32" s="13">
        <v>1.3457452000000001</v>
      </c>
    </row>
    <row r="33" spans="1:16">
      <c r="A33" s="13" t="s">
        <v>364</v>
      </c>
      <c r="B33" s="13" t="s">
        <v>1</v>
      </c>
      <c r="C33" s="13" t="s">
        <v>148</v>
      </c>
      <c r="D33" s="13" t="s">
        <v>391</v>
      </c>
      <c r="E33" s="13" t="s">
        <v>389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3.3022500000000003E-2</v>
      </c>
      <c r="O33" s="13">
        <v>5.4963100000000001E-2</v>
      </c>
      <c r="P33" s="13">
        <v>7.5921900000000004E-3</v>
      </c>
    </row>
    <row r="34" spans="1:16">
      <c r="A34" s="13" t="s">
        <v>364</v>
      </c>
      <c r="B34" s="13" t="s">
        <v>1</v>
      </c>
      <c r="C34" s="13" t="s">
        <v>148</v>
      </c>
      <c r="D34" s="13" t="s">
        <v>392</v>
      </c>
      <c r="E34" s="13" t="s">
        <v>389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0.34126200000000001</v>
      </c>
      <c r="O34" s="13">
        <v>2.5209039999999998</v>
      </c>
      <c r="P34" s="13">
        <v>4.4012149999999997</v>
      </c>
    </row>
    <row r="35" spans="1:16">
      <c r="A35" s="13" t="s">
        <v>364</v>
      </c>
      <c r="B35" s="13" t="s">
        <v>1</v>
      </c>
      <c r="C35" s="13" t="s">
        <v>148</v>
      </c>
      <c r="D35" s="13" t="s">
        <v>393</v>
      </c>
      <c r="E35" s="13" t="s">
        <v>394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4">
        <v>8.2978800000000006E-5</v>
      </c>
      <c r="O35" s="14">
        <v>3.6205386999999998E-4</v>
      </c>
      <c r="P35" s="14">
        <v>2.9035552399999997E-4</v>
      </c>
    </row>
    <row r="36" spans="1:16">
      <c r="A36" s="13" t="s">
        <v>364</v>
      </c>
      <c r="B36" s="13" t="s">
        <v>1</v>
      </c>
      <c r="C36" s="13" t="s">
        <v>148</v>
      </c>
      <c r="D36" s="13" t="s">
        <v>395</v>
      </c>
      <c r="E36" s="13" t="s">
        <v>394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4">
        <v>6.3382500000000005E-5</v>
      </c>
      <c r="O36" s="14">
        <v>3.8263517000000001E-4</v>
      </c>
      <c r="P36" s="14">
        <v>4.1895006299999998E-4</v>
      </c>
    </row>
    <row r="37" spans="1:16">
      <c r="K37" s="14">
        <f>SUM(K3:K36)*ghg_sort!$B$6</f>
        <v>0.35123454923333369</v>
      </c>
    </row>
    <row r="39" spans="1:16">
      <c r="E39" s="4"/>
      <c r="F39" s="4">
        <v>2025</v>
      </c>
      <c r="G39" s="4">
        <v>2030</v>
      </c>
      <c r="H39" s="4">
        <v>2035</v>
      </c>
      <c r="I39" s="4">
        <v>2040</v>
      </c>
      <c r="J39" s="4">
        <v>2045</v>
      </c>
      <c r="K39" s="4">
        <v>2050</v>
      </c>
    </row>
    <row r="40" spans="1:16">
      <c r="E40" s="4" t="s">
        <v>370</v>
      </c>
      <c r="F40" s="14">
        <f>K3*ghg_sort!$B$6</f>
        <v>1.7259403333333347E-4</v>
      </c>
      <c r="G40" s="4">
        <f>L3*ghg_sort!$B$6</f>
        <v>3.6439076666666695E-2</v>
      </c>
      <c r="H40" s="4">
        <f>M3*ghg_sort!$B$6</f>
        <v>3.2958200000000031</v>
      </c>
      <c r="I40" s="4">
        <f>N3*ghg_sort!$B$6</f>
        <v>11.766186666666677</v>
      </c>
      <c r="J40" s="4">
        <f>O3*ghg_sort!$B$6</f>
        <v>14.453230000000014</v>
      </c>
      <c r="K40" s="4">
        <f>P3*ghg_sort!$B$6</f>
        <v>12.881220000000011</v>
      </c>
    </row>
    <row r="41" spans="1:16">
      <c r="E41" s="4" t="s">
        <v>372</v>
      </c>
      <c r="F41" s="4">
        <f>K4*ghg_sort!$B$6</f>
        <v>0.11242146666666678</v>
      </c>
      <c r="G41" s="4">
        <f>L4*ghg_sort!$B$6</f>
        <v>0.57607366666666715</v>
      </c>
      <c r="H41" s="4">
        <f>M4*ghg_sort!$B$6</f>
        <v>1.5674120000000016</v>
      </c>
      <c r="I41" s="4">
        <f>N4*ghg_sort!$B$6</f>
        <v>2.7282970000000026</v>
      </c>
      <c r="J41" s="4">
        <f>O4*ghg_sort!$B$6</f>
        <v>3.7679766666666703</v>
      </c>
      <c r="K41" s="4">
        <f>P4*ghg_sort!$B$6</f>
        <v>4.3423233333333373</v>
      </c>
    </row>
    <row r="42" spans="1:16">
      <c r="E42" s="4" t="s">
        <v>374</v>
      </c>
      <c r="F42" s="4">
        <f>K5*ghg_sort!$B$6</f>
        <v>3.692333333333337E-3</v>
      </c>
      <c r="G42" s="4">
        <f>L5*ghg_sort!$B$6</f>
        <v>0.15635803333333348</v>
      </c>
      <c r="H42" s="4">
        <f>M5*ghg_sort!$B$6</f>
        <v>1.1694173333333344</v>
      </c>
      <c r="I42" s="4">
        <f>N5*ghg_sort!$B$6</f>
        <v>3.0062633333333362</v>
      </c>
      <c r="J42" s="4">
        <f>O5*ghg_sort!$B$6</f>
        <v>4.8759700000000041</v>
      </c>
      <c r="K42" s="4">
        <f>P5*ghg_sort!$B$6</f>
        <v>5.7307800000000055</v>
      </c>
    </row>
    <row r="43" spans="1:16">
      <c r="E43" s="4" t="s">
        <v>376</v>
      </c>
      <c r="F43" s="4">
        <f>K6*ghg_sort!$B$6</f>
        <v>1.4944013333333347E-4</v>
      </c>
      <c r="G43" s="4">
        <f>L6*ghg_sort!$B$6</f>
        <v>2.1137831000000019E-3</v>
      </c>
      <c r="H43" s="4">
        <f>M6*ghg_sort!$B$6</f>
        <v>2.1634222133333353E-2</v>
      </c>
      <c r="I43" s="4">
        <f>N6*ghg_sort!$B$6</f>
        <v>7.7572848833333041E-2</v>
      </c>
      <c r="J43" s="4">
        <f>O6*ghg_sort!$B$6</f>
        <v>0.12671242943333308</v>
      </c>
      <c r="K43" s="4">
        <f>P6*ghg_sort!$B$6</f>
        <v>0.16013694887666644</v>
      </c>
    </row>
    <row r="44" spans="1:16">
      <c r="E44" s="4" t="s">
        <v>378</v>
      </c>
      <c r="F44" s="4">
        <f>K7*ghg_sort!$B$6</f>
        <v>0</v>
      </c>
      <c r="G44" s="4">
        <f>L7*ghg_sort!$B$6</f>
        <v>0</v>
      </c>
      <c r="H44" s="4">
        <f>M7*ghg_sort!$B$6</f>
        <v>0.34431283333333368</v>
      </c>
      <c r="I44" s="4">
        <f>N7*ghg_sort!$B$6</f>
        <v>4.5413650333333377</v>
      </c>
      <c r="J44" s="4">
        <f>O7*ghg_sort!$B$6</f>
        <v>6.2066700666666721</v>
      </c>
      <c r="K44" s="4">
        <f>P7*ghg_sort!$B$6</f>
        <v>6.1785977000000054</v>
      </c>
    </row>
    <row r="45" spans="1:16">
      <c r="E45" s="4" t="s">
        <v>380</v>
      </c>
      <c r="F45" s="4">
        <f>SUM(K8:K10)*ghg_sort!$B$6</f>
        <v>0</v>
      </c>
      <c r="G45" s="4">
        <f>SUM(L8:L10)*ghg_sort!$B$6</f>
        <v>0</v>
      </c>
      <c r="H45" s="4">
        <f>SUM(M8:M10)*ghg_sort!$B$6</f>
        <v>0</v>
      </c>
      <c r="I45" s="4">
        <f>SUM(N8:N10)*ghg_sort!$B$6</f>
        <v>4.0377201333333367E-4</v>
      </c>
      <c r="J45" s="4">
        <f>SUM(O8:O10)*ghg_sort!$B$6</f>
        <v>0.17651991855300014</v>
      </c>
      <c r="K45" s="4">
        <f>SUM(P8:P10)*ghg_sort!$B$6</f>
        <v>51.098728277842341</v>
      </c>
    </row>
    <row r="46" spans="1:16">
      <c r="E46" s="39" t="s">
        <v>383</v>
      </c>
      <c r="F46" s="39">
        <f>SUM(K17:K23)*ghg_sort!$B$6</f>
        <v>8.773547566666675E-3</v>
      </c>
      <c r="G46" s="39">
        <f>SUM(L11,L17:L23,L31:L34)*ghg_sort!$B$6</f>
        <v>0.26351068553333318</v>
      </c>
      <c r="H46" s="39">
        <f>SUM(M11,M17:M23,M31:M34)*ghg_sort!$B$6</f>
        <v>4.0983830484666699</v>
      </c>
      <c r="I46" s="39">
        <f>SUM(N11,N17:N23,N31:N34)*ghg_sort!$B$6</f>
        <v>18.534613332766686</v>
      </c>
      <c r="J46" s="39">
        <f>SUM(O11,O17:O23,O31:O34)*ghg_sort!$B$6</f>
        <v>42.109200340900031</v>
      </c>
      <c r="K46" s="39">
        <f>SUM(P11,P17:P23,P31:P34)*ghg_sort!$B$6</f>
        <v>55.124073760066715</v>
      </c>
    </row>
    <row r="47" spans="1:16">
      <c r="E47" s="39" t="s">
        <v>382</v>
      </c>
      <c r="F47" s="39">
        <f>SUM(K24:K26,K30)*ghg_sort!$B$6</f>
        <v>0</v>
      </c>
      <c r="G47" s="39">
        <f>SUM(L13,L24:L26,L30)*ghg_sort!$B$6</f>
        <v>1.874605223333335</v>
      </c>
      <c r="H47" s="39">
        <f>SUM(M13,M24:M26,M30)*ghg_sort!$B$6</f>
        <v>5.6140581200000055</v>
      </c>
      <c r="I47" s="39">
        <f>SUM(N13,N24:N26,N30)*ghg_sort!$B$6</f>
        <v>11.904676074866675</v>
      </c>
      <c r="J47" s="39">
        <f>SUM(O13,O24:O26,O30)*ghg_sort!$B$6</f>
        <v>20.514248710999979</v>
      </c>
      <c r="K47" s="39">
        <f>SUM(P13,P24:P26,P30)*ghg_sort!$B$6</f>
        <v>47.192038659333377</v>
      </c>
    </row>
    <row r="48" spans="1:16">
      <c r="E48" s="4" t="s">
        <v>386</v>
      </c>
      <c r="F48" s="4">
        <f>SUM(K31:K34)*ghg_sort!$B$6</f>
        <v>0</v>
      </c>
      <c r="G48" s="4">
        <f>SUM(L31:L34)*ghg_sort!$B$6</f>
        <v>0</v>
      </c>
      <c r="H48" s="4">
        <f>SUM(M31:M34)*ghg_sort!$B$6</f>
        <v>0</v>
      </c>
      <c r="I48" s="4">
        <f>SUM(N31:N34)*ghg_sort!$B$6</f>
        <v>2.0804593333333354</v>
      </c>
      <c r="J48" s="4">
        <f>SUM(O31:O34)*ghg_sort!$B$6</f>
        <v>14.489257933333347</v>
      </c>
      <c r="K48" s="4">
        <f>SUM(P31:P34)*ghg_sort!$B$6</f>
        <v>24.885653796666691</v>
      </c>
    </row>
    <row r="49" spans="5:11">
      <c r="E49" s="4" t="s">
        <v>387</v>
      </c>
      <c r="F49" s="4">
        <f>SUM(K35:K36)*ghg_sort!$B$6</f>
        <v>0</v>
      </c>
      <c r="G49" s="4">
        <f>SUM(L4,L12,L35:L36)*ghg_sort!$B$6</f>
        <v>0.57931582610000054</v>
      </c>
      <c r="H49" s="4">
        <f>SUM(M4,M12,M35:M36)*ghg_sort!$B$6</f>
        <v>1.5933439188333349</v>
      </c>
      <c r="I49" s="4">
        <f>SUM(N4,N12,N35:N36)*ghg_sort!$B$6</f>
        <v>2.7982269791666692</v>
      </c>
      <c r="J49" s="4">
        <f>SUM(O4,O12,O35:O36)*ghg_sort!$B$6</f>
        <v>3.864757634613337</v>
      </c>
      <c r="K49" s="4">
        <f>SUM(P4,P12,P35:P36)*ghg_sort!$B$6</f>
        <v>4.4508090363990034</v>
      </c>
    </row>
    <row r="50" spans="5:11">
      <c r="E50" s="4" t="s">
        <v>397</v>
      </c>
      <c r="F50" s="4">
        <f>SUM(K11:K14)*ghg_sort!$B$6</f>
        <v>9.7354675000000095E-3</v>
      </c>
      <c r="G50" s="4">
        <f>SUM(L11:L14)*ghg_sort!$B$6</f>
        <v>0.18141318543333351</v>
      </c>
      <c r="H50" s="4">
        <f>SUM(M11:M14)*ghg_sort!$B$6</f>
        <v>1.5742914898333347</v>
      </c>
      <c r="I50" s="4">
        <f>SUM(N11:N14)*ghg_sort!$B$6</f>
        <v>4.2870521363999998</v>
      </c>
      <c r="J50" s="4">
        <f>SUM(O11:O14)*ghg_sort!$B$6</f>
        <v>5.7980066481333346</v>
      </c>
      <c r="K50" s="4">
        <f>SUM(P11:P14)*ghg_sort!$B$6</f>
        <v>6.5267611146466731</v>
      </c>
    </row>
    <row r="51" spans="5:11">
      <c r="E51" s="4" t="s">
        <v>399</v>
      </c>
      <c r="F51" s="4">
        <f>SUM(K27:K28)*ghg_sort!$B$6</f>
        <v>0.2162897000000002</v>
      </c>
      <c r="G51" s="4">
        <f>SUM(L27:L28)*ghg_sort!$B$6</f>
        <v>1.5443622333333311</v>
      </c>
      <c r="H51" s="4">
        <f>SUM(M27:M28)*ghg_sort!$B$6</f>
        <v>5.3410991333333389</v>
      </c>
      <c r="I51" s="4">
        <f>SUM(N27:N28)*ghg_sort!$B$6</f>
        <v>10.109050196666676</v>
      </c>
      <c r="J51" s="4">
        <f>SUM(O27:O28)*ghg_sort!$B$6</f>
        <v>15.056118733333347</v>
      </c>
      <c r="K51" s="4">
        <f>SUM(P27:P28)*ghg_sort!$B$6</f>
        <v>15.743663100000013</v>
      </c>
    </row>
    <row r="52" spans="5:11">
      <c r="E52" s="4"/>
      <c r="F52" s="14">
        <f>SUM(F40:F51)</f>
        <v>0.35123454923333364</v>
      </c>
      <c r="G52" s="4"/>
      <c r="H52" s="4"/>
      <c r="I52" s="4"/>
      <c r="J52" s="4"/>
      <c r="K52" s="4"/>
    </row>
    <row r="54" spans="5:11">
      <c r="J54" s="13" t="s">
        <v>403</v>
      </c>
      <c r="K54" s="13">
        <f>SUM(F40:K51)</f>
        <v>467.77281987917797</v>
      </c>
    </row>
    <row r="55" spans="5:11">
      <c r="J55" s="12" t="s">
        <v>404</v>
      </c>
      <c r="K55" s="12">
        <f>SUM(F46:K47)</f>
        <v>207.23818150383346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B74E1-965C-428D-B253-3C0C3F786E04}">
  <dimension ref="A1:AG68"/>
  <sheetViews>
    <sheetView topLeftCell="E31" zoomScale="70" zoomScaleNormal="70" workbookViewId="0">
      <selection activeCell="AC51" sqref="AC51"/>
    </sheetView>
  </sheetViews>
  <sheetFormatPr defaultRowHeight="17.399999999999999"/>
  <cols>
    <col min="3" max="3" width="24.3984375" bestFit="1" customWidth="1"/>
    <col min="4" max="4" width="32.5" bestFit="1" customWidth="1"/>
    <col min="5" max="5" width="18.3984375" bestFit="1" customWidth="1"/>
  </cols>
  <sheetData>
    <row r="1" spans="1:16">
      <c r="A1" t="s">
        <v>396</v>
      </c>
    </row>
    <row r="2" spans="1:16">
      <c r="A2" t="s">
        <v>8</v>
      </c>
      <c r="B2" t="s">
        <v>9</v>
      </c>
      <c r="C2" t="s">
        <v>39</v>
      </c>
      <c r="D2" t="s">
        <v>42</v>
      </c>
      <c r="E2" t="s">
        <v>40</v>
      </c>
      <c r="F2">
        <v>1990</v>
      </c>
      <c r="G2">
        <v>2005</v>
      </c>
      <c r="H2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16">
      <c r="A3" t="s">
        <v>400</v>
      </c>
      <c r="B3" t="s">
        <v>1</v>
      </c>
      <c r="C3" t="s">
        <v>140</v>
      </c>
      <c r="D3" t="s">
        <v>327</v>
      </c>
      <c r="E3" t="s">
        <v>57</v>
      </c>
      <c r="F3">
        <v>0</v>
      </c>
      <c r="G3">
        <v>0</v>
      </c>
      <c r="H3">
        <v>0</v>
      </c>
      <c r="I3">
        <v>0</v>
      </c>
      <c r="J3">
        <v>0</v>
      </c>
      <c r="K3" s="14">
        <v>4.7201099999999998E-5</v>
      </c>
      <c r="L3">
        <v>8.0538699999999994E-3</v>
      </c>
      <c r="M3">
        <v>0.67679900000000004</v>
      </c>
      <c r="N3">
        <v>2.86626</v>
      </c>
      <c r="O3">
        <v>3.5389599999999999</v>
      </c>
      <c r="P3">
        <v>3.0746600000000002</v>
      </c>
    </row>
    <row r="4" spans="1:16">
      <c r="A4" t="s">
        <v>400</v>
      </c>
      <c r="B4" t="s">
        <v>1</v>
      </c>
      <c r="C4" t="s">
        <v>140</v>
      </c>
      <c r="D4" t="s">
        <v>328</v>
      </c>
      <c r="E4" t="s">
        <v>58</v>
      </c>
      <c r="F4">
        <v>0</v>
      </c>
      <c r="G4">
        <v>0</v>
      </c>
      <c r="H4">
        <v>0</v>
      </c>
      <c r="I4">
        <v>0</v>
      </c>
      <c r="J4">
        <v>0</v>
      </c>
      <c r="K4">
        <v>3.0680900000000001E-2</v>
      </c>
      <c r="L4">
        <v>0.14568400000000001</v>
      </c>
      <c r="M4">
        <v>0.38614599999999999</v>
      </c>
      <c r="N4">
        <v>0.66493800000000003</v>
      </c>
      <c r="O4">
        <v>0.89685400000000004</v>
      </c>
      <c r="P4">
        <v>1.0084599999999999</v>
      </c>
    </row>
    <row r="5" spans="1:16">
      <c r="A5" t="s">
        <v>400</v>
      </c>
      <c r="B5" t="s">
        <v>1</v>
      </c>
      <c r="C5" t="s">
        <v>140</v>
      </c>
      <c r="D5" t="s">
        <v>331</v>
      </c>
      <c r="E5" t="s">
        <v>60</v>
      </c>
      <c r="F5">
        <v>0</v>
      </c>
      <c r="G5">
        <v>0</v>
      </c>
      <c r="H5">
        <v>0</v>
      </c>
      <c r="I5">
        <v>0</v>
      </c>
      <c r="J5">
        <v>0</v>
      </c>
      <c r="K5" s="14">
        <v>1.0089000000000001E-3</v>
      </c>
      <c r="L5">
        <v>3.7488800000000003E-2</v>
      </c>
      <c r="M5">
        <v>0.26839200000000002</v>
      </c>
      <c r="N5">
        <v>0.709642</v>
      </c>
      <c r="O5">
        <v>1.1480699999999999</v>
      </c>
      <c r="P5">
        <v>1.32664</v>
      </c>
    </row>
    <row r="6" spans="1:16">
      <c r="A6" t="s">
        <v>400</v>
      </c>
      <c r="B6" t="s">
        <v>1</v>
      </c>
      <c r="C6" t="s">
        <v>63</v>
      </c>
      <c r="D6" t="s">
        <v>111</v>
      </c>
      <c r="E6" t="s">
        <v>60</v>
      </c>
      <c r="F6">
        <v>0</v>
      </c>
      <c r="G6">
        <v>0</v>
      </c>
      <c r="H6">
        <v>0</v>
      </c>
      <c r="I6">
        <v>0</v>
      </c>
      <c r="J6">
        <v>0</v>
      </c>
      <c r="K6" s="14">
        <v>4.0903299999999999E-5</v>
      </c>
      <c r="L6" s="14">
        <v>5.4856000000000002E-4</v>
      </c>
      <c r="M6">
        <v>5.3810487000000001E-3</v>
      </c>
      <c r="N6">
        <v>1.98245643E-2</v>
      </c>
      <c r="O6">
        <v>3.3068339000000002E-2</v>
      </c>
      <c r="P6">
        <v>4.2336748110000003E-2</v>
      </c>
    </row>
    <row r="7" spans="1:16">
      <c r="A7" t="s">
        <v>400</v>
      </c>
      <c r="B7" t="s">
        <v>1</v>
      </c>
      <c r="C7" t="s">
        <v>61</v>
      </c>
      <c r="D7" t="s">
        <v>116</v>
      </c>
      <c r="E7" t="s">
        <v>61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9.2680499999999999E-2</v>
      </c>
      <c r="N7">
        <v>1.1974925999999999</v>
      </c>
      <c r="O7">
        <v>1.6482387999999999</v>
      </c>
      <c r="P7">
        <v>1.6367577</v>
      </c>
    </row>
    <row r="8" spans="1:16">
      <c r="A8" t="s">
        <v>400</v>
      </c>
      <c r="B8" t="s">
        <v>1</v>
      </c>
      <c r="C8" t="s">
        <v>191</v>
      </c>
      <c r="D8" t="s">
        <v>339</v>
      </c>
      <c r="E8" t="s">
        <v>338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 s="14">
        <v>7.3992799999999994E-5</v>
      </c>
      <c r="O8">
        <v>3.0099069199999998E-2</v>
      </c>
      <c r="P8">
        <v>13.0599831167</v>
      </c>
    </row>
    <row r="9" spans="1:16">
      <c r="A9" t="s">
        <v>400</v>
      </c>
      <c r="B9" t="s">
        <v>1</v>
      </c>
      <c r="C9" t="s">
        <v>191</v>
      </c>
      <c r="D9" t="s">
        <v>340</v>
      </c>
      <c r="E9" t="s">
        <v>338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s="14">
        <v>4.7969900000000001E-7</v>
      </c>
      <c r="O9" s="14">
        <v>2.1179700000000001E-4</v>
      </c>
      <c r="P9">
        <v>0.14389239929700001</v>
      </c>
    </row>
    <row r="10" spans="1:16">
      <c r="A10" t="s">
        <v>400</v>
      </c>
      <c r="B10" t="s">
        <v>1</v>
      </c>
      <c r="C10" t="s">
        <v>191</v>
      </c>
      <c r="D10" t="s">
        <v>341</v>
      </c>
      <c r="E10" t="s">
        <v>338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 s="14">
        <v>2.9613199999999999E-7</v>
      </c>
      <c r="O10" s="14">
        <v>1.30847709E-4</v>
      </c>
      <c r="P10">
        <v>8.6006760737999996E-2</v>
      </c>
    </row>
    <row r="11" spans="1:16">
      <c r="A11" t="s">
        <v>400</v>
      </c>
      <c r="B11" t="s">
        <v>1</v>
      </c>
      <c r="C11" t="s">
        <v>56</v>
      </c>
      <c r="D11" t="s">
        <v>109</v>
      </c>
      <c r="E11" t="s">
        <v>57</v>
      </c>
      <c r="F11">
        <v>0</v>
      </c>
      <c r="G11">
        <v>0</v>
      </c>
      <c r="H11">
        <v>0</v>
      </c>
      <c r="I11">
        <v>0</v>
      </c>
      <c r="J11">
        <v>0</v>
      </c>
      <c r="K11" s="14">
        <v>2.4853000000000001E-4</v>
      </c>
      <c r="L11">
        <v>8.6406969999999993E-3</v>
      </c>
      <c r="M11">
        <v>0.14982240299999999</v>
      </c>
      <c r="N11">
        <v>0.504640961</v>
      </c>
      <c r="O11">
        <v>0.682432704</v>
      </c>
      <c r="P11">
        <v>0.74830574770000002</v>
      </c>
    </row>
    <row r="12" spans="1:16">
      <c r="A12" t="s">
        <v>400</v>
      </c>
      <c r="B12" t="s">
        <v>1</v>
      </c>
      <c r="C12" t="s">
        <v>56</v>
      </c>
      <c r="D12" t="s">
        <v>110</v>
      </c>
      <c r="E12" t="s">
        <v>58</v>
      </c>
      <c r="F12">
        <v>0</v>
      </c>
      <c r="G12">
        <v>0</v>
      </c>
      <c r="H12">
        <v>0</v>
      </c>
      <c r="I12">
        <v>0</v>
      </c>
      <c r="J12">
        <v>0</v>
      </c>
      <c r="K12" s="14">
        <v>3.4693400000000002E-5</v>
      </c>
      <c r="L12" s="14">
        <v>8.5269160000000003E-4</v>
      </c>
      <c r="M12">
        <v>6.72012629999999E-3</v>
      </c>
      <c r="N12">
        <v>1.8252296599999999E-2</v>
      </c>
      <c r="O12">
        <v>2.4962218500000001E-2</v>
      </c>
      <c r="P12">
        <v>2.82544129799999E-2</v>
      </c>
    </row>
    <row r="13" spans="1:16">
      <c r="A13" t="s">
        <v>400</v>
      </c>
      <c r="B13" t="s">
        <v>1</v>
      </c>
      <c r="C13" t="s">
        <v>56</v>
      </c>
      <c r="D13" t="s">
        <v>111</v>
      </c>
      <c r="E13" t="s">
        <v>60</v>
      </c>
      <c r="F13">
        <v>0</v>
      </c>
      <c r="G13">
        <v>0</v>
      </c>
      <c r="H13">
        <v>0</v>
      </c>
      <c r="I13">
        <v>0</v>
      </c>
      <c r="J13">
        <v>0</v>
      </c>
      <c r="K13">
        <v>1.2347700000000001E-3</v>
      </c>
      <c r="L13">
        <v>2.0772639999999998E-2</v>
      </c>
      <c r="M13">
        <v>0.13391809999999901</v>
      </c>
      <c r="N13">
        <v>0.32697591999999998</v>
      </c>
      <c r="O13">
        <v>0.45597341699999999</v>
      </c>
      <c r="P13">
        <v>0.53342503099999905</v>
      </c>
    </row>
    <row r="14" spans="1:16">
      <c r="A14" t="s">
        <v>400</v>
      </c>
      <c r="B14" t="s">
        <v>1</v>
      </c>
      <c r="C14" t="s">
        <v>56</v>
      </c>
      <c r="D14" t="s">
        <v>112</v>
      </c>
      <c r="E14" t="s">
        <v>19</v>
      </c>
      <c r="F14">
        <v>0</v>
      </c>
      <c r="G14">
        <v>0</v>
      </c>
      <c r="H14">
        <v>0</v>
      </c>
      <c r="I14">
        <v>0</v>
      </c>
      <c r="J14">
        <v>0</v>
      </c>
      <c r="K14">
        <v>1.1389099999999999E-3</v>
      </c>
      <c r="L14">
        <v>1.7651179999999999E-2</v>
      </c>
      <c r="M14">
        <v>0.11444520999999901</v>
      </c>
      <c r="N14">
        <v>0.27645001200000002</v>
      </c>
      <c r="O14">
        <v>0.37599702899999998</v>
      </c>
      <c r="P14">
        <v>0.433488182</v>
      </c>
    </row>
    <row r="15" spans="1:16">
      <c r="A15" t="s">
        <v>400</v>
      </c>
      <c r="B15" t="s">
        <v>1</v>
      </c>
      <c r="C15" t="s">
        <v>20</v>
      </c>
      <c r="D15" t="s">
        <v>19</v>
      </c>
      <c r="E15" t="s">
        <v>19</v>
      </c>
    </row>
    <row r="16" spans="1:16">
      <c r="A16" t="s">
        <v>400</v>
      </c>
      <c r="B16" t="s">
        <v>1</v>
      </c>
      <c r="C16" t="s">
        <v>21</v>
      </c>
      <c r="D16" t="s">
        <v>19</v>
      </c>
      <c r="E16" t="s">
        <v>19</v>
      </c>
    </row>
    <row r="17" spans="1:16">
      <c r="A17" t="s">
        <v>400</v>
      </c>
      <c r="B17" t="s">
        <v>1</v>
      </c>
      <c r="C17" t="s">
        <v>132</v>
      </c>
      <c r="D17" t="s">
        <v>368</v>
      </c>
      <c r="E17" t="s">
        <v>321</v>
      </c>
      <c r="F17">
        <v>0</v>
      </c>
      <c r="G17">
        <v>0</v>
      </c>
      <c r="H17">
        <v>0</v>
      </c>
      <c r="I17">
        <v>0</v>
      </c>
      <c r="J17">
        <v>0</v>
      </c>
      <c r="K17" s="14">
        <v>4.2872299999999999E-5</v>
      </c>
      <c r="L17" s="14">
        <v>8.6058399999999996E-4</v>
      </c>
      <c r="M17">
        <v>9.5311587999999999E-3</v>
      </c>
      <c r="N17">
        <v>4.2879354799999998E-2</v>
      </c>
      <c r="O17">
        <v>8.5168703700000001E-2</v>
      </c>
      <c r="P17">
        <v>0.1092781696</v>
      </c>
    </row>
    <row r="18" spans="1:16">
      <c r="A18" t="s">
        <v>400</v>
      </c>
      <c r="B18" t="s">
        <v>1</v>
      </c>
      <c r="C18" t="s">
        <v>132</v>
      </c>
      <c r="D18" t="s">
        <v>369</v>
      </c>
      <c r="E18" t="s">
        <v>321</v>
      </c>
      <c r="F18">
        <v>0</v>
      </c>
      <c r="G18">
        <v>0</v>
      </c>
      <c r="H18">
        <v>0</v>
      </c>
      <c r="I18">
        <v>0</v>
      </c>
      <c r="J18">
        <v>0</v>
      </c>
      <c r="K18">
        <v>1.2643299999999999E-3</v>
      </c>
      <c r="L18">
        <v>2.6247059999999999E-2</v>
      </c>
      <c r="M18">
        <v>0.30955378</v>
      </c>
      <c r="N18">
        <v>1.41183489</v>
      </c>
      <c r="O18">
        <v>2.7793517099999998</v>
      </c>
      <c r="P18">
        <v>3.6011888619999999</v>
      </c>
    </row>
    <row r="19" spans="1:16">
      <c r="A19" t="s">
        <v>400</v>
      </c>
      <c r="B19" t="s">
        <v>1</v>
      </c>
      <c r="C19" t="s">
        <v>132</v>
      </c>
      <c r="D19" t="s">
        <v>371</v>
      </c>
      <c r="E19" t="s">
        <v>321</v>
      </c>
      <c r="F19">
        <v>0</v>
      </c>
      <c r="G19">
        <v>0</v>
      </c>
      <c r="H19">
        <v>0</v>
      </c>
      <c r="I19">
        <v>0</v>
      </c>
      <c r="J19">
        <v>0</v>
      </c>
      <c r="K19" s="14">
        <v>3.3572700000000002E-4</v>
      </c>
      <c r="L19">
        <v>7.0204760000000003E-3</v>
      </c>
      <c r="M19">
        <v>8.4056905999999904E-2</v>
      </c>
      <c r="N19">
        <v>0.38525494900000001</v>
      </c>
      <c r="O19">
        <v>0.75777490399999903</v>
      </c>
      <c r="P19">
        <v>0.98202596600000003</v>
      </c>
    </row>
    <row r="20" spans="1:16">
      <c r="A20" t="s">
        <v>400</v>
      </c>
      <c r="B20" t="s">
        <v>1</v>
      </c>
      <c r="C20" t="s">
        <v>133</v>
      </c>
      <c r="D20" t="s">
        <v>373</v>
      </c>
      <c r="E20" t="s">
        <v>322</v>
      </c>
      <c r="F20">
        <v>0</v>
      </c>
      <c r="G20">
        <v>0</v>
      </c>
      <c r="H20">
        <v>0</v>
      </c>
      <c r="I20">
        <v>0</v>
      </c>
      <c r="J20">
        <v>0</v>
      </c>
      <c r="K20" s="14">
        <v>1.6946299999999999E-4</v>
      </c>
      <c r="L20">
        <v>4.5809313000000004E-3</v>
      </c>
      <c r="M20">
        <v>8.5294973999999996E-2</v>
      </c>
      <c r="N20">
        <v>0.40199077099999903</v>
      </c>
      <c r="O20">
        <v>0.66878060760000002</v>
      </c>
      <c r="P20">
        <v>0.58850805019999997</v>
      </c>
    </row>
    <row r="21" spans="1:16">
      <c r="A21" t="s">
        <v>400</v>
      </c>
      <c r="B21" t="s">
        <v>1</v>
      </c>
      <c r="C21" t="s">
        <v>133</v>
      </c>
      <c r="D21" t="s">
        <v>375</v>
      </c>
      <c r="E21" t="s">
        <v>322</v>
      </c>
      <c r="F21">
        <v>0</v>
      </c>
      <c r="G21">
        <v>0</v>
      </c>
      <c r="H21">
        <v>0</v>
      </c>
      <c r="I21">
        <v>0</v>
      </c>
      <c r="J21">
        <v>0</v>
      </c>
      <c r="K21" s="14">
        <v>1.40378E-4</v>
      </c>
      <c r="L21">
        <v>2.9765946000000001E-3</v>
      </c>
      <c r="M21">
        <v>3.4686461699999997E-2</v>
      </c>
      <c r="N21">
        <v>0.13462350410000001</v>
      </c>
      <c r="O21">
        <v>0.19321403519999999</v>
      </c>
      <c r="P21">
        <v>0.13905781740000001</v>
      </c>
    </row>
    <row r="22" spans="1:16">
      <c r="A22" t="s">
        <v>400</v>
      </c>
      <c r="B22" t="s">
        <v>1</v>
      </c>
      <c r="C22" t="s">
        <v>133</v>
      </c>
      <c r="D22" t="s">
        <v>377</v>
      </c>
      <c r="E22" t="s">
        <v>322</v>
      </c>
      <c r="F22">
        <v>0</v>
      </c>
      <c r="G22">
        <v>0</v>
      </c>
      <c r="H22">
        <v>0</v>
      </c>
      <c r="I22">
        <v>0</v>
      </c>
      <c r="J22">
        <v>0</v>
      </c>
      <c r="K22" s="14">
        <v>2.2099199999999999E-4</v>
      </c>
      <c r="L22">
        <v>6.0902656000000003E-3</v>
      </c>
      <c r="M22">
        <v>0.118142288</v>
      </c>
      <c r="N22">
        <v>0.56121105100000002</v>
      </c>
      <c r="O22">
        <v>0.94319757599999998</v>
      </c>
      <c r="P22">
        <v>0.87215606849999905</v>
      </c>
    </row>
    <row r="23" spans="1:16">
      <c r="A23" t="s">
        <v>400</v>
      </c>
      <c r="B23" t="s">
        <v>1</v>
      </c>
      <c r="C23" t="s">
        <v>133</v>
      </c>
      <c r="D23" t="s">
        <v>379</v>
      </c>
      <c r="E23" t="s">
        <v>322</v>
      </c>
      <c r="F23">
        <v>0</v>
      </c>
      <c r="G23">
        <v>0</v>
      </c>
      <c r="H23">
        <v>0</v>
      </c>
      <c r="I23">
        <v>0</v>
      </c>
      <c r="J23">
        <v>0</v>
      </c>
      <c r="K23" s="14">
        <v>2.2497700000000001E-4</v>
      </c>
      <c r="L23">
        <v>6.2591369999999997E-3</v>
      </c>
      <c r="M23">
        <v>0.123867963</v>
      </c>
      <c r="N23">
        <v>0.59240802800000003</v>
      </c>
      <c r="O23">
        <v>0.99760412700000001</v>
      </c>
      <c r="P23">
        <v>0.92880953040000003</v>
      </c>
    </row>
    <row r="24" spans="1:16">
      <c r="A24" t="s">
        <v>400</v>
      </c>
      <c r="B24" t="s">
        <v>1</v>
      </c>
      <c r="C24" t="s">
        <v>136</v>
      </c>
      <c r="D24" t="s">
        <v>381</v>
      </c>
      <c r="E24" t="s">
        <v>323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1.12592E-2</v>
      </c>
      <c r="M24">
        <v>3.09084899999999E-2</v>
      </c>
      <c r="N24">
        <v>6.4702380000000004E-2</v>
      </c>
      <c r="O24">
        <v>0.11563587</v>
      </c>
      <c r="P24">
        <v>0.15533630999999901</v>
      </c>
    </row>
    <row r="25" spans="1:16">
      <c r="A25" t="s">
        <v>400</v>
      </c>
      <c r="B25" t="s">
        <v>1</v>
      </c>
      <c r="C25" t="s">
        <v>136</v>
      </c>
      <c r="D25" t="s">
        <v>384</v>
      </c>
      <c r="E25" t="s">
        <v>323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0.34898899999999999</v>
      </c>
      <c r="M25">
        <v>0.97023300000000001</v>
      </c>
      <c r="N25">
        <v>2.0329830000000002</v>
      </c>
      <c r="O25">
        <v>3.6420459999999899</v>
      </c>
      <c r="P25">
        <v>4.9652890000000003</v>
      </c>
    </row>
    <row r="26" spans="1:16">
      <c r="A26" t="s">
        <v>400</v>
      </c>
      <c r="B26" t="s">
        <v>1</v>
      </c>
      <c r="C26" t="s">
        <v>136</v>
      </c>
      <c r="D26" t="s">
        <v>385</v>
      </c>
      <c r="E26" t="s">
        <v>323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9.3509200000000001E-2</v>
      </c>
      <c r="M26">
        <v>0.26043260000000001</v>
      </c>
      <c r="N26">
        <v>0.54608590000000001</v>
      </c>
      <c r="O26">
        <v>0.97948489999999999</v>
      </c>
      <c r="P26">
        <v>1.3378833999999999</v>
      </c>
    </row>
    <row r="27" spans="1:16">
      <c r="A27" t="s">
        <v>400</v>
      </c>
      <c r="B27" t="s">
        <v>1</v>
      </c>
      <c r="C27" t="s">
        <v>32</v>
      </c>
      <c r="D27" t="s">
        <v>79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3.03515E-2</v>
      </c>
      <c r="L27">
        <v>0.2442879</v>
      </c>
      <c r="M27">
        <v>0.85939160000000003</v>
      </c>
      <c r="N27">
        <v>1.59035449</v>
      </c>
      <c r="O27">
        <v>2.2659918000000001</v>
      </c>
      <c r="P27">
        <v>2.0781289999999899</v>
      </c>
    </row>
    <row r="28" spans="1:16">
      <c r="A28" t="s">
        <v>400</v>
      </c>
      <c r="B28" t="s">
        <v>1</v>
      </c>
      <c r="C28" t="s">
        <v>32</v>
      </c>
      <c r="D28" t="s">
        <v>80</v>
      </c>
      <c r="E28" t="s">
        <v>36</v>
      </c>
      <c r="F28">
        <v>0</v>
      </c>
      <c r="G28">
        <v>0</v>
      </c>
      <c r="H28">
        <v>0</v>
      </c>
      <c r="I28">
        <v>0</v>
      </c>
      <c r="J28">
        <v>0</v>
      </c>
      <c r="K28">
        <v>2.8690400000000001E-2</v>
      </c>
      <c r="L28">
        <v>0.12544669999999999</v>
      </c>
      <c r="M28">
        <v>0.35879889999999998</v>
      </c>
      <c r="N28">
        <v>0.62088396999999995</v>
      </c>
      <c r="O28">
        <v>0.94095960000000001</v>
      </c>
      <c r="P28">
        <v>1.1952172999999999</v>
      </c>
    </row>
    <row r="29" spans="1:16">
      <c r="A29" t="s">
        <v>400</v>
      </c>
      <c r="B29" t="s">
        <v>1</v>
      </c>
      <c r="C29" t="s">
        <v>22</v>
      </c>
      <c r="D29" t="s">
        <v>19</v>
      </c>
      <c r="E29" t="s">
        <v>19</v>
      </c>
    </row>
    <row r="30" spans="1:16">
      <c r="A30" t="s">
        <v>400</v>
      </c>
      <c r="B30" t="s">
        <v>1</v>
      </c>
      <c r="C30" t="s">
        <v>190</v>
      </c>
      <c r="D30" t="s">
        <v>111</v>
      </c>
      <c r="E30" t="s">
        <v>111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 s="14">
        <v>2.9645399999999999E-5</v>
      </c>
      <c r="O30">
        <v>1.20593E-2</v>
      </c>
      <c r="P30">
        <v>5.2324999999999999</v>
      </c>
    </row>
    <row r="31" spans="1:16">
      <c r="A31" t="s">
        <v>400</v>
      </c>
      <c r="B31" t="s">
        <v>1</v>
      </c>
      <c r="C31" t="s">
        <v>148</v>
      </c>
      <c r="D31" t="s">
        <v>388</v>
      </c>
      <c r="E31" t="s">
        <v>389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0.100574</v>
      </c>
      <c r="O31">
        <v>0.64841599999999999</v>
      </c>
      <c r="P31">
        <v>1.07962</v>
      </c>
    </row>
    <row r="32" spans="1:16">
      <c r="A32" t="s">
        <v>400</v>
      </c>
      <c r="B32" t="s">
        <v>1</v>
      </c>
      <c r="C32" t="s">
        <v>148</v>
      </c>
      <c r="D32" t="s">
        <v>390</v>
      </c>
      <c r="E32" t="s">
        <v>389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0.101645</v>
      </c>
      <c r="O32">
        <v>0.76951599999999998</v>
      </c>
      <c r="P32">
        <v>1.3976949999999999</v>
      </c>
    </row>
    <row r="33" spans="1:16">
      <c r="A33" t="s">
        <v>400</v>
      </c>
      <c r="B33" t="s">
        <v>1</v>
      </c>
      <c r="C33" t="s">
        <v>148</v>
      </c>
      <c r="D33" t="s">
        <v>391</v>
      </c>
      <c r="E33" t="s">
        <v>389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3.9509700000000002E-2</v>
      </c>
      <c r="O33">
        <v>6.9782299999999894E-2</v>
      </c>
      <c r="P33">
        <v>8.7887799999999995E-3</v>
      </c>
    </row>
    <row r="34" spans="1:16">
      <c r="A34" t="s">
        <v>400</v>
      </c>
      <c r="B34" t="s">
        <v>1</v>
      </c>
      <c r="C34" t="s">
        <v>148</v>
      </c>
      <c r="D34" t="s">
        <v>392</v>
      </c>
      <c r="E34" t="s">
        <v>389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0.35529100000000002</v>
      </c>
      <c r="O34">
        <v>2.5892550000000001</v>
      </c>
      <c r="P34">
        <v>4.5827030000000004</v>
      </c>
    </row>
    <row r="35" spans="1:16">
      <c r="A35" t="s">
        <v>400</v>
      </c>
      <c r="B35" t="s">
        <v>1</v>
      </c>
      <c r="C35" t="s">
        <v>148</v>
      </c>
      <c r="D35" t="s">
        <v>393</v>
      </c>
      <c r="E35" t="s">
        <v>394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14">
        <v>8.9908799999999995E-5</v>
      </c>
      <c r="O35" s="14">
        <v>3.7922151999999999E-4</v>
      </c>
      <c r="P35" s="14">
        <v>2.9248186000000001E-4</v>
      </c>
    </row>
    <row r="36" spans="1:16">
      <c r="A36" t="s">
        <v>400</v>
      </c>
      <c r="B36" t="s">
        <v>1</v>
      </c>
      <c r="C36" t="s">
        <v>148</v>
      </c>
      <c r="D36" t="s">
        <v>395</v>
      </c>
      <c r="E36" t="s">
        <v>394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 s="14">
        <v>6.7054100000000006E-5</v>
      </c>
      <c r="O36" s="14">
        <v>3.8973920000000002E-4</v>
      </c>
      <c r="P36" s="14">
        <v>4.2089672300000001E-4</v>
      </c>
    </row>
    <row r="37" spans="1:16">
      <c r="K37" s="14">
        <f>SUM(K3:K36)*ghg_sort!$B$6</f>
        <v>0.35154330603333372</v>
      </c>
    </row>
    <row r="39" spans="1:16">
      <c r="E39" s="4"/>
      <c r="F39" s="4">
        <v>2025</v>
      </c>
      <c r="G39" s="4">
        <v>2030</v>
      </c>
      <c r="H39" s="4">
        <v>2035</v>
      </c>
      <c r="I39" s="4">
        <v>2040</v>
      </c>
      <c r="J39" s="4">
        <v>2045</v>
      </c>
      <c r="K39" s="4">
        <v>2050</v>
      </c>
    </row>
    <row r="40" spans="1:16">
      <c r="E40" s="4" t="s">
        <v>370</v>
      </c>
      <c r="F40" s="14">
        <f>K3*ghg_sort!$B$6</f>
        <v>1.7307070000000015E-4</v>
      </c>
      <c r="G40" s="4">
        <f>L3*ghg_sort!$B$6</f>
        <v>2.9530856666666692E-2</v>
      </c>
      <c r="H40" s="4">
        <f>M3*ghg_sort!$B$6</f>
        <v>2.4815963333333357</v>
      </c>
      <c r="I40" s="4">
        <f>N3*ghg_sort!$B$6</f>
        <v>10.509620000000011</v>
      </c>
      <c r="J40" s="4">
        <f>O3*ghg_sort!$B$6</f>
        <v>12.976186666666678</v>
      </c>
      <c r="K40" s="4">
        <f>P3*ghg_sort!$B$6</f>
        <v>11.273753333333344</v>
      </c>
    </row>
    <row r="41" spans="1:16">
      <c r="E41" s="4" t="s">
        <v>372</v>
      </c>
      <c r="F41" s="4">
        <f>K4*ghg_sort!$B$6</f>
        <v>0.11249663333333344</v>
      </c>
      <c r="G41" s="4">
        <f>L4*ghg_sort!$B$6</f>
        <v>0.53417466666666724</v>
      </c>
      <c r="H41" s="4">
        <f>M4*ghg_sort!$B$6</f>
        <v>1.415868666666668</v>
      </c>
      <c r="I41" s="4">
        <f>N4*ghg_sort!$B$6</f>
        <v>2.4381060000000025</v>
      </c>
      <c r="J41" s="4">
        <f>O4*ghg_sort!$B$6</f>
        <v>3.2884646666666697</v>
      </c>
      <c r="K41" s="4">
        <f>P4*ghg_sort!$B$6</f>
        <v>3.6976866666666699</v>
      </c>
    </row>
    <row r="42" spans="1:16">
      <c r="E42" s="4" t="s">
        <v>374</v>
      </c>
      <c r="F42" s="14">
        <f>K5*ghg_sort!$B$6</f>
        <v>3.6993000000000039E-3</v>
      </c>
      <c r="G42" s="4">
        <f>L5*ghg_sort!$B$6</f>
        <v>0.13745893333333348</v>
      </c>
      <c r="H42" s="4">
        <f>M5*ghg_sort!$B$6</f>
        <v>0.98410400000000098</v>
      </c>
      <c r="I42" s="4">
        <f>N5*ghg_sort!$B$6</f>
        <v>2.602020666666669</v>
      </c>
      <c r="J42" s="4">
        <f>O5*ghg_sort!$B$6</f>
        <v>4.2095900000000039</v>
      </c>
      <c r="K42" s="4">
        <f>P5*ghg_sort!$B$6</f>
        <v>4.8643466666666715</v>
      </c>
    </row>
    <row r="43" spans="1:16">
      <c r="E43" s="4" t="s">
        <v>376</v>
      </c>
      <c r="F43" s="14">
        <f>K6*ghg_sort!$B$6</f>
        <v>1.499787666666668E-4</v>
      </c>
      <c r="G43" s="4">
        <f>L6*ghg_sort!$B$6</f>
        <v>2.0113866666666685E-3</v>
      </c>
      <c r="H43" s="4">
        <f>M6*ghg_sort!$B$6</f>
        <v>1.9730511900000018E-2</v>
      </c>
      <c r="I43" s="4">
        <f>N6*ghg_sort!$B$6</f>
        <v>7.2690069100000074E-2</v>
      </c>
      <c r="J43" s="4">
        <f>O6*ghg_sort!$B$6</f>
        <v>0.12125057633333346</v>
      </c>
      <c r="K43" s="4">
        <f>P6*ghg_sort!$B$6</f>
        <v>0.15523474307000015</v>
      </c>
    </row>
    <row r="44" spans="1:16">
      <c r="E44" s="4" t="s">
        <v>378</v>
      </c>
      <c r="F44" s="4">
        <f>K7*ghg_sort!$B$6</f>
        <v>0</v>
      </c>
      <c r="G44" s="4">
        <f>L7*ghg_sort!$B$6</f>
        <v>0</v>
      </c>
      <c r="H44" s="4">
        <f>M7*ghg_sort!$B$6</f>
        <v>0.33982850000000031</v>
      </c>
      <c r="I44" s="4">
        <f>N7*ghg_sort!$B$6</f>
        <v>4.3908062000000037</v>
      </c>
      <c r="J44" s="4">
        <f>O7*ghg_sort!$B$6</f>
        <v>6.0435422666666723</v>
      </c>
      <c r="K44" s="4">
        <f>P7*ghg_sort!$B$6</f>
        <v>6.0014449000000054</v>
      </c>
    </row>
    <row r="45" spans="1:16">
      <c r="E45" s="4" t="s">
        <v>380</v>
      </c>
      <c r="F45" s="4">
        <f>SUM(K8:K10)*ghg_sort!$B$6</f>
        <v>0</v>
      </c>
      <c r="G45" s="4">
        <f>SUM(L8:L10)*ghg_sort!$B$6</f>
        <v>0</v>
      </c>
      <c r="H45" s="4">
        <f>SUM(M8:M10)*ghg_sort!$B$6</f>
        <v>0</v>
      </c>
      <c r="I45" s="4">
        <f>SUM(N8:N10)*ghg_sort!$B$6</f>
        <v>2.7415164700000027E-4</v>
      </c>
      <c r="J45" s="4">
        <f>SUM(O8:O10)*ghg_sort!$B$6</f>
        <v>0.11161961766633344</v>
      </c>
      <c r="K45" s="4">
        <f>SUM(P8:P10)*ghg_sort!$B$6</f>
        <v>48.72956834802838</v>
      </c>
    </row>
    <row r="46" spans="1:16">
      <c r="E46" s="4" t="s">
        <v>383</v>
      </c>
      <c r="F46" s="14">
        <f>SUM(K17:K23)*ghg_sort!$B$6</f>
        <v>8.7953774333333415E-3</v>
      </c>
      <c r="G46" s="4">
        <f>SUM(L11,L17:L23,L31:L34)*ghg_sort!$B$6</f>
        <v>0.22981106683333352</v>
      </c>
      <c r="H46" s="4">
        <f>SUM(M11,M17:M23,M31:M34)*ghg_sort!$B$6</f>
        <v>3.3548384265000029</v>
      </c>
      <c r="I46" s="4">
        <f>SUM(N11,N17:N23,N31:N34)*ghg_sort!$B$6</f>
        <v>16.983498432633347</v>
      </c>
      <c r="J46" s="4">
        <f>SUM(O11,O17:O23,O31:O34)*ghg_sort!$B$6</f>
        <v>41.009810114166697</v>
      </c>
      <c r="K46" s="4">
        <f>SUM(P11,P17:P23,P31:P34)*ghg_sort!$B$6</f>
        <v>55.139835636600054</v>
      </c>
    </row>
    <row r="47" spans="1:16">
      <c r="E47" s="4" t="s">
        <v>382</v>
      </c>
      <c r="F47" s="4">
        <f>SUM(K24:K26,K30)*ghg_sort!$B$6</f>
        <v>0</v>
      </c>
      <c r="G47" s="4">
        <f>SUM(L13,L24:L26,L30)*ghg_sort!$B$6</f>
        <v>1.7399434800000015</v>
      </c>
      <c r="H47" s="4">
        <f>SUM(M13,M24:M26,M30)*ghg_sort!$B$6</f>
        <v>5.1168046966666667</v>
      </c>
      <c r="I47" s="4">
        <f>SUM(N13,N24:N26,N30)*ghg_sort!$B$6</f>
        <v>10.892848433133345</v>
      </c>
      <c r="J47" s="4">
        <f>SUM(O13,O24:O26,O30)*ghg_sort!$B$6</f>
        <v>19.085731452333313</v>
      </c>
      <c r="K47" s="4">
        <f>SUM(P13,P24:P26,P30)*ghg_sort!$B$6</f>
        <v>44.822923717000037</v>
      </c>
    </row>
    <row r="48" spans="1:16">
      <c r="E48" s="4" t="s">
        <v>386</v>
      </c>
      <c r="F48" s="4">
        <f>SUM(K31:K34)*ghg_sort!$B$6</f>
        <v>0</v>
      </c>
      <c r="G48" s="4">
        <f>SUM(L31:L34)*ghg_sort!$B$6</f>
        <v>0</v>
      </c>
      <c r="H48" s="4">
        <f>SUM(M31:M34)*ghg_sort!$B$6</f>
        <v>0</v>
      </c>
      <c r="I48" s="4">
        <f>SUM(N31:N34)*ghg_sort!$B$6</f>
        <v>2.1890722333333357</v>
      </c>
      <c r="J48" s="4">
        <f>SUM(O31:O34)*ghg_sort!$B$6</f>
        <v>14.948887433333347</v>
      </c>
      <c r="K48" s="4">
        <f>SUM(P31:P34)*ghg_sort!$B$6</f>
        <v>25.91895819333336</v>
      </c>
    </row>
    <row r="49" spans="5:33">
      <c r="E49" s="4" t="s">
        <v>387</v>
      </c>
      <c r="F49" s="4">
        <f>SUM(K35:K36)*ghg_sort!$B$6</f>
        <v>0</v>
      </c>
      <c r="G49" s="4">
        <f>SUM(L4,L12,L35:L36)*ghg_sort!$B$6</f>
        <v>0.53730120253333391</v>
      </c>
      <c r="H49" s="4">
        <f>SUM(M4,M12,M35:M36)*ghg_sort!$B$6</f>
        <v>1.4405091297666679</v>
      </c>
      <c r="I49" s="4">
        <f>SUM(N4,N12,N35:N36)*ghg_sort!$B$6</f>
        <v>2.5056066181666692</v>
      </c>
      <c r="J49" s="4">
        <f>SUM(O4,O12,O35:O36)*ghg_sort!$B$6</f>
        <v>3.3828123238066699</v>
      </c>
      <c r="K49" s="4">
        <f>SUM(P4,P12,P35:P36)*ghg_sort!$B$6</f>
        <v>3.8039019023976697</v>
      </c>
    </row>
    <row r="50" spans="5:33" s="13" customFormat="1">
      <c r="E50" s="4" t="s">
        <v>397</v>
      </c>
      <c r="F50" s="14">
        <f>SUM(K11:K14)*ghg_sort!$B$6</f>
        <v>9.7419791333333422E-3</v>
      </c>
      <c r="G50" s="4">
        <f>SUM(L11:L14)*ghg_sort!$B$6</f>
        <v>0.17569643153333347</v>
      </c>
      <c r="H50" s="4">
        <f>SUM(M11:M14)*ghg_sort!$B$6</f>
        <v>1.4846547440999942</v>
      </c>
      <c r="I50" s="4">
        <f>SUM(N11:N14)*ghg_sort!$B$6</f>
        <v>4.1298370285333368</v>
      </c>
      <c r="J50" s="4">
        <f>SUM(O11:O14)*ghg_sort!$B$6</f>
        <v>5.6443396845000047</v>
      </c>
      <c r="K50" s="4">
        <f>SUM(P11:P14)*ghg_sort!$B$6</f>
        <v>6.3927357034933356</v>
      </c>
    </row>
    <row r="51" spans="5:33" s="13" customFormat="1">
      <c r="E51" s="4" t="s">
        <v>398</v>
      </c>
      <c r="F51" s="4">
        <f>SUM(K27:K28)*ghg_sort!$B$6</f>
        <v>0.21648696666666686</v>
      </c>
      <c r="G51" s="4">
        <f>SUM(L27:L28)*ghg_sort!$B$6</f>
        <v>1.3556935333333346</v>
      </c>
      <c r="H51" s="4">
        <f>SUM(M27:M28)*ghg_sort!$B$6</f>
        <v>4.4666985000000041</v>
      </c>
      <c r="I51" s="4">
        <f>SUM(N27:N28)*ghg_sort!$B$6</f>
        <v>8.1078743533333402</v>
      </c>
      <c r="J51" s="4">
        <f>SUM(O27:O28)*ghg_sort!$B$6</f>
        <v>11.758821800000012</v>
      </c>
      <c r="K51" s="4">
        <f>SUM(P27:P28)*ghg_sort!$B$6</f>
        <v>12.002269766666641</v>
      </c>
    </row>
    <row r="52" spans="5:33">
      <c r="E52" s="4"/>
      <c r="F52" s="14">
        <f>SUM(F40:F51)</f>
        <v>0.35154330603333361</v>
      </c>
      <c r="G52" s="4"/>
      <c r="H52" s="4"/>
      <c r="I52" s="4"/>
      <c r="J52" s="4"/>
      <c r="K52" s="4"/>
    </row>
    <row r="54" spans="5:33">
      <c r="K54">
        <f>SUM(F40:K51)</f>
        <v>436.40376873847629</v>
      </c>
    </row>
    <row r="56" spans="5:33">
      <c r="F56">
        <v>2025</v>
      </c>
      <c r="G56">
        <v>2026</v>
      </c>
      <c r="H56">
        <v>2027</v>
      </c>
      <c r="I56" s="13">
        <v>2028</v>
      </c>
      <c r="J56" s="13">
        <v>2029</v>
      </c>
      <c r="K56" s="13">
        <v>2030</v>
      </c>
      <c r="L56" s="13">
        <v>2031</v>
      </c>
      <c r="M56" s="13">
        <v>2032</v>
      </c>
      <c r="N56" s="13">
        <v>2033</v>
      </c>
      <c r="O56" s="13">
        <v>2034</v>
      </c>
      <c r="P56" s="13">
        <v>2035</v>
      </c>
      <c r="Q56" s="13">
        <v>2036</v>
      </c>
      <c r="R56" s="13">
        <v>2037</v>
      </c>
      <c r="S56" s="13">
        <v>2038</v>
      </c>
      <c r="T56" s="13">
        <v>2039</v>
      </c>
      <c r="U56" s="13">
        <v>2040</v>
      </c>
      <c r="V56" s="13">
        <v>2041</v>
      </c>
      <c r="W56" s="13">
        <v>2042</v>
      </c>
      <c r="X56" s="13">
        <v>2043</v>
      </c>
      <c r="Y56" s="13">
        <v>2044</v>
      </c>
      <c r="Z56" s="13">
        <v>2045</v>
      </c>
      <c r="AA56" s="13">
        <v>2046</v>
      </c>
      <c r="AB56" s="13">
        <v>2047</v>
      </c>
      <c r="AC56" s="13">
        <v>2048</v>
      </c>
      <c r="AD56" s="13">
        <v>2049</v>
      </c>
      <c r="AE56" s="13">
        <v>2050</v>
      </c>
    </row>
    <row r="57" spans="5:33">
      <c r="E57" s="4" t="s">
        <v>370</v>
      </c>
      <c r="F57" s="14">
        <v>1.7307070000000587E-4</v>
      </c>
      <c r="G57" s="14">
        <v>6.0446278933333417E-3</v>
      </c>
      <c r="H57" s="14">
        <v>1.1916185086666678E-2</v>
      </c>
      <c r="I57" s="14">
        <v>1.7787742280000012E-2</v>
      </c>
      <c r="J57" s="14">
        <v>2.3659299473333346E-2</v>
      </c>
      <c r="K57" s="14">
        <v>2.9530856666666688E-2</v>
      </c>
      <c r="P57" s="4">
        <v>2.4815963333333357</v>
      </c>
      <c r="U57" s="4">
        <v>10.509620000000011</v>
      </c>
      <c r="Z57" s="4">
        <v>12.976186666666678</v>
      </c>
      <c r="AE57" s="4">
        <v>11.273753333333344</v>
      </c>
    </row>
    <row r="58" spans="5:33">
      <c r="E58" s="4" t="s">
        <v>372</v>
      </c>
      <c r="F58" s="14">
        <v>0.11249663333333358</v>
      </c>
      <c r="G58" s="14">
        <v>0.1968322400000003</v>
      </c>
      <c r="H58" s="14">
        <v>0.281167846666667</v>
      </c>
      <c r="I58" s="14">
        <v>0.36550345333333373</v>
      </c>
      <c r="J58" s="14">
        <v>0.44983906000000046</v>
      </c>
      <c r="K58" s="14">
        <v>0.53417466666666713</v>
      </c>
      <c r="P58" s="4">
        <v>1.415868666666668</v>
      </c>
      <c r="U58" s="4">
        <v>2.4381060000000025</v>
      </c>
      <c r="Z58" s="4">
        <v>3.2884646666666697</v>
      </c>
      <c r="AE58" s="4">
        <v>3.6976866666666699</v>
      </c>
    </row>
    <row r="59" spans="5:33">
      <c r="E59" s="4" t="s">
        <v>374</v>
      </c>
      <c r="F59" s="14">
        <f t="shared" ref="F59:F68" si="0">F42</f>
        <v>3.6993000000000039E-3</v>
      </c>
      <c r="K59" s="4">
        <v>0.13745893333333348</v>
      </c>
      <c r="P59" s="4">
        <v>0.98410400000000098</v>
      </c>
      <c r="U59" s="4">
        <v>2.602020666666669</v>
      </c>
      <c r="Z59" s="4">
        <v>4.2095900000000039</v>
      </c>
      <c r="AE59" s="4">
        <v>4.8643466666666715</v>
      </c>
    </row>
    <row r="60" spans="5:33">
      <c r="E60" s="4" t="s">
        <v>376</v>
      </c>
      <c r="F60" s="14">
        <f t="shared" si="0"/>
        <v>1.499787666666668E-4</v>
      </c>
      <c r="K60" s="4">
        <v>2.0113866666666685E-3</v>
      </c>
      <c r="P60" s="4">
        <v>1.9730511900000018E-2</v>
      </c>
      <c r="U60" s="4">
        <v>7.2690069100000074E-2</v>
      </c>
      <c r="Z60" s="4">
        <v>0.12125057633333346</v>
      </c>
      <c r="AE60" s="4">
        <v>0.15523474307000015</v>
      </c>
    </row>
    <row r="61" spans="5:33">
      <c r="E61" s="4" t="s">
        <v>378</v>
      </c>
      <c r="F61" s="14">
        <f t="shared" si="0"/>
        <v>0</v>
      </c>
      <c r="K61" s="4">
        <v>0</v>
      </c>
      <c r="P61" s="4">
        <v>0.33982850000000031</v>
      </c>
      <c r="U61" s="4">
        <v>4.3908062000000037</v>
      </c>
      <c r="Z61" s="4">
        <v>6.0435422666666723</v>
      </c>
      <c r="AE61" s="4">
        <v>6.0014449000000054</v>
      </c>
    </row>
    <row r="62" spans="5:33">
      <c r="E62" s="4" t="s">
        <v>380</v>
      </c>
      <c r="F62" s="14">
        <f t="shared" si="0"/>
        <v>0</v>
      </c>
      <c r="K62" s="4">
        <v>0</v>
      </c>
      <c r="P62" s="4">
        <v>0</v>
      </c>
      <c r="U62" s="4">
        <v>2.7415164700000027E-4</v>
      </c>
      <c r="Z62" s="4">
        <v>0.11161961766633344</v>
      </c>
      <c r="AE62" s="4">
        <v>48.72956834802838</v>
      </c>
    </row>
    <row r="63" spans="5:33">
      <c r="E63" s="4" t="s">
        <v>383</v>
      </c>
      <c r="F63" s="14">
        <v>8.795377433333397E-3</v>
      </c>
      <c r="G63" s="14">
        <v>5.2998515313333411E-2</v>
      </c>
      <c r="H63" s="14">
        <v>9.7201653193333418E-2</v>
      </c>
      <c r="I63" s="14">
        <v>0.14140479107333342</v>
      </c>
      <c r="J63" s="14">
        <v>0.18560792895333345</v>
      </c>
      <c r="K63" s="14">
        <v>0.22981106683333408</v>
      </c>
      <c r="L63" s="14">
        <v>0.85481653876666774</v>
      </c>
      <c r="M63" s="14">
        <v>1.4798220107000015</v>
      </c>
      <c r="N63" s="14">
        <v>2.1048274826333353</v>
      </c>
      <c r="O63" s="14">
        <v>2.7298329545666684</v>
      </c>
      <c r="P63" s="14">
        <v>3.3548384265000033</v>
      </c>
      <c r="Q63" s="14">
        <v>6.0805704277266717</v>
      </c>
      <c r="R63" s="14">
        <v>8.8063024289533409</v>
      </c>
      <c r="S63" s="14">
        <v>11.532034430180008</v>
      </c>
      <c r="T63" s="14">
        <v>14.257766431406676</v>
      </c>
      <c r="U63" s="14">
        <v>16.983498432633347</v>
      </c>
      <c r="V63" s="14">
        <v>21.788760768940016</v>
      </c>
      <c r="W63" s="14">
        <v>26.594023105246688</v>
      </c>
      <c r="X63" s="14">
        <v>31.399285441553356</v>
      </c>
      <c r="Y63" s="14">
        <v>36.204547777860029</v>
      </c>
      <c r="Z63" s="14">
        <v>41.009810114166697</v>
      </c>
      <c r="AA63" s="14">
        <v>43.835815218653373</v>
      </c>
      <c r="AB63" s="14">
        <v>46.661820323140041</v>
      </c>
      <c r="AC63" s="14">
        <v>49.487825427626717</v>
      </c>
      <c r="AD63" s="14">
        <v>52.313830532113386</v>
      </c>
      <c r="AE63" s="14">
        <v>55.139835636600054</v>
      </c>
      <c r="AG63" s="14">
        <f>SUM(F63:AE64)</f>
        <v>791.98109470443387</v>
      </c>
    </row>
    <row r="64" spans="5:33">
      <c r="E64" s="4" t="s">
        <v>382</v>
      </c>
      <c r="F64" s="14">
        <v>1.1102230246251565E-16</v>
      </c>
      <c r="G64" s="14">
        <v>0.34798869600000037</v>
      </c>
      <c r="H64" s="14">
        <v>0.69597739200000064</v>
      </c>
      <c r="I64" s="14">
        <v>1.0439660880000008</v>
      </c>
      <c r="J64" s="14">
        <v>1.3919547840000011</v>
      </c>
      <c r="K64" s="14">
        <v>1.7399434800000018</v>
      </c>
      <c r="L64" s="14">
        <v>2.4153157233333351</v>
      </c>
      <c r="M64" s="14">
        <v>3.090687966666668</v>
      </c>
      <c r="N64" s="14">
        <v>3.7660602100000009</v>
      </c>
      <c r="O64" s="14">
        <v>4.4414324533333343</v>
      </c>
      <c r="P64" s="14">
        <v>5.1168046966666685</v>
      </c>
      <c r="Q64" s="14">
        <v>6.2720134439600042</v>
      </c>
      <c r="R64" s="14">
        <v>7.4272221912533389</v>
      </c>
      <c r="S64" s="14">
        <v>8.5824309385466755</v>
      </c>
      <c r="T64" s="14">
        <v>9.7376396858400103</v>
      </c>
      <c r="U64" s="14">
        <v>10.892848433133345</v>
      </c>
      <c r="V64" s="14">
        <v>12.531425036973339</v>
      </c>
      <c r="W64" s="14">
        <v>14.170001640813332</v>
      </c>
      <c r="X64" s="14">
        <v>15.808578244653326</v>
      </c>
      <c r="Y64" s="14">
        <v>17.447154848493319</v>
      </c>
      <c r="Z64" s="14">
        <v>19.08573145233332</v>
      </c>
      <c r="AA64" s="14">
        <v>24.233169905266664</v>
      </c>
      <c r="AB64" s="14">
        <v>29.380608358200003</v>
      </c>
      <c r="AC64" s="14">
        <v>34.528046811133351</v>
      </c>
      <c r="AD64" s="14">
        <v>39.675485264066694</v>
      </c>
      <c r="AE64" s="14">
        <v>44.82292371700003</v>
      </c>
    </row>
    <row r="65" spans="5:31">
      <c r="E65" s="4" t="s">
        <v>386</v>
      </c>
      <c r="F65" s="14">
        <f t="shared" si="0"/>
        <v>0</v>
      </c>
      <c r="K65" s="4">
        <v>0</v>
      </c>
      <c r="P65" s="4">
        <v>0</v>
      </c>
      <c r="U65" s="4">
        <v>2.1890722333333357</v>
      </c>
      <c r="Z65" s="4">
        <v>14.948887433333347</v>
      </c>
      <c r="AE65" s="4">
        <v>25.91895819333336</v>
      </c>
    </row>
    <row r="66" spans="5:31">
      <c r="E66" s="4" t="s">
        <v>387</v>
      </c>
      <c r="F66" s="14">
        <f t="shared" si="0"/>
        <v>0</v>
      </c>
      <c r="K66" s="4">
        <v>0.53730120253333391</v>
      </c>
      <c r="P66" s="4">
        <v>1.4405091297666679</v>
      </c>
      <c r="U66" s="4">
        <v>2.5056066181666692</v>
      </c>
      <c r="Z66" s="4">
        <v>3.3828123238066699</v>
      </c>
      <c r="AE66" s="4">
        <v>3.8039019023976697</v>
      </c>
    </row>
    <row r="67" spans="5:31">
      <c r="E67" s="4" t="s">
        <v>397</v>
      </c>
      <c r="F67" s="14">
        <f t="shared" si="0"/>
        <v>9.7419791333333422E-3</v>
      </c>
      <c r="K67" s="4">
        <v>0.17569643153333347</v>
      </c>
      <c r="P67" s="4">
        <v>1.4846547440999942</v>
      </c>
      <c r="U67" s="4">
        <v>4.1298370285333368</v>
      </c>
      <c r="Z67" s="4">
        <v>5.6443396845000047</v>
      </c>
      <c r="AE67" s="4">
        <v>6.3927357034933356</v>
      </c>
    </row>
    <row r="68" spans="5:31">
      <c r="E68" s="4" t="s">
        <v>398</v>
      </c>
      <c r="F68" s="14">
        <f t="shared" si="0"/>
        <v>0.21648696666666686</v>
      </c>
      <c r="K68" s="4">
        <v>1.3556935333333346</v>
      </c>
      <c r="P68" s="4">
        <v>4.4666985000000041</v>
      </c>
      <c r="U68" s="4">
        <v>8.1078743533333402</v>
      </c>
      <c r="Z68" s="4">
        <v>11.758821800000012</v>
      </c>
      <c r="AE68" s="4">
        <v>12.002269766666641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FA5C6-99BE-404B-9F54-FA1D4031A80A}">
  <dimension ref="A1:AB119"/>
  <sheetViews>
    <sheetView zoomScale="70" zoomScaleNormal="70" workbookViewId="0">
      <selection activeCell="D34" sqref="D34"/>
    </sheetView>
  </sheetViews>
  <sheetFormatPr defaultColWidth="8.69921875" defaultRowHeight="17.399999999999999"/>
  <cols>
    <col min="1" max="2" width="8.69921875" style="13"/>
    <col min="3" max="3" width="24.8984375" style="13" bestFit="1" customWidth="1"/>
    <col min="4" max="4" width="22.09765625" style="13" bestFit="1" customWidth="1"/>
    <col min="5" max="16384" width="8.69921875" style="13"/>
  </cols>
  <sheetData>
    <row r="1" spans="1:28">
      <c r="A1" s="1" t="s">
        <v>180</v>
      </c>
    </row>
    <row r="2" spans="1:28">
      <c r="A2" s="13" t="s">
        <v>8</v>
      </c>
      <c r="B2" s="13" t="s">
        <v>9</v>
      </c>
      <c r="C2" s="13" t="s">
        <v>39</v>
      </c>
      <c r="E2" s="13">
        <v>1990</v>
      </c>
      <c r="F2" s="13">
        <v>2005</v>
      </c>
      <c r="G2" s="13">
        <v>2010</v>
      </c>
      <c r="H2" s="13">
        <v>2015</v>
      </c>
      <c r="I2" s="13">
        <v>2020</v>
      </c>
      <c r="J2" s="13">
        <v>2025</v>
      </c>
      <c r="K2" s="13">
        <v>2030</v>
      </c>
      <c r="L2" s="13">
        <v>2035</v>
      </c>
      <c r="M2" s="13">
        <v>2040</v>
      </c>
      <c r="N2" s="13">
        <v>2045</v>
      </c>
      <c r="O2" s="13">
        <v>2050</v>
      </c>
      <c r="P2" s="13" t="s">
        <v>76</v>
      </c>
    </row>
    <row r="3" spans="1:28">
      <c r="A3" s="13" t="s">
        <v>261</v>
      </c>
      <c r="B3" s="13" t="s">
        <v>1</v>
      </c>
      <c r="C3" s="13" t="s">
        <v>140</v>
      </c>
      <c r="D3" s="13" t="str">
        <f>VLOOKUP(C3,ghg_sort!$A$35:$B$82,2,0)</f>
        <v>Industry</v>
      </c>
      <c r="E3" s="13">
        <f>R3*ghg_sort!$B$6</f>
        <v>0</v>
      </c>
      <c r="F3" s="13">
        <f>S3*ghg_sort!$B$6</f>
        <v>0</v>
      </c>
      <c r="G3" s="13">
        <f>T3*ghg_sort!$B$6</f>
        <v>0</v>
      </c>
      <c r="H3" s="13">
        <f>U3*ghg_sort!$B$6</f>
        <v>0</v>
      </c>
      <c r="I3" s="13">
        <f>V3*ghg_sort!$B$6</f>
        <v>5.0088101428110217E-2</v>
      </c>
      <c r="J3" s="13">
        <f>W3*ghg_sort!$B$6</f>
        <v>0.29082706781929374</v>
      </c>
      <c r="K3" s="13">
        <f>X3*ghg_sort!$B$6</f>
        <v>0.79358238391950542</v>
      </c>
      <c r="L3" s="13">
        <f>Y3*ghg_sort!$B$6</f>
        <v>1.6311961684842795</v>
      </c>
      <c r="M3" s="13">
        <f>Z3*ghg_sort!$B$6</f>
        <v>2.364562052636372</v>
      </c>
      <c r="N3" s="13">
        <f>AA3*ghg_sort!$B$6</f>
        <v>2.8747170347159647</v>
      </c>
      <c r="O3" s="13">
        <f>AB3*ghg_sort!$B$6</f>
        <v>3.0317019296038668</v>
      </c>
      <c r="P3" s="13" t="s">
        <v>171</v>
      </c>
      <c r="R3" s="13">
        <v>0</v>
      </c>
      <c r="S3" s="13">
        <v>0</v>
      </c>
      <c r="T3" s="13">
        <v>0</v>
      </c>
      <c r="U3" s="13">
        <v>0</v>
      </c>
      <c r="V3" s="13">
        <v>1.36603912985755E-2</v>
      </c>
      <c r="W3" s="13">
        <v>7.9316473041625493E-2</v>
      </c>
      <c r="X3" s="13">
        <v>0.21643155925077401</v>
      </c>
      <c r="Y3" s="13">
        <v>0.44487168231389401</v>
      </c>
      <c r="Z3" s="13">
        <v>0.64488055980991899</v>
      </c>
      <c r="AA3" s="13">
        <v>0.78401373674071695</v>
      </c>
      <c r="AB3" s="13">
        <v>0.82682779898287195</v>
      </c>
    </row>
    <row r="4" spans="1:28">
      <c r="A4" s="13" t="s">
        <v>261</v>
      </c>
      <c r="B4" s="13" t="s">
        <v>1</v>
      </c>
      <c r="C4" s="13" t="s">
        <v>141</v>
      </c>
      <c r="D4" s="13" t="str">
        <f>VLOOKUP(C4,ghg_sort!$A$35:$B$82,2,0)</f>
        <v>Industry</v>
      </c>
      <c r="E4" s="13">
        <f>R4*ghg_sort!$B$6</f>
        <v>0</v>
      </c>
      <c r="F4" s="13">
        <f>S4*ghg_sort!$B$6</f>
        <v>0</v>
      </c>
      <c r="G4" s="13">
        <f>T4*ghg_sort!$B$6</f>
        <v>0</v>
      </c>
      <c r="H4" s="13">
        <f>U4*ghg_sort!$B$6</f>
        <v>0</v>
      </c>
      <c r="I4" s="13">
        <f>V4*ghg_sort!$B$6</f>
        <v>3.5015869534214983E-2</v>
      </c>
      <c r="J4" s="13">
        <f>W4*ghg_sort!$B$6</f>
        <v>0.2032058784968841</v>
      </c>
      <c r="K4" s="13">
        <f>X4*ghg_sort!$B$6</f>
        <v>0.53068232169332641</v>
      </c>
      <c r="L4" s="13">
        <f>Y4*ghg_sort!$B$6</f>
        <v>1.0624014867205274</v>
      </c>
      <c r="M4" s="13">
        <f>Z4*ghg_sort!$B$6</f>
        <v>1.6873572221065685</v>
      </c>
      <c r="N4" s="13">
        <f>AA4*ghg_sort!$B$6</f>
        <v>2.0823768502790605</v>
      </c>
      <c r="O4" s="13">
        <f>AB4*ghg_sort!$B$6</f>
        <v>2.2792686330159997</v>
      </c>
      <c r="P4" s="13" t="s">
        <v>171</v>
      </c>
      <c r="R4" s="13">
        <v>0</v>
      </c>
      <c r="S4" s="13">
        <v>0</v>
      </c>
      <c r="T4" s="13">
        <v>0</v>
      </c>
      <c r="U4" s="13">
        <v>0</v>
      </c>
      <c r="V4" s="13">
        <v>9.5497826002404404E-3</v>
      </c>
      <c r="W4" s="13">
        <v>5.5419785044604701E-2</v>
      </c>
      <c r="X4" s="13">
        <v>0.14473154227999799</v>
      </c>
      <c r="Y4" s="13">
        <v>0.28974586001468899</v>
      </c>
      <c r="Z4" s="13">
        <v>0.46018833330179099</v>
      </c>
      <c r="AA4" s="13">
        <v>0.56792095916701602</v>
      </c>
      <c r="AB4" s="13">
        <v>0.62161871809527203</v>
      </c>
    </row>
    <row r="5" spans="1:28">
      <c r="A5" s="13" t="s">
        <v>261</v>
      </c>
      <c r="B5" s="13" t="s">
        <v>1</v>
      </c>
      <c r="C5" s="13" t="s">
        <v>63</v>
      </c>
      <c r="D5" s="13" t="str">
        <f>VLOOKUP(C5,ghg_sort!$A$35:$B$82,2,0)</f>
        <v>Industry</v>
      </c>
      <c r="E5" s="13">
        <f>R5*ghg_sort!$B$6</f>
        <v>2.1263130613577585</v>
      </c>
      <c r="F5" s="13">
        <f>S5*ghg_sort!$B$6</f>
        <v>0.80629536474832475</v>
      </c>
      <c r="G5" s="13">
        <f>T5*ghg_sort!$B$6</f>
        <v>0.64856045232603954</v>
      </c>
      <c r="H5" s="13">
        <f>U5*ghg_sort!$B$6</f>
        <v>0.33665395423484695</v>
      </c>
      <c r="I5" s="13">
        <f>V5*ghg_sort!$B$6</f>
        <v>0.34733876618253667</v>
      </c>
      <c r="J5" s="13">
        <f>W5*ghg_sort!$B$6</f>
        <v>0.35025907305270748</v>
      </c>
      <c r="K5" s="13">
        <f>X5*ghg_sort!$B$6</f>
        <v>0.34198912634225825</v>
      </c>
      <c r="L5" s="13">
        <f>Y5*ghg_sort!$B$6</f>
        <v>0.31059933553952263</v>
      </c>
      <c r="M5" s="13">
        <f>Z5*ghg_sort!$B$6</f>
        <v>0.27202460788775934</v>
      </c>
      <c r="N5" s="13">
        <f>AA5*ghg_sort!$B$6</f>
        <v>0.25128525341727193</v>
      </c>
      <c r="O5" s="13">
        <f>AB5*ghg_sort!$B$6</f>
        <v>0.2362611620602954</v>
      </c>
      <c r="P5" s="13" t="s">
        <v>171</v>
      </c>
      <c r="R5" s="13">
        <v>0.57990356218847905</v>
      </c>
      <c r="S5" s="13">
        <v>0.219898735840452</v>
      </c>
      <c r="T5" s="13">
        <v>0.17688012336164699</v>
      </c>
      <c r="U5" s="13">
        <v>9.1814714791321805E-2</v>
      </c>
      <c r="V5" s="13">
        <v>9.4728754413419006E-2</v>
      </c>
      <c r="W5" s="13">
        <v>9.55252017416474E-2</v>
      </c>
      <c r="X5" s="13">
        <v>9.3269761729706704E-2</v>
      </c>
      <c r="Y5" s="13">
        <v>8.4708909692597006E-2</v>
      </c>
      <c r="Z5" s="13">
        <v>7.4188529423934294E-2</v>
      </c>
      <c r="AA5" s="13">
        <v>6.8532341841074096E-2</v>
      </c>
      <c r="AB5" s="13">
        <v>6.4434862380080504E-2</v>
      </c>
    </row>
    <row r="6" spans="1:28">
      <c r="A6" s="13" t="s">
        <v>261</v>
      </c>
      <c r="B6" s="13" t="s">
        <v>1</v>
      </c>
      <c r="C6" s="13" t="s">
        <v>64</v>
      </c>
      <c r="D6" s="13" t="str">
        <f>VLOOKUP(C6,ghg_sort!$A$35:$B$82,2,0)</f>
        <v>Industry</v>
      </c>
      <c r="E6" s="13">
        <f>R6*ghg_sort!$B$6</f>
        <v>4.605773333333337</v>
      </c>
      <c r="F6" s="13">
        <f>S6*ghg_sort!$B$6</f>
        <v>4.307647964289087</v>
      </c>
      <c r="G6" s="13">
        <f>T6*ghg_sort!$B$6</f>
        <v>3.7690731631676604</v>
      </c>
      <c r="H6" s="13">
        <f>U6*ghg_sort!$B$6</f>
        <v>1.397150924697995</v>
      </c>
      <c r="I6" s="13">
        <f>V6*ghg_sort!$B$6</f>
        <v>1.4233485723122357</v>
      </c>
      <c r="J6" s="13">
        <f>W6*ghg_sort!$B$6</f>
        <v>1.5591845013660939</v>
      </c>
      <c r="K6" s="13">
        <f>X6*ghg_sort!$B$6</f>
        <v>1.6861281920833622</v>
      </c>
      <c r="L6" s="13">
        <f>Y6*ghg_sort!$B$6</f>
        <v>1.7122966873120584</v>
      </c>
      <c r="M6" s="13">
        <f>Z6*ghg_sort!$B$6</f>
        <v>1.6459773593833107</v>
      </c>
      <c r="N6" s="13">
        <f>AA6*ghg_sort!$B$6</f>
        <v>1.5472645623588721</v>
      </c>
      <c r="O6" s="13">
        <f>AB6*ghg_sort!$B$6</f>
        <v>1.4428425809080483</v>
      </c>
      <c r="P6" s="13" t="s">
        <v>171</v>
      </c>
      <c r="R6" s="13">
        <v>1.2561199999999999</v>
      </c>
      <c r="S6" s="13">
        <v>1.1748130811697499</v>
      </c>
      <c r="T6" s="13">
        <v>1.02792904450027</v>
      </c>
      <c r="U6" s="13">
        <v>0.38104116128127102</v>
      </c>
      <c r="V6" s="13">
        <v>0.38818597426697299</v>
      </c>
      <c r="W6" s="13">
        <v>0.42523213673620702</v>
      </c>
      <c r="X6" s="13">
        <v>0.45985314329546201</v>
      </c>
      <c r="Y6" s="13">
        <v>0.46699000563056098</v>
      </c>
      <c r="Z6" s="13">
        <v>0.44890291619544798</v>
      </c>
      <c r="AA6" s="13">
        <v>0.42198124427969202</v>
      </c>
      <c r="AB6" s="13">
        <v>0.39350252206583097</v>
      </c>
    </row>
    <row r="7" spans="1:28">
      <c r="A7" s="13" t="s">
        <v>261</v>
      </c>
      <c r="B7" s="13" t="s">
        <v>1</v>
      </c>
      <c r="C7" s="13" t="s">
        <v>142</v>
      </c>
      <c r="D7" s="13" t="str">
        <f>VLOOKUP(C7,ghg_sort!$A$35:$B$82,2,0)</f>
        <v>Electricity</v>
      </c>
      <c r="E7" s="13">
        <f>R7*ghg_sort!$B$6</f>
        <v>0</v>
      </c>
      <c r="F7" s="13">
        <f>S7*ghg_sort!$B$6</f>
        <v>0</v>
      </c>
      <c r="G7" s="13">
        <f>T7*ghg_sort!$B$6</f>
        <v>0</v>
      </c>
      <c r="H7" s="13">
        <f>U7*ghg_sort!$B$6</f>
        <v>0</v>
      </c>
      <c r="I7" s="13">
        <f>V7*ghg_sort!$B$6</f>
        <v>0.10240916281775272</v>
      </c>
      <c r="J7" s="13">
        <f>W7*ghg_sort!$B$6</f>
        <v>0.16989021924148284</v>
      </c>
      <c r="K7" s="13">
        <f>X7*ghg_sort!$B$6</f>
        <v>0.34742887987949639</v>
      </c>
      <c r="L7" s="13">
        <f>Y7*ghg_sort!$B$6</f>
        <v>0.62068242291596631</v>
      </c>
      <c r="M7" s="13">
        <f>Z7*ghg_sort!$B$6</f>
        <v>0.99284343094953953</v>
      </c>
      <c r="N7" s="13">
        <f>AA7*ghg_sort!$B$6</f>
        <v>1.7341522110453547</v>
      </c>
      <c r="O7" s="13">
        <f>AB7*ghg_sort!$B$6</f>
        <v>1.9217484580635933</v>
      </c>
      <c r="P7" s="13" t="s">
        <v>171</v>
      </c>
      <c r="R7" s="13">
        <v>0</v>
      </c>
      <c r="S7" s="13">
        <v>0</v>
      </c>
      <c r="T7" s="13">
        <v>0</v>
      </c>
      <c r="U7" s="13">
        <v>0</v>
      </c>
      <c r="V7" s="13">
        <v>2.7929771677568899E-2</v>
      </c>
      <c r="W7" s="14">
        <v>4.6333696156768002E-2</v>
      </c>
      <c r="X7" s="14">
        <v>9.4753330876226199E-2</v>
      </c>
      <c r="Y7" s="13">
        <v>0.16927702443162701</v>
      </c>
      <c r="Z7" s="13">
        <v>0.270775481168056</v>
      </c>
      <c r="AA7" s="13">
        <v>0.47295060301236902</v>
      </c>
      <c r="AB7" s="13">
        <v>0.52411321583552495</v>
      </c>
    </row>
    <row r="8" spans="1:28">
      <c r="A8" s="13" t="s">
        <v>261</v>
      </c>
      <c r="B8" s="13" t="s">
        <v>1</v>
      </c>
      <c r="C8" s="13" t="s">
        <v>61</v>
      </c>
      <c r="D8" s="13" t="str">
        <f>VLOOKUP(C8,ghg_sort!$A$35:$B$82,2,0)</f>
        <v>Industry</v>
      </c>
      <c r="E8" s="13">
        <f>R8*ghg_sort!$B$6</f>
        <v>16.756666666666682</v>
      </c>
      <c r="F8" s="13">
        <f>S8*ghg_sort!$B$6</f>
        <v>25.626333333333356</v>
      </c>
      <c r="G8" s="13">
        <f>T8*ghg_sort!$B$6</f>
        <v>24.99566666666669</v>
      </c>
      <c r="H8" s="13">
        <f>U8*ghg_sort!$B$6</f>
        <v>24.99566666666669</v>
      </c>
      <c r="I8" s="13">
        <f>V8*ghg_sort!$B$6</f>
        <v>23.133806666666686</v>
      </c>
      <c r="J8" s="13">
        <f>W8*ghg_sort!$B$6</f>
        <v>22.354750000000021</v>
      </c>
      <c r="K8" s="13">
        <f>X8*ghg_sort!$B$6</f>
        <v>21.754729333333351</v>
      </c>
      <c r="L8" s="13">
        <f>Y8*ghg_sort!$B$6</f>
        <v>20.693005666666686</v>
      </c>
      <c r="M8" s="13">
        <f>Z8*ghg_sort!$B$6</f>
        <v>19.390411333333351</v>
      </c>
      <c r="N8" s="13">
        <f>AA8*ghg_sort!$B$6</f>
        <v>18.30101533333335</v>
      </c>
      <c r="O8" s="13">
        <f>AB8*ghg_sort!$B$6</f>
        <v>17.232591566666645</v>
      </c>
      <c r="P8" s="13" t="s">
        <v>171</v>
      </c>
      <c r="R8" s="13">
        <v>4.57</v>
      </c>
      <c r="S8" s="13">
        <v>6.9889999999999999</v>
      </c>
      <c r="T8" s="13">
        <v>6.8170000000000002</v>
      </c>
      <c r="U8" s="13">
        <v>6.8170000000000002</v>
      </c>
      <c r="V8" s="13">
        <v>6.3092199999999998</v>
      </c>
      <c r="W8" s="13">
        <v>6.0967500000000001</v>
      </c>
      <c r="X8" s="13">
        <v>5.9331079999999998</v>
      </c>
      <c r="Y8" s="13">
        <v>5.6435469999999999</v>
      </c>
      <c r="Z8" s="13">
        <v>5.2882939999999996</v>
      </c>
      <c r="AA8" s="13">
        <v>4.9911859999999999</v>
      </c>
      <c r="AB8" s="13">
        <v>4.6997976999999898</v>
      </c>
    </row>
    <row r="9" spans="1:28">
      <c r="A9" s="13" t="s">
        <v>261</v>
      </c>
      <c r="B9" s="13" t="s">
        <v>1</v>
      </c>
      <c r="C9" s="13" t="s">
        <v>56</v>
      </c>
      <c r="D9" s="13" t="str">
        <f>VLOOKUP(C9,ghg_sort!$A$35:$B$82,2,0)</f>
        <v>Industry</v>
      </c>
      <c r="E9" s="13">
        <f>R9*ghg_sort!$B$6</f>
        <v>7.0924510108533836</v>
      </c>
      <c r="F9" s="13">
        <f>S9*ghg_sort!$B$6</f>
        <v>5.6013318845318683</v>
      </c>
      <c r="G9" s="13">
        <f>T9*ghg_sort!$B$6</f>
        <v>6.9047962688915536</v>
      </c>
      <c r="H9" s="13">
        <f>U9*ghg_sort!$B$6</f>
        <v>4.8798783215262711</v>
      </c>
      <c r="I9" s="13">
        <f>V9*ghg_sort!$B$6</f>
        <v>4.9764240522045551</v>
      </c>
      <c r="J9" s="13">
        <f>W9*ghg_sort!$B$6</f>
        <v>5.1084192143127778</v>
      </c>
      <c r="K9" s="13">
        <f>X9*ghg_sort!$B$6</f>
        <v>5.6502381769783447</v>
      </c>
      <c r="L9" s="13">
        <f>Y9*ghg_sort!$B$6</f>
        <v>7.0838668867808297</v>
      </c>
      <c r="M9" s="13">
        <f>Z9*ghg_sort!$B$6</f>
        <v>8.6687957005074789</v>
      </c>
      <c r="N9" s="13">
        <f>AA9*ghg_sort!$B$6</f>
        <v>9.2762181897253075</v>
      </c>
      <c r="O9" s="13">
        <f>AB9*ghg_sort!$B$6</f>
        <v>9.295697911708606</v>
      </c>
      <c r="P9" s="13" t="s">
        <v>171</v>
      </c>
      <c r="R9" s="13">
        <v>1.9343048211418301</v>
      </c>
      <c r="S9" s="13">
        <v>1.52763596850869</v>
      </c>
      <c r="T9" s="13">
        <v>1.8831262551522401</v>
      </c>
      <c r="U9" s="13">
        <v>1.3308759058708</v>
      </c>
      <c r="V9" s="13">
        <v>1.3572065596921501</v>
      </c>
      <c r="W9" s="13">
        <v>1.39320524026712</v>
      </c>
      <c r="X9" s="13">
        <v>1.5409740482668199</v>
      </c>
      <c r="Y9" s="13">
        <v>1.9319636963947699</v>
      </c>
      <c r="Z9" s="13">
        <v>2.3642170092293102</v>
      </c>
      <c r="AA9" s="13">
        <v>2.5298776881068998</v>
      </c>
      <c r="AB9" s="13">
        <v>2.5351903395568902</v>
      </c>
    </row>
    <row r="10" spans="1:28">
      <c r="A10" s="13" t="s">
        <v>261</v>
      </c>
      <c r="B10" s="13" t="s">
        <v>1</v>
      </c>
      <c r="C10" s="13" t="s">
        <v>20</v>
      </c>
      <c r="D10" s="13" t="str">
        <f>VLOOKUP(C10,ghg_sort!$A$35:$B$82,2,0)</f>
        <v>Industry</v>
      </c>
      <c r="E10" s="13">
        <f>R10*ghg_sort!$B$6</f>
        <v>0</v>
      </c>
      <c r="F10" s="13">
        <f>S10*ghg_sort!$B$6</f>
        <v>-9.0781814142504927E-3</v>
      </c>
      <c r="G10" s="13">
        <f>T10*ghg_sort!$B$6</f>
        <v>1.3520113031458343</v>
      </c>
      <c r="H10" s="13">
        <f>U10*ghg_sort!$B$6</f>
        <v>1.8078110866473367</v>
      </c>
      <c r="I10" s="13">
        <f>V10*ghg_sort!$B$6</f>
        <v>0.87641324061082815</v>
      </c>
      <c r="J10" s="13">
        <f>W10*ghg_sort!$B$6</f>
        <v>0.74746541702302138</v>
      </c>
      <c r="K10" s="13">
        <f>X10*ghg_sort!$B$6</f>
        <v>0.57260594504851148</v>
      </c>
      <c r="L10" s="13">
        <f>Y10*ghg_sort!$B$6</f>
        <v>0.25555709622595152</v>
      </c>
      <c r="M10" s="13">
        <f>Z10*ghg_sort!$B$6</f>
        <v>-1.4293108053473678</v>
      </c>
      <c r="N10" s="13">
        <f>AA10*ghg_sort!$B$6</f>
        <v>-4.3622264652333076</v>
      </c>
      <c r="O10" s="13">
        <f>AB10*ghg_sort!$B$6</f>
        <v>-7.1543433653213198</v>
      </c>
      <c r="P10" s="13" t="s">
        <v>171</v>
      </c>
      <c r="R10" s="13">
        <v>0</v>
      </c>
      <c r="S10" s="13">
        <v>-2.4758676584319501E-3</v>
      </c>
      <c r="T10" s="13">
        <v>0.36873035540340898</v>
      </c>
      <c r="U10" s="13">
        <v>0.493039387267455</v>
      </c>
      <c r="V10" s="13">
        <v>0.239021792893862</v>
      </c>
      <c r="W10" s="13">
        <v>0.20385420464264201</v>
      </c>
      <c r="X10" s="13">
        <v>0.15616525774050299</v>
      </c>
      <c r="Y10" s="13">
        <v>6.9697389879804894E-2</v>
      </c>
      <c r="Z10" s="13">
        <v>-0.38981203782200902</v>
      </c>
      <c r="AA10" s="13">
        <v>-1.1896981268818101</v>
      </c>
      <c r="AB10" s="13">
        <v>-1.95118455417854</v>
      </c>
    </row>
    <row r="11" spans="1:28">
      <c r="A11" s="13" t="s">
        <v>261</v>
      </c>
      <c r="B11" s="13" t="s">
        <v>1</v>
      </c>
      <c r="C11" s="13" t="s">
        <v>143</v>
      </c>
      <c r="D11" s="13" t="str">
        <f>VLOOKUP(C11,ghg_sort!$A$35:$B$82,2,0)</f>
        <v>Building</v>
      </c>
      <c r="E11" s="13">
        <f>R11*ghg_sort!$B$6</f>
        <v>2.207646056141737E-2</v>
      </c>
      <c r="F11" s="13">
        <f>S11*ghg_sort!$B$6</f>
        <v>0.48726633484955478</v>
      </c>
      <c r="G11" s="13">
        <f>T11*ghg_sort!$B$6</f>
        <v>0.56189045903865653</v>
      </c>
      <c r="H11" s="13">
        <f>U11*ghg_sort!$B$6</f>
        <v>0.58534261678130761</v>
      </c>
      <c r="I11" s="13">
        <f>V11*ghg_sort!$B$6</f>
        <v>0.60489459018665659</v>
      </c>
      <c r="J11" s="13">
        <f>W11*ghg_sort!$B$6</f>
        <v>0.57435485142007547</v>
      </c>
      <c r="K11" s="13">
        <f>X11*ghg_sort!$B$6</f>
        <v>0.4897435688628895</v>
      </c>
      <c r="L11" s="13">
        <f>Y11*ghg_sort!$B$6</f>
        <v>0.42302594489423073</v>
      </c>
      <c r="M11" s="13">
        <f>Z11*ghg_sort!$B$6</f>
        <v>0.35208934333429442</v>
      </c>
      <c r="N11" s="13">
        <f>AA11*ghg_sort!$B$6</f>
        <v>0.29865050993564002</v>
      </c>
      <c r="O11" s="13">
        <f>AB11*ghg_sort!$B$6</f>
        <v>0.24200251433675118</v>
      </c>
      <c r="P11" s="13" t="s">
        <v>171</v>
      </c>
      <c r="R11" s="13">
        <v>6.0208528803865503E-3</v>
      </c>
      <c r="S11" s="13">
        <v>0.132890818595333</v>
      </c>
      <c r="T11" s="13">
        <v>0.15324285246508801</v>
      </c>
      <c r="U11" s="13">
        <v>0.15963889548581101</v>
      </c>
      <c r="V11" s="13">
        <v>0.16497125186908801</v>
      </c>
      <c r="W11" s="13">
        <v>0.15664223220547499</v>
      </c>
      <c r="X11" s="13">
        <v>0.13356642787169701</v>
      </c>
      <c r="Y11" s="13">
        <v>0.115370712243881</v>
      </c>
      <c r="Z11" s="13">
        <v>9.6024366363898397E-2</v>
      </c>
      <c r="AA11" s="13">
        <v>8.1450139073356298E-2</v>
      </c>
      <c r="AB11" s="13">
        <v>6.6000685728204805E-2</v>
      </c>
    </row>
    <row r="12" spans="1:28">
      <c r="A12" s="13" t="s">
        <v>261</v>
      </c>
      <c r="B12" s="13" t="s">
        <v>1</v>
      </c>
      <c r="C12" s="13" t="s">
        <v>144</v>
      </c>
      <c r="D12" s="13" t="str">
        <f>VLOOKUP(C12,ghg_sort!$A$35:$B$82,2,0)</f>
        <v>Building</v>
      </c>
      <c r="E12" s="13">
        <f>R12*ghg_sort!$B$6</f>
        <v>11.381111018598761</v>
      </c>
      <c r="F12" s="13">
        <f>S12*ghg_sort!$B$6</f>
        <v>13.759372321297656</v>
      </c>
      <c r="G12" s="13">
        <f>T12*ghg_sort!$B$6</f>
        <v>10.705193534171116</v>
      </c>
      <c r="H12" s="13">
        <f>U12*ghg_sort!$B$6</f>
        <v>9.8225620356521244</v>
      </c>
      <c r="I12" s="13">
        <f>V12*ghg_sort!$B$6</f>
        <v>10.4064992011089</v>
      </c>
      <c r="J12" s="13">
        <f>W12*ghg_sort!$B$6</f>
        <v>10.843552896371406</v>
      </c>
      <c r="K12" s="13">
        <f>X12*ghg_sort!$B$6</f>
        <v>10.729621144051857</v>
      </c>
      <c r="L12" s="13">
        <f>Y12*ghg_sort!$B$6</f>
        <v>10.295620404412245</v>
      </c>
      <c r="M12" s="13">
        <f>Z12*ghg_sort!$B$6</f>
        <v>9.5706955894119989</v>
      </c>
      <c r="N12" s="13">
        <f>AA12*ghg_sort!$B$6</f>
        <v>8.8345285978257824</v>
      </c>
      <c r="O12" s="13">
        <f>AB12*ghg_sort!$B$6</f>
        <v>7.8029595009639969</v>
      </c>
      <c r="P12" s="13" t="s">
        <v>171</v>
      </c>
      <c r="R12" s="13">
        <v>3.1039393687087502</v>
      </c>
      <c r="S12" s="13">
        <v>3.7525560876266302</v>
      </c>
      <c r="T12" s="13">
        <v>2.9195982365921198</v>
      </c>
      <c r="U12" s="13">
        <v>2.6788805551778498</v>
      </c>
      <c r="V12" s="13">
        <v>2.83813614575697</v>
      </c>
      <c r="W12" s="13">
        <v>2.9573326081012898</v>
      </c>
      <c r="X12" s="13">
        <v>2.9262603120141399</v>
      </c>
      <c r="Y12" s="13">
        <v>2.8078964739306098</v>
      </c>
      <c r="Z12" s="13">
        <v>2.6101897062032702</v>
      </c>
      <c r="AA12" s="13">
        <v>2.4094168903161202</v>
      </c>
      <c r="AB12" s="13">
        <v>2.12807986389927</v>
      </c>
    </row>
    <row r="13" spans="1:28">
      <c r="A13" s="13" t="s">
        <v>261</v>
      </c>
      <c r="B13" s="13" t="s">
        <v>1</v>
      </c>
      <c r="C13" s="13" t="s">
        <v>145</v>
      </c>
      <c r="D13" s="13" t="str">
        <f>VLOOKUP(C13,ghg_sort!$A$35:$B$82,2,0)</f>
        <v>Building</v>
      </c>
      <c r="E13" s="13">
        <f>R13*ghg_sort!$B$6</f>
        <v>13.451076053389015</v>
      </c>
      <c r="F13" s="13">
        <f>S13*ghg_sort!$B$6</f>
        <v>13.952049618316419</v>
      </c>
      <c r="G13" s="13">
        <f>T13*ghg_sort!$B$6</f>
        <v>9.9927326965679484</v>
      </c>
      <c r="H13" s="13">
        <f>U13*ghg_sort!$B$6</f>
        <v>8.8396075974692288</v>
      </c>
      <c r="I13" s="13">
        <f>V13*ghg_sort!$B$6</f>
        <v>10.1369837272978</v>
      </c>
      <c r="J13" s="13">
        <f>W13*ghg_sort!$B$6</f>
        <v>10.315483899190113</v>
      </c>
      <c r="K13" s="13">
        <f>X13*ghg_sort!$B$6</f>
        <v>9.1177352504829887</v>
      </c>
      <c r="L13" s="13">
        <f>Y13*ghg_sort!$B$6</f>
        <v>7.9116861457088836</v>
      </c>
      <c r="M13" s="13">
        <f>Z13*ghg_sort!$B$6</f>
        <v>6.6656105041446123</v>
      </c>
      <c r="N13" s="13">
        <f>AA13*ghg_sort!$B$6</f>
        <v>5.5449985352935123</v>
      </c>
      <c r="O13" s="13">
        <f>AB13*ghg_sort!$B$6</f>
        <v>4.3626488142758806</v>
      </c>
      <c r="P13" s="13" t="s">
        <v>171</v>
      </c>
      <c r="R13" s="13">
        <v>3.6684752872879098</v>
      </c>
      <c r="S13" s="13">
        <v>3.80510444135902</v>
      </c>
      <c r="T13" s="13">
        <v>2.7252907354276199</v>
      </c>
      <c r="U13" s="13">
        <v>2.4108020720370602</v>
      </c>
      <c r="V13" s="13">
        <v>2.76463192562667</v>
      </c>
      <c r="W13" s="13">
        <v>2.81331379068821</v>
      </c>
      <c r="X13" s="13">
        <v>2.48665506831354</v>
      </c>
      <c r="Y13" s="13">
        <v>2.15773258519333</v>
      </c>
      <c r="Z13" s="13">
        <v>1.81789377385762</v>
      </c>
      <c r="AA13" s="13">
        <v>1.51227232780732</v>
      </c>
      <c r="AB13" s="13">
        <v>1.18981331298433</v>
      </c>
    </row>
    <row r="14" spans="1:28">
      <c r="A14" s="13" t="s">
        <v>261</v>
      </c>
      <c r="B14" s="13" t="s">
        <v>1</v>
      </c>
      <c r="C14" s="13" t="s">
        <v>67</v>
      </c>
      <c r="D14" s="13" t="str">
        <f>VLOOKUP(C14,ghg_sort!$A$35:$B$82,2,0)</f>
        <v>Industry</v>
      </c>
      <c r="E14" s="13">
        <f>R14*ghg_sort!$B$6</f>
        <v>1.5342506666666682</v>
      </c>
      <c r="F14" s="13">
        <f>S14*ghg_sort!$B$6</f>
        <v>1.8108255676316134</v>
      </c>
      <c r="G14" s="13">
        <f>T14*ghg_sort!$B$6</f>
        <v>2.4469682030574904</v>
      </c>
      <c r="H14" s="13">
        <f>U14*ghg_sort!$B$6</f>
        <v>2.4809548613421719</v>
      </c>
      <c r="I14" s="13">
        <f>V14*ghg_sort!$B$6</f>
        <v>2.5325908726108306</v>
      </c>
      <c r="J14" s="13">
        <f>W14*ghg_sort!$B$6</f>
        <v>2.5705209851723145</v>
      </c>
      <c r="K14" s="13">
        <f>X14*ghg_sort!$B$6</f>
        <v>2.601765051307773</v>
      </c>
      <c r="L14" s="13">
        <f>Y14*ghg_sort!$B$6</f>
        <v>2.5839035628844629</v>
      </c>
      <c r="M14" s="13">
        <f>Z14*ghg_sort!$B$6</f>
        <v>2.5113063693183277</v>
      </c>
      <c r="N14" s="13">
        <f>AA14*ghg_sort!$B$6</f>
        <v>2.4163523287990154</v>
      </c>
      <c r="O14" s="13">
        <f>AB14*ghg_sort!$B$6</f>
        <v>2.3027928309273418</v>
      </c>
      <c r="P14" s="13" t="s">
        <v>171</v>
      </c>
      <c r="R14" s="13">
        <v>0.41843200000000003</v>
      </c>
      <c r="S14" s="13">
        <v>0.49386151844498499</v>
      </c>
      <c r="T14" s="13">
        <v>0.66735496447022402</v>
      </c>
      <c r="U14" s="13">
        <v>0.67662405309331897</v>
      </c>
      <c r="V14" s="13">
        <v>0.69070660162113495</v>
      </c>
      <c r="W14" s="13">
        <v>0.70105117777426695</v>
      </c>
      <c r="X14" s="13">
        <v>0.70957228672030104</v>
      </c>
      <c r="Y14" s="13">
        <v>0.70470097169576196</v>
      </c>
      <c r="Z14" s="13">
        <v>0.68490173708681601</v>
      </c>
      <c r="AA14" s="13">
        <v>0.659005180581549</v>
      </c>
      <c r="AB14" s="13">
        <v>0.62803440843472902</v>
      </c>
    </row>
    <row r="15" spans="1:28">
      <c r="A15" s="13" t="s">
        <v>261</v>
      </c>
      <c r="B15" s="13" t="s">
        <v>1</v>
      </c>
      <c r="C15" s="13" t="s">
        <v>21</v>
      </c>
      <c r="D15" s="13" t="str">
        <f>VLOOKUP(C15,ghg_sort!$A$35:$B$82,2,0)</f>
        <v>Industry</v>
      </c>
      <c r="E15" s="13">
        <f>R15*ghg_sort!$B$6</f>
        <v>0</v>
      </c>
      <c r="F15" s="13">
        <f>S15*ghg_sort!$B$6</f>
        <v>-3.8838125108142473E-4</v>
      </c>
      <c r="G15" s="13">
        <f>T15*ghg_sort!$B$6</f>
        <v>-1.2364429049532938E-2</v>
      </c>
      <c r="H15" s="13">
        <f>U15*ghg_sort!$B$6</f>
        <v>-1.3288318792502687E-2</v>
      </c>
      <c r="I15" s="13">
        <f>V15*ghg_sort!$B$6</f>
        <v>-3.3722840721664996E-2</v>
      </c>
      <c r="J15" s="13">
        <f>W15*ghg_sort!$B$6</f>
        <v>-3.5585308065286168E-2</v>
      </c>
      <c r="K15" s="13">
        <f>X15*ghg_sort!$B$6</f>
        <v>-3.6122981142208944E-2</v>
      </c>
      <c r="L15" s="13">
        <f>Y15*ghg_sort!$B$6</f>
        <v>-4.4456295764045778E-2</v>
      </c>
      <c r="M15" s="13">
        <f>Z15*ghg_sort!$B$6</f>
        <v>-9.7687412642921662E-2</v>
      </c>
      <c r="N15" s="13">
        <f>AA15*ghg_sort!$B$6</f>
        <v>-0.19351203156936658</v>
      </c>
      <c r="O15" s="13">
        <f>AB15*ghg_sort!$B$6</f>
        <v>-0.28587561575016723</v>
      </c>
      <c r="P15" s="13" t="s">
        <v>171</v>
      </c>
      <c r="R15" s="13">
        <v>0</v>
      </c>
      <c r="S15" s="14">
        <v>-1.05922159385843E-4</v>
      </c>
      <c r="T15" s="13">
        <v>-3.37211701350898E-3</v>
      </c>
      <c r="U15" s="13">
        <v>-3.6240869434098202E-3</v>
      </c>
      <c r="V15" s="13">
        <v>-9.1971383786358992E-3</v>
      </c>
      <c r="W15" s="13">
        <v>-9.7050840178053103E-3</v>
      </c>
      <c r="X15" s="13">
        <v>-9.8517221296933397E-3</v>
      </c>
      <c r="Y15" s="13">
        <v>-1.2124444299285201E-2</v>
      </c>
      <c r="Z15" s="13">
        <v>-2.6642021629887699E-2</v>
      </c>
      <c r="AA15" s="13">
        <v>-5.2776008609827202E-2</v>
      </c>
      <c r="AB15" s="13">
        <v>-7.7966077022772806E-2</v>
      </c>
    </row>
    <row r="16" spans="1:28">
      <c r="A16" s="13" t="s">
        <v>261</v>
      </c>
      <c r="B16" s="13" t="s">
        <v>1</v>
      </c>
      <c r="C16" s="13" t="s">
        <v>3</v>
      </c>
      <c r="D16" s="13">
        <f>VLOOKUP(C16,ghg_sort!$A$35:$B$82,2,0)</f>
        <v>0</v>
      </c>
      <c r="E16" s="13">
        <f>R16*ghg_sort!$B$6</f>
        <v>0</v>
      </c>
      <c r="F16" s="13">
        <f>S16*ghg_sort!$B$6</f>
        <v>0</v>
      </c>
      <c r="G16" s="13">
        <f>T16*ghg_sort!$B$6</f>
        <v>-3.6666732639900037E-6</v>
      </c>
      <c r="H16" s="13">
        <f>U16*ghg_sort!$B$6</f>
        <v>0</v>
      </c>
      <c r="I16" s="13">
        <f>V16*ghg_sort!$B$6</f>
        <v>-2.5666661505320025E-5</v>
      </c>
      <c r="J16" s="13">
        <f>W16*ghg_sort!$B$6</f>
        <v>-4.7666630723543374E-5</v>
      </c>
      <c r="K16" s="13">
        <f>X16*ghg_sort!$B$6</f>
        <v>0</v>
      </c>
      <c r="L16" s="13">
        <f>Y16*ghg_sort!$B$6</f>
        <v>0</v>
      </c>
      <c r="M16" s="13">
        <f>Z16*ghg_sort!$B$6</f>
        <v>0</v>
      </c>
      <c r="N16" s="13">
        <f>AA16*ghg_sort!$B$6</f>
        <v>-2.9333260233016697E-5</v>
      </c>
      <c r="O16" s="13">
        <f>AB16*ghg_sort!$B$6</f>
        <v>-7.3333261194966732E-6</v>
      </c>
      <c r="P16" s="13" t="s">
        <v>171</v>
      </c>
      <c r="R16" s="13">
        <v>0</v>
      </c>
      <c r="S16" s="14">
        <v>0</v>
      </c>
      <c r="T16" s="14">
        <v>-1.00000179927E-6</v>
      </c>
      <c r="U16" s="13">
        <v>0</v>
      </c>
      <c r="V16" s="14">
        <v>-6.9999985923599999E-6</v>
      </c>
      <c r="W16" s="14">
        <v>-1.299999019733E-5</v>
      </c>
      <c r="X16" s="14">
        <v>0</v>
      </c>
      <c r="Y16" s="14">
        <v>0</v>
      </c>
      <c r="Z16" s="14">
        <v>0</v>
      </c>
      <c r="AA16" s="14">
        <v>-7.9999800635500004E-6</v>
      </c>
      <c r="AB16" s="14">
        <v>-1.9999980325899999E-6</v>
      </c>
    </row>
    <row r="17" spans="1:28">
      <c r="A17" s="13" t="s">
        <v>261</v>
      </c>
      <c r="B17" s="13" t="s">
        <v>1</v>
      </c>
      <c r="C17" s="13" t="s">
        <v>162</v>
      </c>
      <c r="D17" s="13">
        <f>VLOOKUP(C17,ghg_sort!$A$35:$B$82,2,0)</f>
        <v>0</v>
      </c>
      <c r="E17" s="13">
        <f>R17*ghg_sort!$B$6</f>
        <v>0</v>
      </c>
      <c r="F17" s="13">
        <f>S17*ghg_sort!$B$6</f>
        <v>-8.0244658360866348E-8</v>
      </c>
      <c r="G17" s="13">
        <f>T17*ghg_sort!$B$6</f>
        <v>0</v>
      </c>
      <c r="H17" s="13">
        <f>U17*ghg_sort!$B$6</f>
        <v>0</v>
      </c>
      <c r="I17" s="13">
        <f>V17*ghg_sort!$B$6</f>
        <v>-2.3107973288934657E-7</v>
      </c>
      <c r="J17" s="13">
        <f>W17*ghg_sort!$B$6</f>
        <v>0</v>
      </c>
      <c r="K17" s="13">
        <f>X17*ghg_sort!$B$6</f>
        <v>-1.5151954693490941E-6</v>
      </c>
      <c r="L17" s="13">
        <f>Y17*ghg_sort!$B$6</f>
        <v>-1.4038986426629756E-7</v>
      </c>
      <c r="M17" s="13">
        <f>Z17*ghg_sort!$B$6</f>
        <v>-2.4967858618337932E-6</v>
      </c>
      <c r="N17" s="13">
        <f>AA17*ghg_sort!$B$6</f>
        <v>-4.6986457775222575E-7</v>
      </c>
      <c r="O17" s="13">
        <f>AB17*ghg_sort!$B$6</f>
        <v>-2.9826284858553177E-6</v>
      </c>
      <c r="P17" s="13" t="s">
        <v>171</v>
      </c>
      <c r="R17" s="13">
        <v>0</v>
      </c>
      <c r="S17" s="14">
        <v>-2.1884906825690801E-8</v>
      </c>
      <c r="T17" s="14">
        <v>0</v>
      </c>
      <c r="U17" s="13">
        <v>0</v>
      </c>
      <c r="V17" s="14">
        <v>-6.3021745333458099E-8</v>
      </c>
      <c r="W17" s="14">
        <v>0</v>
      </c>
      <c r="X17" s="14">
        <v>-4.1323512800429803E-7</v>
      </c>
      <c r="Y17" s="14">
        <v>-3.8288144799899301E-8</v>
      </c>
      <c r="Z17" s="14">
        <v>-6.8094159868194298E-7</v>
      </c>
      <c r="AA17" s="14">
        <v>-1.28144884841516E-7</v>
      </c>
      <c r="AB17" s="14">
        <v>-8.1344413250599495E-7</v>
      </c>
    </row>
    <row r="18" spans="1:28">
      <c r="A18" s="13" t="s">
        <v>261</v>
      </c>
      <c r="B18" s="13" t="s">
        <v>1</v>
      </c>
      <c r="C18" s="13" t="s">
        <v>146</v>
      </c>
      <c r="D18" s="13" t="str">
        <f>VLOOKUP(C18,ghg_sort!$A$35:$B$82,2,0)</f>
        <v>Electricity</v>
      </c>
      <c r="E18" s="13">
        <f>R18*ghg_sort!$B$6</f>
        <v>2.1896434690780268E-4</v>
      </c>
      <c r="F18" s="13">
        <f>S18*ghg_sort!$B$6</f>
        <v>4.4037520141186777E-4</v>
      </c>
      <c r="G18" s="13">
        <f>T18*ghg_sort!$B$6</f>
        <v>4.1622197831397008E-4</v>
      </c>
      <c r="H18" s="13">
        <f>U18*ghg_sort!$B$6</f>
        <v>4.0291476431084669E-4</v>
      </c>
      <c r="I18" s="13">
        <f>V18*ghg_sort!$B$6</f>
        <v>7.8825753363089403E-4</v>
      </c>
      <c r="J18" s="13">
        <f>W18*ghg_sort!$B$6</f>
        <v>1.1401155592226117E-3</v>
      </c>
      <c r="K18" s="13">
        <f>X18*ghg_sort!$B$6</f>
        <v>1.3309097334187245E-3</v>
      </c>
      <c r="L18" s="13">
        <f>Y18*ghg_sort!$B$6</f>
        <v>1.4834333358470977E-3</v>
      </c>
      <c r="M18" s="13">
        <f>Z18*ghg_sort!$B$6</f>
        <v>1.5834345596941056E-3</v>
      </c>
      <c r="N18" s="13">
        <f>AA18*ghg_sort!$B$6</f>
        <v>1.6892125839102191E-3</v>
      </c>
      <c r="O18" s="13">
        <f>AB18*ghg_sort!$B$6</f>
        <v>1.753028096323964E-3</v>
      </c>
      <c r="P18" s="13" t="s">
        <v>171</v>
      </c>
      <c r="R18" s="14">
        <v>5.97175491566734E-5</v>
      </c>
      <c r="S18" s="14">
        <v>1.2010232765778201E-4</v>
      </c>
      <c r="T18" s="14">
        <v>1.13515084994719E-4</v>
      </c>
      <c r="U18" s="14">
        <v>1.0988584481204899E-4</v>
      </c>
      <c r="V18" s="14">
        <v>2.1497932735387999E-4</v>
      </c>
      <c r="W18" s="14">
        <v>3.1094060706071198E-4</v>
      </c>
      <c r="X18" s="14">
        <v>3.6297538184146998E-4</v>
      </c>
      <c r="Y18" s="14">
        <v>4.0457272795829902E-4</v>
      </c>
      <c r="Z18" s="14">
        <v>4.3184578900748298E-4</v>
      </c>
      <c r="AA18" s="14">
        <v>4.6069434106642298E-4</v>
      </c>
      <c r="AB18" s="14">
        <v>4.7809857172471698E-4</v>
      </c>
    </row>
    <row r="19" spans="1:28">
      <c r="A19" s="13" t="s">
        <v>261</v>
      </c>
      <c r="B19" s="13" t="s">
        <v>1</v>
      </c>
      <c r="C19" s="13" t="s">
        <v>406</v>
      </c>
      <c r="D19" s="13" t="str">
        <f>VLOOKUP(C19,ghg_sort!$A$35:$B$82,2,0)</f>
        <v>Industry</v>
      </c>
      <c r="E19" s="13">
        <f>R19*ghg_sort!$B$6</f>
        <v>0</v>
      </c>
      <c r="F19" s="13">
        <f>S19*ghg_sort!$B$6</f>
        <v>0</v>
      </c>
      <c r="G19" s="13">
        <f>T19*ghg_sort!$B$6</f>
        <v>0</v>
      </c>
      <c r="H19" s="13">
        <f>U19*ghg_sort!$B$6</f>
        <v>0</v>
      </c>
      <c r="I19" s="13">
        <f>V19*ghg_sort!$B$6</f>
        <v>0</v>
      </c>
      <c r="J19" s="13">
        <f>W19*ghg_sort!$B$6</f>
        <v>0</v>
      </c>
      <c r="K19" s="13">
        <f>X19*ghg_sort!$B$6</f>
        <v>0</v>
      </c>
      <c r="L19" s="13">
        <f>Y19*ghg_sort!$B$6</f>
        <v>0</v>
      </c>
      <c r="M19" s="13">
        <f>Z19*ghg_sort!$B$6</f>
        <v>0</v>
      </c>
      <c r="N19" s="13">
        <f>AA19*ghg_sort!$B$6</f>
        <v>0</v>
      </c>
      <c r="O19" s="13">
        <f>AB19*ghg_sort!$B$6</f>
        <v>0</v>
      </c>
      <c r="P19" s="13" t="s">
        <v>171</v>
      </c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</row>
    <row r="20" spans="1:28">
      <c r="A20" s="13" t="s">
        <v>261</v>
      </c>
      <c r="B20" s="13" t="s">
        <v>1</v>
      </c>
      <c r="C20" s="13" t="s">
        <v>59</v>
      </c>
      <c r="D20" s="13" t="str">
        <f>VLOOKUP(C20,ghg_sort!$A$35:$B$82,2,0)</f>
        <v>Electricity</v>
      </c>
      <c r="E20" s="13">
        <f>R20*ghg_sort!$B$6</f>
        <v>34.424549247056277</v>
      </c>
      <c r="F20" s="13">
        <f>S20*ghg_sort!$B$6</f>
        <v>173.72254661881294</v>
      </c>
      <c r="G20" s="13">
        <f>T20*ghg_sort!$B$6</f>
        <v>246.00203742154505</v>
      </c>
      <c r="H20" s="13">
        <f>U20*ghg_sort!$B$6</f>
        <v>253.59974962847127</v>
      </c>
      <c r="I20" s="13">
        <f>V20*ghg_sort!$B$6</f>
        <v>237.97504255312396</v>
      </c>
      <c r="J20" s="13">
        <f>W20*ghg_sort!$B$6</f>
        <v>227.4804627424507</v>
      </c>
      <c r="K20" s="13">
        <f>X20*ghg_sort!$B$6</f>
        <v>213.30755418172038</v>
      </c>
      <c r="L20" s="13">
        <f>Y20*ghg_sort!$B$6</f>
        <v>191.67758223441024</v>
      </c>
      <c r="M20" s="13">
        <f>Z20*ghg_sort!$B$6</f>
        <v>165.81041683966995</v>
      </c>
      <c r="N20" s="13">
        <f>AA20*ghg_sort!$B$6</f>
        <v>100.92292633069249</v>
      </c>
      <c r="O20" s="13">
        <f>AB20*ghg_sort!$B$6</f>
        <v>87.888053114938344</v>
      </c>
      <c r="P20" s="13" t="s">
        <v>171</v>
      </c>
      <c r="R20" s="14">
        <v>9.3885134310153404</v>
      </c>
      <c r="S20" s="14">
        <v>47.378876350585301</v>
      </c>
      <c r="T20" s="14">
        <v>67.091464751330406</v>
      </c>
      <c r="U20" s="14">
        <v>69.163568080492098</v>
      </c>
      <c r="V20" s="14">
        <v>64.902284332670106</v>
      </c>
      <c r="W20" s="14">
        <v>62.040126202486498</v>
      </c>
      <c r="X20" s="14">
        <v>58.174787504105502</v>
      </c>
      <c r="Y20" s="14">
        <v>52.275704245748202</v>
      </c>
      <c r="Z20" s="14">
        <v>45.221022774455399</v>
      </c>
      <c r="AA20" s="14">
        <v>27.524434453825201</v>
      </c>
      <c r="AB20" s="14">
        <v>23.969469031346801</v>
      </c>
    </row>
    <row r="21" spans="1:28">
      <c r="A21" s="13" t="s">
        <v>261</v>
      </c>
      <c r="B21" s="13" t="s">
        <v>1</v>
      </c>
      <c r="C21" s="13" t="s">
        <v>163</v>
      </c>
      <c r="D21" s="13" t="str">
        <f>VLOOKUP(C21,ghg_sort!$A$35:$B$82,2,0)</f>
        <v>Industry</v>
      </c>
      <c r="E21" s="13">
        <f>R21*ghg_sort!$B$6</f>
        <v>0</v>
      </c>
      <c r="F21" s="13">
        <f>S21*ghg_sort!$B$6</f>
        <v>-6.2894747411195391E-7</v>
      </c>
      <c r="G21" s="13">
        <f>T21*ghg_sort!$B$6</f>
        <v>-2.6730592860294609E-7</v>
      </c>
      <c r="H21" s="13">
        <f>U21*ghg_sort!$B$6</f>
        <v>-1.3251332841245228E-6</v>
      </c>
      <c r="I21" s="13">
        <f>V21*ghg_sort!$B$6</f>
        <v>-3.2094496824228077E-6</v>
      </c>
      <c r="J21" s="13">
        <f>W21*ghg_sort!$B$6</f>
        <v>0</v>
      </c>
      <c r="K21" s="13">
        <f>X21*ghg_sort!$B$6</f>
        <v>0</v>
      </c>
      <c r="L21" s="13">
        <f>Y21*ghg_sort!$B$6</f>
        <v>-1.4777890174901567E-7</v>
      </c>
      <c r="M21" s="13">
        <f>Z21*ghg_sort!$B$6</f>
        <v>-3.9997235796833372E-6</v>
      </c>
      <c r="N21" s="13">
        <f>AA21*ghg_sort!$B$6</f>
        <v>-2.29203006022923E-6</v>
      </c>
      <c r="O21" s="13">
        <f>AB21*ghg_sort!$B$6</f>
        <v>-3.1019445284554823E-6</v>
      </c>
      <c r="P21" s="13" t="s">
        <v>171</v>
      </c>
      <c r="R21" s="13">
        <v>0</v>
      </c>
      <c r="S21" s="14">
        <v>-1.7153112930326E-7</v>
      </c>
      <c r="T21" s="14">
        <v>-7.2901616891712502E-8</v>
      </c>
      <c r="U21" s="14">
        <v>-3.61399986579415E-7</v>
      </c>
      <c r="V21" s="14">
        <v>-8.7530445884258304E-7</v>
      </c>
      <c r="W21" s="13">
        <v>0</v>
      </c>
      <c r="X21" s="14">
        <v>0</v>
      </c>
      <c r="Y21" s="14">
        <v>-4.0303336840640603E-8</v>
      </c>
      <c r="Z21" s="14">
        <v>-1.0908337035500001E-6</v>
      </c>
      <c r="AA21" s="14">
        <v>-6.2509910733524399E-7</v>
      </c>
      <c r="AB21" s="14">
        <v>-8.4598487139694896E-7</v>
      </c>
    </row>
    <row r="22" spans="1:28">
      <c r="A22" s="13" t="s">
        <v>261</v>
      </c>
      <c r="B22" s="13" t="s">
        <v>1</v>
      </c>
      <c r="C22" s="13" t="s">
        <v>147</v>
      </c>
      <c r="D22" s="13" t="str">
        <f>VLOOKUP(C22,ghg_sort!$A$35:$B$82,2,0)</f>
        <v>Industry</v>
      </c>
      <c r="E22" s="13">
        <f>R22*ghg_sort!$B$6</f>
        <v>3.6727754664187806E-7</v>
      </c>
      <c r="F22" s="13">
        <f>S22*ghg_sort!$B$6</f>
        <v>4.3128216513828639E-7</v>
      </c>
      <c r="G22" s="13">
        <f>T22*ghg_sort!$B$6</f>
        <v>-1.8090575256331691E-6</v>
      </c>
      <c r="H22" s="13">
        <f>U22*ghg_sort!$B$6</f>
        <v>5.5974148889063212E-7</v>
      </c>
      <c r="I22" s="13">
        <f>V22*ghg_sort!$B$6</f>
        <v>4.2467301700371211E-2</v>
      </c>
      <c r="J22" s="13">
        <f>W22*ghg_sort!$B$6</f>
        <v>0.11671128016633445</v>
      </c>
      <c r="K22" s="13">
        <f>X22*ghg_sort!$B$6</f>
        <v>0.20417203551865395</v>
      </c>
      <c r="L22" s="13">
        <f>Y22*ghg_sort!$B$6</f>
        <v>0.32685444589452373</v>
      </c>
      <c r="M22" s="13">
        <f>Z22*ghg_sort!$B$6</f>
        <v>0.81221429366576481</v>
      </c>
      <c r="N22" s="13">
        <f>AA22*ghg_sort!$B$6</f>
        <v>1.248579620464749</v>
      </c>
      <c r="O22" s="13">
        <f>AB22*ghg_sort!$B$6</f>
        <v>1.8807791896403123</v>
      </c>
      <c r="P22" s="13" t="s">
        <v>171</v>
      </c>
      <c r="R22" s="14">
        <v>1.0016660362960301E-7</v>
      </c>
      <c r="S22" s="14">
        <v>1.1762240867407799E-7</v>
      </c>
      <c r="T22" s="14">
        <v>-4.9337932517268204E-7</v>
      </c>
      <c r="U22" s="14">
        <v>1.5265676969744499E-7</v>
      </c>
      <c r="V22" s="13">
        <v>1.1581991372828501E-2</v>
      </c>
      <c r="W22" s="13">
        <v>3.1830349136273001E-2</v>
      </c>
      <c r="X22" s="13">
        <v>5.5683282414178303E-2</v>
      </c>
      <c r="Y22" s="13">
        <v>8.9142121607597297E-2</v>
      </c>
      <c r="Z22" s="13">
        <v>0.221512989181572</v>
      </c>
      <c r="AA22" s="13">
        <v>0.34052171467220399</v>
      </c>
      <c r="AB22" s="13">
        <v>0.51293977899281196</v>
      </c>
    </row>
    <row r="23" spans="1:28">
      <c r="A23" s="13" t="s">
        <v>261</v>
      </c>
      <c r="B23" s="13" t="s">
        <v>1</v>
      </c>
      <c r="C23" s="13" t="s">
        <v>32</v>
      </c>
      <c r="D23" s="13" t="str">
        <f>VLOOKUP(C23,ghg_sort!$A$35:$B$82,2,0)</f>
        <v>Industry</v>
      </c>
      <c r="E23" s="13">
        <f>R23*ghg_sort!$B$6</f>
        <v>27.038264000000026</v>
      </c>
      <c r="F23" s="13">
        <f>S23*ghg_sort!$B$6</f>
        <v>3.7567432863257402</v>
      </c>
      <c r="G23" s="13">
        <f>T23*ghg_sort!$B$6</f>
        <v>4.3146747983677471</v>
      </c>
      <c r="H23" s="13">
        <f>U23*ghg_sort!$B$6</f>
        <v>89.060708206792015</v>
      </c>
      <c r="I23" s="13">
        <f>V23*ghg_sort!$B$6</f>
        <v>99.748210371483026</v>
      </c>
      <c r="J23" s="13">
        <f>W23*ghg_sort!$B$6</f>
        <v>108.19789101632436</v>
      </c>
      <c r="K23" s="13">
        <f>X23*ghg_sort!$B$6</f>
        <v>111.91058715713407</v>
      </c>
      <c r="L23" s="13">
        <f>Y23*ghg_sort!$B$6</f>
        <v>111.85947371203707</v>
      </c>
      <c r="M23" s="13">
        <f>Z23*ghg_sort!$B$6</f>
        <v>107.56914914696473</v>
      </c>
      <c r="N23" s="13">
        <f>AA23*ghg_sort!$B$6</f>
        <v>98.276833470395147</v>
      </c>
      <c r="O23" s="13">
        <f>AB23*ghg_sort!$B$6</f>
        <v>82.67458158269757</v>
      </c>
      <c r="P23" s="13" t="s">
        <v>171</v>
      </c>
      <c r="R23" s="13">
        <v>7.374072</v>
      </c>
      <c r="S23" s="13">
        <v>1.02456635081611</v>
      </c>
      <c r="T23" s="13">
        <v>1.1767294904639301</v>
      </c>
      <c r="U23" s="13">
        <v>24.289284056397801</v>
      </c>
      <c r="V23" s="13">
        <v>27.204057374040801</v>
      </c>
      <c r="W23" s="14">
        <v>29.508515731724799</v>
      </c>
      <c r="X23" s="13">
        <v>30.5210692246729</v>
      </c>
      <c r="Y23" s="13">
        <v>30.507129194191901</v>
      </c>
      <c r="Z23" s="13">
        <v>29.3370406764449</v>
      </c>
      <c r="AA23" s="13">
        <v>26.802772764653199</v>
      </c>
      <c r="AB23" s="13">
        <v>22.5476131589175</v>
      </c>
    </row>
    <row r="24" spans="1:28">
      <c r="A24" s="13" t="s">
        <v>261</v>
      </c>
      <c r="B24" s="13" t="s">
        <v>1</v>
      </c>
      <c r="C24" s="13" t="s">
        <v>66</v>
      </c>
      <c r="D24" s="13" t="str">
        <f>VLOOKUP(C24,ghg_sort!$A$35:$B$82,2,0)</f>
        <v>Industry</v>
      </c>
      <c r="E24" s="13">
        <f>R24*ghg_sort!$B$6</f>
        <v>0.33994510000000033</v>
      </c>
      <c r="F24" s="13">
        <f>S24*ghg_sort!$B$6</f>
        <v>0.17747164048703556</v>
      </c>
      <c r="G24" s="13">
        <f>T24*ghg_sort!$B$6</f>
        <v>0.25489086142046985</v>
      </c>
      <c r="H24" s="13">
        <f>U24*ghg_sort!$B$6</f>
        <v>0.19181033255708591</v>
      </c>
      <c r="I24" s="13">
        <f>V24*ghg_sort!$B$6</f>
        <v>0.1953817264148246</v>
      </c>
      <c r="J24" s="13">
        <f>W24*ghg_sort!$B$6</f>
        <v>0.21681909867130536</v>
      </c>
      <c r="K24" s="13">
        <f>X24*ghg_sort!$B$6</f>
        <v>0.23842407184699385</v>
      </c>
      <c r="L24" s="13">
        <f>Y24*ghg_sort!$B$6</f>
        <v>0.24510062229450402</v>
      </c>
      <c r="M24" s="13">
        <f>Z24*ghg_sort!$B$6</f>
        <v>0.23709551168132301</v>
      </c>
      <c r="N24" s="13">
        <f>AA24*ghg_sort!$B$6</f>
        <v>0.22455375634682781</v>
      </c>
      <c r="O24" s="13">
        <f>AB24*ghg_sort!$B$6</f>
        <v>0.21055216088592091</v>
      </c>
      <c r="P24" s="13" t="s">
        <v>171</v>
      </c>
      <c r="R24" s="13">
        <v>9.2712299999999997E-2</v>
      </c>
      <c r="S24" s="13">
        <v>4.8401356496464203E-2</v>
      </c>
      <c r="T24" s="13">
        <v>6.9515689478309897E-2</v>
      </c>
      <c r="U24" s="13">
        <v>5.2311908879205199E-2</v>
      </c>
      <c r="V24" s="13">
        <v>5.3285925385861202E-2</v>
      </c>
      <c r="W24" s="13">
        <v>5.9132481455810501E-2</v>
      </c>
      <c r="X24" s="13">
        <v>6.5024746867361899E-2</v>
      </c>
      <c r="Y24" s="13">
        <v>6.6845624262137401E-2</v>
      </c>
      <c r="Z24" s="13">
        <v>6.4662412276724396E-2</v>
      </c>
      <c r="AA24" s="13">
        <v>6.1241933549134799E-2</v>
      </c>
      <c r="AB24" s="13">
        <v>5.7423316605251101E-2</v>
      </c>
    </row>
    <row r="25" spans="1:28">
      <c r="A25" s="13" t="s">
        <v>261</v>
      </c>
      <c r="B25" s="13" t="s">
        <v>1</v>
      </c>
      <c r="C25" s="13" t="s">
        <v>68</v>
      </c>
      <c r="D25" s="13" t="str">
        <f>VLOOKUP(C25,ghg_sort!$A$35:$B$82,2,0)</f>
        <v>Industry</v>
      </c>
      <c r="E25" s="13">
        <f>R25*ghg_sort!$B$6</f>
        <v>43.655256701498971</v>
      </c>
      <c r="F25" s="13">
        <f>S25*ghg_sort!$B$6</f>
        <v>101.45922687273496</v>
      </c>
      <c r="G25" s="13">
        <f>T25*ghg_sort!$B$6</f>
        <v>118.21389745262471</v>
      </c>
      <c r="H25" s="13">
        <f>U25*ghg_sort!$B$6</f>
        <v>56.092826799839919</v>
      </c>
      <c r="I25" s="13">
        <f>V25*ghg_sort!$B$6</f>
        <v>63.505496172369952</v>
      </c>
      <c r="J25" s="13">
        <f>W25*ghg_sort!$B$6</f>
        <v>72.463687275243799</v>
      </c>
      <c r="K25" s="13">
        <f>X25*ghg_sort!$B$6</f>
        <v>78.554595153798573</v>
      </c>
      <c r="L25" s="13">
        <f>Y25*ghg_sort!$B$6</f>
        <v>86.122130226735976</v>
      </c>
      <c r="M25" s="13">
        <f>Z25*ghg_sort!$B$6</f>
        <v>95.441138711785626</v>
      </c>
      <c r="N25" s="13">
        <f>AA25*ghg_sort!$B$6</f>
        <v>98.035441529257554</v>
      </c>
      <c r="O25" s="13">
        <f>AB25*ghg_sort!$B$6</f>
        <v>96.34365490550762</v>
      </c>
      <c r="P25" s="13" t="s">
        <v>171</v>
      </c>
      <c r="R25" s="13">
        <v>11.9059791004088</v>
      </c>
      <c r="S25" s="14">
        <v>27.670698238018598</v>
      </c>
      <c r="T25" s="14">
        <v>32.240153850715799</v>
      </c>
      <c r="U25" s="14">
        <v>15.298043672683599</v>
      </c>
      <c r="V25" s="13">
        <v>17.319680774282698</v>
      </c>
      <c r="W25" s="13">
        <v>19.762823802339199</v>
      </c>
      <c r="X25" s="13">
        <v>21.423980496490501</v>
      </c>
      <c r="Y25" s="13">
        <v>23.487853698200698</v>
      </c>
      <c r="Z25" s="13">
        <v>26.029401466850601</v>
      </c>
      <c r="AA25" s="13">
        <v>26.736938598888401</v>
      </c>
      <c r="AB25" s="14">
        <v>26.275542246956601</v>
      </c>
    </row>
    <row r="26" spans="1:28">
      <c r="A26" s="13" t="s">
        <v>261</v>
      </c>
      <c r="B26" s="13" t="s">
        <v>1</v>
      </c>
      <c r="C26" s="13" t="s">
        <v>22</v>
      </c>
      <c r="D26" s="13" t="str">
        <f>VLOOKUP(C26,ghg_sort!$A$35:$B$82,2,0)</f>
        <v>Industry</v>
      </c>
      <c r="E26" s="13">
        <f>R26*ghg_sort!$B$6</f>
        <v>0</v>
      </c>
      <c r="F26" s="13">
        <f>S26*ghg_sort!$B$6</f>
        <v>-2.3974151301323212E-4</v>
      </c>
      <c r="G26" s="13">
        <f>T26*ghg_sort!$B$6</f>
        <v>-7.2342299734121703E-3</v>
      </c>
      <c r="H26" s="13">
        <f>U26*ghg_sort!$B$6</f>
        <v>-7.8537217284928313E-3</v>
      </c>
      <c r="I26" s="13">
        <f>V26*ghg_sort!$B$6</f>
        <v>-2.1921182582096695E-2</v>
      </c>
      <c r="J26" s="13">
        <f>W26*ghg_sort!$B$6</f>
        <v>-2.7291851301367354E-2</v>
      </c>
      <c r="K26" s="13">
        <f>X26*ghg_sort!$B$6</f>
        <v>-3.5416306202915034E-2</v>
      </c>
      <c r="L26" s="13">
        <f>Y26*ghg_sort!$B$6</f>
        <v>-6.7204740785707498E-2</v>
      </c>
      <c r="M26" s="13">
        <f>Z26*ghg_sort!$B$6</f>
        <v>-0.21658312488868936</v>
      </c>
      <c r="N26" s="13">
        <f>AA26*ghg_sort!$B$6</f>
        <v>-0.52412119478972419</v>
      </c>
      <c r="O26" s="13">
        <f>AB26*ghg_sort!$B$6</f>
        <v>-0.88085310404608086</v>
      </c>
      <c r="P26" s="13" t="s">
        <v>171</v>
      </c>
      <c r="R26" s="14">
        <v>0</v>
      </c>
      <c r="S26" s="14">
        <v>-6.5384049003608703E-5</v>
      </c>
      <c r="T26" s="14">
        <v>-1.9729718109305901E-3</v>
      </c>
      <c r="U26" s="14">
        <v>-2.1419241077707701E-3</v>
      </c>
      <c r="V26" s="13">
        <v>-5.9785043405718198E-3</v>
      </c>
      <c r="W26" s="13">
        <v>-7.4432321731001802E-3</v>
      </c>
      <c r="X26" s="13">
        <v>-9.6589926007950005E-3</v>
      </c>
      <c r="Y26" s="13">
        <v>-1.8328565668829299E-2</v>
      </c>
      <c r="Z26" s="13">
        <v>-5.9068124969642498E-2</v>
      </c>
      <c r="AA26" s="13">
        <v>-0.14294214403356101</v>
      </c>
      <c r="AB26" s="13">
        <v>-0.24023266473984001</v>
      </c>
    </row>
    <row r="27" spans="1:28">
      <c r="A27" s="13" t="s">
        <v>261</v>
      </c>
      <c r="B27" s="13" t="s">
        <v>1</v>
      </c>
      <c r="C27" s="13" t="s">
        <v>62</v>
      </c>
      <c r="D27" s="13" t="str">
        <f>VLOOKUP(C27,ghg_sort!$A$35:$B$82,2,0)</f>
        <v>Industry</v>
      </c>
      <c r="E27" s="13">
        <f>R27*ghg_sort!$B$6</f>
        <v>9.7891444583392992</v>
      </c>
      <c r="F27" s="13">
        <f>S27*ghg_sort!$B$6</f>
        <v>13.385650644517884</v>
      </c>
      <c r="G27" s="13">
        <f>T27*ghg_sort!$B$6</f>
        <v>12.734759733984395</v>
      </c>
      <c r="H27" s="13">
        <f>U27*ghg_sort!$B$6</f>
        <v>12.985316141487996</v>
      </c>
      <c r="I27" s="13">
        <f>V27*ghg_sort!$B$6</f>
        <v>12.050509658892148</v>
      </c>
      <c r="J27" s="13">
        <f>W27*ghg_sort!$B$6</f>
        <v>11.643180736882174</v>
      </c>
      <c r="K27" s="13">
        <f>X27*ghg_sort!$B$6</f>
        <v>11.419746500806868</v>
      </c>
      <c r="L27" s="13">
        <f>Y27*ghg_sort!$B$6</f>
        <v>11.412671279110906</v>
      </c>
      <c r="M27" s="13">
        <f>Z27*ghg_sort!$B$6</f>
        <v>11.276133617296507</v>
      </c>
      <c r="N27" s="13">
        <f>AA27*ghg_sort!$B$6</f>
        <v>10.906519731285137</v>
      </c>
      <c r="O27" s="13">
        <f>AB27*ghg_sort!$B$6</f>
        <v>10.33972018794573</v>
      </c>
      <c r="P27" s="13" t="s">
        <v>171</v>
      </c>
      <c r="R27" s="13">
        <v>2.6697666704561702</v>
      </c>
      <c r="S27" s="13">
        <v>3.6506319939594198</v>
      </c>
      <c r="T27" s="13">
        <v>3.47311629108665</v>
      </c>
      <c r="U27" s="13">
        <v>3.5414498567694501</v>
      </c>
      <c r="V27" s="13">
        <v>3.2865026342433099</v>
      </c>
      <c r="W27" s="13">
        <v>3.1754129282405898</v>
      </c>
      <c r="X27" s="13">
        <v>3.11447631840187</v>
      </c>
      <c r="Y27" s="13">
        <v>3.1125467124847899</v>
      </c>
      <c r="Z27" s="13">
        <v>3.07530916835359</v>
      </c>
      <c r="AA27" s="13">
        <v>2.9745053812595801</v>
      </c>
      <c r="AB27" s="13">
        <v>2.8199236876215599</v>
      </c>
    </row>
    <row r="28" spans="1:28">
      <c r="A28" s="13" t="s">
        <v>261</v>
      </c>
      <c r="B28" s="13" t="s">
        <v>1</v>
      </c>
      <c r="C28" s="13" t="s">
        <v>164</v>
      </c>
      <c r="D28" s="13">
        <f>VLOOKUP(C28,ghg_sort!$A$35:$B$82,2,0)</f>
        <v>0</v>
      </c>
      <c r="E28" s="13">
        <f>R28*ghg_sort!$B$6</f>
        <v>0</v>
      </c>
      <c r="F28" s="13">
        <f>S28*ghg_sort!$B$6</f>
        <v>0</v>
      </c>
      <c r="G28" s="13">
        <f>T28*ghg_sort!$B$6</f>
        <v>-8.8992840459724013E-7</v>
      </c>
      <c r="H28" s="13">
        <f>U28*ghg_sort!$B$6</f>
        <v>-1.5359606930237695E-6</v>
      </c>
      <c r="I28" s="13">
        <f>V28*ghg_sort!$B$6</f>
        <v>0</v>
      </c>
      <c r="J28" s="13">
        <f>W28*ghg_sort!$B$6</f>
        <v>-9.6018587256955822E-7</v>
      </c>
      <c r="K28" s="13">
        <f>X28*ghg_sort!$B$6</f>
        <v>0</v>
      </c>
      <c r="L28" s="13">
        <f>Y28*ghg_sort!$B$6</f>
        <v>0</v>
      </c>
      <c r="M28" s="13">
        <f>Z28*ghg_sort!$B$6</f>
        <v>-1.1406249415651027E-5</v>
      </c>
      <c r="N28" s="13">
        <f>AA28*ghg_sort!$B$6</f>
        <v>-1.2566404471292625E-5</v>
      </c>
      <c r="O28" s="13">
        <f>AB28*ghg_sort!$B$6</f>
        <v>-2.3483190680043256E-5</v>
      </c>
      <c r="P28" s="13" t="s">
        <v>171</v>
      </c>
      <c r="R28" s="13">
        <v>0</v>
      </c>
      <c r="S28" s="14">
        <v>0</v>
      </c>
      <c r="T28" s="14">
        <v>-2.4270774670833798E-7</v>
      </c>
      <c r="U28" s="14">
        <v>-4.1889837082466401E-7</v>
      </c>
      <c r="V28" s="14">
        <v>0</v>
      </c>
      <c r="W28" s="14">
        <v>-2.6186887433715198E-7</v>
      </c>
      <c r="X28" s="14">
        <v>0</v>
      </c>
      <c r="Y28" s="14">
        <v>0</v>
      </c>
      <c r="Z28" s="14">
        <v>-3.1107952951775499E-6</v>
      </c>
      <c r="AA28" s="14">
        <v>-3.4272012194434398E-6</v>
      </c>
      <c r="AB28" s="14">
        <v>-6.4045065491027004E-6</v>
      </c>
    </row>
    <row r="29" spans="1:28">
      <c r="A29" s="13" t="s">
        <v>261</v>
      </c>
      <c r="B29" s="13" t="s">
        <v>1</v>
      </c>
      <c r="C29" s="13" t="s">
        <v>6</v>
      </c>
      <c r="D29" s="13" t="str">
        <f>VLOOKUP(C29,ghg_sort!$A$35:$B$82,2,0)</f>
        <v>Industry</v>
      </c>
      <c r="E29" s="13">
        <f>R29*ghg_sort!$B$6</f>
        <v>0</v>
      </c>
      <c r="F29" s="13">
        <f>S29*ghg_sort!$B$6</f>
        <v>0</v>
      </c>
      <c r="G29" s="13">
        <f>T29*ghg_sort!$B$6</f>
        <v>-5.1522214526304177E-7</v>
      </c>
      <c r="H29" s="13">
        <f>U29*ghg_sort!$B$6</f>
        <v>0</v>
      </c>
      <c r="I29" s="13">
        <f>V29*ghg_sort!$B$6</f>
        <v>-1.9951961971812659E-6</v>
      </c>
      <c r="J29" s="13">
        <f>W29*ghg_sort!$B$6</f>
        <v>0</v>
      </c>
      <c r="K29" s="13">
        <f>X29*ghg_sort!$B$6</f>
        <v>-1.3664877764083858E-6</v>
      </c>
      <c r="L29" s="13">
        <f>Y29*ghg_sort!$B$6</f>
        <v>-4.5024739657662641E-6</v>
      </c>
      <c r="M29" s="13">
        <f>Z29*ghg_sort!$B$6</f>
        <v>0</v>
      </c>
      <c r="N29" s="13">
        <f>AA29*ghg_sort!$B$6</f>
        <v>0</v>
      </c>
      <c r="O29" s="13">
        <f>AB29*ghg_sort!$B$6</f>
        <v>0</v>
      </c>
      <c r="P29" s="13" t="s">
        <v>171</v>
      </c>
      <c r="R29" s="14">
        <v>0</v>
      </c>
      <c r="S29" s="14">
        <v>0</v>
      </c>
      <c r="T29" s="14">
        <v>-1.40515130526284E-7</v>
      </c>
      <c r="U29" s="14">
        <v>0</v>
      </c>
      <c r="V29" s="14">
        <v>-5.4414441741307201E-7</v>
      </c>
      <c r="W29" s="14">
        <v>0</v>
      </c>
      <c r="X29" s="14">
        <v>-3.7267848447501399E-7</v>
      </c>
      <c r="Y29" s="14">
        <v>-1.2279474452089799E-6</v>
      </c>
      <c r="Z29" s="13">
        <v>0</v>
      </c>
      <c r="AA29" s="14">
        <v>0</v>
      </c>
      <c r="AB29" s="13">
        <v>0</v>
      </c>
    </row>
    <row r="30" spans="1:28">
      <c r="A30" s="13" t="s">
        <v>261</v>
      </c>
      <c r="B30" s="13" t="s">
        <v>1</v>
      </c>
      <c r="C30" s="13" t="s">
        <v>148</v>
      </c>
      <c r="D30" s="13" t="str">
        <f>VLOOKUP(C30,ghg_sort!$A$35:$B$82,2,0)</f>
        <v>Industry</v>
      </c>
      <c r="E30" s="13">
        <f>R30*ghg_sort!$B$6</f>
        <v>2.0245353333333354</v>
      </c>
      <c r="F30" s="13">
        <f>S30*ghg_sort!$B$6</f>
        <v>15.065143451769599</v>
      </c>
      <c r="G30" s="13">
        <f>T30*ghg_sort!$B$6</f>
        <v>21.17748904879199</v>
      </c>
      <c r="H30" s="13">
        <f>U30*ghg_sort!$B$6</f>
        <v>31.35152278831422</v>
      </c>
      <c r="I30" s="13">
        <f>V30*ghg_sort!$B$6</f>
        <v>30.772895726822654</v>
      </c>
      <c r="J30" s="13">
        <f>W30*ghg_sort!$B$6</f>
        <v>30.650316084943235</v>
      </c>
      <c r="K30" s="13">
        <f>X30*ghg_sort!$B$6</f>
        <v>29.540409043096592</v>
      </c>
      <c r="L30" s="13">
        <f>Y30*ghg_sort!$B$6</f>
        <v>28.074805749229093</v>
      </c>
      <c r="M30" s="13">
        <f>Z30*ghg_sort!$B$6</f>
        <v>26.477862292954587</v>
      </c>
      <c r="N30" s="13">
        <f>AA30*ghg_sort!$B$6</f>
        <v>25.643649007368833</v>
      </c>
      <c r="O30" s="13">
        <f>AB30*ghg_sort!$B$6</f>
        <v>25.614243157796505</v>
      </c>
      <c r="P30" s="13" t="s">
        <v>171</v>
      </c>
      <c r="R30" s="13">
        <v>0.55214600000000003</v>
      </c>
      <c r="S30" s="14">
        <v>4.1086754868462503</v>
      </c>
      <c r="T30" s="13">
        <v>5.7756788314887197</v>
      </c>
      <c r="U30" s="13">
        <v>8.5504153059038703</v>
      </c>
      <c r="V30" s="13">
        <v>8.3926079254970798</v>
      </c>
      <c r="W30" s="13">
        <v>8.3591771140754201</v>
      </c>
      <c r="X30" s="13">
        <v>8.0564751935717904</v>
      </c>
      <c r="Y30" s="13">
        <v>7.6567652043352004</v>
      </c>
      <c r="Z30" s="13">
        <v>7.22123517080579</v>
      </c>
      <c r="AA30" s="13">
        <v>6.9937224565551297</v>
      </c>
      <c r="AB30" s="13">
        <v>6.98570267939904</v>
      </c>
    </row>
    <row r="31" spans="1:28">
      <c r="A31" s="13" t="s">
        <v>261</v>
      </c>
      <c r="B31" s="13" t="s">
        <v>1</v>
      </c>
      <c r="C31" s="13" t="s">
        <v>152</v>
      </c>
      <c r="D31" s="13" t="str">
        <f>VLOOKUP(C31,ghg_sort!$A$35:$B$82,2,0)</f>
        <v>Building</v>
      </c>
      <c r="E31" s="13">
        <f>R31*ghg_sort!$B$6</f>
        <v>15.650855202105838</v>
      </c>
      <c r="F31" s="13">
        <f>S31*ghg_sort!$B$6</f>
        <v>19.751219919670561</v>
      </c>
      <c r="G31" s="13">
        <f>T31*ghg_sort!$B$6</f>
        <v>19.760550402334957</v>
      </c>
      <c r="H31" s="13">
        <f>U31*ghg_sort!$B$6</f>
        <v>18.335950936102925</v>
      </c>
      <c r="I31" s="13">
        <f>V31*ghg_sort!$B$6</f>
        <v>19.978203550535358</v>
      </c>
      <c r="J31" s="13">
        <f>W31*ghg_sort!$B$6</f>
        <v>21.128911511954346</v>
      </c>
      <c r="K31" s="13">
        <f>X31*ghg_sort!$B$6</f>
        <v>21.264893638279556</v>
      </c>
      <c r="L31" s="13">
        <f>Y31*ghg_sort!$B$6</f>
        <v>20.819557931742189</v>
      </c>
      <c r="M31" s="13">
        <f>Z31*ghg_sort!$B$6</f>
        <v>19.98919300479653</v>
      </c>
      <c r="N31" s="13">
        <f>AA31*ghg_sort!$B$6</f>
        <v>18.924927464348894</v>
      </c>
      <c r="O31" s="13">
        <f>AB31*ghg_sort!$B$6</f>
        <v>17.47401525913488</v>
      </c>
      <c r="P31" s="13" t="s">
        <v>171</v>
      </c>
      <c r="R31" s="13">
        <v>4.2684150551197702</v>
      </c>
      <c r="S31" s="13">
        <v>5.3866963417283298</v>
      </c>
      <c r="T31" s="13">
        <v>5.3892410188186197</v>
      </c>
      <c r="U31" s="13">
        <v>5.0007138916644296</v>
      </c>
      <c r="V31" s="13">
        <v>5.4486009683278196</v>
      </c>
      <c r="W31" s="13">
        <v>5.76243041235118</v>
      </c>
      <c r="X31" s="13">
        <v>5.7995164468035103</v>
      </c>
      <c r="Y31" s="13">
        <v>5.6780612541115003</v>
      </c>
      <c r="Z31" s="13">
        <v>5.45159809221723</v>
      </c>
      <c r="AA31" s="13">
        <v>5.1613438539133298</v>
      </c>
      <c r="AB31" s="13">
        <v>4.7656405252185996</v>
      </c>
    </row>
    <row r="32" spans="1:28">
      <c r="A32" s="13" t="s">
        <v>261</v>
      </c>
      <c r="B32" s="13" t="s">
        <v>1</v>
      </c>
      <c r="C32" s="13" t="s">
        <v>153</v>
      </c>
      <c r="D32" s="13" t="str">
        <f>VLOOKUP(C32,ghg_sort!$A$35:$B$82,2,0)</f>
        <v>Building</v>
      </c>
      <c r="E32" s="13">
        <f>R32*ghg_sort!$B$6</f>
        <v>27.314761492950971</v>
      </c>
      <c r="F32" s="13">
        <f>S32*ghg_sort!$B$6</f>
        <v>12.740593929886655</v>
      </c>
      <c r="G32" s="13">
        <f>T32*ghg_sort!$B$6</f>
        <v>12.693356183610385</v>
      </c>
      <c r="H32" s="13">
        <f>U32*ghg_sort!$B$6</f>
        <v>11.385905968043359</v>
      </c>
      <c r="I32" s="13">
        <f>V32*ghg_sort!$B$6</f>
        <v>14.071253746041593</v>
      </c>
      <c r="J32" s="13">
        <f>W32*ghg_sort!$B$6</f>
        <v>16.209088803790351</v>
      </c>
      <c r="K32" s="13">
        <f>X32*ghg_sort!$B$6</f>
        <v>16.519980034846693</v>
      </c>
      <c r="L32" s="13">
        <f>Y32*ghg_sort!$B$6</f>
        <v>16.487086755358099</v>
      </c>
      <c r="M32" s="13">
        <f>Z32*ghg_sort!$B$6</f>
        <v>15.959309498527025</v>
      </c>
      <c r="N32" s="13">
        <f>AA32*ghg_sort!$B$6</f>
        <v>15.591435539144094</v>
      </c>
      <c r="O32" s="13">
        <f>AB32*ghg_sort!$B$6</f>
        <v>14.549860785201441</v>
      </c>
      <c r="P32" s="13" t="s">
        <v>171</v>
      </c>
      <c r="R32" s="13">
        <v>7.4494804071684397</v>
      </c>
      <c r="S32" s="13">
        <v>3.47470743542363</v>
      </c>
      <c r="T32" s="13">
        <v>3.4618244137119198</v>
      </c>
      <c r="U32" s="13">
        <v>3.1052470821936402</v>
      </c>
      <c r="V32" s="13">
        <v>3.8376146580113399</v>
      </c>
      <c r="W32" s="14">
        <v>4.4206605828519097</v>
      </c>
      <c r="X32" s="14">
        <v>4.5054491004127302</v>
      </c>
      <c r="Y32" s="14">
        <v>4.4964782060067501</v>
      </c>
      <c r="Z32" s="13">
        <v>4.3525389541437303</v>
      </c>
      <c r="AA32" s="13">
        <v>4.2522096924938397</v>
      </c>
      <c r="AB32" s="13">
        <v>3.9681438505094802</v>
      </c>
    </row>
    <row r="33" spans="1:28">
      <c r="A33" s="13" t="s">
        <v>261</v>
      </c>
      <c r="B33" s="13" t="s">
        <v>1</v>
      </c>
      <c r="C33" s="13" t="s">
        <v>407</v>
      </c>
      <c r="D33" s="13" t="str">
        <f>VLOOKUP(C33,ghg_sort!$A$35:$B$82,2,0)</f>
        <v>Industry</v>
      </c>
      <c r="E33" s="13">
        <f>R33*ghg_sort!$B$6</f>
        <v>0</v>
      </c>
      <c r="F33" s="13">
        <f>S33*ghg_sort!$B$6</f>
        <v>0</v>
      </c>
      <c r="G33" s="13">
        <f>T33*ghg_sort!$B$6</f>
        <v>0</v>
      </c>
      <c r="H33" s="13">
        <f>U33*ghg_sort!$B$6</f>
        <v>0</v>
      </c>
      <c r="I33" s="13">
        <f>V33*ghg_sort!$B$6</f>
        <v>0</v>
      </c>
      <c r="J33" s="13">
        <f>W33*ghg_sort!$B$6</f>
        <v>0</v>
      </c>
      <c r="K33" s="13">
        <f>X33*ghg_sort!$B$6</f>
        <v>0</v>
      </c>
      <c r="L33" s="13">
        <f>Y33*ghg_sort!$B$6</f>
        <v>0</v>
      </c>
      <c r="M33" s="13">
        <f>Z33*ghg_sort!$B$6</f>
        <v>0</v>
      </c>
      <c r="N33" s="13">
        <f>AA33*ghg_sort!$B$6</f>
        <v>0</v>
      </c>
      <c r="O33" s="13">
        <f>AB33*ghg_sort!$B$6</f>
        <v>0</v>
      </c>
      <c r="P33" s="13" t="s">
        <v>171</v>
      </c>
      <c r="W33" s="14"/>
      <c r="X33" s="14"/>
      <c r="Y33" s="14"/>
    </row>
    <row r="34" spans="1:28">
      <c r="A34" s="13" t="s">
        <v>261</v>
      </c>
      <c r="B34" s="13" t="s">
        <v>1</v>
      </c>
      <c r="C34" s="13" t="s">
        <v>154</v>
      </c>
      <c r="D34" s="13" t="str">
        <f>VLOOKUP(C34,ghg_sort!$A$35:$B$82,2,0)</f>
        <v>International</v>
      </c>
      <c r="E34" s="13">
        <f>R34*ghg_sort!$B$6</f>
        <v>0.5610513333333339</v>
      </c>
      <c r="F34" s="13">
        <f>S34*ghg_sort!$B$6</f>
        <v>10.161416835775306</v>
      </c>
      <c r="G34" s="13">
        <f>T34*ghg_sort!$B$6</f>
        <v>11.947433457441983</v>
      </c>
      <c r="H34" s="13">
        <f>U34*ghg_sort!$B$6</f>
        <v>15.461122520929557</v>
      </c>
      <c r="I34" s="13">
        <f>V34*ghg_sort!$B$6</f>
        <v>16.316968911942652</v>
      </c>
      <c r="J34" s="13">
        <f>W34*ghg_sort!$B$6</f>
        <v>17.320722860272788</v>
      </c>
      <c r="K34" s="13">
        <f>X34*ghg_sort!$B$6</f>
        <v>17.988815478937543</v>
      </c>
      <c r="L34" s="13">
        <f>Y34*ghg_sort!$B$6</f>
        <v>18.185929591455615</v>
      </c>
      <c r="M34" s="13">
        <f>Z34*ghg_sort!$B$6</f>
        <v>18.027439011575819</v>
      </c>
      <c r="N34" s="13">
        <f>AA34*ghg_sort!$B$6</f>
        <v>17.527090520848571</v>
      </c>
      <c r="O34" s="13">
        <f>AB34*ghg_sort!$B$6</f>
        <v>16.804919468518257</v>
      </c>
      <c r="P34" s="13" t="s">
        <v>171</v>
      </c>
      <c r="R34" s="13">
        <v>0.15301400000000001</v>
      </c>
      <c r="S34" s="14">
        <v>2.7712955006659898</v>
      </c>
      <c r="T34" s="14">
        <v>3.2583909429387199</v>
      </c>
      <c r="U34" s="14">
        <v>4.21666977843533</v>
      </c>
      <c r="V34" s="13">
        <v>4.4500824305298101</v>
      </c>
      <c r="W34" s="14">
        <v>4.7238335073471198</v>
      </c>
      <c r="X34" s="13">
        <v>4.9060405851647797</v>
      </c>
      <c r="Y34" s="14">
        <v>4.9597989794878901</v>
      </c>
      <c r="Z34" s="14">
        <v>4.9165742758843098</v>
      </c>
      <c r="AA34" s="13">
        <v>4.7801155965950599</v>
      </c>
      <c r="AB34" s="13">
        <v>4.5831598550504298</v>
      </c>
    </row>
    <row r="35" spans="1:28">
      <c r="A35" s="13" t="s">
        <v>261</v>
      </c>
      <c r="B35" s="13" t="s">
        <v>1</v>
      </c>
      <c r="C35" s="13" t="s">
        <v>155</v>
      </c>
      <c r="D35" s="13" t="str">
        <f>VLOOKUP(C35,ghg_sort!$A$35:$B$82,2,0)</f>
        <v>Transportation</v>
      </c>
      <c r="E35" s="13">
        <f>R35*ghg_sort!$B$6</f>
        <v>5.0582154333333378</v>
      </c>
      <c r="F35" s="13">
        <f>S35*ghg_sort!$B$6</f>
        <v>2.9109752243785207</v>
      </c>
      <c r="G35" s="13">
        <f>T35*ghg_sort!$B$6</f>
        <v>2.2964146719906391</v>
      </c>
      <c r="H35" s="13">
        <f>U35*ghg_sort!$B$6</f>
        <v>0.96798718071215317</v>
      </c>
      <c r="I35" s="13">
        <f>V35*ghg_sort!$B$6</f>
        <v>1.0269388683622025</v>
      </c>
      <c r="J35" s="13">
        <f>W35*ghg_sort!$B$6</f>
        <v>1.1281646012307929</v>
      </c>
      <c r="K35" s="13">
        <f>X35*ghg_sort!$B$6</f>
        <v>1.2662074773265217</v>
      </c>
      <c r="L35" s="13">
        <f>Y35*ghg_sort!$B$6</f>
        <v>1.3483826968586163</v>
      </c>
      <c r="M35" s="13">
        <f>Z35*ghg_sort!$B$6</f>
        <v>1.3836517983057821</v>
      </c>
      <c r="N35" s="13">
        <f>AA35*ghg_sort!$B$6</f>
        <v>1.4102815584238566</v>
      </c>
      <c r="O35" s="13">
        <f>AB35*ghg_sort!$B$6</f>
        <v>1.4392148249408834</v>
      </c>
      <c r="P35" s="13" t="s">
        <v>171</v>
      </c>
      <c r="R35" s="13">
        <v>1.3795132999999999</v>
      </c>
      <c r="S35" s="13">
        <v>0.79390233392141396</v>
      </c>
      <c r="T35" s="14">
        <v>0.62629491054290098</v>
      </c>
      <c r="U35" s="13">
        <v>0.26399650383058698</v>
      </c>
      <c r="V35" s="13">
        <v>0.28007423682605498</v>
      </c>
      <c r="W35" s="14">
        <v>0.30768125488112502</v>
      </c>
      <c r="X35" s="13">
        <v>0.34532931199814199</v>
      </c>
      <c r="Y35" s="13">
        <v>0.36774073550689501</v>
      </c>
      <c r="Z35" s="14">
        <v>0.37735958135612202</v>
      </c>
      <c r="AA35" s="13">
        <v>0.38462224320650601</v>
      </c>
      <c r="AB35" s="14">
        <v>0.392513134074786</v>
      </c>
    </row>
    <row r="36" spans="1:28">
      <c r="A36" s="13" t="s">
        <v>261</v>
      </c>
      <c r="B36" s="13" t="s">
        <v>1</v>
      </c>
      <c r="C36" s="13" t="s">
        <v>156</v>
      </c>
      <c r="D36" s="13" t="str">
        <f>VLOOKUP(C36,ghg_sort!$A$35:$B$82,2,0)</f>
        <v>Transportation</v>
      </c>
      <c r="E36" s="13">
        <f>R36*ghg_sort!$B$6</f>
        <v>9.4148633333333418</v>
      </c>
      <c r="F36" s="13">
        <f>S36*ghg_sort!$B$6</f>
        <v>22.867889884136389</v>
      </c>
      <c r="G36" s="13">
        <f>T36*ghg_sort!$B$6</f>
        <v>23.835254531642168</v>
      </c>
      <c r="H36" s="13">
        <f>U36*ghg_sort!$B$6</f>
        <v>26.687851972856016</v>
      </c>
      <c r="I36" s="13">
        <f>V36*ghg_sort!$B$6</f>
        <v>29.051804219522946</v>
      </c>
      <c r="J36" s="13">
        <f>W36*ghg_sort!$B$6</f>
        <v>32.038448775853219</v>
      </c>
      <c r="K36" s="13">
        <f>X36*ghg_sort!$B$6</f>
        <v>33.196753390609778</v>
      </c>
      <c r="L36" s="13">
        <f>Y36*ghg_sort!$B$6</f>
        <v>33.466486501263887</v>
      </c>
      <c r="M36" s="13">
        <f>Z36*ghg_sort!$B$6</f>
        <v>32.456392304197315</v>
      </c>
      <c r="N36" s="13">
        <f>AA36*ghg_sort!$B$6</f>
        <v>30.944013753932357</v>
      </c>
      <c r="O36" s="13">
        <f>AB36*ghg_sort!$B$6</f>
        <v>29.608789960930576</v>
      </c>
      <c r="P36" s="13" t="s">
        <v>171</v>
      </c>
      <c r="R36" s="13">
        <v>2.5676899999999998</v>
      </c>
      <c r="S36" s="13">
        <v>6.2366972411281001</v>
      </c>
      <c r="T36" s="13">
        <v>6.5005239631751301</v>
      </c>
      <c r="U36" s="13">
        <v>7.2785050835061798</v>
      </c>
      <c r="V36" s="13">
        <v>7.92321933259716</v>
      </c>
      <c r="W36" s="14">
        <v>8.7377587570508695</v>
      </c>
      <c r="X36" s="14">
        <v>9.0536600156208404</v>
      </c>
      <c r="Y36" s="14">
        <v>9.1272235912537791</v>
      </c>
      <c r="Z36" s="13">
        <v>8.8517433556901697</v>
      </c>
      <c r="AA36" s="13">
        <v>8.4392764783451799</v>
      </c>
      <c r="AB36" s="13">
        <v>8.0751245347992402</v>
      </c>
    </row>
    <row r="37" spans="1:28">
      <c r="A37" s="13" t="s">
        <v>261</v>
      </c>
      <c r="B37" s="13" t="s">
        <v>1</v>
      </c>
      <c r="C37" s="13" t="s">
        <v>157</v>
      </c>
      <c r="D37" s="13" t="str">
        <f>VLOOKUP(C37,ghg_sort!$A$35:$B$82,2,0)</f>
        <v>Transportation</v>
      </c>
      <c r="E37" s="13">
        <f>R37*ghg_sort!$B$6</f>
        <v>6.3019835999999687</v>
      </c>
      <c r="F37" s="13">
        <f>S37*ghg_sort!$B$6</f>
        <v>1.4661221989921369</v>
      </c>
      <c r="G37" s="13">
        <f>T37*ghg_sort!$B$6</f>
        <v>1.6532101999793578</v>
      </c>
      <c r="H37" s="13">
        <f>U37*ghg_sort!$B$6</f>
        <v>2.0432535467016328</v>
      </c>
      <c r="I37" s="13">
        <f>V37*ghg_sort!$B$6</f>
        <v>2.1800698346790939</v>
      </c>
      <c r="J37" s="13">
        <f>W37*ghg_sort!$B$6</f>
        <v>2.3000775321199121</v>
      </c>
      <c r="K37" s="13">
        <f>X37*ghg_sort!$B$6</f>
        <v>2.3752909677780822</v>
      </c>
      <c r="L37" s="13">
        <f>Y37*ghg_sort!$B$6</f>
        <v>2.3953303676374436</v>
      </c>
      <c r="M37" s="13">
        <f>Z37*ghg_sort!$B$6</f>
        <v>2.340272278076728</v>
      </c>
      <c r="N37" s="13">
        <f>AA37*ghg_sort!$B$6</f>
        <v>2.2390458638567599</v>
      </c>
      <c r="O37" s="13">
        <f>AB37*ghg_sort!$B$6</f>
        <v>2.1150377765368118</v>
      </c>
      <c r="P37" s="13" t="s">
        <v>171</v>
      </c>
      <c r="R37" s="13">
        <v>1.7187227999999899</v>
      </c>
      <c r="S37" s="13">
        <v>0.39985150881603698</v>
      </c>
      <c r="T37" s="14">
        <v>0.45087550908527901</v>
      </c>
      <c r="U37" s="14">
        <v>0.55725096728226298</v>
      </c>
      <c r="V37" s="14">
        <v>0.59456450036702502</v>
      </c>
      <c r="W37" s="14">
        <v>0.62729387239633905</v>
      </c>
      <c r="X37" s="14">
        <v>0.64780662757583996</v>
      </c>
      <c r="Y37" s="13">
        <v>0.65327191844657495</v>
      </c>
      <c r="Z37" s="14">
        <v>0.63825607583910704</v>
      </c>
      <c r="AA37" s="13">
        <v>0.61064887196093398</v>
      </c>
      <c r="AB37" s="13">
        <v>0.57682848451003899</v>
      </c>
    </row>
    <row r="38" spans="1:28">
      <c r="A38" s="13" t="s">
        <v>261</v>
      </c>
      <c r="B38" s="13" t="s">
        <v>1</v>
      </c>
      <c r="C38" s="13" t="s">
        <v>158</v>
      </c>
      <c r="D38" s="13" t="str">
        <f>VLOOKUP(C38,ghg_sort!$A$35:$B$82,2,0)</f>
        <v>Transportation</v>
      </c>
      <c r="E38" s="13">
        <f>R38*ghg_sort!$B$6</f>
        <v>6.1170266666666722</v>
      </c>
      <c r="F38" s="13">
        <f>S38*ghg_sort!$B$6</f>
        <v>15.551390976597313</v>
      </c>
      <c r="G38" s="13">
        <f>T38*ghg_sort!$B$6</f>
        <v>17.673541300719901</v>
      </c>
      <c r="H38" s="13">
        <f>U38*ghg_sort!$B$6</f>
        <v>19.829553376807809</v>
      </c>
      <c r="I38" s="13">
        <f>V38*ghg_sort!$B$6</f>
        <v>20.29582602204793</v>
      </c>
      <c r="J38" s="13">
        <f>W38*ghg_sort!$B$6</f>
        <v>17.665208004891937</v>
      </c>
      <c r="K38" s="13">
        <f>X38*ghg_sort!$B$6</f>
        <v>14.779335863532218</v>
      </c>
      <c r="L38" s="13">
        <f>Y38*ghg_sort!$B$6</f>
        <v>12.475003673419918</v>
      </c>
      <c r="M38" s="13">
        <f>Z38*ghg_sort!$B$6</f>
        <v>11.436644426099246</v>
      </c>
      <c r="N38" s="13">
        <f>AA38*ghg_sort!$B$6</f>
        <v>10.611024019377734</v>
      </c>
      <c r="O38" s="13">
        <f>AB38*ghg_sort!$B$6</f>
        <v>9.8594617414633348</v>
      </c>
      <c r="P38" s="13" t="s">
        <v>171</v>
      </c>
      <c r="R38" s="13">
        <v>1.66828</v>
      </c>
      <c r="S38" s="13">
        <v>4.2412884481628996</v>
      </c>
      <c r="T38" s="14">
        <v>4.82005671837815</v>
      </c>
      <c r="U38" s="13">
        <v>5.4080600118566702</v>
      </c>
      <c r="V38" s="14">
        <v>5.5352252787403398</v>
      </c>
      <c r="W38" s="13">
        <v>4.81778400133416</v>
      </c>
      <c r="X38" s="13">
        <v>4.0307279627815102</v>
      </c>
      <c r="Y38" s="14">
        <v>3.40227372911452</v>
      </c>
      <c r="Z38" s="13">
        <v>3.1190848434816099</v>
      </c>
      <c r="AA38" s="14">
        <v>2.8939156416484701</v>
      </c>
      <c r="AB38" s="14">
        <v>2.6889441113081798</v>
      </c>
    </row>
    <row r="39" spans="1:28">
      <c r="A39" s="13" t="s">
        <v>261</v>
      </c>
      <c r="B39" s="13" t="s">
        <v>1</v>
      </c>
      <c r="C39" s="13" t="s">
        <v>159</v>
      </c>
      <c r="D39" s="13" t="str">
        <f>VLOOKUP(C39,ghg_sort!$A$35:$B$82,2,0)</f>
        <v>Transportation</v>
      </c>
      <c r="E39" s="13">
        <f>R39*ghg_sort!$B$6</f>
        <v>0.48860166666666716</v>
      </c>
      <c r="F39" s="13">
        <f>S39*ghg_sort!$B$6</f>
        <v>1.1867005588701571</v>
      </c>
      <c r="G39" s="13">
        <f>T39*ghg_sort!$B$6</f>
        <v>1.2368886599202917</v>
      </c>
      <c r="H39" s="13">
        <f>U39*ghg_sort!$B$6</f>
        <v>1.3848928256874531</v>
      </c>
      <c r="I39" s="13">
        <f>V39*ghg_sort!$B$6</f>
        <v>1.464182038715192</v>
      </c>
      <c r="J39" s="13">
        <f>W39*ghg_sort!$B$6</f>
        <v>1.0339662565530734</v>
      </c>
      <c r="K39" s="13">
        <f>X39*ghg_sort!$B$6</f>
        <v>0.77957534809155171</v>
      </c>
      <c r="L39" s="13">
        <f>Y39*ghg_sort!$B$6</f>
        <v>0.61807307445404458</v>
      </c>
      <c r="M39" s="13">
        <f>Z39*ghg_sort!$B$6</f>
        <v>0.60822121389454398</v>
      </c>
      <c r="N39" s="13">
        <f>AA39*ghg_sort!$B$6</f>
        <v>0.5895183477376349</v>
      </c>
      <c r="O39" s="13">
        <f>AB39*ghg_sort!$B$6</f>
        <v>0.56717426357503686</v>
      </c>
      <c r="P39" s="13" t="s">
        <v>171</v>
      </c>
      <c r="R39" s="13">
        <v>0.13325500000000001</v>
      </c>
      <c r="S39" s="13">
        <v>0.323645606964588</v>
      </c>
      <c r="T39" s="13">
        <v>0.33733327088735199</v>
      </c>
      <c r="U39" s="13">
        <v>0.37769804336930501</v>
      </c>
      <c r="V39" s="13">
        <v>0.39932237419505201</v>
      </c>
      <c r="W39" s="13">
        <v>0.28199079724174703</v>
      </c>
      <c r="X39" s="13">
        <v>0.21261145857042299</v>
      </c>
      <c r="Y39" s="13">
        <v>0.16856538394201201</v>
      </c>
      <c r="Z39" s="13">
        <v>0.16587851288033001</v>
      </c>
      <c r="AA39" s="13">
        <v>0.160777731201173</v>
      </c>
      <c r="AB39" s="13">
        <v>0.15468389006591901</v>
      </c>
    </row>
    <row r="40" spans="1:28">
      <c r="A40" s="13" t="s">
        <v>261</v>
      </c>
      <c r="B40" s="13" t="s">
        <v>1</v>
      </c>
      <c r="C40" s="13" t="s">
        <v>160</v>
      </c>
      <c r="D40" s="13" t="str">
        <f>VLOOKUP(C40,ghg_sort!$A$35:$B$82,2,0)</f>
        <v>Transportation</v>
      </c>
      <c r="E40" s="13">
        <f>R40*ghg_sort!$B$6</f>
        <v>16.483280000000015</v>
      </c>
      <c r="F40" s="13">
        <f>S40*ghg_sort!$B$6</f>
        <v>40.04310849116824</v>
      </c>
      <c r="G40" s="13">
        <f>T40*ghg_sort!$B$6</f>
        <v>41.756483394655369</v>
      </c>
      <c r="H40" s="13">
        <f>U40*ghg_sort!$B$6</f>
        <v>46.753585941553744</v>
      </c>
      <c r="I40" s="13">
        <f>V40*ghg_sort!$B$6</f>
        <v>46.973611403168313</v>
      </c>
      <c r="J40" s="13">
        <f>W40*ghg_sort!$B$6</f>
        <v>43.956267824102738</v>
      </c>
      <c r="K40" s="13">
        <f>X40*ghg_sort!$B$6</f>
        <v>36.453265194126658</v>
      </c>
      <c r="L40" s="13">
        <f>Y40*ghg_sort!$B$6</f>
        <v>29.342736633924481</v>
      </c>
      <c r="M40" s="13">
        <f>Z40*ghg_sort!$B$6</f>
        <v>22.110580930281746</v>
      </c>
      <c r="N40" s="13">
        <f>AA40*ghg_sort!$B$6</f>
        <v>18.267419626907419</v>
      </c>
      <c r="O40" s="13">
        <f>AB40*ghg_sort!$B$6</f>
        <v>15.522289993225304</v>
      </c>
      <c r="P40" s="13" t="s">
        <v>171</v>
      </c>
      <c r="R40" s="13">
        <v>4.4954400000000003</v>
      </c>
      <c r="S40" s="13">
        <v>10.9208477703186</v>
      </c>
      <c r="T40" s="13">
        <v>11.388131834906</v>
      </c>
      <c r="U40" s="13">
        <v>12.7509779840601</v>
      </c>
      <c r="V40" s="13">
        <v>12.810984928136801</v>
      </c>
      <c r="W40" s="13">
        <v>11.988073042937099</v>
      </c>
      <c r="X40" s="13">
        <v>9.9417995983981697</v>
      </c>
      <c r="Y40" s="13">
        <v>8.0025645365248508</v>
      </c>
      <c r="Z40" s="13">
        <v>6.03015843553138</v>
      </c>
      <c r="AA40" s="13">
        <v>4.9820235346111099</v>
      </c>
      <c r="AB40" s="13">
        <v>4.2333518163341699</v>
      </c>
    </row>
    <row r="41" spans="1:28">
      <c r="A41" s="13" t="s">
        <v>261</v>
      </c>
      <c r="B41" s="13" t="s">
        <v>1</v>
      </c>
      <c r="C41" s="13" t="s">
        <v>161</v>
      </c>
      <c r="D41" s="13" t="str">
        <f>VLOOKUP(C41,ghg_sort!$A$35:$B$82,2,0)</f>
        <v>International</v>
      </c>
      <c r="E41" s="13">
        <f>R41*ghg_sort!$B$6</f>
        <v>4.7456566666666715</v>
      </c>
      <c r="F41" s="13">
        <f>S41*ghg_sort!$B$6</f>
        <v>29.914731040106872</v>
      </c>
      <c r="G41" s="13">
        <f>T41*ghg_sort!$B$6</f>
        <v>25.682433352023896</v>
      </c>
      <c r="H41" s="13">
        <f>U41*ghg_sort!$B$6</f>
        <v>24.149560938747737</v>
      </c>
      <c r="I41" s="13">
        <f>V41*ghg_sort!$B$6</f>
        <v>25.021646320593618</v>
      </c>
      <c r="J41" s="13">
        <f>W41*ghg_sort!$B$6</f>
        <v>26.137185645548655</v>
      </c>
      <c r="K41" s="13">
        <f>X41*ghg_sort!$B$6</f>
        <v>27.174583382765743</v>
      </c>
      <c r="L41" s="13">
        <f>Y41*ghg_sort!$B$6</f>
        <v>27.796577121603132</v>
      </c>
      <c r="M41" s="13">
        <f>Z41*ghg_sort!$B$6</f>
        <v>27.903065541600359</v>
      </c>
      <c r="N41" s="13">
        <f>AA41*ghg_sort!$B$6</f>
        <v>27.699017083696116</v>
      </c>
      <c r="O41" s="13">
        <f>AB41*ghg_sort!$B$6</f>
        <v>27.504042197992018</v>
      </c>
      <c r="P41" s="13" t="s">
        <v>171</v>
      </c>
      <c r="R41" s="13">
        <v>1.29427</v>
      </c>
      <c r="S41" s="13">
        <v>8.1585630109382308</v>
      </c>
      <c r="T41" s="13">
        <v>7.00430000509742</v>
      </c>
      <c r="U41" s="13">
        <v>6.58624389238574</v>
      </c>
      <c r="V41" s="13">
        <v>6.8240853601618898</v>
      </c>
      <c r="W41" s="13">
        <v>7.1283233578768996</v>
      </c>
      <c r="X41" s="13">
        <v>7.4112500134815598</v>
      </c>
      <c r="Y41" s="13">
        <v>7.5808846695281202</v>
      </c>
      <c r="Z41" s="13">
        <v>7.6099269658909998</v>
      </c>
      <c r="AA41" s="13">
        <v>7.5542773864625703</v>
      </c>
      <c r="AB41" s="13">
        <v>7.5011024176341801</v>
      </c>
    </row>
    <row r="42" spans="1:28">
      <c r="A42" s="13" t="s">
        <v>261</v>
      </c>
      <c r="B42" s="13" t="s">
        <v>1</v>
      </c>
      <c r="C42" s="13" t="s">
        <v>7</v>
      </c>
      <c r="D42" s="13">
        <f>VLOOKUP(C42,ghg_sort!$A$35:$B$82,2,0)</f>
        <v>0</v>
      </c>
      <c r="E42" s="13">
        <f>R42*ghg_sort!$B$6</f>
        <v>-1.5875003831509291E-8</v>
      </c>
      <c r="F42" s="13">
        <f>S42*ghg_sort!$B$6</f>
        <v>-4.1206742745484837E-8</v>
      </c>
      <c r="G42" s="13">
        <f>T42*ghg_sort!$B$6</f>
        <v>-3.0549178687298618E-7</v>
      </c>
      <c r="H42" s="13">
        <f>U42*ghg_sort!$B$6</f>
        <v>-1.0193300674918361E-6</v>
      </c>
      <c r="I42" s="13">
        <f>V42*ghg_sort!$B$6</f>
        <v>-1.9256652910396752E-7</v>
      </c>
      <c r="J42" s="13">
        <f>W42*ghg_sort!$B$6</f>
        <v>0</v>
      </c>
      <c r="K42" s="13">
        <f>X42*ghg_sort!$B$6</f>
        <v>0</v>
      </c>
      <c r="L42" s="13">
        <f>Y42*ghg_sort!$B$6</f>
        <v>0</v>
      </c>
      <c r="M42" s="13">
        <f>Z42*ghg_sort!$B$6</f>
        <v>0</v>
      </c>
      <c r="N42" s="13">
        <f>AA42*ghg_sort!$B$6</f>
        <v>0</v>
      </c>
      <c r="O42" s="13">
        <f>AB42*ghg_sort!$B$6</f>
        <v>-1.1930555201093039E-7</v>
      </c>
      <c r="R42" s="14">
        <v>-4.3295464995025302E-9</v>
      </c>
      <c r="S42" s="14">
        <v>-1.12382025669504E-8</v>
      </c>
      <c r="T42" s="14">
        <v>-8.3315941874450703E-8</v>
      </c>
      <c r="U42" s="14">
        <v>-2.7799910931595501E-7</v>
      </c>
      <c r="V42" s="14">
        <v>-5.2518144301081997E-8</v>
      </c>
      <c r="W42" s="14">
        <v>0</v>
      </c>
      <c r="X42" s="14">
        <v>0</v>
      </c>
      <c r="Y42" s="14">
        <v>0</v>
      </c>
      <c r="Z42" s="14">
        <v>0</v>
      </c>
      <c r="AA42" s="13">
        <v>0</v>
      </c>
      <c r="AB42" s="14">
        <v>-3.2537877821162801E-8</v>
      </c>
    </row>
    <row r="47" spans="1:28">
      <c r="R47" s="14"/>
      <c r="S47" s="14"/>
      <c r="T47" s="14"/>
      <c r="U47" s="14"/>
      <c r="V47" s="14"/>
      <c r="W47" s="14"/>
      <c r="X47" s="14"/>
      <c r="Z47" s="14"/>
      <c r="AA47" s="14"/>
      <c r="AB47" s="14"/>
    </row>
    <row r="50" spans="1:28">
      <c r="R50" s="14"/>
      <c r="S50" s="14"/>
      <c r="T50" s="14"/>
      <c r="U50" s="14"/>
      <c r="W50" s="14"/>
      <c r="Z50" s="14"/>
      <c r="AA50" s="14"/>
      <c r="AB50" s="14"/>
    </row>
    <row r="51" spans="1:28">
      <c r="E51" s="13">
        <f>SUM(E3:E50)</f>
        <v>266.37792782246117</v>
      </c>
      <c r="F51" s="13">
        <f t="shared" ref="F51:N51" si="0">SUM(F3:F50)</f>
        <v>530.50278771513456</v>
      </c>
      <c r="G51" s="13">
        <f t="shared" si="0"/>
        <v>622.59101832736246</v>
      </c>
      <c r="H51" s="13">
        <f t="shared" si="0"/>
        <v>665.40648472418366</v>
      </c>
      <c r="I51" s="13">
        <f t="shared" si="0"/>
        <v>675.24143418865322</v>
      </c>
      <c r="J51" s="13">
        <f t="shared" si="0"/>
        <v>684.71323838384183</v>
      </c>
      <c r="K51" s="13">
        <f t="shared" si="0"/>
        <v>671.52022703490491</v>
      </c>
      <c r="L51" s="13">
        <f t="shared" si="0"/>
        <v>647.12744203211867</v>
      </c>
      <c r="M51" s="13">
        <f t="shared" si="0"/>
        <v>612.21843812330906</v>
      </c>
      <c r="N51" s="13">
        <f t="shared" si="0"/>
        <v>527.1456214902455</v>
      </c>
      <c r="O51" s="13">
        <f>SUM(O3:O50)</f>
        <v>482.2275503960451</v>
      </c>
    </row>
    <row r="52" spans="1:28">
      <c r="A52" s="1" t="s">
        <v>121</v>
      </c>
    </row>
    <row r="53" spans="1:28">
      <c r="A53" s="13" t="s">
        <v>8</v>
      </c>
      <c r="B53" s="13" t="s">
        <v>9</v>
      </c>
      <c r="C53" s="13" t="s">
        <v>10</v>
      </c>
      <c r="D53" s="13">
        <v>1990</v>
      </c>
      <c r="E53" s="13">
        <v>2005</v>
      </c>
      <c r="F53" s="13">
        <v>2010</v>
      </c>
      <c r="G53" s="13">
        <v>2015</v>
      </c>
      <c r="H53" s="13">
        <v>2020</v>
      </c>
      <c r="I53" s="13">
        <v>2025</v>
      </c>
      <c r="J53" s="13">
        <v>2030</v>
      </c>
      <c r="K53" s="13">
        <v>2035</v>
      </c>
      <c r="L53" s="13">
        <v>2040</v>
      </c>
      <c r="M53" s="13">
        <v>2045</v>
      </c>
      <c r="N53" s="13">
        <v>2050</v>
      </c>
      <c r="O53" s="13" t="s">
        <v>76</v>
      </c>
      <c r="R53" s="13">
        <v>2015</v>
      </c>
      <c r="S53" s="13">
        <v>2020</v>
      </c>
      <c r="T53" s="13">
        <v>2025</v>
      </c>
      <c r="U53" s="13">
        <v>2030</v>
      </c>
      <c r="V53" s="13">
        <v>2035</v>
      </c>
      <c r="W53" s="13">
        <v>2040</v>
      </c>
      <c r="X53" s="13">
        <v>2045</v>
      </c>
      <c r="Y53" s="13">
        <v>2050</v>
      </c>
      <c r="Z53" s="13" t="s">
        <v>76</v>
      </c>
    </row>
    <row r="54" spans="1:28">
      <c r="A54" s="13" t="s">
        <v>365</v>
      </c>
      <c r="B54" s="13" t="s">
        <v>1</v>
      </c>
      <c r="C54" s="13" t="s">
        <v>57</v>
      </c>
      <c r="D54" s="13">
        <v>6.4985299999999996E-2</v>
      </c>
      <c r="E54" s="13">
        <v>0.12297479</v>
      </c>
      <c r="F54" s="13">
        <v>0.16385319999999901</v>
      </c>
      <c r="G54" s="13">
        <v>0.23484740000000001</v>
      </c>
      <c r="H54" s="14">
        <v>0.26223133999999998</v>
      </c>
      <c r="I54" s="13">
        <v>0.27499892500000001</v>
      </c>
      <c r="J54" s="13">
        <v>0.28082578699999899</v>
      </c>
      <c r="K54" s="13">
        <v>0.288748591</v>
      </c>
      <c r="L54" s="13">
        <v>0.29377085399999903</v>
      </c>
      <c r="M54" s="13">
        <v>0.28107456139999998</v>
      </c>
      <c r="N54" s="13">
        <v>0.26422604869999899</v>
      </c>
      <c r="O54" s="13" t="s">
        <v>78</v>
      </c>
      <c r="Q54" s="13" t="s">
        <v>173</v>
      </c>
      <c r="R54" s="13">
        <f t="shared" ref="R54:Y58" si="1">SUMIF($D$3:$D$50,$Q54,H$3:H$50)</f>
        <v>48.969369154048948</v>
      </c>
      <c r="S54" s="13">
        <f t="shared" si="1"/>
        <v>55.19783481517031</v>
      </c>
      <c r="T54" s="13">
        <f t="shared" si="1"/>
        <v>59.071391962726295</v>
      </c>
      <c r="U54" s="13">
        <f t="shared" si="1"/>
        <v>58.12197363652399</v>
      </c>
      <c r="V54" s="13">
        <f t="shared" si="1"/>
        <v>55.936977182115648</v>
      </c>
      <c r="W54" s="13">
        <f t="shared" si="1"/>
        <v>52.536897940214466</v>
      </c>
      <c r="X54" s="13">
        <f t="shared" si="1"/>
        <v>49.194540646547921</v>
      </c>
      <c r="Y54" s="13">
        <f t="shared" si="1"/>
        <v>44.431486873912945</v>
      </c>
      <c r="Z54" s="13" t="s">
        <v>193</v>
      </c>
    </row>
    <row r="55" spans="1:28">
      <c r="A55" s="13" t="s">
        <v>365</v>
      </c>
      <c r="B55" s="13" t="s">
        <v>1</v>
      </c>
      <c r="C55" s="13" t="s">
        <v>58</v>
      </c>
      <c r="D55" s="13">
        <v>0.9393783</v>
      </c>
      <c r="E55" s="13">
        <v>0.86327980000000004</v>
      </c>
      <c r="F55" s="13">
        <v>1.0777254999999999</v>
      </c>
      <c r="G55" s="13">
        <v>1.3421124</v>
      </c>
      <c r="H55" s="13">
        <v>1.4995280550000001</v>
      </c>
      <c r="I55" s="13">
        <v>1.6438693289999899</v>
      </c>
      <c r="J55" s="13">
        <v>1.717960529</v>
      </c>
      <c r="K55" s="13">
        <v>1.7759698129999899</v>
      </c>
      <c r="L55" s="13">
        <v>1.8257749994999899</v>
      </c>
      <c r="M55" s="13">
        <v>1.7492312962000001</v>
      </c>
      <c r="N55" s="13">
        <v>1.5554671716999999</v>
      </c>
      <c r="O55" s="13" t="s">
        <v>78</v>
      </c>
      <c r="Q55" s="13" t="s">
        <v>172</v>
      </c>
      <c r="R55" s="13">
        <f t="shared" si="1"/>
        <v>225.55915727819374</v>
      </c>
      <c r="S55" s="13">
        <f t="shared" si="1"/>
        <v>239.63433787128332</v>
      </c>
      <c r="T55" s="13">
        <f t="shared" si="1"/>
        <v>256.41036047010772</v>
      </c>
      <c r="U55" s="13">
        <f t="shared" si="1"/>
        <v>265.72811383907532</v>
      </c>
      <c r="V55" s="13">
        <f t="shared" si="1"/>
        <v>273.26219723911379</v>
      </c>
      <c r="W55" s="13">
        <f t="shared" si="1"/>
        <v>276.61044287691914</v>
      </c>
      <c r="X55" s="13">
        <f t="shared" si="1"/>
        <v>266.00494468412461</v>
      </c>
      <c r="Y55" s="13">
        <f t="shared" si="1"/>
        <v>244.56361261230236</v>
      </c>
      <c r="Z55" s="13" t="s">
        <v>194</v>
      </c>
    </row>
    <row r="56" spans="1:28">
      <c r="A56" s="13" t="s">
        <v>365</v>
      </c>
      <c r="B56" s="13" t="s">
        <v>1</v>
      </c>
      <c r="C56" s="13" t="s">
        <v>59</v>
      </c>
      <c r="D56" s="13">
        <v>0.33981924468000002</v>
      </c>
      <c r="E56" s="13">
        <v>1.2785538596599999</v>
      </c>
      <c r="F56" s="13">
        <v>1.6178942949299999</v>
      </c>
      <c r="G56" s="13">
        <v>1.7799465532000001</v>
      </c>
      <c r="H56" s="13">
        <v>1.8348729694699899</v>
      </c>
      <c r="I56" s="13">
        <v>1.9287800341299901</v>
      </c>
      <c r="J56" s="13">
        <v>2.0426121048899999</v>
      </c>
      <c r="K56" s="13">
        <v>2.0834816463599899</v>
      </c>
      <c r="L56" s="13">
        <v>2.0708675601399902</v>
      </c>
      <c r="M56" s="13">
        <v>2.0881780227600002</v>
      </c>
      <c r="N56" s="13">
        <v>2.1142680354599901</v>
      </c>
      <c r="O56" s="13" t="s">
        <v>78</v>
      </c>
      <c r="Q56" s="13" t="s">
        <v>175</v>
      </c>
      <c r="R56" s="13">
        <f t="shared" si="1"/>
        <v>97.667124844318806</v>
      </c>
      <c r="S56" s="13">
        <f t="shared" si="1"/>
        <v>100.99243238649566</v>
      </c>
      <c r="T56" s="13">
        <f t="shared" si="1"/>
        <v>98.122132994751667</v>
      </c>
      <c r="U56" s="13">
        <f t="shared" si="1"/>
        <v>88.850428241464812</v>
      </c>
      <c r="V56" s="13">
        <f t="shared" si="1"/>
        <v>79.64601294755839</v>
      </c>
      <c r="W56" s="13">
        <f t="shared" si="1"/>
        <v>70.335762950855369</v>
      </c>
      <c r="X56" s="13">
        <f t="shared" si="1"/>
        <v>64.06130317023576</v>
      </c>
      <c r="Y56" s="13">
        <f t="shared" si="1"/>
        <v>59.11196856067194</v>
      </c>
      <c r="Z56" s="13" t="s">
        <v>195</v>
      </c>
    </row>
    <row r="57" spans="1:28">
      <c r="A57" s="13" t="s">
        <v>365</v>
      </c>
      <c r="B57" s="13" t="s">
        <v>1</v>
      </c>
      <c r="C57" s="13" t="s">
        <v>60</v>
      </c>
      <c r="D57" s="13">
        <v>2.95950348981E-2</v>
      </c>
      <c r="E57" s="13">
        <v>0.70970721789999902</v>
      </c>
      <c r="F57" s="13">
        <v>0.88725523735</v>
      </c>
      <c r="G57" s="13">
        <v>0.89976703438999905</v>
      </c>
      <c r="H57" s="13">
        <v>1.04899738727</v>
      </c>
      <c r="I57" s="13">
        <v>1.2063038952</v>
      </c>
      <c r="J57" s="13">
        <v>1.3076411599</v>
      </c>
      <c r="K57" s="13">
        <v>1.3982593589699901</v>
      </c>
      <c r="L57" s="13">
        <v>1.4373103488100001</v>
      </c>
      <c r="M57" s="13">
        <v>1.5080150752000001</v>
      </c>
      <c r="N57" s="13">
        <v>1.5595277952</v>
      </c>
      <c r="O57" s="13" t="s">
        <v>78</v>
      </c>
      <c r="Q57" s="13" t="s">
        <v>17</v>
      </c>
      <c r="R57" s="13">
        <f t="shared" si="1"/>
        <v>253.60015254323559</v>
      </c>
      <c r="S57" s="13">
        <f t="shared" si="1"/>
        <v>238.07823997347535</v>
      </c>
      <c r="T57" s="13">
        <f t="shared" si="1"/>
        <v>227.65149307725142</v>
      </c>
      <c r="U57" s="13">
        <f t="shared" si="1"/>
        <v>213.6563139713333</v>
      </c>
      <c r="V57" s="13">
        <f t="shared" si="1"/>
        <v>192.29974809066206</v>
      </c>
      <c r="W57" s="13">
        <f t="shared" si="1"/>
        <v>166.8048437051792</v>
      </c>
      <c r="X57" s="13">
        <f t="shared" si="1"/>
        <v>102.65876775432176</v>
      </c>
      <c r="Y57" s="13">
        <f t="shared" si="1"/>
        <v>89.811554601098265</v>
      </c>
      <c r="Z57" s="13" t="s">
        <v>196</v>
      </c>
    </row>
    <row r="58" spans="1:28">
      <c r="A58" s="13" t="s">
        <v>365</v>
      </c>
      <c r="B58" s="13" t="s">
        <v>1</v>
      </c>
      <c r="C58" s="13" t="s">
        <v>65</v>
      </c>
      <c r="D58" s="13">
        <v>0</v>
      </c>
      <c r="E58" s="13">
        <v>0</v>
      </c>
      <c r="F58" s="13">
        <v>0</v>
      </c>
      <c r="G58" s="13">
        <v>0</v>
      </c>
      <c r="H58" s="14">
        <v>1.40540327E-3</v>
      </c>
      <c r="I58" s="13">
        <v>8.27662589E-3</v>
      </c>
      <c r="J58" s="13">
        <v>2.2535771249999999E-2</v>
      </c>
      <c r="K58" s="13">
        <v>4.6780661309999999E-2</v>
      </c>
      <c r="L58" s="13">
        <v>7.5205409680000002E-2</v>
      </c>
      <c r="M58" s="13">
        <v>9.3695718639999995E-2</v>
      </c>
      <c r="N58" s="13">
        <v>0.10461459735999901</v>
      </c>
      <c r="O58" s="13" t="s">
        <v>78</v>
      </c>
      <c r="Q58" s="13" t="s">
        <v>174</v>
      </c>
      <c r="R58" s="13">
        <f t="shared" si="1"/>
        <v>0</v>
      </c>
      <c r="S58" s="13">
        <f t="shared" si="1"/>
        <v>0</v>
      </c>
      <c r="T58" s="13">
        <f t="shared" si="1"/>
        <v>0</v>
      </c>
      <c r="U58" s="13">
        <f t="shared" si="1"/>
        <v>0</v>
      </c>
      <c r="V58" s="13">
        <f t="shared" si="1"/>
        <v>0</v>
      </c>
      <c r="W58" s="13">
        <f t="shared" si="1"/>
        <v>0</v>
      </c>
      <c r="X58" s="13">
        <f t="shared" si="1"/>
        <v>0</v>
      </c>
      <c r="Y58" s="13">
        <f t="shared" si="1"/>
        <v>0</v>
      </c>
      <c r="Z58" s="13" t="s">
        <v>197</v>
      </c>
    </row>
    <row r="59" spans="1:28">
      <c r="A59" s="13" t="s">
        <v>365</v>
      </c>
      <c r="B59" s="13" t="s">
        <v>1</v>
      </c>
      <c r="C59" s="13" t="s">
        <v>19</v>
      </c>
      <c r="D59" s="13">
        <v>1.9055001466599899</v>
      </c>
      <c r="E59" s="13">
        <v>3.9546848334</v>
      </c>
      <c r="F59" s="13">
        <v>4.0586798100500001</v>
      </c>
      <c r="G59" s="13">
        <v>4.4023892890099896</v>
      </c>
      <c r="H59" s="13">
        <v>4.5163087865399998</v>
      </c>
      <c r="I59" s="14">
        <v>4.4927008518599996</v>
      </c>
      <c r="J59" s="14">
        <v>4.3368171337399897</v>
      </c>
      <c r="K59" s="14">
        <v>4.1421326715899998</v>
      </c>
      <c r="L59" s="13">
        <v>3.9359894176000001</v>
      </c>
      <c r="M59" s="13">
        <v>3.74286981301</v>
      </c>
      <c r="N59" s="13">
        <v>3.5474340498200001</v>
      </c>
      <c r="O59" s="13" t="s">
        <v>78</v>
      </c>
      <c r="Q59" s="13" t="s">
        <v>176</v>
      </c>
      <c r="R59" s="31">
        <v>-45</v>
      </c>
      <c r="S59" s="31">
        <v>-45</v>
      </c>
      <c r="T59" s="31">
        <v>-44.875</v>
      </c>
      <c r="U59" s="31">
        <v>-43.0625</v>
      </c>
      <c r="V59" s="13">
        <v>-39.4375</v>
      </c>
      <c r="W59" s="13">
        <v>-37.625</v>
      </c>
      <c r="X59" s="13">
        <v>-35.8125</v>
      </c>
      <c r="Y59" s="13">
        <v>-34</v>
      </c>
      <c r="Z59" s="13" t="s">
        <v>198</v>
      </c>
    </row>
    <row r="60" spans="1:28">
      <c r="Q60" s="13" t="s">
        <v>178</v>
      </c>
      <c r="R60" s="13">
        <f t="shared" ref="R60:Y60" si="2">SUMIF($D$3:$D$50,$Q60,H$3:H$50)</f>
        <v>39.61068345967729</v>
      </c>
      <c r="S60" s="13">
        <f t="shared" si="2"/>
        <v>41.33861523253627</v>
      </c>
      <c r="T60" s="13">
        <f t="shared" si="2"/>
        <v>43.457908505821443</v>
      </c>
      <c r="U60" s="13">
        <f t="shared" si="2"/>
        <v>45.163398861703286</v>
      </c>
      <c r="V60" s="13">
        <f t="shared" si="2"/>
        <v>45.982506713058747</v>
      </c>
      <c r="W60" s="13">
        <f t="shared" si="2"/>
        <v>45.930504553176178</v>
      </c>
      <c r="X60" s="13">
        <f t="shared" si="2"/>
        <v>45.226107604544687</v>
      </c>
      <c r="Y60" s="13">
        <f t="shared" si="2"/>
        <v>44.308961666510271</v>
      </c>
      <c r="Z60" s="13" t="s">
        <v>199</v>
      </c>
    </row>
    <row r="61" spans="1:28">
      <c r="Q61" s="13" t="s">
        <v>29</v>
      </c>
      <c r="R61" s="13">
        <f>SUM(R54:R59)</f>
        <v>580.79580381979713</v>
      </c>
      <c r="S61" s="13">
        <f t="shared" ref="S61:Y61" si="3">SUM(S54:S59)</f>
        <v>588.90284504642466</v>
      </c>
      <c r="T61" s="13">
        <f t="shared" si="3"/>
        <v>596.38037850483715</v>
      </c>
      <c r="U61" s="13">
        <f t="shared" si="3"/>
        <v>583.29432968839751</v>
      </c>
      <c r="V61" s="13">
        <f t="shared" si="3"/>
        <v>561.70743545944993</v>
      </c>
      <c r="W61" s="13">
        <f t="shared" si="3"/>
        <v>528.66294747316817</v>
      </c>
      <c r="X61" s="13">
        <f t="shared" si="3"/>
        <v>446.10705625523008</v>
      </c>
      <c r="Y61" s="13">
        <f t="shared" si="3"/>
        <v>403.91862264798544</v>
      </c>
      <c r="Z61" s="13" t="s">
        <v>200</v>
      </c>
    </row>
    <row r="62" spans="1:28">
      <c r="A62" s="1" t="s">
        <v>181</v>
      </c>
    </row>
    <row r="63" spans="1:28">
      <c r="A63" s="13" t="s">
        <v>8</v>
      </c>
      <c r="B63" s="13" t="s">
        <v>9</v>
      </c>
      <c r="C63" s="13" t="s">
        <v>39</v>
      </c>
      <c r="D63" s="13" t="s">
        <v>10</v>
      </c>
      <c r="E63" s="13">
        <v>1990</v>
      </c>
      <c r="F63" s="13">
        <v>2005</v>
      </c>
      <c r="G63" s="13">
        <v>2010</v>
      </c>
      <c r="H63" s="13">
        <v>2015</v>
      </c>
      <c r="I63" s="13">
        <v>2020</v>
      </c>
      <c r="J63" s="13">
        <v>2025</v>
      </c>
      <c r="K63" s="13">
        <v>2030</v>
      </c>
      <c r="L63" s="13">
        <v>2035</v>
      </c>
      <c r="M63" s="13">
        <v>2040</v>
      </c>
      <c r="N63" s="13">
        <v>2045</v>
      </c>
      <c r="O63" s="13">
        <v>2050</v>
      </c>
      <c r="P63" s="13" t="s">
        <v>76</v>
      </c>
    </row>
    <row r="64" spans="1:28">
      <c r="A64" s="13" t="s">
        <v>365</v>
      </c>
      <c r="B64" s="13" t="s">
        <v>1</v>
      </c>
      <c r="C64" s="13" t="s">
        <v>63</v>
      </c>
      <c r="D64" s="13" t="s">
        <v>6</v>
      </c>
      <c r="E64" s="13">
        <v>2.6574E-2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 t="s">
        <v>78</v>
      </c>
    </row>
    <row r="65" spans="1:16">
      <c r="A65" s="13" t="s">
        <v>365</v>
      </c>
      <c r="B65" s="13" t="s">
        <v>1</v>
      </c>
      <c r="C65" s="13" t="s">
        <v>63</v>
      </c>
      <c r="D65" s="13" t="s">
        <v>7</v>
      </c>
      <c r="E65" s="13">
        <v>4.1860899999999999E-3</v>
      </c>
      <c r="F65" s="13">
        <v>1.55318E-2</v>
      </c>
      <c r="G65" s="13">
        <v>1.25215E-2</v>
      </c>
      <c r="H65" s="13">
        <v>6.4959199999999996E-3</v>
      </c>
      <c r="I65" s="13">
        <v>6.7299509999999996E-3</v>
      </c>
      <c r="J65" s="13">
        <v>6.7937659999999997E-3</v>
      </c>
      <c r="K65" s="13">
        <v>6.6329389999999896E-3</v>
      </c>
      <c r="L65" s="13">
        <v>6.0261299999999898E-3</v>
      </c>
      <c r="M65" s="13">
        <v>5.3123509999999999E-3</v>
      </c>
      <c r="N65" s="13">
        <v>4.9028351E-3</v>
      </c>
      <c r="O65" s="13">
        <v>4.6127111999999899E-3</v>
      </c>
      <c r="P65" s="13" t="s">
        <v>78</v>
      </c>
    </row>
    <row r="66" spans="1:16">
      <c r="A66" s="13" t="s">
        <v>365</v>
      </c>
      <c r="B66" s="13" t="s">
        <v>1</v>
      </c>
      <c r="C66" s="13" t="s">
        <v>64</v>
      </c>
      <c r="D66" s="13" t="s">
        <v>2</v>
      </c>
      <c r="E66" s="13">
        <v>0</v>
      </c>
      <c r="F66" s="13">
        <v>0</v>
      </c>
      <c r="G66" s="13">
        <v>0</v>
      </c>
      <c r="H66" s="13">
        <v>0</v>
      </c>
      <c r="I66" s="14">
        <v>4.4787599999999998E-5</v>
      </c>
      <c r="J66" s="14">
        <v>2.3902130000000001E-4</v>
      </c>
      <c r="K66" s="14">
        <v>5.7129040000000004E-4</v>
      </c>
      <c r="L66" s="14">
        <v>9.1025712999999995E-4</v>
      </c>
      <c r="M66" s="14">
        <v>1.079207E-3</v>
      </c>
      <c r="N66" s="14">
        <v>1.2833632000000001E-3</v>
      </c>
      <c r="O66" s="13">
        <v>1.4429146E-3</v>
      </c>
      <c r="P66" s="13" t="s">
        <v>78</v>
      </c>
    </row>
    <row r="67" spans="1:16">
      <c r="A67" s="13" t="s">
        <v>365</v>
      </c>
      <c r="B67" s="13" t="s">
        <v>1</v>
      </c>
      <c r="C67" s="13" t="s">
        <v>64</v>
      </c>
      <c r="D67" s="13" t="s">
        <v>3</v>
      </c>
      <c r="E67" s="13">
        <v>0</v>
      </c>
      <c r="F67" s="13">
        <v>0</v>
      </c>
      <c r="G67" s="13">
        <v>0</v>
      </c>
      <c r="H67" s="13">
        <v>2.7628000000000002E-3</v>
      </c>
      <c r="I67" s="13">
        <v>3.008316E-3</v>
      </c>
      <c r="J67" s="13">
        <v>3.946438E-3</v>
      </c>
      <c r="K67" s="13">
        <v>5.2106360000000003E-3</v>
      </c>
      <c r="L67" s="13">
        <v>6.2118339999999899E-3</v>
      </c>
      <c r="M67" s="13">
        <v>6.5997479999999999E-3</v>
      </c>
      <c r="N67" s="13">
        <v>6.9118280000000001E-3</v>
      </c>
      <c r="O67" s="13">
        <v>6.97661799999999E-3</v>
      </c>
      <c r="P67" s="13" t="s">
        <v>78</v>
      </c>
    </row>
    <row r="68" spans="1:16">
      <c r="A68" s="13" t="s">
        <v>365</v>
      </c>
      <c r="B68" s="13" t="s">
        <v>1</v>
      </c>
      <c r="C68" s="13" t="s">
        <v>64</v>
      </c>
      <c r="D68" s="13" t="s">
        <v>5</v>
      </c>
      <c r="E68" s="13">
        <v>5.2325000000000002E-3</v>
      </c>
      <c r="F68" s="13">
        <v>1.9004400000000001E-2</v>
      </c>
      <c r="G68" s="13">
        <v>2.8799700000000001E-2</v>
      </c>
      <c r="H68" s="13">
        <v>4.1901800000000003E-2</v>
      </c>
      <c r="I68" s="13">
        <v>3.9977840000000001E-2</v>
      </c>
      <c r="J68" s="13">
        <v>3.6484200000000001E-2</v>
      </c>
      <c r="K68" s="13">
        <v>3.3424089999999997E-2</v>
      </c>
      <c r="L68" s="13">
        <v>3.1318310000000002E-2</v>
      </c>
      <c r="M68" s="13">
        <v>2.9922669999999998E-2</v>
      </c>
      <c r="N68" s="13">
        <v>2.851149E-2</v>
      </c>
      <c r="O68" s="13">
        <v>2.7010699999999999E-2</v>
      </c>
      <c r="P68" s="13" t="s">
        <v>78</v>
      </c>
    </row>
    <row r="69" spans="1:16">
      <c r="A69" s="13" t="s">
        <v>365</v>
      </c>
      <c r="B69" s="13" t="s">
        <v>1</v>
      </c>
      <c r="C69" s="13" t="s">
        <v>64</v>
      </c>
      <c r="D69" s="13" t="s">
        <v>6</v>
      </c>
      <c r="E69" s="13">
        <v>6.4087699999999997E-2</v>
      </c>
      <c r="F69" s="13">
        <v>5.919E-2</v>
      </c>
      <c r="G69" s="13">
        <v>5.2492499999999997E-2</v>
      </c>
      <c r="H69" s="13">
        <v>1.9422999999999999E-2</v>
      </c>
      <c r="I69" s="13">
        <v>1.989496E-2</v>
      </c>
      <c r="J69" s="13">
        <v>2.1802749999999999E-2</v>
      </c>
      <c r="K69" s="13">
        <v>2.3579369999999999E-2</v>
      </c>
      <c r="L69" s="13">
        <v>2.39957089999999E-2</v>
      </c>
      <c r="M69" s="13">
        <v>2.3394439999999999E-2</v>
      </c>
      <c r="N69" s="13">
        <v>2.2579019999999901E-2</v>
      </c>
      <c r="O69" s="13">
        <v>2.164663E-2</v>
      </c>
      <c r="P69" s="13" t="s">
        <v>78</v>
      </c>
    </row>
    <row r="70" spans="1:16">
      <c r="A70" s="13" t="s">
        <v>365</v>
      </c>
      <c r="B70" s="13" t="s">
        <v>1</v>
      </c>
      <c r="C70" s="13" t="s">
        <v>64</v>
      </c>
      <c r="D70" s="13" t="s">
        <v>7</v>
      </c>
      <c r="E70" s="13">
        <v>0</v>
      </c>
      <c r="F70" s="13">
        <v>1.0464999999999999E-3</v>
      </c>
      <c r="G70" s="14">
        <v>1.674E-4</v>
      </c>
      <c r="H70" s="14">
        <v>1.2559999999999999E-4</v>
      </c>
      <c r="I70" s="14">
        <v>1.265533E-4</v>
      </c>
      <c r="J70" s="14">
        <v>1.347237E-4</v>
      </c>
      <c r="K70" s="14">
        <v>1.4245309999999999E-4</v>
      </c>
      <c r="L70" s="14">
        <v>1.4374386999999999E-4</v>
      </c>
      <c r="M70" s="14">
        <v>1.3429661000000001E-4</v>
      </c>
      <c r="N70" s="14">
        <v>1.241976E-4</v>
      </c>
      <c r="O70" s="14">
        <v>1.128733E-4</v>
      </c>
      <c r="P70" s="13" t="s">
        <v>78</v>
      </c>
    </row>
    <row r="71" spans="1:16">
      <c r="A71" s="13" t="s">
        <v>365</v>
      </c>
      <c r="B71" s="13" t="s">
        <v>1</v>
      </c>
      <c r="C71" s="13" t="s">
        <v>61</v>
      </c>
      <c r="D71" s="13" t="s">
        <v>3</v>
      </c>
      <c r="E71" s="13">
        <v>3.6571800000000002E-2</v>
      </c>
      <c r="F71" s="13">
        <v>3.9287299999999997E-2</v>
      </c>
      <c r="G71" s="13">
        <v>4.2373099999999997E-2</v>
      </c>
      <c r="H71" s="13">
        <v>3.9861500000000001E-2</v>
      </c>
      <c r="I71" s="13">
        <v>3.9802694999999999E-2</v>
      </c>
      <c r="J71" s="13">
        <v>3.8497745E-2</v>
      </c>
      <c r="K71" s="13">
        <v>3.8111236999999999E-2</v>
      </c>
      <c r="L71" s="13">
        <v>3.9756397999999998E-2</v>
      </c>
      <c r="M71" s="13">
        <v>4.0482859000000003E-2</v>
      </c>
      <c r="N71" s="13">
        <v>3.9607497499999998E-2</v>
      </c>
      <c r="O71" s="13">
        <v>3.70199581E-2</v>
      </c>
      <c r="P71" s="13" t="s">
        <v>78</v>
      </c>
    </row>
    <row r="72" spans="1:16">
      <c r="A72" s="13" t="s">
        <v>365</v>
      </c>
      <c r="B72" s="13" t="s">
        <v>1</v>
      </c>
      <c r="C72" s="13" t="s">
        <v>61</v>
      </c>
      <c r="D72" s="13" t="s">
        <v>4</v>
      </c>
      <c r="E72" s="13">
        <v>8.5812200000000005E-2</v>
      </c>
      <c r="F72" s="13">
        <v>0.118297</v>
      </c>
      <c r="G72" s="13">
        <v>0.112141</v>
      </c>
      <c r="H72" s="13">
        <v>0.114653</v>
      </c>
      <c r="I72" s="13">
        <v>0.11466916000000001</v>
      </c>
      <c r="J72" s="13">
        <v>0.110847795</v>
      </c>
      <c r="K72" s="13">
        <v>0.107367586</v>
      </c>
      <c r="L72" s="13">
        <v>0.105344058999999</v>
      </c>
      <c r="M72" s="13">
        <v>0.104072232999999</v>
      </c>
      <c r="N72" s="13">
        <v>0.102220807</v>
      </c>
      <c r="O72" s="13">
        <v>9.7216182400000004E-2</v>
      </c>
      <c r="P72" s="13" t="s">
        <v>78</v>
      </c>
    </row>
    <row r="73" spans="1:16">
      <c r="A73" s="13" t="s">
        <v>365</v>
      </c>
      <c r="B73" s="13" t="s">
        <v>1</v>
      </c>
      <c r="C73" s="13" t="s">
        <v>61</v>
      </c>
      <c r="D73" s="13" t="s">
        <v>5</v>
      </c>
      <c r="E73" s="13">
        <v>1.39375E-2</v>
      </c>
      <c r="F73" s="13">
        <v>2.0152400000000001E-2</v>
      </c>
      <c r="G73" s="13">
        <v>1.9656400000000001E-2</v>
      </c>
      <c r="H73" s="13">
        <v>1.9656400000000001E-2</v>
      </c>
      <c r="I73" s="13">
        <v>1.8192199999999999E-2</v>
      </c>
      <c r="J73" s="13">
        <v>1.7579600000000001E-2</v>
      </c>
      <c r="K73" s="13">
        <v>1.757918E-2</v>
      </c>
      <c r="L73" s="13">
        <v>1.9147230000000001E-2</v>
      </c>
      <c r="M73" s="13">
        <v>2.04412E-2</v>
      </c>
      <c r="N73" s="13">
        <v>2.0382419999999998E-2</v>
      </c>
      <c r="O73" s="13">
        <v>1.9486528999999999E-2</v>
      </c>
      <c r="P73" s="13" t="s">
        <v>78</v>
      </c>
    </row>
    <row r="74" spans="1:16">
      <c r="A74" s="13" t="s">
        <v>365</v>
      </c>
      <c r="B74" s="13" t="s">
        <v>1</v>
      </c>
      <c r="C74" s="13" t="s">
        <v>61</v>
      </c>
      <c r="D74" s="13" t="s">
        <v>6</v>
      </c>
      <c r="E74" s="13">
        <v>1.6688700000000001E-2</v>
      </c>
      <c r="F74" s="13">
        <v>2.1488799999999999E-2</v>
      </c>
      <c r="G74" s="13">
        <v>2.1070200000000001E-2</v>
      </c>
      <c r="H74" s="13">
        <v>2.1070200000000001E-2</v>
      </c>
      <c r="I74" s="13">
        <v>8.0342869999999993E-3</v>
      </c>
      <c r="J74" s="13">
        <v>7.6881203000000002E-3</v>
      </c>
      <c r="K74" s="13">
        <v>9.4425855999999992E-3</v>
      </c>
      <c r="L74" s="13">
        <v>1.2212949000000001E-2</v>
      </c>
      <c r="M74" s="13">
        <v>1.22531655E-2</v>
      </c>
      <c r="N74" s="13">
        <v>9.8790923999999992E-3</v>
      </c>
      <c r="O74" s="13">
        <v>9.1639532999999995E-3</v>
      </c>
      <c r="P74" s="13" t="s">
        <v>78</v>
      </c>
    </row>
    <row r="75" spans="1:16">
      <c r="A75" s="13" t="s">
        <v>365</v>
      </c>
      <c r="B75" s="13" t="s">
        <v>1</v>
      </c>
      <c r="C75" s="13" t="s">
        <v>56</v>
      </c>
      <c r="D75" s="13" t="s">
        <v>3</v>
      </c>
      <c r="E75" s="13">
        <v>2.5953E-3</v>
      </c>
      <c r="F75" s="13">
        <v>5.4836900000000003E-3</v>
      </c>
      <c r="G75" s="13">
        <v>3.5999999999999999E-3</v>
      </c>
      <c r="H75" s="13">
        <v>1.1344099999999999E-2</v>
      </c>
      <c r="I75" s="13">
        <v>1.1672910999999999E-2</v>
      </c>
      <c r="J75" s="14">
        <v>1.2082186E-2</v>
      </c>
      <c r="K75" s="14">
        <v>1.3663435E-2</v>
      </c>
      <c r="L75" s="14">
        <v>1.7760833E-2</v>
      </c>
      <c r="M75" s="13">
        <v>2.2691508999999999E-2</v>
      </c>
      <c r="N75" s="13">
        <v>2.4511108899999998E-2</v>
      </c>
      <c r="O75" s="13">
        <v>2.45916025E-2</v>
      </c>
      <c r="P75" s="13" t="s">
        <v>78</v>
      </c>
    </row>
    <row r="76" spans="1:16">
      <c r="A76" s="13" t="s">
        <v>365</v>
      </c>
      <c r="B76" s="13" t="s">
        <v>1</v>
      </c>
      <c r="C76" s="13" t="s">
        <v>56</v>
      </c>
      <c r="D76" s="13" t="s">
        <v>4</v>
      </c>
      <c r="E76" s="13">
        <v>1.8837000000000001E-3</v>
      </c>
      <c r="F76" s="13">
        <v>3.1814E-3</v>
      </c>
      <c r="G76" s="13">
        <v>4.2278999999999997E-3</v>
      </c>
      <c r="H76" s="13">
        <v>4.6464999999999996E-3</v>
      </c>
      <c r="I76" s="13">
        <v>4.7683049999999996E-3</v>
      </c>
      <c r="J76" s="13">
        <v>4.9095939999999998E-3</v>
      </c>
      <c r="K76" s="13">
        <v>5.431061E-3</v>
      </c>
      <c r="L76" s="13">
        <v>6.7937090000000002E-3</v>
      </c>
      <c r="M76" s="13">
        <v>8.6529455000000002E-3</v>
      </c>
      <c r="N76" s="13">
        <v>9.4606692000000006E-3</v>
      </c>
      <c r="O76" s="13">
        <v>9.6713240000000002E-3</v>
      </c>
      <c r="P76" s="13" t="s">
        <v>78</v>
      </c>
    </row>
    <row r="77" spans="1:16">
      <c r="A77" s="13" t="s">
        <v>365</v>
      </c>
      <c r="B77" s="13" t="s">
        <v>1</v>
      </c>
      <c r="C77" s="13" t="s">
        <v>56</v>
      </c>
      <c r="D77" s="13" t="s">
        <v>5</v>
      </c>
      <c r="E77" s="13">
        <v>3.9306500000000001E-2</v>
      </c>
      <c r="F77" s="13">
        <v>0.143622</v>
      </c>
      <c r="G77" s="13">
        <v>0.14705399999999999</v>
      </c>
      <c r="H77" s="13">
        <v>0.17627200000000001</v>
      </c>
      <c r="I77" s="13">
        <v>0.17772387000000001</v>
      </c>
      <c r="J77" s="13">
        <v>0.17766804999999999</v>
      </c>
      <c r="K77" s="13">
        <v>0.18155473999999999</v>
      </c>
      <c r="L77" s="13">
        <v>0.19614501000000001</v>
      </c>
      <c r="M77" s="13">
        <v>0.21437405000000001</v>
      </c>
      <c r="N77" s="13">
        <v>0.22233425100000001</v>
      </c>
      <c r="O77" s="13">
        <v>0.224400974</v>
      </c>
      <c r="P77" s="13" t="s">
        <v>78</v>
      </c>
    </row>
    <row r="78" spans="1:16">
      <c r="A78" s="13" t="s">
        <v>365</v>
      </c>
      <c r="B78" s="13" t="s">
        <v>1</v>
      </c>
      <c r="C78" s="13" t="s">
        <v>56</v>
      </c>
      <c r="D78" s="13" t="s">
        <v>6</v>
      </c>
      <c r="E78" s="13">
        <v>9.6065499999999998E-2</v>
      </c>
      <c r="F78" s="13">
        <v>7.1915400000000004E-2</v>
      </c>
      <c r="G78" s="13">
        <v>4.75948E-2</v>
      </c>
      <c r="H78" s="13">
        <v>2.2311399999999999E-2</v>
      </c>
      <c r="I78" s="13">
        <v>2.2864065999999999E-2</v>
      </c>
      <c r="J78" s="13">
        <v>2.3558944999999901E-2</v>
      </c>
      <c r="K78" s="13">
        <v>2.6324192999999899E-2</v>
      </c>
      <c r="L78" s="13">
        <v>3.3584966000000001E-2</v>
      </c>
      <c r="M78" s="13">
        <v>4.3114706000000003E-2</v>
      </c>
      <c r="N78" s="13">
        <v>4.7201218000000003E-2</v>
      </c>
      <c r="O78" s="13">
        <v>4.8469398699999999E-2</v>
      </c>
      <c r="P78" s="13" t="s">
        <v>78</v>
      </c>
    </row>
    <row r="79" spans="1:16">
      <c r="A79" s="13" t="s">
        <v>365</v>
      </c>
      <c r="B79" s="13" t="s">
        <v>1</v>
      </c>
      <c r="C79" s="13" t="s">
        <v>56</v>
      </c>
      <c r="D79" s="13" t="s">
        <v>7</v>
      </c>
      <c r="E79" s="13">
        <v>0</v>
      </c>
      <c r="F79" s="13">
        <v>2.2174E-3</v>
      </c>
      <c r="G79" s="13">
        <v>5.9310599999999998E-2</v>
      </c>
      <c r="H79" s="13">
        <v>5.4361800000000002E-2</v>
      </c>
      <c r="I79" s="13">
        <v>5.5624739999999999E-2</v>
      </c>
      <c r="J79" s="13">
        <v>5.7019760000000003E-2</v>
      </c>
      <c r="K79" s="13">
        <v>6.2692799999999896E-2</v>
      </c>
      <c r="L79" s="13">
        <v>7.7948419999999893E-2</v>
      </c>
      <c r="M79" s="13">
        <v>9.3384711999999995E-2</v>
      </c>
      <c r="N79" s="13">
        <v>9.9661706000000003E-2</v>
      </c>
      <c r="O79" s="13">
        <v>9.97634097E-2</v>
      </c>
      <c r="P79" s="13" t="s">
        <v>78</v>
      </c>
    </row>
    <row r="80" spans="1:16">
      <c r="A80" s="13" t="s">
        <v>365</v>
      </c>
      <c r="B80" s="13" t="s">
        <v>1</v>
      </c>
      <c r="C80" s="13" t="s">
        <v>20</v>
      </c>
      <c r="D80" s="13" t="s">
        <v>4</v>
      </c>
      <c r="E80" s="13">
        <v>0</v>
      </c>
      <c r="F80" s="13">
        <v>0</v>
      </c>
      <c r="G80" s="13">
        <v>1.6953300000000001E-2</v>
      </c>
      <c r="H80" s="13">
        <v>2.3106700000000001E-2</v>
      </c>
      <c r="I80" s="13">
        <v>2.1131799999999999E-2</v>
      </c>
      <c r="J80" s="13">
        <v>2.0213999999999999E-2</v>
      </c>
      <c r="K80" s="13">
        <v>1.83264E-2</v>
      </c>
      <c r="L80" s="13">
        <v>1.7464299999999999E-2</v>
      </c>
      <c r="M80" s="13">
        <v>1.7028700000000001E-2</v>
      </c>
      <c r="N80" s="13">
        <v>1.6459499999999998E-2</v>
      </c>
      <c r="O80" s="13">
        <v>1.49056E-2</v>
      </c>
      <c r="P80" s="13" t="s">
        <v>78</v>
      </c>
    </row>
    <row r="81" spans="1:16">
      <c r="A81" s="13" t="s">
        <v>365</v>
      </c>
      <c r="B81" s="13" t="s">
        <v>1</v>
      </c>
      <c r="C81" s="13" t="s">
        <v>20</v>
      </c>
      <c r="D81" s="13" t="s">
        <v>6</v>
      </c>
      <c r="E81" s="13">
        <v>0.23639399999999999</v>
      </c>
      <c r="F81" s="13">
        <v>1.18882</v>
      </c>
      <c r="G81" s="13">
        <v>1.5032799999999999</v>
      </c>
      <c r="H81" s="13">
        <v>1.8793899999999999</v>
      </c>
      <c r="I81" s="13">
        <v>1.90082</v>
      </c>
      <c r="J81" s="14">
        <v>1.89836</v>
      </c>
      <c r="K81" s="14">
        <v>1.88456</v>
      </c>
      <c r="L81" s="14">
        <v>1.8267</v>
      </c>
      <c r="M81" s="14">
        <v>1.73821</v>
      </c>
      <c r="N81" s="14">
        <v>1.6592100000000001</v>
      </c>
      <c r="O81" s="14">
        <v>1.5779700000000001</v>
      </c>
      <c r="P81" s="13" t="s">
        <v>78</v>
      </c>
    </row>
    <row r="82" spans="1:16">
      <c r="A82" s="13" t="s">
        <v>365</v>
      </c>
      <c r="B82" s="13" t="s">
        <v>1</v>
      </c>
      <c r="C82" s="13" t="s">
        <v>67</v>
      </c>
      <c r="D82" s="13" t="s">
        <v>2</v>
      </c>
      <c r="E82" s="13">
        <v>0</v>
      </c>
      <c r="F82" s="13">
        <v>0</v>
      </c>
      <c r="G82" s="13">
        <v>0</v>
      </c>
      <c r="H82" s="13">
        <v>0</v>
      </c>
      <c r="I82" s="14">
        <v>1.08489E-4</v>
      </c>
      <c r="J82" s="14">
        <v>3.7308900000000001E-4</v>
      </c>
      <c r="K82" s="14">
        <v>7.2102590000000001E-4</v>
      </c>
      <c r="L82" s="14">
        <v>9.8737039999999992E-4</v>
      </c>
      <c r="M82" s="14">
        <v>1.0158558999999901E-3</v>
      </c>
      <c r="N82" s="13">
        <v>1.0308848E-3</v>
      </c>
      <c r="O82" s="14">
        <v>1.0140270999999901E-3</v>
      </c>
      <c r="P82" s="13" t="s">
        <v>78</v>
      </c>
    </row>
    <row r="83" spans="1:16">
      <c r="A83" s="13" t="s">
        <v>365</v>
      </c>
      <c r="B83" s="13" t="s">
        <v>1</v>
      </c>
      <c r="C83" s="13" t="s">
        <v>67</v>
      </c>
      <c r="D83" s="13" t="s">
        <v>3</v>
      </c>
      <c r="E83" s="13">
        <v>0</v>
      </c>
      <c r="F83" s="13">
        <v>0</v>
      </c>
      <c r="G83" s="13">
        <v>0</v>
      </c>
      <c r="H83" s="13">
        <v>1.0884E-3</v>
      </c>
      <c r="I83" s="14">
        <v>1.455895E-3</v>
      </c>
      <c r="J83" s="14">
        <v>2.2614100000000002E-3</v>
      </c>
      <c r="K83" s="14">
        <v>3.2579200000000001E-3</v>
      </c>
      <c r="L83" s="13">
        <v>3.9529489999999999E-3</v>
      </c>
      <c r="M83" s="13">
        <v>4.0443570000000002E-3</v>
      </c>
      <c r="N83" s="13">
        <v>3.9798339999999998E-3</v>
      </c>
      <c r="O83" s="13">
        <v>3.7873410000000001E-3</v>
      </c>
      <c r="P83" s="13" t="s">
        <v>78</v>
      </c>
    </row>
    <row r="84" spans="1:16">
      <c r="A84" s="13" t="s">
        <v>365</v>
      </c>
      <c r="B84" s="13" t="s">
        <v>1</v>
      </c>
      <c r="C84" s="13" t="s">
        <v>67</v>
      </c>
      <c r="D84" s="13" t="s">
        <v>4</v>
      </c>
      <c r="E84" s="13">
        <v>0</v>
      </c>
      <c r="F84" s="13">
        <v>0</v>
      </c>
      <c r="G84" s="13">
        <v>0</v>
      </c>
      <c r="H84" s="13">
        <v>0</v>
      </c>
      <c r="I84" s="13">
        <v>1.7935200000000001E-3</v>
      </c>
      <c r="J84" s="13">
        <v>6.0097700000000002E-3</v>
      </c>
      <c r="K84" s="13">
        <v>1.1154031999999999E-2</v>
      </c>
      <c r="L84" s="13">
        <v>1.4816045E-2</v>
      </c>
      <c r="M84" s="13">
        <v>1.5752506999999999E-2</v>
      </c>
      <c r="N84" s="13">
        <v>1.634787E-2</v>
      </c>
      <c r="O84" s="13">
        <v>1.6436470000000002E-2</v>
      </c>
      <c r="P84" s="13" t="s">
        <v>78</v>
      </c>
    </row>
    <row r="85" spans="1:16">
      <c r="A85" s="13" t="s">
        <v>365</v>
      </c>
      <c r="B85" s="13" t="s">
        <v>1</v>
      </c>
      <c r="C85" s="13" t="s">
        <v>67</v>
      </c>
      <c r="D85" s="13" t="s">
        <v>5</v>
      </c>
      <c r="E85" s="13">
        <v>0</v>
      </c>
      <c r="F85" s="13">
        <v>0</v>
      </c>
      <c r="G85" s="13">
        <v>0</v>
      </c>
      <c r="H85" s="13">
        <v>0</v>
      </c>
      <c r="I85" s="14">
        <v>8.3214900000000002E-5</v>
      </c>
      <c r="J85" s="14">
        <v>2.4571210000000002E-4</v>
      </c>
      <c r="K85" s="14">
        <v>4.6255820000000003E-4</v>
      </c>
      <c r="L85" s="14">
        <v>6.2475979999999996E-4</v>
      </c>
      <c r="M85" s="14">
        <v>6.3386749999999896E-4</v>
      </c>
      <c r="N85" s="14">
        <v>6.4553050000000002E-4</v>
      </c>
      <c r="O85" s="14">
        <v>6.4847980000000004E-4</v>
      </c>
      <c r="P85" s="13" t="s">
        <v>78</v>
      </c>
    </row>
    <row r="86" spans="1:16">
      <c r="A86" s="13" t="s">
        <v>365</v>
      </c>
      <c r="B86" s="13" t="s">
        <v>1</v>
      </c>
      <c r="C86" s="13" t="s">
        <v>67</v>
      </c>
      <c r="D86" s="13" t="s">
        <v>6</v>
      </c>
      <c r="E86" s="13">
        <v>2.1348599999999999E-2</v>
      </c>
      <c r="F86" s="13">
        <v>2.5199699999999998E-2</v>
      </c>
      <c r="G86" s="13">
        <v>3.4157800000000002E-2</v>
      </c>
      <c r="H86" s="13">
        <v>3.4408800000000003E-2</v>
      </c>
      <c r="I86" s="14">
        <v>3.2378360000000002E-2</v>
      </c>
      <c r="J86" s="14">
        <v>2.6004099999999999E-2</v>
      </c>
      <c r="K86" s="14">
        <v>1.793608E-2</v>
      </c>
      <c r="L86" s="14">
        <v>1.1627861999999999E-2</v>
      </c>
      <c r="M86" s="14">
        <v>9.4030169999999996E-3</v>
      </c>
      <c r="N86" s="13">
        <v>7.4338470000000004E-3</v>
      </c>
      <c r="O86" s="13">
        <v>5.9606429999999998E-3</v>
      </c>
      <c r="P86" s="13" t="s">
        <v>78</v>
      </c>
    </row>
    <row r="87" spans="1:16">
      <c r="A87" s="13" t="s">
        <v>365</v>
      </c>
      <c r="B87" s="13" t="s">
        <v>1</v>
      </c>
      <c r="C87" s="13" t="s">
        <v>67</v>
      </c>
      <c r="D87" s="13" t="s">
        <v>7</v>
      </c>
      <c r="E87" s="13">
        <v>0</v>
      </c>
      <c r="F87" s="13">
        <v>0</v>
      </c>
      <c r="G87" s="13">
        <v>0</v>
      </c>
      <c r="H87" s="14">
        <v>3.3489899999999999E-4</v>
      </c>
      <c r="I87" s="14">
        <v>9.1525799999999996E-4</v>
      </c>
      <c r="J87" s="13">
        <v>2.2808699999999999E-3</v>
      </c>
      <c r="K87" s="13">
        <v>4.0391340999999898E-3</v>
      </c>
      <c r="L87" s="13">
        <v>5.3289169999999999E-3</v>
      </c>
      <c r="M87" s="13">
        <v>5.3835159999999996E-3</v>
      </c>
      <c r="N87" s="13">
        <v>5.3189409999999998E-3</v>
      </c>
      <c r="O87" s="13">
        <v>5.1112099999999997E-3</v>
      </c>
      <c r="P87" s="13" t="s">
        <v>78</v>
      </c>
    </row>
    <row r="88" spans="1:16">
      <c r="A88" s="13" t="s">
        <v>365</v>
      </c>
      <c r="B88" s="13" t="s">
        <v>1</v>
      </c>
      <c r="C88" s="13" t="s">
        <v>21</v>
      </c>
      <c r="D88" s="13" t="s">
        <v>6</v>
      </c>
      <c r="E88" s="13">
        <v>3.2608900000000003E-2</v>
      </c>
      <c r="F88" s="13">
        <v>5.08599E-2</v>
      </c>
      <c r="G88" s="13">
        <v>5.3873799999999999E-2</v>
      </c>
      <c r="H88" s="14">
        <v>4.94367E-2</v>
      </c>
      <c r="I88" s="14">
        <v>5.1741000000000002E-2</v>
      </c>
      <c r="J88" s="13">
        <v>5.2943799999999999E-2</v>
      </c>
      <c r="K88" s="13">
        <v>5.3948700000000002E-2</v>
      </c>
      <c r="L88" s="13">
        <v>5.4406499999999997E-2</v>
      </c>
      <c r="M88" s="13">
        <v>5.4182399999999999E-2</v>
      </c>
      <c r="N88" s="13">
        <v>5.3425399999999998E-2</v>
      </c>
      <c r="O88" s="13">
        <v>5.2172400000000001E-2</v>
      </c>
      <c r="P88" s="13" t="s">
        <v>78</v>
      </c>
    </row>
    <row r="89" spans="1:16">
      <c r="A89" s="13" t="s">
        <v>365</v>
      </c>
      <c r="B89" s="13" t="s">
        <v>1</v>
      </c>
      <c r="C89" s="13" t="s">
        <v>32</v>
      </c>
      <c r="D89" s="13" t="s">
        <v>4</v>
      </c>
      <c r="E89" s="13">
        <v>0.24249380000000001</v>
      </c>
      <c r="F89" s="13">
        <v>0</v>
      </c>
      <c r="G89" s="13">
        <v>0</v>
      </c>
      <c r="H89" s="13">
        <v>0.85360729999999996</v>
      </c>
      <c r="I89" s="13">
        <v>0.95469529999999903</v>
      </c>
      <c r="J89" s="13">
        <v>1.03041206</v>
      </c>
      <c r="K89" s="13">
        <v>1.0553939699999999</v>
      </c>
      <c r="L89" s="13">
        <v>1.0404134599999999</v>
      </c>
      <c r="M89" s="13">
        <v>0.98577899999999996</v>
      </c>
      <c r="N89" s="13">
        <v>0.87455634999999998</v>
      </c>
      <c r="O89" s="13">
        <v>0.69166839999999996</v>
      </c>
      <c r="P89" s="13" t="s">
        <v>78</v>
      </c>
    </row>
    <row r="90" spans="1:16">
      <c r="A90" s="13" t="s">
        <v>365</v>
      </c>
      <c r="B90" s="13" t="s">
        <v>1</v>
      </c>
      <c r="C90" s="13" t="s">
        <v>32</v>
      </c>
      <c r="D90" s="13" t="s">
        <v>5</v>
      </c>
      <c r="E90" s="13">
        <v>3.6208699999999899E-2</v>
      </c>
      <c r="F90" s="13">
        <v>0.15555249999999901</v>
      </c>
      <c r="G90" s="13">
        <v>0.17736209999999999</v>
      </c>
      <c r="H90" s="13">
        <v>0.19544590000000001</v>
      </c>
      <c r="I90" s="13">
        <v>0.2157541</v>
      </c>
      <c r="J90" s="13">
        <v>0.23035778000000001</v>
      </c>
      <c r="K90" s="13">
        <v>0.23931519000000001</v>
      </c>
      <c r="L90" s="13">
        <v>0.24495530999999901</v>
      </c>
      <c r="M90" s="13">
        <v>0.25129788999999902</v>
      </c>
      <c r="N90" s="13">
        <v>0.26361559000000001</v>
      </c>
      <c r="O90" s="13">
        <v>0.28438318000000001</v>
      </c>
      <c r="P90" s="13" t="s">
        <v>78</v>
      </c>
    </row>
    <row r="91" spans="1:16">
      <c r="A91" s="13" t="s">
        <v>365</v>
      </c>
      <c r="B91" s="13" t="s">
        <v>1</v>
      </c>
      <c r="C91" s="13" t="s">
        <v>32</v>
      </c>
      <c r="D91" s="13" t="s">
        <v>6</v>
      </c>
      <c r="E91" s="13">
        <v>3.8468599999999999E-2</v>
      </c>
      <c r="F91" s="13">
        <v>2.4488900000000001E-2</v>
      </c>
      <c r="G91" s="13">
        <v>1.180294E-2</v>
      </c>
      <c r="H91" s="13">
        <v>4.18857E-3</v>
      </c>
      <c r="I91" s="13">
        <v>4.7741023999999998E-3</v>
      </c>
      <c r="J91" s="13">
        <v>5.5536520999999997E-3</v>
      </c>
      <c r="K91" s="13">
        <v>6.5972846200000003E-3</v>
      </c>
      <c r="L91" s="13">
        <v>7.8429704900000001E-3</v>
      </c>
      <c r="M91" s="13">
        <v>8.9835702000000007E-3</v>
      </c>
      <c r="N91" s="13">
        <v>1.0769904110000001E-2</v>
      </c>
      <c r="O91" s="13">
        <v>1.347011182E-2</v>
      </c>
      <c r="P91" s="13" t="s">
        <v>78</v>
      </c>
    </row>
    <row r="92" spans="1:16">
      <c r="A92" s="13" t="s">
        <v>365</v>
      </c>
      <c r="B92" s="13" t="s">
        <v>1</v>
      </c>
      <c r="C92" s="13" t="s">
        <v>32</v>
      </c>
      <c r="D92" s="13" t="s">
        <v>7</v>
      </c>
      <c r="E92" s="13">
        <v>0</v>
      </c>
      <c r="F92" s="13">
        <v>3.8468449999999897E-2</v>
      </c>
      <c r="G92" s="13">
        <v>6.6977980000000006E-2</v>
      </c>
      <c r="H92" s="13">
        <v>6.3962699999999997E-2</v>
      </c>
      <c r="I92" s="13">
        <v>7.4465138099999995E-2</v>
      </c>
      <c r="J92" s="13">
        <v>9.0358811399999905E-2</v>
      </c>
      <c r="K92" s="13">
        <v>0.112418306</v>
      </c>
      <c r="L92" s="13">
        <v>0.1388513877</v>
      </c>
      <c r="M92" s="13">
        <v>0.1613728378</v>
      </c>
      <c r="N92" s="13">
        <v>0.19508628059999999</v>
      </c>
      <c r="O92" s="13">
        <v>0.24491194960000001</v>
      </c>
      <c r="P92" s="13" t="s">
        <v>78</v>
      </c>
    </row>
    <row r="93" spans="1:16">
      <c r="A93" s="13" t="s">
        <v>365</v>
      </c>
      <c r="B93" s="13" t="s">
        <v>1</v>
      </c>
      <c r="C93" s="13" t="s">
        <v>66</v>
      </c>
      <c r="D93" s="13" t="s">
        <v>2</v>
      </c>
      <c r="E93" s="13">
        <v>0</v>
      </c>
      <c r="F93" s="13">
        <v>0</v>
      </c>
      <c r="G93" s="13">
        <v>0</v>
      </c>
      <c r="H93" s="13">
        <v>0</v>
      </c>
      <c r="I93" s="14">
        <v>6.2551399999999999E-6</v>
      </c>
      <c r="J93" s="14">
        <v>3.4323479999999901E-5</v>
      </c>
      <c r="K93" s="14">
        <v>8.2974680000000002E-5</v>
      </c>
      <c r="L93" s="14">
        <v>1.3300578999999999E-4</v>
      </c>
      <c r="M93" s="14">
        <v>1.5849952E-4</v>
      </c>
      <c r="N93" s="14">
        <v>1.898828E-4</v>
      </c>
      <c r="O93" s="14">
        <v>2.1453919999999999E-4</v>
      </c>
      <c r="P93" s="13" t="s">
        <v>78</v>
      </c>
    </row>
    <row r="94" spans="1:16">
      <c r="A94" s="13" t="s">
        <v>365</v>
      </c>
      <c r="B94" s="13" t="s">
        <v>1</v>
      </c>
      <c r="C94" s="13" t="s">
        <v>66</v>
      </c>
      <c r="D94" s="13" t="s">
        <v>5</v>
      </c>
      <c r="E94" s="13">
        <v>3.6418100000000001E-3</v>
      </c>
      <c r="F94" s="13">
        <v>4.7302400000000001E-3</v>
      </c>
      <c r="G94" s="13">
        <v>6.0696700000000001E-3</v>
      </c>
      <c r="H94" s="13">
        <v>5.86039E-3</v>
      </c>
      <c r="I94" s="14">
        <v>5.5920570000000001E-3</v>
      </c>
      <c r="J94" s="14">
        <v>5.1528370000000004E-3</v>
      </c>
      <c r="K94" s="14">
        <v>4.8011119999999997E-3</v>
      </c>
      <c r="L94" s="14">
        <v>4.5670709999999998E-3</v>
      </c>
      <c r="M94" s="14">
        <v>4.3910049999999999E-3</v>
      </c>
      <c r="N94" s="14">
        <v>4.2145519999999999E-3</v>
      </c>
      <c r="O94" s="14">
        <v>4.0144550000000001E-3</v>
      </c>
      <c r="P94" s="13" t="s">
        <v>78</v>
      </c>
    </row>
    <row r="95" spans="1:16">
      <c r="A95" s="13" t="s">
        <v>365</v>
      </c>
      <c r="B95" s="13" t="s">
        <v>1</v>
      </c>
      <c r="C95" s="13" t="s">
        <v>66</v>
      </c>
      <c r="D95" s="13" t="s">
        <v>6</v>
      </c>
      <c r="E95" s="13">
        <v>4.7302200000000003E-3</v>
      </c>
      <c r="F95" s="13">
        <v>2.4697199999999999E-3</v>
      </c>
      <c r="G95" s="13">
        <v>3.5580799999999999E-3</v>
      </c>
      <c r="H95" s="13">
        <v>2.679E-3</v>
      </c>
      <c r="I95" s="14">
        <v>2.7435459999999999E-3</v>
      </c>
      <c r="J95" s="14">
        <v>3.0454480000000001E-3</v>
      </c>
      <c r="K95" s="14">
        <v>3.3487969999999902E-3</v>
      </c>
      <c r="L95" s="14">
        <v>3.4497130000000001E-3</v>
      </c>
      <c r="M95" s="14">
        <v>3.384003E-3</v>
      </c>
      <c r="N95" s="14">
        <v>3.2904319999999998E-3</v>
      </c>
      <c r="O95" s="14">
        <v>3.1715839999999999E-3</v>
      </c>
      <c r="P95" s="13" t="s">
        <v>78</v>
      </c>
    </row>
    <row r="96" spans="1:16">
      <c r="A96" s="13" t="s">
        <v>365</v>
      </c>
      <c r="B96" s="13" t="s">
        <v>1</v>
      </c>
      <c r="C96" s="13" t="s">
        <v>68</v>
      </c>
      <c r="D96" s="13" t="s">
        <v>2</v>
      </c>
      <c r="E96" s="13">
        <v>0</v>
      </c>
      <c r="F96" s="13">
        <v>0</v>
      </c>
      <c r="G96" s="13">
        <v>0</v>
      </c>
      <c r="H96" s="13">
        <v>0</v>
      </c>
      <c r="I96" s="14">
        <v>8.3706500000000001E-4</v>
      </c>
      <c r="J96" s="13">
        <v>2.9603450000000001E-3</v>
      </c>
      <c r="K96" s="13">
        <v>7.4149699999999904E-3</v>
      </c>
      <c r="L96" s="13">
        <v>1.9439836999999901E-2</v>
      </c>
      <c r="M96" s="13">
        <v>3.3545677000000003E-2</v>
      </c>
      <c r="N96" s="13">
        <v>4.26694699E-2</v>
      </c>
      <c r="O96" s="13">
        <v>4.7983695199999898E-2</v>
      </c>
      <c r="P96" s="13" t="s">
        <v>78</v>
      </c>
    </row>
    <row r="97" spans="1:16">
      <c r="A97" s="13" t="s">
        <v>365</v>
      </c>
      <c r="B97" s="13" t="s">
        <v>1</v>
      </c>
      <c r="C97" s="13" t="s">
        <v>68</v>
      </c>
      <c r="D97" s="13" t="s">
        <v>3</v>
      </c>
      <c r="E97" s="13">
        <v>7.4416999999999999E-3</v>
      </c>
      <c r="F97" s="13">
        <v>6.2898999999999997E-2</v>
      </c>
      <c r="G97" s="13">
        <v>8.7590000000000001E-2</v>
      </c>
      <c r="H97" s="13">
        <v>0.109571</v>
      </c>
      <c r="I97" s="14">
        <v>0.121635083</v>
      </c>
      <c r="J97" s="13">
        <v>0.13290379599999999</v>
      </c>
      <c r="K97" s="13">
        <v>0.13833340899999999</v>
      </c>
      <c r="L97" s="13">
        <v>0.14181828699999999</v>
      </c>
      <c r="M97" s="13">
        <v>0.14189850099999901</v>
      </c>
      <c r="N97" s="13">
        <v>0.137772543</v>
      </c>
      <c r="O97" s="13">
        <v>0.130921989099999</v>
      </c>
      <c r="P97" s="13" t="s">
        <v>78</v>
      </c>
    </row>
    <row r="98" spans="1:16">
      <c r="A98" s="13" t="s">
        <v>365</v>
      </c>
      <c r="B98" s="13" t="s">
        <v>1</v>
      </c>
      <c r="C98" s="13" t="s">
        <v>68</v>
      </c>
      <c r="D98" s="13" t="s">
        <v>4</v>
      </c>
      <c r="E98" s="13">
        <v>0.24647140000000001</v>
      </c>
      <c r="F98" s="13">
        <v>0.70186700000000002</v>
      </c>
      <c r="G98" s="13">
        <v>0.908613</v>
      </c>
      <c r="H98" s="13">
        <v>0.31868059999999998</v>
      </c>
      <c r="I98" s="14">
        <v>0.37078482999999901</v>
      </c>
      <c r="J98" s="13">
        <v>0.43836893999999899</v>
      </c>
      <c r="K98" s="13">
        <v>0.48956538999999999</v>
      </c>
      <c r="L98" s="13">
        <v>0.5618689</v>
      </c>
      <c r="M98" s="13">
        <v>0.66330608400000002</v>
      </c>
      <c r="N98" s="13">
        <v>0.70076322000000002</v>
      </c>
      <c r="O98" s="13">
        <v>0.69830385530000005</v>
      </c>
      <c r="P98" s="13" t="s">
        <v>78</v>
      </c>
    </row>
    <row r="99" spans="1:16">
      <c r="A99" s="13" t="s">
        <v>365</v>
      </c>
      <c r="B99" s="13" t="s">
        <v>1</v>
      </c>
      <c r="C99" s="13" t="s">
        <v>68</v>
      </c>
      <c r="D99" s="13" t="s">
        <v>5</v>
      </c>
      <c r="E99" s="13">
        <v>0.11110399999999999</v>
      </c>
      <c r="F99" s="13">
        <v>0.328934</v>
      </c>
      <c r="G99" s="13">
        <v>0.46490999999999999</v>
      </c>
      <c r="H99" s="13">
        <v>0.54062200000000005</v>
      </c>
      <c r="I99" s="13">
        <v>0.56362219999999996</v>
      </c>
      <c r="J99" s="13">
        <v>0.56928769999999995</v>
      </c>
      <c r="K99" s="13">
        <v>0.55954879999999996</v>
      </c>
      <c r="L99" s="13">
        <v>0.50241199999999997</v>
      </c>
      <c r="M99" s="13">
        <v>0.42182639999999999</v>
      </c>
      <c r="N99" s="13">
        <v>0.38257009999999902</v>
      </c>
      <c r="O99" s="13">
        <v>0.36434592999999998</v>
      </c>
      <c r="P99" s="13" t="s">
        <v>78</v>
      </c>
    </row>
    <row r="100" spans="1:16">
      <c r="A100" s="13" t="s">
        <v>365</v>
      </c>
      <c r="B100" s="13" t="s">
        <v>1</v>
      </c>
      <c r="C100" s="13" t="s">
        <v>68</v>
      </c>
      <c r="D100" s="13" t="s">
        <v>6</v>
      </c>
      <c r="E100" s="13">
        <v>0.26414799999999999</v>
      </c>
      <c r="F100" s="13">
        <v>0.32156439999999997</v>
      </c>
      <c r="G100" s="13">
        <v>0.25188080000000002</v>
      </c>
      <c r="H100" s="13">
        <v>0.1744762</v>
      </c>
      <c r="I100" s="13">
        <v>0.19093008</v>
      </c>
      <c r="J100" s="13">
        <v>0.20656045000000001</v>
      </c>
      <c r="K100" s="13">
        <v>0.21359048999999999</v>
      </c>
      <c r="L100" s="13">
        <v>0.21607599999999999</v>
      </c>
      <c r="M100" s="13">
        <v>0.215859879999999</v>
      </c>
      <c r="N100" s="13">
        <v>0.21219295799999999</v>
      </c>
      <c r="O100" s="13">
        <v>0.20717586399999999</v>
      </c>
      <c r="P100" s="13" t="s">
        <v>78</v>
      </c>
    </row>
    <row r="101" spans="1:16">
      <c r="A101" s="13" t="s">
        <v>365</v>
      </c>
      <c r="B101" s="13" t="s">
        <v>1</v>
      </c>
      <c r="C101" s="13" t="s">
        <v>68</v>
      </c>
      <c r="D101" s="13" t="s">
        <v>7</v>
      </c>
      <c r="E101" s="13">
        <v>0</v>
      </c>
      <c r="F101" s="13">
        <v>0.15593839999999901</v>
      </c>
      <c r="G101" s="13">
        <v>0.17796200000000001</v>
      </c>
      <c r="H101" s="13">
        <v>0.22577359999999999</v>
      </c>
      <c r="I101" s="13">
        <v>0.24787192</v>
      </c>
      <c r="J101" s="13">
        <v>0.26916188000000002</v>
      </c>
      <c r="K101" s="13">
        <v>0.27816858999999999</v>
      </c>
      <c r="L101" s="13">
        <v>0.28184758999999998</v>
      </c>
      <c r="M101" s="13">
        <v>0.27184629999999899</v>
      </c>
      <c r="N101" s="13">
        <v>0.26160498999999998</v>
      </c>
      <c r="O101" s="13">
        <v>0.24774896799999899</v>
      </c>
      <c r="P101" s="13" t="s">
        <v>78</v>
      </c>
    </row>
    <row r="102" spans="1:16">
      <c r="A102" s="13" t="s">
        <v>365</v>
      </c>
      <c r="B102" s="13" t="s">
        <v>1</v>
      </c>
      <c r="C102" s="13" t="s">
        <v>22</v>
      </c>
      <c r="D102" s="13" t="s">
        <v>6</v>
      </c>
      <c r="E102" s="13">
        <v>0</v>
      </c>
      <c r="F102" s="13">
        <v>3.1394999999999999E-2</v>
      </c>
      <c r="G102" s="13">
        <v>3.1520699999999999E-2</v>
      </c>
      <c r="H102" s="13">
        <v>2.9218299999999999E-2</v>
      </c>
      <c r="I102" s="13">
        <v>3.3633700000000002E-2</v>
      </c>
      <c r="J102" s="13">
        <v>4.0604800000000003E-2</v>
      </c>
      <c r="K102" s="13">
        <v>5.2893299999999997E-2</v>
      </c>
      <c r="L102" s="13">
        <v>8.22465E-2</v>
      </c>
      <c r="M102" s="13">
        <v>0.120128</v>
      </c>
      <c r="N102" s="13">
        <v>0.144701</v>
      </c>
      <c r="O102" s="13">
        <v>0.16075600000000001</v>
      </c>
      <c r="P102" s="13" t="s">
        <v>78</v>
      </c>
    </row>
    <row r="105" spans="1:16">
      <c r="J105" s="14"/>
      <c r="K105" s="14"/>
      <c r="L105" s="14"/>
    </row>
    <row r="107" spans="1:16">
      <c r="A107" s="1" t="s">
        <v>182</v>
      </c>
      <c r="E107" s="13">
        <v>1990</v>
      </c>
      <c r="F107" s="13">
        <v>2005</v>
      </c>
      <c r="G107" s="13">
        <v>2010</v>
      </c>
      <c r="H107" s="13">
        <v>2015</v>
      </c>
      <c r="I107" s="13">
        <v>2020</v>
      </c>
      <c r="J107" s="13">
        <v>2025</v>
      </c>
      <c r="K107" s="13">
        <v>2030</v>
      </c>
      <c r="L107" s="13">
        <v>2035</v>
      </c>
      <c r="M107" s="13">
        <v>2040</v>
      </c>
      <c r="N107" s="13">
        <v>2045</v>
      </c>
      <c r="O107" s="13">
        <v>2050</v>
      </c>
    </row>
    <row r="108" spans="1:16">
      <c r="C108" s="13" t="s">
        <v>183</v>
      </c>
      <c r="E108" s="13">
        <f>E90/D56</f>
        <v>0.10655282349914232</v>
      </c>
      <c r="F108" s="13">
        <f t="shared" ref="F108:N108" si="4">F90/E56</f>
        <v>0.12166284495935462</v>
      </c>
      <c r="G108" s="13">
        <f t="shared" si="4"/>
        <v>0.10962527067176152</v>
      </c>
      <c r="H108" s="13">
        <f t="shared" si="4"/>
        <v>0.1098043644336545</v>
      </c>
      <c r="I108" s="13">
        <f t="shared" si="4"/>
        <v>0.11758530622548841</v>
      </c>
      <c r="J108" s="13">
        <f t="shared" si="4"/>
        <v>0.11943185636712944</v>
      </c>
      <c r="K108" s="13">
        <f t="shared" si="4"/>
        <v>0.11716134915047308</v>
      </c>
      <c r="L108" s="13">
        <f t="shared" si="4"/>
        <v>0.11757017894923896</v>
      </c>
      <c r="M108" s="13">
        <f t="shared" si="4"/>
        <v>0.12134908810055016</v>
      </c>
      <c r="N108" s="13">
        <f t="shared" si="4"/>
        <v>0.1262419138247477</v>
      </c>
      <c r="O108" s="13">
        <f>O90/N56</f>
        <v>0.13450668280009648</v>
      </c>
    </row>
    <row r="109" spans="1:16">
      <c r="C109" s="13" t="s">
        <v>184</v>
      </c>
      <c r="E109" s="13">
        <f>IFERROR(E89/D58,0)</f>
        <v>0</v>
      </c>
      <c r="F109" s="13">
        <f>IFERROR(F89/E58,0)</f>
        <v>0</v>
      </c>
      <c r="G109" s="13">
        <f>IFERROR(G89/F58,0)</f>
        <v>0</v>
      </c>
      <c r="H109" s="13">
        <f>IFERROR(H89/G58,0)</f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</row>
    <row r="110" spans="1:16">
      <c r="P110" s="13" t="s">
        <v>76</v>
      </c>
    </row>
    <row r="111" spans="1:16">
      <c r="C111" s="13" t="s">
        <v>185</v>
      </c>
      <c r="E111" s="13">
        <f>SUM(E18:E20)*E108</f>
        <v>3.6680562512285286</v>
      </c>
      <c r="F111" s="13">
        <f t="shared" ref="F111:O111" si="5">SUM(F18:F20)*F108</f>
        <v>21.135632832528746</v>
      </c>
      <c r="G111" s="13">
        <f t="shared" si="5"/>
        <v>26.968085566588716</v>
      </c>
      <c r="H111" s="13">
        <f t="shared" si="5"/>
        <v>27.846403570287816</v>
      </c>
      <c r="I111" s="13">
        <f t="shared" si="5"/>
        <v>27.982460940136193</v>
      </c>
      <c r="J111" s="13">
        <f t="shared" si="5"/>
        <v>27.168550118702225</v>
      </c>
      <c r="K111" s="13">
        <f t="shared" si="5"/>
        <v>24.991556763097957</v>
      </c>
      <c r="L111" s="13">
        <f t="shared" si="5"/>
        <v>22.535742051379831</v>
      </c>
      <c r="M111" s="13">
        <f t="shared" si="5"/>
        <v>20.121135029405941</v>
      </c>
      <c r="N111" s="13">
        <f t="shared" si="5"/>
        <v>12.740916618210091</v>
      </c>
      <c r="O111" s="13">
        <f t="shared" si="5"/>
        <v>11.821766276243133</v>
      </c>
      <c r="P111" s="13" t="s">
        <v>171</v>
      </c>
    </row>
    <row r="112" spans="1:16">
      <c r="C112" s="13" t="s">
        <v>186</v>
      </c>
      <c r="E112" s="13">
        <f>SUM(E3:E4)*E109</f>
        <v>0</v>
      </c>
      <c r="F112" s="13">
        <f t="shared" ref="F112:N112" si="6">SUM(F3:F4)*F109</f>
        <v>0</v>
      </c>
      <c r="G112" s="13">
        <f t="shared" si="6"/>
        <v>0</v>
      </c>
      <c r="H112" s="13">
        <f>SUM(H3:H4)*H109</f>
        <v>0</v>
      </c>
      <c r="I112" s="13">
        <f t="shared" si="6"/>
        <v>0</v>
      </c>
      <c r="J112" s="13">
        <f t="shared" si="6"/>
        <v>0</v>
      </c>
      <c r="K112" s="13">
        <f t="shared" si="6"/>
        <v>0</v>
      </c>
      <c r="L112" s="13">
        <f t="shared" si="6"/>
        <v>0</v>
      </c>
      <c r="M112" s="13">
        <f t="shared" si="6"/>
        <v>0</v>
      </c>
      <c r="N112" s="13">
        <f t="shared" si="6"/>
        <v>0</v>
      </c>
      <c r="O112" s="13">
        <f>SUM(O3:O4)*O109</f>
        <v>0</v>
      </c>
      <c r="P112" s="13" t="s">
        <v>171</v>
      </c>
    </row>
    <row r="113" spans="1:16">
      <c r="O113" s="13">
        <v>-16.449281558430421</v>
      </c>
      <c r="P113" s="13">
        <f>O112/O113</f>
        <v>0</v>
      </c>
    </row>
    <row r="114" spans="1:16">
      <c r="A114" s="1" t="s">
        <v>187</v>
      </c>
    </row>
    <row r="115" spans="1:16">
      <c r="E115" s="13">
        <v>2015</v>
      </c>
      <c r="F115" s="13">
        <v>2020</v>
      </c>
      <c r="G115" s="13">
        <v>2025</v>
      </c>
      <c r="H115" s="13">
        <v>2030</v>
      </c>
      <c r="I115" s="13">
        <v>2035</v>
      </c>
      <c r="J115" s="13">
        <v>2040</v>
      </c>
      <c r="K115" s="13">
        <v>2045</v>
      </c>
      <c r="L115" s="13">
        <v>2050</v>
      </c>
      <c r="M115" s="13" t="s">
        <v>76</v>
      </c>
    </row>
    <row r="116" spans="1:16">
      <c r="D116" s="13" t="s">
        <v>188</v>
      </c>
      <c r="E116" s="13">
        <f>H23</f>
        <v>89.060708206792015</v>
      </c>
      <c r="F116" s="13">
        <f t="shared" ref="F116:L116" si="7">I23</f>
        <v>99.748210371483026</v>
      </c>
      <c r="G116" s="13">
        <f t="shared" si="7"/>
        <v>108.19789101632436</v>
      </c>
      <c r="H116" s="13">
        <f t="shared" si="7"/>
        <v>111.91058715713407</v>
      </c>
      <c r="I116" s="13">
        <f t="shared" si="7"/>
        <v>111.85947371203707</v>
      </c>
      <c r="J116" s="13">
        <f t="shared" si="7"/>
        <v>107.56914914696473</v>
      </c>
      <c r="K116" s="13">
        <f t="shared" si="7"/>
        <v>98.276833470395147</v>
      </c>
      <c r="L116" s="13">
        <f t="shared" si="7"/>
        <v>82.67458158269757</v>
      </c>
      <c r="M116" s="13" t="s">
        <v>171</v>
      </c>
    </row>
    <row r="117" spans="1:16">
      <c r="D117" s="13" t="s">
        <v>185</v>
      </c>
      <c r="E117" s="13">
        <f>H111</f>
        <v>27.846403570287816</v>
      </c>
      <c r="F117" s="13">
        <f t="shared" ref="F117:L118" si="8">I111</f>
        <v>27.982460940136193</v>
      </c>
      <c r="G117" s="13">
        <f t="shared" si="8"/>
        <v>27.168550118702225</v>
      </c>
      <c r="H117" s="13">
        <f t="shared" si="8"/>
        <v>24.991556763097957</v>
      </c>
      <c r="I117" s="13">
        <f t="shared" si="8"/>
        <v>22.535742051379831</v>
      </c>
      <c r="J117" s="13">
        <f t="shared" si="8"/>
        <v>20.121135029405941</v>
      </c>
      <c r="K117" s="13">
        <f t="shared" si="8"/>
        <v>12.740916618210091</v>
      </c>
      <c r="L117" s="13">
        <f t="shared" si="8"/>
        <v>11.821766276243133</v>
      </c>
      <c r="M117" s="13" t="s">
        <v>171</v>
      </c>
    </row>
    <row r="118" spans="1:16">
      <c r="D118" s="13" t="s">
        <v>186</v>
      </c>
      <c r="E118" s="13">
        <f>H112</f>
        <v>0</v>
      </c>
      <c r="F118" s="13">
        <f t="shared" si="8"/>
        <v>0</v>
      </c>
      <c r="G118" s="13">
        <f t="shared" si="8"/>
        <v>0</v>
      </c>
      <c r="H118" s="13">
        <f t="shared" si="8"/>
        <v>0</v>
      </c>
      <c r="I118" s="13">
        <f t="shared" si="8"/>
        <v>0</v>
      </c>
      <c r="J118" s="13">
        <f t="shared" si="8"/>
        <v>0</v>
      </c>
      <c r="K118" s="13">
        <f t="shared" si="8"/>
        <v>0</v>
      </c>
      <c r="L118" s="13">
        <f t="shared" si="8"/>
        <v>0</v>
      </c>
      <c r="M118" s="13" t="s">
        <v>171</v>
      </c>
    </row>
    <row r="119" spans="1:16">
      <c r="D119" s="13" t="s">
        <v>192</v>
      </c>
      <c r="E119" s="13">
        <f>SUM(E116:E118)</f>
        <v>116.90711177707983</v>
      </c>
      <c r="F119" s="13">
        <f t="shared" ref="F119:L119" si="9">SUM(F116:F118)</f>
        <v>127.73067131161922</v>
      </c>
      <c r="G119" s="13">
        <f t="shared" si="9"/>
        <v>135.36644113502658</v>
      </c>
      <c r="H119" s="13">
        <f t="shared" si="9"/>
        <v>136.90214392023202</v>
      </c>
      <c r="I119" s="13">
        <f t="shared" si="9"/>
        <v>134.3952157634169</v>
      </c>
      <c r="J119" s="13">
        <f t="shared" si="9"/>
        <v>127.69028417637068</v>
      </c>
      <c r="K119" s="13">
        <f t="shared" si="9"/>
        <v>111.01775008860524</v>
      </c>
      <c r="L119" s="13">
        <f t="shared" si="9"/>
        <v>94.496347858940709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080BE-B995-4550-AA0B-7B0FEB115507}">
  <dimension ref="A1:AB117"/>
  <sheetViews>
    <sheetView topLeftCell="A55" zoomScale="55" zoomScaleNormal="55" workbookViewId="0">
      <selection activeCell="A62" sqref="A62:O103"/>
    </sheetView>
  </sheetViews>
  <sheetFormatPr defaultColWidth="8.69921875" defaultRowHeight="17.399999999999999"/>
  <cols>
    <col min="1" max="2" width="8.69921875" style="13"/>
    <col min="3" max="3" width="24.8984375" style="13" bestFit="1" customWidth="1"/>
    <col min="4" max="4" width="22.09765625" style="13" bestFit="1" customWidth="1"/>
    <col min="5" max="16384" width="8.69921875" style="13"/>
  </cols>
  <sheetData>
    <row r="1" spans="1:28">
      <c r="A1" s="1" t="s">
        <v>180</v>
      </c>
    </row>
    <row r="2" spans="1:28">
      <c r="A2" s="13" t="s">
        <v>8</v>
      </c>
      <c r="B2" s="13" t="s">
        <v>9</v>
      </c>
      <c r="C2" s="13" t="s">
        <v>39</v>
      </c>
      <c r="E2" s="13">
        <v>1990</v>
      </c>
      <c r="F2" s="13">
        <v>2005</v>
      </c>
      <c r="G2" s="13">
        <v>2010</v>
      </c>
      <c r="H2" s="13">
        <v>2015</v>
      </c>
      <c r="I2" s="13">
        <v>2020</v>
      </c>
      <c r="J2" s="13">
        <v>2025</v>
      </c>
      <c r="K2" s="13">
        <v>2030</v>
      </c>
      <c r="L2" s="13">
        <v>2035</v>
      </c>
      <c r="M2" s="13">
        <v>2040</v>
      </c>
      <c r="N2" s="13">
        <v>2045</v>
      </c>
      <c r="O2" s="13">
        <v>2050</v>
      </c>
      <c r="P2" s="13" t="s">
        <v>76</v>
      </c>
    </row>
    <row r="3" spans="1:28">
      <c r="A3" s="13" t="s">
        <v>260</v>
      </c>
      <c r="B3" s="13" t="s">
        <v>1</v>
      </c>
      <c r="C3" s="13" t="s">
        <v>140</v>
      </c>
      <c r="D3" s="13" t="str">
        <f>VLOOKUP(C3,ghg_sort!$A$35:$B$82,2,0)</f>
        <v>Industry</v>
      </c>
      <c r="E3" s="13">
        <f>R3*ghg_sort!$B$6</f>
        <v>0</v>
      </c>
      <c r="F3" s="13">
        <f>S3*ghg_sort!$B$6</f>
        <v>0</v>
      </c>
      <c r="G3" s="13">
        <f>T3*ghg_sort!$B$6</f>
        <v>0</v>
      </c>
      <c r="H3" s="13">
        <f>U3*ghg_sort!$B$6</f>
        <v>0</v>
      </c>
      <c r="I3" s="13">
        <f>V3*ghg_sort!$B$6</f>
        <v>6.588520828967373E-2</v>
      </c>
      <c r="J3" s="13">
        <f>W3*ghg_sort!$B$6</f>
        <v>0.78341914290681136</v>
      </c>
      <c r="K3" s="13">
        <f>X3*ghg_sort!$B$6</f>
        <v>1.6909223628869199</v>
      </c>
      <c r="L3" s="13">
        <f>Y3*ghg_sort!$B$6</f>
        <v>-1.6801565788880855</v>
      </c>
      <c r="M3" s="13">
        <f>Z3*ghg_sort!$B$6</f>
        <v>-10.843217421458483</v>
      </c>
      <c r="N3" s="13">
        <f>AA3*ghg_sort!$B$6</f>
        <v>-13.728030854752733</v>
      </c>
      <c r="O3" s="13">
        <f>AB3*ghg_sort!$B$6</f>
        <v>-12.106110692998787</v>
      </c>
      <c r="P3" s="13" t="s">
        <v>171</v>
      </c>
      <c r="R3" s="13">
        <v>0</v>
      </c>
      <c r="S3" s="13">
        <v>0</v>
      </c>
      <c r="T3" s="13">
        <v>0</v>
      </c>
      <c r="U3" s="13">
        <v>0</v>
      </c>
      <c r="V3" s="13">
        <v>1.7968693169910999E-2</v>
      </c>
      <c r="W3" s="13">
        <v>0.21365976624731201</v>
      </c>
      <c r="X3" s="13">
        <v>0.46116064442370502</v>
      </c>
      <c r="Y3" s="13">
        <v>-0.45822452151493198</v>
      </c>
      <c r="Z3" s="13">
        <v>-2.9572411149432201</v>
      </c>
      <c r="AA3" s="13">
        <v>-3.7440084149325599</v>
      </c>
      <c r="AB3" s="13">
        <v>-3.3016665526360298</v>
      </c>
    </row>
    <row r="4" spans="1:28">
      <c r="A4" s="13" t="s">
        <v>260</v>
      </c>
      <c r="B4" s="13" t="s">
        <v>1</v>
      </c>
      <c r="C4" s="13" t="s">
        <v>141</v>
      </c>
      <c r="D4" s="13" t="str">
        <f>VLOOKUP(C4,ghg_sort!$A$35:$B$82,2,0)</f>
        <v>Industry</v>
      </c>
      <c r="E4" s="13">
        <f>R4*ghg_sort!$B$6</f>
        <v>0</v>
      </c>
      <c r="F4" s="13">
        <f>S4*ghg_sort!$B$6</f>
        <v>0</v>
      </c>
      <c r="G4" s="13">
        <f>T4*ghg_sort!$B$6</f>
        <v>0</v>
      </c>
      <c r="H4" s="13">
        <f>U4*ghg_sort!$B$6</f>
        <v>0</v>
      </c>
      <c r="I4" s="13">
        <f>V4*ghg_sort!$B$6</f>
        <v>4.5858522773067442E-2</v>
      </c>
      <c r="J4" s="13">
        <f>W4*ghg_sort!$B$6</f>
        <v>0.99467235548209187</v>
      </c>
      <c r="K4" s="13">
        <f>X4*ghg_sort!$B$6</f>
        <v>3.2904285928334325</v>
      </c>
      <c r="L4" s="13">
        <f>Y4*ghg_sort!$B$6</f>
        <v>5.1089171936683879</v>
      </c>
      <c r="M4" s="13">
        <f>Z4*ghg_sort!$B$6</f>
        <v>4.5578510792049443</v>
      </c>
      <c r="N4" s="13">
        <f>AA4*ghg_sort!$B$6</f>
        <v>3.4242871619584019</v>
      </c>
      <c r="O4" s="13">
        <f>AB4*ghg_sort!$B$6</f>
        <v>2.4332243102793512</v>
      </c>
      <c r="P4" s="13" t="s">
        <v>171</v>
      </c>
      <c r="R4" s="13">
        <v>0</v>
      </c>
      <c r="S4" s="13">
        <v>0</v>
      </c>
      <c r="T4" s="13">
        <v>0</v>
      </c>
      <c r="U4" s="13">
        <v>0</v>
      </c>
      <c r="V4" s="13">
        <v>1.2506869847200199E-2</v>
      </c>
      <c r="W4" s="13">
        <v>0.27127427876784299</v>
      </c>
      <c r="X4" s="13">
        <v>0.89738961622729896</v>
      </c>
      <c r="Y4" s="13">
        <v>1.3933410528186501</v>
      </c>
      <c r="Z4" s="13">
        <v>1.2430502943286199</v>
      </c>
      <c r="AA4" s="13">
        <v>0.93389649871592695</v>
      </c>
      <c r="AB4" s="13">
        <v>0.66360663007618603</v>
      </c>
    </row>
    <row r="5" spans="1:28">
      <c r="A5" s="13" t="s">
        <v>260</v>
      </c>
      <c r="B5" s="13" t="s">
        <v>1</v>
      </c>
      <c r="C5" s="13" t="s">
        <v>63</v>
      </c>
      <c r="D5" s="13" t="str">
        <f>VLOOKUP(C5,ghg_sort!$A$35:$B$82,2,0)</f>
        <v>Industry</v>
      </c>
      <c r="E5" s="13">
        <f>R5*ghg_sort!$B$6</f>
        <v>2.1263130613577585</v>
      </c>
      <c r="F5" s="13">
        <f>S5*ghg_sort!$B$6</f>
        <v>0.80629536474832475</v>
      </c>
      <c r="G5" s="13">
        <f>T5*ghg_sort!$B$6</f>
        <v>0.64856045232603954</v>
      </c>
      <c r="H5" s="13">
        <f>U5*ghg_sort!$B$6</f>
        <v>0.33665395423484695</v>
      </c>
      <c r="I5" s="13">
        <f>V5*ghg_sort!$B$6</f>
        <v>0.35035607904150479</v>
      </c>
      <c r="J5" s="13">
        <f>W5*ghg_sort!$B$6</f>
        <v>0.35776572932885436</v>
      </c>
      <c r="K5" s="13">
        <f>X5*ghg_sort!$B$6</f>
        <v>0.34929759914465969</v>
      </c>
      <c r="L5" s="13">
        <f>Y5*ghg_sort!$B$6</f>
        <v>0.30264057070264516</v>
      </c>
      <c r="M5" s="13">
        <f>Z5*ghg_sort!$B$6</f>
        <v>0.22752295850809784</v>
      </c>
      <c r="N5" s="13">
        <f>AA5*ghg_sort!$B$6</f>
        <v>0.17423665709778477</v>
      </c>
      <c r="O5" s="13">
        <f>AB5*ghg_sort!$B$6</f>
        <v>0.13358578089304995</v>
      </c>
      <c r="P5" s="13" t="s">
        <v>171</v>
      </c>
      <c r="R5" s="13">
        <v>0.57990356218847905</v>
      </c>
      <c r="S5" s="13">
        <v>0.219898735840452</v>
      </c>
      <c r="T5" s="13">
        <v>0.17688012336164699</v>
      </c>
      <c r="U5" s="13">
        <v>9.1814714791321805E-2</v>
      </c>
      <c r="V5" s="13">
        <v>9.5551657920410302E-2</v>
      </c>
      <c r="W5" s="13">
        <v>9.7572471635142002E-2</v>
      </c>
      <c r="X5" s="13">
        <v>9.5262981584907105E-2</v>
      </c>
      <c r="Y5" s="13">
        <v>8.2538337464357694E-2</v>
      </c>
      <c r="Z5" s="13">
        <v>6.2051715956753899E-2</v>
      </c>
      <c r="AA5" s="13">
        <v>4.7519088299395801E-2</v>
      </c>
      <c r="AB5" s="13">
        <v>3.6432485698104498E-2</v>
      </c>
    </row>
    <row r="6" spans="1:28">
      <c r="A6" s="13" t="s">
        <v>260</v>
      </c>
      <c r="B6" s="13" t="s">
        <v>1</v>
      </c>
      <c r="C6" s="13" t="s">
        <v>64</v>
      </c>
      <c r="D6" s="13" t="str">
        <f>VLOOKUP(C6,ghg_sort!$A$35:$B$82,2,0)</f>
        <v>Industry</v>
      </c>
      <c r="E6" s="13">
        <f>R6*ghg_sort!$B$6</f>
        <v>4.605773333333337</v>
      </c>
      <c r="F6" s="13">
        <f>S6*ghg_sort!$B$6</f>
        <v>4.307647964289087</v>
      </c>
      <c r="G6" s="13">
        <f>T6*ghg_sort!$B$6</f>
        <v>3.7690731631676604</v>
      </c>
      <c r="H6" s="13">
        <f>U6*ghg_sort!$B$6</f>
        <v>1.397150924697995</v>
      </c>
      <c r="I6" s="13">
        <f>V6*ghg_sort!$B$6</f>
        <v>1.4235508302340285</v>
      </c>
      <c r="J6" s="13">
        <f>W6*ghg_sort!$B$6</f>
        <v>1.421938181783861</v>
      </c>
      <c r="K6" s="13">
        <f>X6*ghg_sort!$B$6</f>
        <v>1.4412505360564973</v>
      </c>
      <c r="L6" s="13">
        <f>Y6*ghg_sort!$B$6</f>
        <v>1.3819999384963066</v>
      </c>
      <c r="M6" s="13">
        <f>Z6*ghg_sort!$B$6</f>
        <v>1.1798295870306745</v>
      </c>
      <c r="N6" s="13">
        <f>AA6*ghg_sort!$B$6</f>
        <v>0.86289469877826686</v>
      </c>
      <c r="O6" s="13">
        <f>AB6*ghg_sort!$B$6</f>
        <v>0.56546986320381754</v>
      </c>
      <c r="P6" s="13" t="s">
        <v>171</v>
      </c>
      <c r="R6" s="13">
        <v>1.2561199999999999</v>
      </c>
      <c r="S6" s="13">
        <v>1.1748130811697499</v>
      </c>
      <c r="T6" s="13">
        <v>1.02792904450027</v>
      </c>
      <c r="U6" s="13">
        <v>0.38104116128127102</v>
      </c>
      <c r="V6" s="13">
        <v>0.38824113551837103</v>
      </c>
      <c r="W6" s="13">
        <v>0.387801322304689</v>
      </c>
      <c r="X6" s="13">
        <v>0.39306832801540798</v>
      </c>
      <c r="Y6" s="13">
        <v>0.37690907413535601</v>
      </c>
      <c r="Z6" s="13">
        <v>0.32177170555382001</v>
      </c>
      <c r="AA6" s="13">
        <v>0.23533491784861801</v>
      </c>
      <c r="AB6" s="13">
        <v>0.15421905360104099</v>
      </c>
    </row>
    <row r="7" spans="1:28">
      <c r="A7" s="13" t="s">
        <v>260</v>
      </c>
      <c r="B7" s="13" t="s">
        <v>1</v>
      </c>
      <c r="C7" s="13" t="s">
        <v>189</v>
      </c>
      <c r="D7" s="13" t="str">
        <f>VLOOKUP(C7,ghg_sort!$A$35:$B$82,2,0)</f>
        <v>DAC</v>
      </c>
      <c r="E7" s="13">
        <f>R7*ghg_sort!$B$6</f>
        <v>0</v>
      </c>
      <c r="F7" s="13">
        <f>S7*ghg_sort!$B$6</f>
        <v>0</v>
      </c>
      <c r="G7" s="13">
        <f>T7*ghg_sort!$B$6</f>
        <v>0</v>
      </c>
      <c r="H7" s="13">
        <f>U7*ghg_sort!$B$6</f>
        <v>0</v>
      </c>
      <c r="I7" s="13">
        <f>V7*ghg_sort!$B$6</f>
        <v>0</v>
      </c>
      <c r="J7" s="13">
        <f>W7*ghg_sort!$B$6</f>
        <v>0</v>
      </c>
      <c r="K7" s="13">
        <f>X7*ghg_sort!$B$6</f>
        <v>0</v>
      </c>
      <c r="L7" s="13">
        <f>Y7*ghg_sort!$B$6</f>
        <v>0</v>
      </c>
      <c r="M7" s="13">
        <f>Z7*ghg_sort!$B$6</f>
        <v>-4.0376966666666702E-4</v>
      </c>
      <c r="N7" s="13">
        <f>AA7*ghg_sort!$B$6</f>
        <v>-0.17651993333333349</v>
      </c>
      <c r="O7" s="13">
        <f>AB7*ghg_sort!$B$6</f>
        <v>-51.098666666666716</v>
      </c>
      <c r="P7" s="13" t="s">
        <v>171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4">
        <v>0</v>
      </c>
      <c r="X7" s="14">
        <v>0</v>
      </c>
      <c r="Y7" s="13">
        <v>0</v>
      </c>
      <c r="Z7" s="14">
        <v>-1.1011899999999999E-4</v>
      </c>
      <c r="AA7" s="13">
        <v>-4.8141799999999998E-2</v>
      </c>
      <c r="AB7" s="13">
        <v>-13.936</v>
      </c>
    </row>
    <row r="8" spans="1:28">
      <c r="A8" s="13" t="s">
        <v>260</v>
      </c>
      <c r="B8" s="13" t="s">
        <v>1</v>
      </c>
      <c r="C8" s="13" t="s">
        <v>142</v>
      </c>
      <c r="D8" s="13" t="str">
        <f>VLOOKUP(C8,ghg_sort!$A$35:$B$82,2,0)</f>
        <v>Electricity</v>
      </c>
      <c r="E8" s="13">
        <f>R8*ghg_sort!$B$6</f>
        <v>0</v>
      </c>
      <c r="F8" s="13">
        <f>S8*ghg_sort!$B$6</f>
        <v>0</v>
      </c>
      <c r="G8" s="13">
        <f>T8*ghg_sort!$B$6</f>
        <v>0</v>
      </c>
      <c r="H8" s="13">
        <f>U8*ghg_sort!$B$6</f>
        <v>0</v>
      </c>
      <c r="I8" s="13">
        <f>V8*ghg_sort!$B$6</f>
        <v>0.10301242404115016</v>
      </c>
      <c r="J8" s="13">
        <f>W8*ghg_sort!$B$6</f>
        <v>0.32331151024734606</v>
      </c>
      <c r="K8" s="13">
        <f>X8*ghg_sort!$B$6</f>
        <v>1.508857572765042</v>
      </c>
      <c r="L8" s="13">
        <f>Y8*ghg_sort!$B$6</f>
        <v>3.3604367671096673</v>
      </c>
      <c r="M8" s="13">
        <f>Z8*ghg_sort!$B$6</f>
        <v>5.6699445526636421</v>
      </c>
      <c r="N8" s="13">
        <f>AA8*ghg_sort!$B$6</f>
        <v>7.8729082477221803</v>
      </c>
      <c r="O8" s="13">
        <f>AB8*ghg_sort!$B$6</f>
        <v>8.757653143631746</v>
      </c>
      <c r="P8" s="13" t="s">
        <v>171</v>
      </c>
      <c r="R8" s="13">
        <v>0</v>
      </c>
      <c r="S8" s="13">
        <v>0</v>
      </c>
      <c r="T8" s="13">
        <v>0</v>
      </c>
      <c r="U8" s="13">
        <v>0</v>
      </c>
      <c r="V8" s="13">
        <v>2.8094297465768199E-2</v>
      </c>
      <c r="W8" s="13">
        <v>8.8175866431094305E-2</v>
      </c>
      <c r="X8" s="13">
        <v>0.411506610754102</v>
      </c>
      <c r="Y8" s="13">
        <v>0.91648275466627205</v>
      </c>
      <c r="Z8" s="13">
        <v>1.54634851436281</v>
      </c>
      <c r="AA8" s="13">
        <v>2.1471567948333199</v>
      </c>
      <c r="AB8" s="13">
        <v>2.3884508573541101</v>
      </c>
    </row>
    <row r="9" spans="1:28">
      <c r="A9" s="13" t="s">
        <v>260</v>
      </c>
      <c r="B9" s="13" t="s">
        <v>1</v>
      </c>
      <c r="C9" s="13" t="s">
        <v>61</v>
      </c>
      <c r="D9" s="13" t="str">
        <f>VLOOKUP(C9,ghg_sort!$A$35:$B$82,2,0)</f>
        <v>Industry</v>
      </c>
      <c r="E9" s="13">
        <f>R9*ghg_sort!$B$6</f>
        <v>16.756666666666682</v>
      </c>
      <c r="F9" s="13">
        <f>S9*ghg_sort!$B$6</f>
        <v>25.626333333333356</v>
      </c>
      <c r="G9" s="13">
        <f>T9*ghg_sort!$B$6</f>
        <v>24.99566666666669</v>
      </c>
      <c r="H9" s="13">
        <f>U9*ghg_sort!$B$6</f>
        <v>24.99566666666669</v>
      </c>
      <c r="I9" s="13">
        <f>V9*ghg_sort!$B$6</f>
        <v>23.17139000000002</v>
      </c>
      <c r="J9" s="13">
        <f>W9*ghg_sort!$B$6</f>
        <v>17.772113333333351</v>
      </c>
      <c r="K9" s="13">
        <f>X9*ghg_sort!$B$6</f>
        <v>15.37363666666668</v>
      </c>
      <c r="L9" s="13">
        <f>Y9*ghg_sort!$B$6</f>
        <v>13.171325566666679</v>
      </c>
      <c r="M9" s="13">
        <f>Z9*ghg_sort!$B$6</f>
        <v>6.9115944333333399</v>
      </c>
      <c r="N9" s="13">
        <f>AA9*ghg_sort!$B$6</f>
        <v>3.7359266266666697</v>
      </c>
      <c r="O9" s="13">
        <f>AB9*ghg_sort!$B$6</f>
        <v>2.6451797899999989</v>
      </c>
      <c r="P9" s="13" t="s">
        <v>171</v>
      </c>
      <c r="R9" s="13">
        <v>4.57</v>
      </c>
      <c r="S9" s="13">
        <v>6.9889999999999999</v>
      </c>
      <c r="T9" s="13">
        <v>6.8170000000000002</v>
      </c>
      <c r="U9" s="13">
        <v>6.8170000000000002</v>
      </c>
      <c r="V9" s="13">
        <v>6.3194699999999999</v>
      </c>
      <c r="W9" s="13">
        <v>4.84694</v>
      </c>
      <c r="X9" s="13">
        <v>4.1928099999999997</v>
      </c>
      <c r="Y9" s="13">
        <v>3.5921797</v>
      </c>
      <c r="Z9" s="13">
        <v>1.8849803000000001</v>
      </c>
      <c r="AA9" s="13">
        <v>1.0188890799999999</v>
      </c>
      <c r="AB9" s="13">
        <v>0.72141266999999898</v>
      </c>
    </row>
    <row r="10" spans="1:28">
      <c r="A10" s="13" t="s">
        <v>260</v>
      </c>
      <c r="B10" s="13" t="s">
        <v>1</v>
      </c>
      <c r="C10" s="13" t="s">
        <v>56</v>
      </c>
      <c r="D10" s="13" t="str">
        <f>VLOOKUP(C10,ghg_sort!$A$35:$B$82,2,0)</f>
        <v>Industry</v>
      </c>
      <c r="E10" s="13">
        <f>R10*ghg_sort!$B$6</f>
        <v>7.0924510108533836</v>
      </c>
      <c r="F10" s="13">
        <f>S10*ghg_sort!$B$6</f>
        <v>5.6013318845318683</v>
      </c>
      <c r="G10" s="13">
        <f>T10*ghg_sort!$B$6</f>
        <v>6.9047962688915536</v>
      </c>
      <c r="H10" s="13">
        <f>U10*ghg_sort!$B$6</f>
        <v>4.8798783215262711</v>
      </c>
      <c r="I10" s="13">
        <f>V10*ghg_sort!$B$6</f>
        <v>4.9777065550966642</v>
      </c>
      <c r="J10" s="13">
        <f>W10*ghg_sort!$B$6</f>
        <v>4.9998966605091582</v>
      </c>
      <c r="K10" s="13">
        <f>X10*ghg_sort!$B$6</f>
        <v>5.1350874037629151</v>
      </c>
      <c r="L10" s="13">
        <f>Y10*ghg_sort!$B$6</f>
        <v>4.5165218310049973</v>
      </c>
      <c r="M10" s="13">
        <f>Z10*ghg_sort!$B$6</f>
        <v>2.468114832568332</v>
      </c>
      <c r="N10" s="13">
        <f>AA10*ghg_sort!$B$6</f>
        <v>0.9960163982291792</v>
      </c>
      <c r="O10" s="13">
        <f>AB10*ghg_sort!$B$6</f>
        <v>-8.5057339343959842E-2</v>
      </c>
      <c r="P10" s="13" t="s">
        <v>171</v>
      </c>
      <c r="R10" s="13">
        <v>1.9343048211418301</v>
      </c>
      <c r="S10" s="13">
        <v>1.52763596850869</v>
      </c>
      <c r="T10" s="13">
        <v>1.8831262551522401</v>
      </c>
      <c r="U10" s="13">
        <v>1.3308759058708</v>
      </c>
      <c r="V10" s="13">
        <v>1.3575563332081799</v>
      </c>
      <c r="W10" s="13">
        <v>1.36360818013886</v>
      </c>
      <c r="X10" s="13">
        <v>1.40047838284443</v>
      </c>
      <c r="Y10" s="13">
        <v>1.2317786811831799</v>
      </c>
      <c r="Z10" s="13">
        <v>0.67312222706408997</v>
      </c>
      <c r="AA10" s="13">
        <v>0.27164083588068499</v>
      </c>
      <c r="AB10" s="13">
        <v>-2.31974561847163E-2</v>
      </c>
    </row>
    <row r="11" spans="1:28">
      <c r="A11" s="13" t="s">
        <v>260</v>
      </c>
      <c r="B11" s="13" t="s">
        <v>1</v>
      </c>
      <c r="C11" s="13" t="s">
        <v>20</v>
      </c>
      <c r="D11" s="13" t="str">
        <f>VLOOKUP(C11,ghg_sort!$A$35:$B$82,2,0)</f>
        <v>Industry</v>
      </c>
      <c r="E11" s="13">
        <f>R11*ghg_sort!$B$6</f>
        <v>0</v>
      </c>
      <c r="F11" s="13">
        <f>S11*ghg_sort!$B$6</f>
        <v>-9.0781814142504927E-3</v>
      </c>
      <c r="G11" s="13">
        <f>T11*ghg_sort!$B$6</f>
        <v>1.3520113031458343</v>
      </c>
      <c r="H11" s="13">
        <f>U11*ghg_sort!$B$6</f>
        <v>1.8078110866473367</v>
      </c>
      <c r="I11" s="13">
        <f>V11*ghg_sort!$B$6</f>
        <v>1.0353504717567963</v>
      </c>
      <c r="J11" s="13">
        <f>W11*ghg_sort!$B$6</f>
        <v>-1.1084027391899818</v>
      </c>
      <c r="K11" s="13">
        <f>X11*ghg_sort!$B$6</f>
        <v>-1.1671182776730558</v>
      </c>
      <c r="L11" s="13">
        <f>Y11*ghg_sort!$B$6</f>
        <v>-1.1931294677715465</v>
      </c>
      <c r="M11" s="13">
        <f>Z11*ghg_sort!$B$6</f>
        <v>-2.6730339088146016</v>
      </c>
      <c r="N11" s="13">
        <f>AA11*ghg_sort!$B$6</f>
        <v>-8.8451105697535617</v>
      </c>
      <c r="O11" s="13">
        <f>AB11*ghg_sort!$B$6</f>
        <v>-13.912188121754463</v>
      </c>
      <c r="P11" s="13" t="s">
        <v>171</v>
      </c>
      <c r="R11" s="13">
        <v>0</v>
      </c>
      <c r="S11" s="13">
        <v>-2.4758676584319501E-3</v>
      </c>
      <c r="T11" s="13">
        <v>0.36873035540340898</v>
      </c>
      <c r="U11" s="13">
        <v>0.493039387267455</v>
      </c>
      <c r="V11" s="13">
        <v>0.28236831047912597</v>
      </c>
      <c r="W11" s="13">
        <v>-0.30229165614272202</v>
      </c>
      <c r="X11" s="13">
        <v>-0.31830498481992398</v>
      </c>
      <c r="Y11" s="13">
        <v>-0.32539894575587602</v>
      </c>
      <c r="Z11" s="13">
        <v>-0.72900924785852705</v>
      </c>
      <c r="AA11" s="13">
        <v>-2.4123028826600601</v>
      </c>
      <c r="AB11" s="13">
        <v>-3.7942331241148501</v>
      </c>
    </row>
    <row r="12" spans="1:28">
      <c r="A12" s="13" t="s">
        <v>260</v>
      </c>
      <c r="B12" s="13" t="s">
        <v>1</v>
      </c>
      <c r="C12" s="13" t="s">
        <v>143</v>
      </c>
      <c r="D12" s="13" t="str">
        <f>VLOOKUP(C12,ghg_sort!$A$35:$B$82,2,0)</f>
        <v>Building</v>
      </c>
      <c r="E12" s="13">
        <f>R12*ghg_sort!$B$6</f>
        <v>2.207646056141737E-2</v>
      </c>
      <c r="F12" s="13">
        <f>S12*ghg_sort!$B$6</f>
        <v>0.48726633484955478</v>
      </c>
      <c r="G12" s="13">
        <f>T12*ghg_sort!$B$6</f>
        <v>0.56189045903865653</v>
      </c>
      <c r="H12" s="13">
        <f>U12*ghg_sort!$B$6</f>
        <v>0.58534261678130761</v>
      </c>
      <c r="I12" s="13">
        <f>V12*ghg_sort!$B$6</f>
        <v>0.60241803961352247</v>
      </c>
      <c r="J12" s="13">
        <f>W12*ghg_sort!$B$6</f>
        <v>0.50205960837116748</v>
      </c>
      <c r="K12" s="13">
        <f>X12*ghg_sort!$B$6</f>
        <v>0.41503306987685806</v>
      </c>
      <c r="L12" s="13">
        <f>Y12*ghg_sort!$B$6</f>
        <v>0.30327412166214412</v>
      </c>
      <c r="M12" s="13">
        <f>Z12*ghg_sort!$B$6</f>
        <v>0.18685301881074673</v>
      </c>
      <c r="N12" s="13">
        <f>AA12*ghg_sort!$B$6</f>
        <v>0.10335500237809424</v>
      </c>
      <c r="O12" s="13">
        <f>AB12*ghg_sort!$B$6</f>
        <v>5.5493252871974187E-2</v>
      </c>
      <c r="P12" s="13" t="s">
        <v>171</v>
      </c>
      <c r="R12" s="13">
        <v>6.0208528803865503E-3</v>
      </c>
      <c r="S12" s="13">
        <v>0.132890818595333</v>
      </c>
      <c r="T12" s="13">
        <v>0.15324285246508801</v>
      </c>
      <c r="U12" s="13">
        <v>0.15963889548581101</v>
      </c>
      <c r="V12" s="13">
        <v>0.16429582898550599</v>
      </c>
      <c r="W12" s="13">
        <v>0.13692534773759099</v>
      </c>
      <c r="X12" s="13">
        <v>0.113190837239143</v>
      </c>
      <c r="Y12" s="13">
        <v>8.2711124089675597E-2</v>
      </c>
      <c r="Z12" s="13">
        <v>5.09599142211127E-2</v>
      </c>
      <c r="AA12" s="13">
        <v>2.8187727921298401E-2</v>
      </c>
      <c r="AB12" s="13">
        <v>1.51345235105384E-2</v>
      </c>
    </row>
    <row r="13" spans="1:28">
      <c r="A13" s="13" t="s">
        <v>260</v>
      </c>
      <c r="B13" s="13" t="s">
        <v>1</v>
      </c>
      <c r="C13" s="13" t="s">
        <v>144</v>
      </c>
      <c r="D13" s="13" t="str">
        <f>VLOOKUP(C13,ghg_sort!$A$35:$B$82,2,0)</f>
        <v>Building</v>
      </c>
      <c r="E13" s="13">
        <f>R13*ghg_sort!$B$6</f>
        <v>11.381111018598761</v>
      </c>
      <c r="F13" s="13">
        <f>S13*ghg_sort!$B$6</f>
        <v>13.759372321297656</v>
      </c>
      <c r="G13" s="13">
        <f>T13*ghg_sort!$B$6</f>
        <v>10.705193534171116</v>
      </c>
      <c r="H13" s="13">
        <f>U13*ghg_sort!$B$6</f>
        <v>9.8225620356521244</v>
      </c>
      <c r="I13" s="13">
        <f>V13*ghg_sort!$B$6</f>
        <v>10.457687626830337</v>
      </c>
      <c r="J13" s="13">
        <f>W13*ghg_sort!$B$6</f>
        <v>9.8835454136733318</v>
      </c>
      <c r="K13" s="13">
        <f>X13*ghg_sort!$B$6</f>
        <v>9.4992294033929685</v>
      </c>
      <c r="L13" s="13">
        <f>Y13*ghg_sort!$B$6</f>
        <v>8.6059795081209849</v>
      </c>
      <c r="M13" s="13">
        <f>Z13*ghg_sort!$B$6</f>
        <v>7.4146483967011569</v>
      </c>
      <c r="N13" s="13">
        <f>AA13*ghg_sort!$B$6</f>
        <v>5.2890355240975682</v>
      </c>
      <c r="O13" s="13">
        <f>AB13*ghg_sort!$B$6</f>
        <v>3.2418219216119986</v>
      </c>
      <c r="P13" s="13" t="s">
        <v>171</v>
      </c>
      <c r="R13" s="13">
        <v>3.1039393687087502</v>
      </c>
      <c r="S13" s="13">
        <v>3.7525560876266302</v>
      </c>
      <c r="T13" s="13">
        <v>2.9195982365921198</v>
      </c>
      <c r="U13" s="13">
        <v>2.6788805551778498</v>
      </c>
      <c r="V13" s="13">
        <v>2.85209662549918</v>
      </c>
      <c r="W13" s="13">
        <v>2.69551238554727</v>
      </c>
      <c r="X13" s="13">
        <v>2.5906989281980799</v>
      </c>
      <c r="Y13" s="13">
        <v>2.34708532039663</v>
      </c>
      <c r="Z13" s="13">
        <v>2.02217683546395</v>
      </c>
      <c r="AA13" s="13">
        <v>1.4424642338447899</v>
      </c>
      <c r="AB13" s="13">
        <v>0.884133251348726</v>
      </c>
    </row>
    <row r="14" spans="1:28">
      <c r="A14" s="13" t="s">
        <v>260</v>
      </c>
      <c r="B14" s="13" t="s">
        <v>1</v>
      </c>
      <c r="C14" s="13" t="s">
        <v>145</v>
      </c>
      <c r="D14" s="13" t="str">
        <f>VLOOKUP(C14,ghg_sort!$A$35:$B$82,2,0)</f>
        <v>Building</v>
      </c>
      <c r="E14" s="13">
        <f>R14*ghg_sort!$B$6</f>
        <v>13.451076053389015</v>
      </c>
      <c r="F14" s="13">
        <f>S14*ghg_sort!$B$6</f>
        <v>13.952049618316419</v>
      </c>
      <c r="G14" s="13">
        <f>T14*ghg_sort!$B$6</f>
        <v>9.9927326965679484</v>
      </c>
      <c r="H14" s="13">
        <f>U14*ghg_sort!$B$6</f>
        <v>8.8396075974692288</v>
      </c>
      <c r="I14" s="13">
        <f>V14*ghg_sort!$B$6</f>
        <v>10.094058086085573</v>
      </c>
      <c r="J14" s="13">
        <f>W14*ghg_sort!$B$6</f>
        <v>8.4538582813348118</v>
      </c>
      <c r="K14" s="13">
        <f>X14*ghg_sort!$B$6</f>
        <v>7.0592071096251896</v>
      </c>
      <c r="L14" s="13">
        <f>Y14*ghg_sort!$B$6</f>
        <v>5.1499144816828917</v>
      </c>
      <c r="M14" s="13">
        <f>Z14*ghg_sort!$B$6</f>
        <v>2.940584750060693</v>
      </c>
      <c r="N14" s="13">
        <f>AA14*ghg_sort!$B$6</f>
        <v>1.4614424890761204</v>
      </c>
      <c r="O14" s="13">
        <f>AB14*ghg_sort!$B$6</f>
        <v>0.71492041709931409</v>
      </c>
      <c r="P14" s="13" t="s">
        <v>171</v>
      </c>
      <c r="R14" s="13">
        <v>3.6684752872879098</v>
      </c>
      <c r="S14" s="13">
        <v>3.80510444135902</v>
      </c>
      <c r="T14" s="13">
        <v>2.7252907354276199</v>
      </c>
      <c r="U14" s="13">
        <v>2.4108020720370602</v>
      </c>
      <c r="V14" s="13">
        <v>2.7529249325687899</v>
      </c>
      <c r="W14" s="13">
        <v>2.3055977130913101</v>
      </c>
      <c r="X14" s="13">
        <v>1.9252383026250499</v>
      </c>
      <c r="Y14" s="13">
        <v>1.40452213136806</v>
      </c>
      <c r="Z14" s="13">
        <v>0.80197765910746099</v>
      </c>
      <c r="AA14" s="13">
        <v>0.39857522429348702</v>
      </c>
      <c r="AB14" s="13">
        <v>0.19497829557254001</v>
      </c>
    </row>
    <row r="15" spans="1:28">
      <c r="A15" s="13" t="s">
        <v>260</v>
      </c>
      <c r="B15" s="13" t="s">
        <v>1</v>
      </c>
      <c r="C15" s="13" t="s">
        <v>67</v>
      </c>
      <c r="D15" s="13" t="str">
        <f>VLOOKUP(C15,ghg_sort!$A$35:$B$82,2,0)</f>
        <v>Industry</v>
      </c>
      <c r="E15" s="13">
        <f>R15*ghg_sort!$B$6</f>
        <v>1.5342506666666682</v>
      </c>
      <c r="F15" s="13">
        <f>S15*ghg_sort!$B$6</f>
        <v>1.8108255676316134</v>
      </c>
      <c r="G15" s="13">
        <f>T15*ghg_sort!$B$6</f>
        <v>2.4469682030574904</v>
      </c>
      <c r="H15" s="13">
        <f>U15*ghg_sort!$B$6</f>
        <v>2.4809548613421719</v>
      </c>
      <c r="I15" s="13">
        <f>V15*ghg_sort!$B$6</f>
        <v>2.5357114333440252</v>
      </c>
      <c r="J15" s="13">
        <f>W15*ghg_sort!$B$6</f>
        <v>2.3612384010826108</v>
      </c>
      <c r="K15" s="13">
        <f>X15*ghg_sort!$B$6</f>
        <v>2.0855453071189389</v>
      </c>
      <c r="L15" s="13">
        <f>Y15*ghg_sort!$B$6</f>
        <v>1.760360304082675</v>
      </c>
      <c r="M15" s="13">
        <f>Z15*ghg_sort!$B$6</f>
        <v>1.504007718009142</v>
      </c>
      <c r="N15" s="13">
        <f>AA15*ghg_sort!$B$6</f>
        <v>1.2197308737550725</v>
      </c>
      <c r="O15" s="13">
        <f>AB15*ghg_sort!$B$6</f>
        <v>0.94486835982161044</v>
      </c>
      <c r="P15" s="13" t="s">
        <v>171</v>
      </c>
      <c r="R15" s="13">
        <v>0.41843200000000003</v>
      </c>
      <c r="S15" s="14">
        <v>0.49386151844498499</v>
      </c>
      <c r="T15" s="13">
        <v>0.66735496447022402</v>
      </c>
      <c r="U15" s="13">
        <v>0.67662405309331897</v>
      </c>
      <c r="V15" s="13">
        <v>0.69155766363927895</v>
      </c>
      <c r="W15" s="13">
        <v>0.64397410938616595</v>
      </c>
      <c r="X15" s="13">
        <v>0.56878508375971004</v>
      </c>
      <c r="Y15" s="13">
        <v>0.48009826474981998</v>
      </c>
      <c r="Z15" s="13">
        <v>0.41018392309340201</v>
      </c>
      <c r="AA15" s="13">
        <v>0.33265387466047402</v>
      </c>
      <c r="AB15" s="13">
        <v>0.25769137086043897</v>
      </c>
    </row>
    <row r="16" spans="1:28">
      <c r="A16" s="13" t="s">
        <v>260</v>
      </c>
      <c r="B16" s="13" t="s">
        <v>1</v>
      </c>
      <c r="C16" s="13" t="s">
        <v>21</v>
      </c>
      <c r="D16" s="13" t="str">
        <f>VLOOKUP(C16,ghg_sort!$A$35:$B$82,2,0)</f>
        <v>Industry</v>
      </c>
      <c r="E16" s="13">
        <f>R16*ghg_sort!$B$6</f>
        <v>0</v>
      </c>
      <c r="F16" s="13">
        <f>S16*ghg_sort!$B$6</f>
        <v>-3.8838125108142473E-4</v>
      </c>
      <c r="G16" s="13">
        <f>T16*ghg_sort!$B$6</f>
        <v>-1.2364429049532938E-2</v>
      </c>
      <c r="H16" s="13">
        <f>U16*ghg_sort!$B$6</f>
        <v>-1.3288318792502687E-2</v>
      </c>
      <c r="I16" s="13">
        <f>V16*ghg_sort!$B$6</f>
        <v>-3.2330381280484391E-2</v>
      </c>
      <c r="J16" s="13">
        <f>W16*ghg_sort!$B$6</f>
        <v>-3.1721719439727743E-2</v>
      </c>
      <c r="K16" s="13">
        <f>X16*ghg_sort!$B$6</f>
        <v>-3.1767865519950297E-2</v>
      </c>
      <c r="L16" s="13">
        <f>Y16*ghg_sort!$B$6</f>
        <v>-3.2989177472752228E-2</v>
      </c>
      <c r="M16" s="13">
        <f>Z16*ghg_sort!$B$6</f>
        <v>-7.4628737734930936E-2</v>
      </c>
      <c r="N16" s="13">
        <f>AA16*ghg_sort!$B$6</f>
        <v>-0.24773545922557139</v>
      </c>
      <c r="O16" s="13">
        <f>AB16*ghg_sort!$B$6</f>
        <v>-0.39471010136320805</v>
      </c>
      <c r="P16" s="13" t="s">
        <v>171</v>
      </c>
      <c r="R16" s="13">
        <v>0</v>
      </c>
      <c r="S16" s="14">
        <v>-1.05922159385843E-4</v>
      </c>
      <c r="T16" s="14">
        <v>-3.37211701350898E-3</v>
      </c>
      <c r="U16" s="13">
        <v>-3.6240869434098202E-3</v>
      </c>
      <c r="V16" s="14">
        <v>-8.8173767128593705E-3</v>
      </c>
      <c r="W16" s="14">
        <v>-8.6513780290166497E-3</v>
      </c>
      <c r="X16" s="14">
        <v>-8.6639633236228007E-3</v>
      </c>
      <c r="Y16" s="13">
        <v>-8.9970484016596904E-3</v>
      </c>
      <c r="Z16" s="14">
        <v>-2.0353292109526602E-2</v>
      </c>
      <c r="AA16" s="13">
        <v>-6.7564216152428497E-2</v>
      </c>
      <c r="AB16" s="14">
        <v>-0.107648209462693</v>
      </c>
    </row>
    <row r="17" spans="1:28">
      <c r="A17" s="13" t="s">
        <v>260</v>
      </c>
      <c r="B17" s="13" t="s">
        <v>1</v>
      </c>
      <c r="C17" s="13" t="s">
        <v>3</v>
      </c>
      <c r="D17" s="13">
        <f>VLOOKUP(C17,ghg_sort!$A$35:$B$82,2,0)</f>
        <v>0</v>
      </c>
      <c r="E17" s="13">
        <f>R17*ghg_sort!$B$6</f>
        <v>0</v>
      </c>
      <c r="F17" s="13">
        <f>S17*ghg_sort!$B$6</f>
        <v>0</v>
      </c>
      <c r="G17" s="13">
        <f>T17*ghg_sort!$B$6</f>
        <v>-3.6666732639900037E-6</v>
      </c>
      <c r="H17" s="13">
        <f>U17*ghg_sort!$B$6</f>
        <v>0</v>
      </c>
      <c r="I17" s="13">
        <f>V17*ghg_sort!$B$6</f>
        <v>-2.1999986072203353E-5</v>
      </c>
      <c r="J17" s="13">
        <f>W17*ghg_sort!$B$6</f>
        <v>0</v>
      </c>
      <c r="K17" s="13">
        <f>X17*ghg_sort!$B$6</f>
        <v>0</v>
      </c>
      <c r="L17" s="13">
        <f>Y17*ghg_sort!$B$6</f>
        <v>-2.200003061124002E-5</v>
      </c>
      <c r="M17" s="13">
        <f>Z17*ghg_sort!$B$6</f>
        <v>-3.299999352943336E-5</v>
      </c>
      <c r="N17" s="13">
        <f>AA17*ghg_sort!$B$6</f>
        <v>0</v>
      </c>
      <c r="O17" s="13">
        <f>AB17*ghg_sort!$B$6</f>
        <v>0</v>
      </c>
      <c r="P17" s="13" t="s">
        <v>171</v>
      </c>
      <c r="R17" s="13">
        <v>0</v>
      </c>
      <c r="S17" s="14">
        <v>0</v>
      </c>
      <c r="T17" s="14">
        <v>-1.00000179927E-6</v>
      </c>
      <c r="U17" s="13">
        <v>0</v>
      </c>
      <c r="V17" s="14">
        <v>-5.9999962015099996E-6</v>
      </c>
      <c r="W17" s="14">
        <v>0</v>
      </c>
      <c r="X17" s="14">
        <v>0</v>
      </c>
      <c r="Y17" s="14">
        <v>-6.0000083485199998E-6</v>
      </c>
      <c r="Z17" s="14">
        <v>-8.9999982352999994E-6</v>
      </c>
      <c r="AA17" s="14">
        <v>0</v>
      </c>
      <c r="AB17" s="14">
        <v>0</v>
      </c>
    </row>
    <row r="18" spans="1:28">
      <c r="A18" s="13" t="s">
        <v>260</v>
      </c>
      <c r="B18" s="13" t="s">
        <v>1</v>
      </c>
      <c r="C18" s="13" t="s">
        <v>162</v>
      </c>
      <c r="D18" s="13">
        <f>VLOOKUP(C18,ghg_sort!$A$35:$B$82,2,0)</f>
        <v>0</v>
      </c>
      <c r="E18" s="13">
        <f>R18*ghg_sort!$B$6</f>
        <v>0</v>
      </c>
      <c r="F18" s="13">
        <f>S18*ghg_sort!$B$6</f>
        <v>-8.0244658360866348E-8</v>
      </c>
      <c r="G18" s="13">
        <f>T18*ghg_sort!$B$6</f>
        <v>0</v>
      </c>
      <c r="H18" s="13">
        <f>U18*ghg_sort!$B$6</f>
        <v>0</v>
      </c>
      <c r="I18" s="13">
        <f>V18*ghg_sort!$B$6</f>
        <v>-1.8511553049974253E-8</v>
      </c>
      <c r="J18" s="13">
        <f>W18*ghg_sort!$B$6</f>
        <v>0</v>
      </c>
      <c r="K18" s="13">
        <f>X18*ghg_sort!$B$6</f>
        <v>-2.822393554031516E-6</v>
      </c>
      <c r="L18" s="13">
        <f>Y18*ghg_sort!$B$6</f>
        <v>-2.3413190681444797E-6</v>
      </c>
      <c r="M18" s="13">
        <f>Z18*ghg_sort!$B$6</f>
        <v>-2.7486593810843447E-7</v>
      </c>
      <c r="N18" s="13">
        <f>AA18*ghg_sort!$B$6</f>
        <v>0</v>
      </c>
      <c r="O18" s="13">
        <f>AB18*ghg_sort!$B$6</f>
        <v>0</v>
      </c>
      <c r="P18" s="13" t="s">
        <v>171</v>
      </c>
      <c r="R18" s="14">
        <v>0</v>
      </c>
      <c r="S18" s="14">
        <v>-2.1884906825690801E-8</v>
      </c>
      <c r="T18" s="14">
        <v>0</v>
      </c>
      <c r="U18" s="14">
        <v>0</v>
      </c>
      <c r="V18" s="14">
        <v>-5.0486053772657004E-9</v>
      </c>
      <c r="W18" s="14">
        <v>0</v>
      </c>
      <c r="X18" s="14">
        <v>-7.6974369655404904E-7</v>
      </c>
      <c r="Y18" s="14">
        <v>-6.3854156403940303E-7</v>
      </c>
      <c r="Z18" s="14">
        <v>-7.4963437665936606E-8</v>
      </c>
      <c r="AA18" s="14">
        <v>0</v>
      </c>
      <c r="AB18" s="14">
        <v>0</v>
      </c>
    </row>
    <row r="19" spans="1:28">
      <c r="A19" s="13" t="s">
        <v>260</v>
      </c>
      <c r="B19" s="13" t="s">
        <v>1</v>
      </c>
      <c r="C19" s="13" t="s">
        <v>146</v>
      </c>
      <c r="D19" s="13" t="str">
        <f>VLOOKUP(C19,ghg_sort!$A$35:$B$82,2,0)</f>
        <v>Electricity</v>
      </c>
      <c r="E19" s="13">
        <f>R19*ghg_sort!$B$6</f>
        <v>2.1896434690780268E-4</v>
      </c>
      <c r="F19" s="13">
        <f>S19*ghg_sort!$B$6</f>
        <v>4.4037520141186777E-4</v>
      </c>
      <c r="G19" s="13">
        <f>T19*ghg_sort!$B$6</f>
        <v>4.1622197831397008E-4</v>
      </c>
      <c r="H19" s="13">
        <f>U19*ghg_sort!$B$6</f>
        <v>4.0291476431084669E-4</v>
      </c>
      <c r="I19" s="13">
        <f>V19*ghg_sort!$B$6</f>
        <v>8.0421797334253914E-4</v>
      </c>
      <c r="J19" s="13">
        <f>W19*ghg_sort!$B$6</f>
        <v>8.4374521187508651E-4</v>
      </c>
      <c r="K19" s="13">
        <f>X19*ghg_sort!$B$6</f>
        <v>8.2308188624544002E-4</v>
      </c>
      <c r="L19" s="13">
        <f>Y19*ghg_sort!$B$6</f>
        <v>7.6005010440854438E-4</v>
      </c>
      <c r="M19" s="13">
        <f>Z19*ghg_sort!$B$6</f>
        <v>6.3312545516015827E-4</v>
      </c>
      <c r="N19" s="13">
        <f>AA19*ghg_sort!$B$6</f>
        <v>5.1492786633259451E-4</v>
      </c>
      <c r="O19" s="13">
        <f>AB19*ghg_sort!$B$6</f>
        <v>4.4171767005125873E-4</v>
      </c>
      <c r="P19" s="13" t="s">
        <v>171</v>
      </c>
      <c r="R19" s="14">
        <v>5.97175491566734E-5</v>
      </c>
      <c r="S19" s="14">
        <v>1.2010232765778201E-4</v>
      </c>
      <c r="T19" s="14">
        <v>1.13515084994719E-4</v>
      </c>
      <c r="U19" s="14">
        <v>1.0988584481204899E-4</v>
      </c>
      <c r="V19" s="14">
        <v>2.1933217454796501E-4</v>
      </c>
      <c r="W19" s="14">
        <v>2.3011233051138701E-4</v>
      </c>
      <c r="X19" s="14">
        <v>2.2447687806693799E-4</v>
      </c>
      <c r="Y19" s="14">
        <v>2.0728639211142099E-4</v>
      </c>
      <c r="Z19" s="14">
        <v>1.72670578680043E-4</v>
      </c>
      <c r="AA19" s="14">
        <v>1.40434872636162E-4</v>
      </c>
      <c r="AB19" s="14">
        <v>1.20468455468525E-4</v>
      </c>
    </row>
    <row r="20" spans="1:28">
      <c r="A20" s="13" t="s">
        <v>260</v>
      </c>
      <c r="B20" s="13" t="s">
        <v>1</v>
      </c>
      <c r="C20" s="13" t="s">
        <v>132</v>
      </c>
      <c r="D20" s="13" t="str">
        <f>VLOOKUP(C20,ghg_sort!$A$35:$B$82,2,0)</f>
        <v>Electricity</v>
      </c>
      <c r="E20" s="13">
        <f>R20*ghg_sort!$B$6</f>
        <v>0</v>
      </c>
      <c r="F20" s="13">
        <f>S20*ghg_sort!$B$6</f>
        <v>0</v>
      </c>
      <c r="G20" s="13">
        <f>T20*ghg_sort!$B$6</f>
        <v>0</v>
      </c>
      <c r="H20" s="13">
        <f>U20*ghg_sort!$B$6</f>
        <v>0</v>
      </c>
      <c r="I20" s="13">
        <f>V20*ghg_sort!$B$6</f>
        <v>0</v>
      </c>
      <c r="J20" s="13">
        <f>W20*ghg_sort!$B$6</f>
        <v>-6.0095650589667791E-3</v>
      </c>
      <c r="K20" s="13">
        <f>X20*ghg_sort!$B$6</f>
        <v>-0.14390462850910313</v>
      </c>
      <c r="L20" s="13">
        <f>Y20*ghg_sort!$B$6</f>
        <v>-1.826103171447707</v>
      </c>
      <c r="M20" s="13">
        <f>Z20*ghg_sort!$B$6</f>
        <v>-7.6046924806331306</v>
      </c>
      <c r="N20" s="13">
        <f>AA20*ghg_sort!$B$6</f>
        <v>-14.283761626282256</v>
      </c>
      <c r="O20" s="13">
        <f>AB20*ghg_sort!$B$6</f>
        <v>-18.040893951218177</v>
      </c>
      <c r="P20" s="13" t="s">
        <v>171</v>
      </c>
      <c r="R20" s="13">
        <v>0</v>
      </c>
      <c r="S20" s="14">
        <v>0</v>
      </c>
      <c r="T20" s="14">
        <v>0</v>
      </c>
      <c r="U20" s="14">
        <v>0</v>
      </c>
      <c r="V20" s="13">
        <v>0</v>
      </c>
      <c r="W20" s="13">
        <v>-1.6389722888091201E-3</v>
      </c>
      <c r="X20" s="14">
        <v>-3.9246716866118997E-2</v>
      </c>
      <c r="Y20" s="14">
        <v>-0.49802813766755599</v>
      </c>
      <c r="Z20" s="14">
        <v>-2.07400704017267</v>
      </c>
      <c r="AA20" s="13">
        <v>-3.8955713526224298</v>
      </c>
      <c r="AB20" s="14">
        <v>-4.9202438048776802</v>
      </c>
    </row>
    <row r="21" spans="1:28">
      <c r="A21" s="13" t="s">
        <v>260</v>
      </c>
      <c r="B21" s="13" t="s">
        <v>1</v>
      </c>
      <c r="C21" s="13" t="s">
        <v>133</v>
      </c>
      <c r="D21" s="13" t="str">
        <f>VLOOKUP(C21,ghg_sort!$A$35:$B$82,2,0)</f>
        <v>Electricity</v>
      </c>
      <c r="E21" s="13">
        <f>R21*ghg_sort!$B$6</f>
        <v>0</v>
      </c>
      <c r="F21" s="13">
        <f>S21*ghg_sort!$B$6</f>
        <v>0</v>
      </c>
      <c r="G21" s="13">
        <f>T21*ghg_sort!$B$6</f>
        <v>0</v>
      </c>
      <c r="H21" s="13">
        <f>U21*ghg_sort!$B$6</f>
        <v>0</v>
      </c>
      <c r="I21" s="13">
        <f>V21*ghg_sort!$B$6</f>
        <v>0</v>
      </c>
      <c r="J21" s="13">
        <f>W21*ghg_sort!$B$6</f>
        <v>-2.7640192666722923E-3</v>
      </c>
      <c r="K21" s="13">
        <f>X21*ghg_sort!$B$6</f>
        <v>-8.572835139167391E-2</v>
      </c>
      <c r="L21" s="13">
        <f>Y21*ghg_sort!$B$6</f>
        <v>-1.6679272272755929</v>
      </c>
      <c r="M21" s="13">
        <f>Z21*ghg_sort!$B$6</f>
        <v>-6.9131134740264732</v>
      </c>
      <c r="N21" s="13">
        <f>AA21*ghg_sort!$B$6</f>
        <v>-10.762867639514001</v>
      </c>
      <c r="O21" s="13">
        <f>AB21*ghg_sort!$B$6</f>
        <v>-9.3981996701179487</v>
      </c>
      <c r="P21" s="13" t="s">
        <v>171</v>
      </c>
      <c r="R21" s="14">
        <v>0</v>
      </c>
      <c r="S21" s="14">
        <v>0</v>
      </c>
      <c r="T21" s="14">
        <v>0</v>
      </c>
      <c r="U21" s="14">
        <v>0</v>
      </c>
      <c r="V21" s="13">
        <v>0</v>
      </c>
      <c r="W21" s="14">
        <v>-7.5382343636516995E-4</v>
      </c>
      <c r="X21" s="13">
        <v>-2.3380459470456499E-2</v>
      </c>
      <c r="Y21" s="13">
        <v>-0.45488924380243401</v>
      </c>
      <c r="Z21" s="13">
        <v>-1.8853945838254</v>
      </c>
      <c r="AA21" s="13">
        <v>-2.93532753804927</v>
      </c>
      <c r="AB21" s="13">
        <v>-2.5631453645776201</v>
      </c>
    </row>
    <row r="22" spans="1:28">
      <c r="A22" s="13" t="s">
        <v>260</v>
      </c>
      <c r="B22" s="13" t="s">
        <v>1</v>
      </c>
      <c r="C22" s="13" t="s">
        <v>136</v>
      </c>
      <c r="D22" s="13" t="str">
        <f>VLOOKUP(C22,ghg_sort!$A$35:$B$82,2,0)</f>
        <v>Electricity</v>
      </c>
      <c r="E22" s="13">
        <f>R22*ghg_sort!$B$6</f>
        <v>0</v>
      </c>
      <c r="F22" s="13">
        <f>S22*ghg_sort!$B$6</f>
        <v>0</v>
      </c>
      <c r="G22" s="13">
        <f>T22*ghg_sort!$B$6</f>
        <v>0</v>
      </c>
      <c r="H22" s="13">
        <f>U22*ghg_sort!$B$6</f>
        <v>0</v>
      </c>
      <c r="I22" s="13">
        <f>V22*ghg_sort!$B$6</f>
        <v>0</v>
      </c>
      <c r="J22" s="13">
        <f>W22*ghg_sort!$B$6</f>
        <v>0</v>
      </c>
      <c r="K22" s="13">
        <f>X22*ghg_sort!$B$6</f>
        <v>0.25144168619851404</v>
      </c>
      <c r="L22" s="13">
        <f>Y22*ghg_sort!$B$6</f>
        <v>0.60263798423726023</v>
      </c>
      <c r="M22" s="13">
        <f>Z22*ghg_sort!$B$6</f>
        <v>1.3174364429332712</v>
      </c>
      <c r="N22" s="13">
        <f>AA22*ghg_sort!$B$6</f>
        <v>2.5502181500432508</v>
      </c>
      <c r="O22" s="13">
        <f>AB22*ghg_sort!$B$6</f>
        <v>3.3426814533926397</v>
      </c>
      <c r="P22" s="13" t="s">
        <v>171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4">
        <v>0</v>
      </c>
      <c r="X22" s="13">
        <v>6.8575005326867403E-2</v>
      </c>
      <c r="Y22" s="13">
        <v>0.164355813882889</v>
      </c>
      <c r="Z22" s="13">
        <v>0.35930084807271001</v>
      </c>
      <c r="AA22" s="13">
        <v>0.69551404092088598</v>
      </c>
      <c r="AB22" s="13">
        <v>0.91164039637980998</v>
      </c>
    </row>
    <row r="23" spans="1:28">
      <c r="A23" s="13" t="s">
        <v>260</v>
      </c>
      <c r="B23" s="13" t="s">
        <v>1</v>
      </c>
      <c r="C23" s="13" t="s">
        <v>59</v>
      </c>
      <c r="D23" s="13" t="str">
        <f>VLOOKUP(C23,ghg_sort!$A$35:$B$82,2,0)</f>
        <v>Electricity</v>
      </c>
      <c r="E23" s="13">
        <f>R23*ghg_sort!$B$6</f>
        <v>34.424549247056277</v>
      </c>
      <c r="F23" s="13">
        <f>S23*ghg_sort!$B$6</f>
        <v>173.72254661881294</v>
      </c>
      <c r="G23" s="13">
        <f>T23*ghg_sort!$B$6</f>
        <v>246.00203742154505</v>
      </c>
      <c r="H23" s="13">
        <f>U23*ghg_sort!$B$6</f>
        <v>253.59974962847127</v>
      </c>
      <c r="I23" s="13">
        <f>V23*ghg_sort!$B$6</f>
        <v>238.84534855751664</v>
      </c>
      <c r="J23" s="13">
        <f>W23*ghg_sort!$B$6</f>
        <v>206.48668120789151</v>
      </c>
      <c r="K23" s="13">
        <f>X23*ghg_sort!$B$6</f>
        <v>126.50030654137996</v>
      </c>
      <c r="L23" s="13">
        <f>Y23*ghg_sort!$B$6</f>
        <v>69.520615540587272</v>
      </c>
      <c r="M23" s="13">
        <f>Z23*ghg_sort!$B$6</f>
        <v>39.233137913263107</v>
      </c>
      <c r="N23" s="13">
        <f>AA23*ghg_sort!$B$6</f>
        <v>15.187158747280609</v>
      </c>
      <c r="O23" s="13">
        <f>AB23*ghg_sort!$B$6</f>
        <v>4.2147094808438439</v>
      </c>
      <c r="P23" s="13" t="s">
        <v>171</v>
      </c>
      <c r="R23" s="13">
        <v>9.3885134310153404</v>
      </c>
      <c r="S23" s="13">
        <v>47.378876350585301</v>
      </c>
      <c r="T23" s="13">
        <v>67.091464751330406</v>
      </c>
      <c r="U23" s="13">
        <v>69.163568080492098</v>
      </c>
      <c r="V23" s="13">
        <v>65.139640515686295</v>
      </c>
      <c r="W23" s="13">
        <v>56.314549420333996</v>
      </c>
      <c r="X23" s="13">
        <v>34.500083602194501</v>
      </c>
      <c r="Y23" s="13">
        <v>18.960167874705601</v>
      </c>
      <c r="Z23" s="13">
        <v>10.699946703617201</v>
      </c>
      <c r="AA23" s="13">
        <v>4.1419523856219804</v>
      </c>
      <c r="AB23" s="13">
        <v>1.1494662220483201</v>
      </c>
    </row>
    <row r="24" spans="1:28">
      <c r="A24" s="13" t="s">
        <v>260</v>
      </c>
      <c r="B24" s="13" t="s">
        <v>1</v>
      </c>
      <c r="C24" s="13" t="s">
        <v>163</v>
      </c>
      <c r="D24" s="13" t="str">
        <f>VLOOKUP(C24,ghg_sort!$A$35:$B$82,2,0)</f>
        <v>Industry</v>
      </c>
      <c r="E24" s="13">
        <f>R24*ghg_sort!$B$6</f>
        <v>0</v>
      </c>
      <c r="F24" s="13">
        <f>S24*ghg_sort!$B$6</f>
        <v>-6.2894747411195391E-7</v>
      </c>
      <c r="G24" s="13">
        <f>T24*ghg_sort!$B$6</f>
        <v>-2.6730592860294609E-7</v>
      </c>
      <c r="H24" s="13">
        <f>U24*ghg_sort!$B$6</f>
        <v>-1.3251332841245228E-6</v>
      </c>
      <c r="I24" s="13">
        <f>V24*ghg_sort!$B$6</f>
        <v>-3.7023239560702304E-7</v>
      </c>
      <c r="J24" s="13">
        <f>W24*ghg_sort!$B$6</f>
        <v>0</v>
      </c>
      <c r="K24" s="13">
        <f>X24*ghg_sort!$B$6</f>
        <v>0</v>
      </c>
      <c r="L24" s="13">
        <f>Y24*ghg_sort!$B$6</f>
        <v>0</v>
      </c>
      <c r="M24" s="13">
        <f>Z24*ghg_sort!$B$6</f>
        <v>-2.0942166629052299E-6</v>
      </c>
      <c r="N24" s="13">
        <f>AA24*ghg_sort!$B$6</f>
        <v>0</v>
      </c>
      <c r="O24" s="13">
        <f>AB24*ghg_sort!$B$6</f>
        <v>-2.3006555766006877E-7</v>
      </c>
      <c r="P24" s="13" t="s">
        <v>171</v>
      </c>
      <c r="R24" s="13">
        <v>0</v>
      </c>
      <c r="S24" s="14">
        <v>-1.7153112930326E-7</v>
      </c>
      <c r="T24" s="14">
        <v>-7.2901616891712502E-8</v>
      </c>
      <c r="U24" s="14">
        <v>-3.61399986579415E-7</v>
      </c>
      <c r="V24" s="14">
        <v>-1.00972471529188E-7</v>
      </c>
      <c r="W24" s="14">
        <v>0</v>
      </c>
      <c r="X24" s="13">
        <v>0</v>
      </c>
      <c r="Y24" s="14">
        <v>0</v>
      </c>
      <c r="Z24" s="14">
        <v>-5.7114999897415303E-7</v>
      </c>
      <c r="AA24" s="13">
        <v>0</v>
      </c>
      <c r="AB24" s="14">
        <v>-6.2745152089109606E-8</v>
      </c>
    </row>
    <row r="25" spans="1:28">
      <c r="A25" s="13" t="s">
        <v>260</v>
      </c>
      <c r="B25" s="13" t="s">
        <v>1</v>
      </c>
      <c r="C25" s="13" t="s">
        <v>147</v>
      </c>
      <c r="D25" s="13" t="str">
        <f>VLOOKUP(C25,ghg_sort!$A$35:$B$82,2,0)</f>
        <v>Industry</v>
      </c>
      <c r="E25" s="13">
        <f>R25*ghg_sort!$B$6</f>
        <v>3.6727754664187806E-7</v>
      </c>
      <c r="F25" s="13">
        <f>S25*ghg_sort!$B$6</f>
        <v>4.3128216513828639E-7</v>
      </c>
      <c r="G25" s="13">
        <f>T25*ghg_sort!$B$6</f>
        <v>-1.8090575256331691E-6</v>
      </c>
      <c r="H25" s="13">
        <f>U25*ghg_sort!$B$6</f>
        <v>5.5974148889063212E-7</v>
      </c>
      <c r="I25" s="13">
        <f>V25*ghg_sort!$B$6</f>
        <v>4.3152938720604571E-2</v>
      </c>
      <c r="J25" s="13">
        <f>W25*ghg_sort!$B$6</f>
        <v>2.9115013207357907E-2</v>
      </c>
      <c r="K25" s="13">
        <f>X25*ghg_sort!$B$6</f>
        <v>1.4369038216740546E-2</v>
      </c>
      <c r="L25" s="13">
        <f>Y25*ghg_sort!$B$6</f>
        <v>5.9010393275940017E-3</v>
      </c>
      <c r="M25" s="13">
        <f>Z25*ghg_sort!$B$6</f>
        <v>3.4047229571986248E-3</v>
      </c>
      <c r="N25" s="13">
        <f>AA25*ghg_sort!$B$6</f>
        <v>9.5166095318424248E-4</v>
      </c>
      <c r="O25" s="13">
        <f>AB25*ghg_sort!$B$6</f>
        <v>4.8923530070041409E-4</v>
      </c>
      <c r="P25" s="13" t="s">
        <v>171</v>
      </c>
      <c r="R25" s="14">
        <v>1.0016660362960301E-7</v>
      </c>
      <c r="S25" s="14">
        <v>1.1762240867407799E-7</v>
      </c>
      <c r="T25" s="14">
        <v>-4.9337932517268204E-7</v>
      </c>
      <c r="U25" s="14">
        <v>1.5265676969744499E-7</v>
      </c>
      <c r="V25" s="13">
        <v>1.17689832874376E-2</v>
      </c>
      <c r="W25" s="13">
        <v>7.9404581474612403E-3</v>
      </c>
      <c r="X25" s="13">
        <v>3.9188286045655999E-3</v>
      </c>
      <c r="Y25" s="13">
        <v>1.6093743620710899E-3</v>
      </c>
      <c r="Z25" s="14">
        <v>9.28560806508715E-4</v>
      </c>
      <c r="AA25" s="14">
        <v>2.5954389632297498E-4</v>
      </c>
      <c r="AB25" s="14">
        <v>1.33427809281931E-4</v>
      </c>
    </row>
    <row r="26" spans="1:28">
      <c r="A26" s="13" t="s">
        <v>260</v>
      </c>
      <c r="B26" s="13" t="s">
        <v>1</v>
      </c>
      <c r="C26" s="13" t="s">
        <v>32</v>
      </c>
      <c r="D26" s="13" t="str">
        <f>VLOOKUP(C26,ghg_sort!$A$35:$B$82,2,0)</f>
        <v>Industry</v>
      </c>
      <c r="E26" s="13">
        <f>R26*ghg_sort!$B$6</f>
        <v>27.038264000000026</v>
      </c>
      <c r="F26" s="13">
        <f>S26*ghg_sort!$B$6</f>
        <v>3.7567432863257402</v>
      </c>
      <c r="G26" s="13">
        <f>T26*ghg_sort!$B$6</f>
        <v>4.3146747983677471</v>
      </c>
      <c r="H26" s="13">
        <f>U26*ghg_sort!$B$6</f>
        <v>89.060708206792015</v>
      </c>
      <c r="I26" s="13">
        <f>V26*ghg_sort!$B$6</f>
        <v>99.8003501359415</v>
      </c>
      <c r="J26" s="13">
        <f>W26*ghg_sort!$B$6</f>
        <v>99.009920350043359</v>
      </c>
      <c r="K26" s="13">
        <f>X26*ghg_sort!$B$6</f>
        <v>84.909895034128354</v>
      </c>
      <c r="L26" s="13">
        <f>Y26*ghg_sort!$B$6</f>
        <v>64.448597308976161</v>
      </c>
      <c r="M26" s="13">
        <f>Z26*ghg_sort!$B$6</f>
        <v>46.511210432800709</v>
      </c>
      <c r="N26" s="13">
        <f>AA26*ghg_sort!$B$6</f>
        <v>28.572115960747432</v>
      </c>
      <c r="O26" s="13">
        <f>AB26*ghg_sort!$B$6</f>
        <v>15.374534697286983</v>
      </c>
      <c r="P26" s="13" t="s">
        <v>171</v>
      </c>
      <c r="R26" s="13">
        <v>7.374072</v>
      </c>
      <c r="S26" s="13">
        <v>1.02456635081611</v>
      </c>
      <c r="T26" s="13">
        <v>1.1767294904639301</v>
      </c>
      <c r="U26" s="13">
        <v>24.289284056397801</v>
      </c>
      <c r="V26" s="13">
        <v>27.2182773098022</v>
      </c>
      <c r="W26" s="13">
        <v>27.0027055500118</v>
      </c>
      <c r="X26" s="13">
        <v>23.157244100216801</v>
      </c>
      <c r="Y26" s="13">
        <v>17.576890175175301</v>
      </c>
      <c r="Z26" s="13">
        <v>12.684875572581999</v>
      </c>
      <c r="AA26" s="13">
        <v>7.79239526202202</v>
      </c>
      <c r="AB26" s="13">
        <v>4.1930549174419003</v>
      </c>
    </row>
    <row r="27" spans="1:28">
      <c r="A27" s="13" t="s">
        <v>260</v>
      </c>
      <c r="B27" s="13" t="s">
        <v>1</v>
      </c>
      <c r="C27" s="13" t="s">
        <v>66</v>
      </c>
      <c r="D27" s="13" t="str">
        <f>VLOOKUP(C27,ghg_sort!$A$35:$B$82,2,0)</f>
        <v>Industry</v>
      </c>
      <c r="E27" s="13">
        <f>R27*ghg_sort!$B$6</f>
        <v>0.33994510000000033</v>
      </c>
      <c r="F27" s="13">
        <f>S27*ghg_sort!$B$6</f>
        <v>0.17747164048703556</v>
      </c>
      <c r="G27" s="13">
        <f>T27*ghg_sort!$B$6</f>
        <v>0.25489086142046985</v>
      </c>
      <c r="H27" s="13">
        <f>U27*ghg_sort!$B$6</f>
        <v>0.19181033255708591</v>
      </c>
      <c r="I27" s="13">
        <f>V27*ghg_sort!$B$6</f>
        <v>0.19543282214163199</v>
      </c>
      <c r="J27" s="13">
        <f>W27*ghg_sort!$B$6</f>
        <v>0.19764380659373038</v>
      </c>
      <c r="K27" s="13">
        <f>X27*ghg_sort!$B$6</f>
        <v>0.20678817633864849</v>
      </c>
      <c r="L27" s="13">
        <f>Y27*ghg_sort!$B$6</f>
        <v>0.20435298745049413</v>
      </c>
      <c r="M27" s="13">
        <f>Z27*ghg_sort!$B$6</f>
        <v>0.17570470019064541</v>
      </c>
      <c r="N27" s="13">
        <f>AA27*ghg_sort!$B$6</f>
        <v>0.12644330392686826</v>
      </c>
      <c r="O27" s="13">
        <f>AB27*ghg_sort!$B$6</f>
        <v>8.0396561065653141E-2</v>
      </c>
      <c r="P27" s="13" t="s">
        <v>171</v>
      </c>
      <c r="R27" s="13">
        <v>9.2712299999999997E-2</v>
      </c>
      <c r="S27" s="14">
        <v>4.8401356496464203E-2</v>
      </c>
      <c r="T27" s="14">
        <v>6.9515689478309897E-2</v>
      </c>
      <c r="U27" s="14">
        <v>5.2311908879205199E-2</v>
      </c>
      <c r="V27" s="14">
        <v>5.3299860584081399E-2</v>
      </c>
      <c r="W27" s="14">
        <v>5.3902856343744601E-2</v>
      </c>
      <c r="X27" s="14">
        <v>5.6396775365085902E-2</v>
      </c>
      <c r="Y27" s="14">
        <v>5.5732632941043803E-2</v>
      </c>
      <c r="Z27" s="13">
        <v>4.7919463688357797E-2</v>
      </c>
      <c r="AA27" s="13">
        <v>3.44845374346004E-2</v>
      </c>
      <c r="AB27" s="14">
        <v>2.1926334836087202E-2</v>
      </c>
    </row>
    <row r="28" spans="1:28">
      <c r="A28" s="13" t="s">
        <v>260</v>
      </c>
      <c r="B28" s="13" t="s">
        <v>1</v>
      </c>
      <c r="C28" s="13" t="s">
        <v>68</v>
      </c>
      <c r="D28" s="13" t="str">
        <f>VLOOKUP(C28,ghg_sort!$A$35:$B$82,2,0)</f>
        <v>Industry</v>
      </c>
      <c r="E28" s="13">
        <f>R28*ghg_sort!$B$6</f>
        <v>43.655256701498971</v>
      </c>
      <c r="F28" s="13">
        <f>S28*ghg_sort!$B$6</f>
        <v>101.45922687273496</v>
      </c>
      <c r="G28" s="13">
        <f>T28*ghg_sort!$B$6</f>
        <v>118.21389745262471</v>
      </c>
      <c r="H28" s="13">
        <f>U28*ghg_sort!$B$6</f>
        <v>56.092826799839919</v>
      </c>
      <c r="I28" s="13">
        <f>V28*ghg_sort!$B$6</f>
        <v>63.524595431999593</v>
      </c>
      <c r="J28" s="13">
        <f>W28*ghg_sort!$B$6</f>
        <v>62.908563681742592</v>
      </c>
      <c r="K28" s="13">
        <f>X28*ghg_sort!$B$6</f>
        <v>60.720853356753395</v>
      </c>
      <c r="L28" s="13">
        <f>Y28*ghg_sort!$B$6</f>
        <v>52.065328051396413</v>
      </c>
      <c r="M28" s="13">
        <f>Z28*ghg_sort!$B$6</f>
        <v>39.156765591949906</v>
      </c>
      <c r="N28" s="13">
        <f>AA28*ghg_sort!$B$6</f>
        <v>29.578090151103034</v>
      </c>
      <c r="O28" s="13">
        <f>AB28*ghg_sort!$B$6</f>
        <v>22.832534417889629</v>
      </c>
      <c r="P28" s="13" t="s">
        <v>171</v>
      </c>
      <c r="R28" s="14">
        <v>11.9059791004088</v>
      </c>
      <c r="S28" s="14">
        <v>27.670698238018598</v>
      </c>
      <c r="T28" s="14">
        <v>32.240153850715799</v>
      </c>
      <c r="U28" s="14">
        <v>15.298043672683599</v>
      </c>
      <c r="V28" s="13">
        <v>17.3248896632726</v>
      </c>
      <c r="W28" s="14">
        <v>17.1568810041116</v>
      </c>
      <c r="X28" s="13">
        <v>16.560232733660001</v>
      </c>
      <c r="Y28" s="14">
        <v>14.1996349231081</v>
      </c>
      <c r="Z28" s="13">
        <v>10.6791178887136</v>
      </c>
      <c r="AA28" s="14">
        <v>8.0667518593917293</v>
      </c>
      <c r="AB28" s="13">
        <v>6.2270548412426203</v>
      </c>
    </row>
    <row r="29" spans="1:28">
      <c r="A29" s="13" t="s">
        <v>260</v>
      </c>
      <c r="B29" s="13" t="s">
        <v>1</v>
      </c>
      <c r="C29" s="13" t="s">
        <v>22</v>
      </c>
      <c r="D29" s="13" t="str">
        <f>VLOOKUP(C29,ghg_sort!$A$35:$B$82,2,0)</f>
        <v>Industry</v>
      </c>
      <c r="E29" s="13">
        <f>R29*ghg_sort!$B$6</f>
        <v>0</v>
      </c>
      <c r="F29" s="13">
        <f>S29*ghg_sort!$B$6</f>
        <v>-2.3974151301323212E-4</v>
      </c>
      <c r="G29" s="13">
        <f>T29*ghg_sort!$B$6</f>
        <v>-7.2342299734121703E-3</v>
      </c>
      <c r="H29" s="13">
        <f>U29*ghg_sort!$B$6</f>
        <v>-7.8537217284928313E-3</v>
      </c>
      <c r="I29" s="13">
        <f>V29*ghg_sort!$B$6</f>
        <v>-2.1012445966186528E-2</v>
      </c>
      <c r="J29" s="13">
        <f>W29*ghg_sort!$B$6</f>
        <v>-2.1578858716395404E-2</v>
      </c>
      <c r="K29" s="13">
        <f>X29*ghg_sort!$B$6</f>
        <v>-2.6911824604086095E-2</v>
      </c>
      <c r="L29" s="13">
        <f>Y29*ghg_sort!$B$6</f>
        <v>-4.4283184088086569E-2</v>
      </c>
      <c r="M29" s="13">
        <f>Z29*ghg_sort!$B$6</f>
        <v>-0.14925531153849042</v>
      </c>
      <c r="N29" s="13">
        <f>AA29*ghg_sort!$B$6</f>
        <v>-0.619493048725823</v>
      </c>
      <c r="O29" s="13">
        <f>AB29*ghg_sort!$B$6</f>
        <v>-1.1473491399615456</v>
      </c>
      <c r="P29" s="13" t="s">
        <v>171</v>
      </c>
      <c r="R29" s="13">
        <v>0</v>
      </c>
      <c r="S29" s="14">
        <v>-6.5384049003608703E-5</v>
      </c>
      <c r="T29" s="13">
        <v>-1.9729718109305901E-3</v>
      </c>
      <c r="U29" s="13">
        <v>-2.1419241077707701E-3</v>
      </c>
      <c r="V29" s="13">
        <v>-5.7306670816872299E-3</v>
      </c>
      <c r="W29" s="13">
        <v>-5.8851432862896498E-3</v>
      </c>
      <c r="X29" s="13">
        <v>-7.3395885283871103E-3</v>
      </c>
      <c r="Y29" s="13">
        <v>-1.2077232024023599E-2</v>
      </c>
      <c r="Z29" s="13">
        <v>-4.0705994055951898E-2</v>
      </c>
      <c r="AA29" s="13">
        <v>-0.16895264965249701</v>
      </c>
      <c r="AB29" s="13">
        <v>-0.312913401807694</v>
      </c>
    </row>
    <row r="30" spans="1:28">
      <c r="A30" s="13" t="s">
        <v>260</v>
      </c>
      <c r="B30" s="13" t="s">
        <v>1</v>
      </c>
      <c r="C30" s="13" t="s">
        <v>62</v>
      </c>
      <c r="D30" s="13" t="str">
        <f>VLOOKUP(C30,ghg_sort!$A$35:$B$82,2,0)</f>
        <v>Industry</v>
      </c>
      <c r="E30" s="13">
        <f>R30*ghg_sort!$B$6</f>
        <v>9.7891444583392992</v>
      </c>
      <c r="F30" s="13">
        <f>S30*ghg_sort!$B$6</f>
        <v>13.385650644517884</v>
      </c>
      <c r="G30" s="13">
        <f>T30*ghg_sort!$B$6</f>
        <v>12.734759733984395</v>
      </c>
      <c r="H30" s="13">
        <f>U30*ghg_sort!$B$6</f>
        <v>12.985316141487996</v>
      </c>
      <c r="I30" s="13">
        <f>V30*ghg_sort!$B$6</f>
        <v>12.073793965558023</v>
      </c>
      <c r="J30" s="13">
        <f>W30*ghg_sort!$B$6</f>
        <v>9.2370123405046751</v>
      </c>
      <c r="K30" s="13">
        <f>X30*ghg_sort!$B$6</f>
        <v>7.978144188531374</v>
      </c>
      <c r="L30" s="13">
        <f>Y30*ghg_sort!$B$6</f>
        <v>6.4904744157568395</v>
      </c>
      <c r="M30" s="13">
        <f>Z30*ghg_sort!$B$6</f>
        <v>4.0704561389444009</v>
      </c>
      <c r="N30" s="13">
        <f>AA30*ghg_sort!$B$6</f>
        <v>2.8686299839167142</v>
      </c>
      <c r="O30" s="13">
        <f>AB30*ghg_sort!$B$6</f>
        <v>2.2861314070405969</v>
      </c>
      <c r="P30" s="13" t="s">
        <v>171</v>
      </c>
      <c r="R30" s="13">
        <v>2.6697666704561702</v>
      </c>
      <c r="S30" s="13">
        <v>3.6506319939594198</v>
      </c>
      <c r="T30" s="13">
        <v>3.47311629108665</v>
      </c>
      <c r="U30" s="13">
        <v>3.5414498567694501</v>
      </c>
      <c r="V30" s="13">
        <v>3.2928528996976398</v>
      </c>
      <c r="W30" s="13">
        <v>2.5191851837739998</v>
      </c>
      <c r="X30" s="13">
        <v>2.1758575059631</v>
      </c>
      <c r="Y30" s="13">
        <v>1.7701293861155001</v>
      </c>
      <c r="Z30" s="13">
        <v>1.11012440153029</v>
      </c>
      <c r="AA30" s="13">
        <v>0.78235363197728502</v>
      </c>
      <c r="AB30" s="13">
        <v>0.62349038373834398</v>
      </c>
    </row>
    <row r="31" spans="1:28">
      <c r="A31" s="13" t="s">
        <v>260</v>
      </c>
      <c r="B31" s="13" t="s">
        <v>1</v>
      </c>
      <c r="C31" s="13" t="s">
        <v>190</v>
      </c>
      <c r="D31" s="13" t="str">
        <f>VLOOKUP(C31,ghg_sort!$A$35:$B$82,2,0)</f>
        <v>DAC</v>
      </c>
      <c r="E31" s="13">
        <f>R31*ghg_sort!$B$6</f>
        <v>0</v>
      </c>
      <c r="F31" s="13">
        <f>S31*ghg_sort!$B$6</f>
        <v>0</v>
      </c>
      <c r="G31" s="13">
        <f>T31*ghg_sort!$B$6</f>
        <v>0</v>
      </c>
      <c r="H31" s="13">
        <f>U31*ghg_sort!$B$6</f>
        <v>0</v>
      </c>
      <c r="I31" s="13">
        <f>V31*ghg_sort!$B$6</f>
        <v>0</v>
      </c>
      <c r="J31" s="13">
        <f>W31*ghg_sort!$B$6</f>
        <v>0</v>
      </c>
      <c r="K31" s="13">
        <f>X31*ghg_sort!$B$6</f>
        <v>0</v>
      </c>
      <c r="L31" s="13">
        <f>Y31*ghg_sort!$B$6</f>
        <v>0</v>
      </c>
      <c r="M31" s="13">
        <f>Z31*ghg_sort!$B$6</f>
        <v>5.4202697505268454E-6</v>
      </c>
      <c r="N31" s="13">
        <f>AA31*ghg_sort!$B$6</f>
        <v>3.4030205565381329E-3</v>
      </c>
      <c r="O31" s="13">
        <f>AB31*ghg_sort!$B$6</f>
        <v>1.0353112908060753</v>
      </c>
      <c r="P31" s="13" t="s">
        <v>171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4">
        <v>0</v>
      </c>
      <c r="X31" s="14">
        <v>0</v>
      </c>
      <c r="Y31" s="14">
        <v>0</v>
      </c>
      <c r="Z31" s="14">
        <v>1.4782553865073201E-6</v>
      </c>
      <c r="AA31" s="14">
        <v>9.2809651541948996E-4</v>
      </c>
      <c r="AB31" s="13">
        <v>0.28235762476529302</v>
      </c>
    </row>
    <row r="32" spans="1:28">
      <c r="A32" s="13" t="s">
        <v>260</v>
      </c>
      <c r="B32" s="13" t="s">
        <v>1</v>
      </c>
      <c r="C32" s="13" t="s">
        <v>164</v>
      </c>
      <c r="D32" s="13">
        <f>VLOOKUP(C32,ghg_sort!$A$35:$B$82,2,0)</f>
        <v>0</v>
      </c>
      <c r="E32" s="13">
        <f>R32*ghg_sort!$B$6</f>
        <v>0</v>
      </c>
      <c r="F32" s="13">
        <f>S32*ghg_sort!$B$6</f>
        <v>0</v>
      </c>
      <c r="G32" s="13">
        <f>T32*ghg_sort!$B$6</f>
        <v>-8.8992840459724013E-7</v>
      </c>
      <c r="H32" s="13">
        <f>U32*ghg_sort!$B$6</f>
        <v>-1.5359606930237695E-6</v>
      </c>
      <c r="I32" s="13">
        <f>V32*ghg_sort!$B$6</f>
        <v>-3.8244425948478969E-7</v>
      </c>
      <c r="J32" s="13">
        <f>W32*ghg_sort!$B$6</f>
        <v>0</v>
      </c>
      <c r="K32" s="13">
        <f>X32*ghg_sort!$B$6</f>
        <v>0</v>
      </c>
      <c r="L32" s="13">
        <f>Y32*ghg_sort!$B$6</f>
        <v>-1.3389056148067538E-6</v>
      </c>
      <c r="M32" s="13">
        <f>Z32*ghg_sort!$B$6</f>
        <v>0</v>
      </c>
      <c r="N32" s="13">
        <f>AA32*ghg_sort!$B$6</f>
        <v>-1.1288852865126111E-5</v>
      </c>
      <c r="O32" s="13">
        <f>AB32*ghg_sort!$B$6</f>
        <v>0</v>
      </c>
      <c r="P32" s="13" t="s">
        <v>171</v>
      </c>
      <c r="R32" s="13">
        <v>0</v>
      </c>
      <c r="S32" s="14">
        <v>0</v>
      </c>
      <c r="T32" s="14">
        <v>-2.4270774670833798E-7</v>
      </c>
      <c r="U32" s="14">
        <v>-4.1889837082466401E-7</v>
      </c>
      <c r="V32" s="14">
        <v>-1.0430297985948801E-7</v>
      </c>
      <c r="W32" s="14">
        <v>0</v>
      </c>
      <c r="X32" s="14">
        <v>0</v>
      </c>
      <c r="Y32" s="14">
        <v>-3.65156076765478E-7</v>
      </c>
      <c r="Z32" s="14">
        <v>0</v>
      </c>
      <c r="AA32" s="14">
        <v>-3.0787780541253002E-6</v>
      </c>
      <c r="AB32" s="14">
        <v>0</v>
      </c>
    </row>
    <row r="33" spans="1:28">
      <c r="A33" s="13" t="s">
        <v>260</v>
      </c>
      <c r="B33" s="13" t="s">
        <v>1</v>
      </c>
      <c r="C33" s="13" t="s">
        <v>6</v>
      </c>
      <c r="D33" s="13" t="str">
        <f>VLOOKUP(C33,ghg_sort!$A$35:$B$82,2,0)</f>
        <v>Industry</v>
      </c>
      <c r="E33" s="13">
        <f>R33*ghg_sort!$B$6</f>
        <v>0</v>
      </c>
      <c r="F33" s="13">
        <f>S33*ghg_sort!$B$6</f>
        <v>0</v>
      </c>
      <c r="G33" s="13">
        <f>T33*ghg_sort!$B$6</f>
        <v>-5.1522214526304177E-7</v>
      </c>
      <c r="H33" s="13">
        <f>U33*ghg_sort!$B$6</f>
        <v>0</v>
      </c>
      <c r="I33" s="13">
        <f>V33*ghg_sort!$B$6</f>
        <v>-1.5297758198910785E-6</v>
      </c>
      <c r="J33" s="13">
        <f>W33*ghg_sort!$B$6</f>
        <v>0</v>
      </c>
      <c r="K33" s="13">
        <f>X33*ghg_sort!$B$6</f>
        <v>-1.2796710582001109E-7</v>
      </c>
      <c r="L33" s="13">
        <f>Y33*ghg_sort!$B$6</f>
        <v>0</v>
      </c>
      <c r="M33" s="13">
        <f>Z33*ghg_sort!$B$6</f>
        <v>-2.2080985084430636E-6</v>
      </c>
      <c r="N33" s="13">
        <f>AA33*ghg_sort!$B$6</f>
        <v>0</v>
      </c>
      <c r="O33" s="13">
        <f>AB33*ghg_sort!$B$6</f>
        <v>0</v>
      </c>
      <c r="P33" s="13" t="s">
        <v>171</v>
      </c>
      <c r="R33" s="13">
        <v>0</v>
      </c>
      <c r="S33" s="13">
        <v>0</v>
      </c>
      <c r="T33" s="14">
        <v>-1.40515130526284E-7</v>
      </c>
      <c r="U33" s="13">
        <v>0</v>
      </c>
      <c r="V33" s="14">
        <v>-4.1721158724302101E-7</v>
      </c>
      <c r="W33" s="14">
        <v>0</v>
      </c>
      <c r="X33" s="14">
        <v>-3.4900119769093902E-8</v>
      </c>
      <c r="Y33" s="14">
        <v>0</v>
      </c>
      <c r="Z33" s="14">
        <v>-6.0220868412083495E-7</v>
      </c>
      <c r="AA33" s="13">
        <v>0</v>
      </c>
      <c r="AB33" s="14">
        <v>0</v>
      </c>
    </row>
    <row r="34" spans="1:28">
      <c r="A34" s="13" t="s">
        <v>260</v>
      </c>
      <c r="B34" s="13" t="s">
        <v>1</v>
      </c>
      <c r="C34" s="13" t="s">
        <v>148</v>
      </c>
      <c r="D34" s="13" t="str">
        <f>VLOOKUP(C34,ghg_sort!$A$35:$B$82,2,0)</f>
        <v>Industry</v>
      </c>
      <c r="E34" s="13">
        <f>R34*ghg_sort!$B$6</f>
        <v>2.0245353333333354</v>
      </c>
      <c r="F34" s="13">
        <f>S34*ghg_sort!$B$6</f>
        <v>15.065143451769599</v>
      </c>
      <c r="G34" s="13">
        <f>T34*ghg_sort!$B$6</f>
        <v>21.17748904879199</v>
      </c>
      <c r="H34" s="13">
        <f>U34*ghg_sort!$B$6</f>
        <v>31.35152278831422</v>
      </c>
      <c r="I34" s="13">
        <f>V34*ghg_sort!$B$6</f>
        <v>30.728975515446919</v>
      </c>
      <c r="J34" s="13">
        <f>W34*ghg_sort!$B$6</f>
        <v>29.55889895286338</v>
      </c>
      <c r="K34" s="13">
        <f>X34*ghg_sort!$B$6</f>
        <v>27.607552291757486</v>
      </c>
      <c r="L34" s="13">
        <f>Y34*ghg_sort!$B$6</f>
        <v>25.456742224228393</v>
      </c>
      <c r="M34" s="13">
        <f>Z34*ghg_sort!$B$6</f>
        <v>20.303139882397005</v>
      </c>
      <c r="N34" s="13">
        <f>AA34*ghg_sort!$B$6</f>
        <v>3.2043381758557907</v>
      </c>
      <c r="O34" s="13">
        <f>AB34*ghg_sort!$B$6</f>
        <v>-11.739223687421168</v>
      </c>
      <c r="P34" s="13" t="s">
        <v>171</v>
      </c>
      <c r="R34" s="13">
        <v>0.55214600000000003</v>
      </c>
      <c r="S34" s="13">
        <v>4.1086754868462503</v>
      </c>
      <c r="T34" s="13">
        <v>5.7756788314887197</v>
      </c>
      <c r="U34" s="13">
        <v>8.5504153059038703</v>
      </c>
      <c r="V34" s="13">
        <v>8.3806296860309697</v>
      </c>
      <c r="W34" s="14">
        <v>8.0615178962354594</v>
      </c>
      <c r="X34" s="14">
        <v>7.52933244320658</v>
      </c>
      <c r="Y34" s="14">
        <v>6.9427478793350099</v>
      </c>
      <c r="Z34" s="13">
        <v>5.5372199679264504</v>
      </c>
      <c r="AA34" s="13">
        <v>0.87391041159703298</v>
      </c>
      <c r="AB34" s="13">
        <v>-3.2016064602057699</v>
      </c>
    </row>
    <row r="35" spans="1:28">
      <c r="A35" s="13" t="s">
        <v>260</v>
      </c>
      <c r="B35" s="13" t="s">
        <v>1</v>
      </c>
      <c r="C35" s="13" t="s">
        <v>152</v>
      </c>
      <c r="D35" s="13" t="str">
        <f>VLOOKUP(C35,ghg_sort!$A$35:$B$82,2,0)</f>
        <v>Building</v>
      </c>
      <c r="E35" s="13">
        <f>R35*ghg_sort!$B$6</f>
        <v>15.650855202105838</v>
      </c>
      <c r="F35" s="13">
        <f>S35*ghg_sort!$B$6</f>
        <v>19.751219919670561</v>
      </c>
      <c r="G35" s="13">
        <f>T35*ghg_sort!$B$6</f>
        <v>19.760550402334957</v>
      </c>
      <c r="H35" s="13">
        <f>U35*ghg_sort!$B$6</f>
        <v>18.335950936102925</v>
      </c>
      <c r="I35" s="13">
        <f>V35*ghg_sort!$B$6</f>
        <v>20.005707540428446</v>
      </c>
      <c r="J35" s="13">
        <f>W35*ghg_sort!$B$6</f>
        <v>19.792030876138895</v>
      </c>
      <c r="K35" s="13">
        <f>X35*ghg_sort!$B$6</f>
        <v>19.640241983680617</v>
      </c>
      <c r="L35" s="13">
        <f>Y35*ghg_sort!$B$6</f>
        <v>18.505316993533096</v>
      </c>
      <c r="M35" s="13">
        <f>Z35*ghg_sort!$B$6</f>
        <v>16.331540706595671</v>
      </c>
      <c r="N35" s="13">
        <f>AA35*ghg_sort!$B$6</f>
        <v>12.913235889727483</v>
      </c>
      <c r="O35" s="13">
        <f>AB35*ghg_sort!$B$6</f>
        <v>9.1247017627015161</v>
      </c>
      <c r="P35" s="13" t="s">
        <v>171</v>
      </c>
      <c r="R35" s="13">
        <v>4.2684150551197702</v>
      </c>
      <c r="S35" s="13">
        <v>5.3866963417283298</v>
      </c>
      <c r="T35" s="14">
        <v>5.3892410188186197</v>
      </c>
      <c r="U35" s="14">
        <v>5.0007138916644296</v>
      </c>
      <c r="V35" s="14">
        <v>5.4561020564804803</v>
      </c>
      <c r="W35" s="14">
        <v>5.3978266025833301</v>
      </c>
      <c r="X35" s="14">
        <v>5.3564296319128903</v>
      </c>
      <c r="Y35" s="13">
        <v>5.0469046345999304</v>
      </c>
      <c r="Z35" s="14">
        <v>4.4540565563442698</v>
      </c>
      <c r="AA35" s="13">
        <v>3.5217916062893102</v>
      </c>
      <c r="AB35" s="13">
        <v>2.4885550261913201</v>
      </c>
    </row>
    <row r="36" spans="1:28">
      <c r="A36" s="13" t="s">
        <v>260</v>
      </c>
      <c r="B36" s="13" t="s">
        <v>1</v>
      </c>
      <c r="C36" s="13" t="s">
        <v>153</v>
      </c>
      <c r="D36" s="13" t="str">
        <f>VLOOKUP(C36,ghg_sort!$A$35:$B$82,2,0)</f>
        <v>Building</v>
      </c>
      <c r="E36" s="13">
        <f>R36*ghg_sort!$B$6</f>
        <v>27.314761492950971</v>
      </c>
      <c r="F36" s="13">
        <f>S36*ghg_sort!$B$6</f>
        <v>12.740593929886655</v>
      </c>
      <c r="G36" s="13">
        <f>T36*ghg_sort!$B$6</f>
        <v>12.693356183610385</v>
      </c>
      <c r="H36" s="13">
        <f>U36*ghg_sort!$B$6</f>
        <v>11.385905968043359</v>
      </c>
      <c r="I36" s="13">
        <f>V36*ghg_sort!$B$6</f>
        <v>14.083656994369319</v>
      </c>
      <c r="J36" s="13">
        <f>W36*ghg_sort!$B$6</f>
        <v>12.043765373520808</v>
      </c>
      <c r="K36" s="13">
        <f>X36*ghg_sort!$B$6</f>
        <v>11.291217146456804</v>
      </c>
      <c r="L36" s="13">
        <f>Y36*ghg_sort!$B$6</f>
        <v>9.4374338346255087</v>
      </c>
      <c r="M36" s="13">
        <f>Z36*ghg_sort!$B$6</f>
        <v>6.669180746329169</v>
      </c>
      <c r="N36" s="13">
        <f>AA36*ghg_sort!$B$6</f>
        <v>4.2358253714025738</v>
      </c>
      <c r="O36" s="13">
        <f>AB36*ghg_sort!$B$6</f>
        <v>2.5781860650692838</v>
      </c>
      <c r="P36" s="13" t="s">
        <v>171</v>
      </c>
      <c r="R36" s="13">
        <v>7.4494804071684397</v>
      </c>
      <c r="S36" s="13">
        <v>3.47470743542363</v>
      </c>
      <c r="T36" s="14">
        <v>3.4618244137119198</v>
      </c>
      <c r="U36" s="13">
        <v>3.1052470821936402</v>
      </c>
      <c r="V36" s="14">
        <v>3.8409973621007198</v>
      </c>
      <c r="W36" s="13">
        <v>3.2846632836874901</v>
      </c>
      <c r="X36" s="13">
        <v>3.0794228581245799</v>
      </c>
      <c r="Y36" s="14">
        <v>2.5738455912615001</v>
      </c>
      <c r="Z36" s="13">
        <v>1.81886747627159</v>
      </c>
      <c r="AA36" s="14">
        <v>1.1552251012916099</v>
      </c>
      <c r="AB36" s="14">
        <v>0.703141654109804</v>
      </c>
    </row>
    <row r="37" spans="1:28">
      <c r="A37" s="13" t="s">
        <v>260</v>
      </c>
      <c r="B37" s="13" t="s">
        <v>1</v>
      </c>
      <c r="C37" s="13" t="s">
        <v>154</v>
      </c>
      <c r="D37" s="13" t="str">
        <f>VLOOKUP(C37,ghg_sort!$A$35:$B$82,2,0)</f>
        <v>International</v>
      </c>
      <c r="E37" s="13">
        <f>R37*ghg_sort!$B$6</f>
        <v>0.5610513333333339</v>
      </c>
      <c r="F37" s="13">
        <f>S37*ghg_sort!$B$6</f>
        <v>10.161416835775306</v>
      </c>
      <c r="G37" s="13">
        <f>T37*ghg_sort!$B$6</f>
        <v>11.947433457441983</v>
      </c>
      <c r="H37" s="13">
        <f>U37*ghg_sort!$B$6</f>
        <v>15.461122520929557</v>
      </c>
      <c r="I37" s="13">
        <f>V37*ghg_sort!$B$6</f>
        <v>16.325106254319625</v>
      </c>
      <c r="J37" s="13">
        <f>W37*ghg_sort!$B$6</f>
        <v>16.610413474656593</v>
      </c>
      <c r="K37" s="13">
        <f>X37*ghg_sort!$B$6</f>
        <v>16.709908755606605</v>
      </c>
      <c r="L37" s="13">
        <f>Y37*ghg_sort!$B$6</f>
        <v>16.454626768154096</v>
      </c>
      <c r="M37" s="13">
        <f>Z37*ghg_sort!$B$6</f>
        <v>15.674836439767061</v>
      </c>
      <c r="N37" s="13">
        <f>AA37*ghg_sort!$B$6</f>
        <v>14.130927566597355</v>
      </c>
      <c r="O37" s="13">
        <f>AB37*ghg_sort!$B$6</f>
        <v>12.682930474080655</v>
      </c>
      <c r="P37" s="13" t="s">
        <v>171</v>
      </c>
      <c r="R37" s="13">
        <v>0.15301400000000001</v>
      </c>
      <c r="S37" s="13">
        <v>2.7712955006659898</v>
      </c>
      <c r="T37" s="13">
        <v>3.2583909429387199</v>
      </c>
      <c r="U37" s="13">
        <v>4.21666977843533</v>
      </c>
      <c r="V37" s="13">
        <v>4.4523017057235297</v>
      </c>
      <c r="W37" s="13">
        <v>4.5301127658154297</v>
      </c>
      <c r="X37" s="13">
        <v>4.5572478424381604</v>
      </c>
      <c r="Y37" s="13">
        <v>4.4876254822238399</v>
      </c>
      <c r="Z37" s="13">
        <v>4.27495539266374</v>
      </c>
      <c r="AA37" s="13">
        <v>3.85388933634473</v>
      </c>
      <c r="AB37" s="13">
        <v>3.4589810383856299</v>
      </c>
    </row>
    <row r="38" spans="1:28">
      <c r="A38" s="13" t="s">
        <v>260</v>
      </c>
      <c r="B38" s="13" t="s">
        <v>1</v>
      </c>
      <c r="C38" s="13" t="s">
        <v>155</v>
      </c>
      <c r="D38" s="13" t="str">
        <f>VLOOKUP(C38,ghg_sort!$A$35:$B$82,2,0)</f>
        <v>Transportation</v>
      </c>
      <c r="E38" s="13">
        <f>R38*ghg_sort!$B$6</f>
        <v>5.0582154333333378</v>
      </c>
      <c r="F38" s="13">
        <f>S38*ghg_sort!$B$6</f>
        <v>2.9109752243785207</v>
      </c>
      <c r="G38" s="13">
        <f>T38*ghg_sort!$B$6</f>
        <v>2.2964146719906391</v>
      </c>
      <c r="H38" s="13">
        <f>U38*ghg_sort!$B$6</f>
        <v>0.96798718071215317</v>
      </c>
      <c r="I38" s="13">
        <f>V38*ghg_sort!$B$6</f>
        <v>1.0288174660558089</v>
      </c>
      <c r="J38" s="13">
        <f>W38*ghg_sort!$B$6</f>
        <v>0.90096031049958347</v>
      </c>
      <c r="K38" s="13">
        <f>X38*ghg_sort!$B$6</f>
        <v>0.83837916971709703</v>
      </c>
      <c r="L38" s="13">
        <f>Y38*ghg_sort!$B$6</f>
        <v>0.71097357739728906</v>
      </c>
      <c r="M38" s="13">
        <f>Z38*ghg_sort!$B$6</f>
        <v>0.52148253549062418</v>
      </c>
      <c r="N38" s="13">
        <f>AA38*ghg_sort!$B$6</f>
        <v>0.35921375577934472</v>
      </c>
      <c r="O38" s="13">
        <f>AB38*ghg_sort!$B$6</f>
        <v>0.26142695290095841</v>
      </c>
      <c r="P38" s="13" t="s">
        <v>171</v>
      </c>
      <c r="R38" s="13">
        <v>1.3795132999999999</v>
      </c>
      <c r="S38" s="13">
        <v>0.79390233392141396</v>
      </c>
      <c r="T38" s="13">
        <v>0.62629491054290098</v>
      </c>
      <c r="U38" s="13">
        <v>0.26399650383058698</v>
      </c>
      <c r="V38" s="13">
        <v>0.28058658165158401</v>
      </c>
      <c r="W38" s="13">
        <v>0.24571644831806799</v>
      </c>
      <c r="X38" s="13">
        <v>0.22864886446829899</v>
      </c>
      <c r="Y38" s="13">
        <v>0.19390188474471501</v>
      </c>
      <c r="Z38" s="13">
        <v>0.14222250967926101</v>
      </c>
      <c r="AA38" s="13">
        <v>9.7967387939821196E-2</v>
      </c>
      <c r="AB38" s="13">
        <v>7.1298259882079495E-2</v>
      </c>
    </row>
    <row r="39" spans="1:28">
      <c r="A39" s="13" t="s">
        <v>260</v>
      </c>
      <c r="B39" s="13" t="s">
        <v>1</v>
      </c>
      <c r="C39" s="13" t="s">
        <v>156</v>
      </c>
      <c r="D39" s="13" t="str">
        <f>VLOOKUP(C39,ghg_sort!$A$35:$B$82,2,0)</f>
        <v>Transportation</v>
      </c>
      <c r="E39" s="13">
        <f>R39*ghg_sort!$B$6</f>
        <v>9.4148633333333418</v>
      </c>
      <c r="F39" s="13">
        <f>S39*ghg_sort!$B$6</f>
        <v>22.867889884136389</v>
      </c>
      <c r="G39" s="13">
        <f>T39*ghg_sort!$B$6</f>
        <v>23.835254531642168</v>
      </c>
      <c r="H39" s="13">
        <f>U39*ghg_sort!$B$6</f>
        <v>26.687851972856016</v>
      </c>
      <c r="I39" s="13">
        <f>V39*ghg_sort!$B$6</f>
        <v>29.04755234565458</v>
      </c>
      <c r="J39" s="13">
        <f>W39*ghg_sort!$B$6</f>
        <v>30.279468686726737</v>
      </c>
      <c r="K39" s="13">
        <f>X39*ghg_sort!$B$6</f>
        <v>29.6954948243269</v>
      </c>
      <c r="L39" s="13">
        <f>Y39*ghg_sort!$B$6</f>
        <v>27.246136598192479</v>
      </c>
      <c r="M39" s="13">
        <f>Z39*ghg_sort!$B$6</f>
        <v>22.652030421502811</v>
      </c>
      <c r="N39" s="13">
        <f>AA39*ghg_sort!$B$6</f>
        <v>16.616700411247141</v>
      </c>
      <c r="O39" s="13">
        <f>AB39*ghg_sort!$B$6</f>
        <v>11.395809556781733</v>
      </c>
      <c r="P39" s="13" t="s">
        <v>171</v>
      </c>
      <c r="R39" s="13">
        <v>2.5676899999999998</v>
      </c>
      <c r="S39" s="13">
        <v>6.2366972411281001</v>
      </c>
      <c r="T39" s="13">
        <v>6.5005239631751301</v>
      </c>
      <c r="U39" s="13">
        <v>7.2785050835061798</v>
      </c>
      <c r="V39" s="13">
        <v>7.9220597306330598</v>
      </c>
      <c r="W39" s="13">
        <v>8.2580369145618295</v>
      </c>
      <c r="X39" s="13">
        <v>8.0987713157255108</v>
      </c>
      <c r="Y39" s="13">
        <v>7.4307645267797602</v>
      </c>
      <c r="Z39" s="13">
        <v>6.1778264785916699</v>
      </c>
      <c r="AA39" s="13">
        <v>4.5318273848855801</v>
      </c>
      <c r="AB39" s="13">
        <v>3.1079480609404699</v>
      </c>
    </row>
    <row r="40" spans="1:28">
      <c r="A40" s="13" t="s">
        <v>260</v>
      </c>
      <c r="B40" s="13" t="s">
        <v>1</v>
      </c>
      <c r="C40" s="13" t="s">
        <v>157</v>
      </c>
      <c r="D40" s="13" t="str">
        <f>VLOOKUP(C40,ghg_sort!$A$35:$B$82,2,0)</f>
        <v>Transportation</v>
      </c>
      <c r="E40" s="13">
        <f>R40*ghg_sort!$B$6</f>
        <v>6.3019835999999687</v>
      </c>
      <c r="F40" s="13">
        <f>S40*ghg_sort!$B$6</f>
        <v>1.4661221989921369</v>
      </c>
      <c r="G40" s="13">
        <f>T40*ghg_sort!$B$6</f>
        <v>1.6532101999793578</v>
      </c>
      <c r="H40" s="13">
        <f>U40*ghg_sort!$B$6</f>
        <v>2.0432535467016328</v>
      </c>
      <c r="I40" s="13">
        <f>V40*ghg_sort!$B$6</f>
        <v>2.187998368084271</v>
      </c>
      <c r="J40" s="13">
        <f>W40*ghg_sort!$B$6</f>
        <v>2.1938040603584179</v>
      </c>
      <c r="K40" s="13">
        <f>X40*ghg_sort!$B$6</f>
        <v>2.1756254884606605</v>
      </c>
      <c r="L40" s="13">
        <f>Y40*ghg_sort!$B$6</f>
        <v>2.1165353726936744</v>
      </c>
      <c r="M40" s="13">
        <f>Z40*ghg_sort!$B$6</f>
        <v>1.9593617646503065</v>
      </c>
      <c r="N40" s="13">
        <f>AA40*ghg_sort!$B$6</f>
        <v>1.7129265203512236</v>
      </c>
      <c r="O40" s="13">
        <f>AB40*ghg_sort!$B$6</f>
        <v>1.495446581432281</v>
      </c>
      <c r="R40" s="13">
        <v>1.7187227999999899</v>
      </c>
      <c r="S40" s="13">
        <v>0.39985150881603698</v>
      </c>
      <c r="T40" s="13">
        <v>0.45087550908527901</v>
      </c>
      <c r="U40" s="13">
        <v>0.55725096728226298</v>
      </c>
      <c r="V40" s="13">
        <v>0.59672682765934604</v>
      </c>
      <c r="W40" s="13">
        <v>0.598310198279568</v>
      </c>
      <c r="X40" s="13">
        <v>0.593352405943816</v>
      </c>
      <c r="Y40" s="13">
        <v>0.57723691982554703</v>
      </c>
      <c r="Z40" s="13">
        <v>0.53437139035917403</v>
      </c>
      <c r="AA40" s="13">
        <v>0.46716177827760602</v>
      </c>
      <c r="AB40" s="13">
        <v>0.407849067663349</v>
      </c>
    </row>
    <row r="41" spans="1:28">
      <c r="A41" s="13" t="s">
        <v>260</v>
      </c>
      <c r="B41" s="13" t="s">
        <v>1</v>
      </c>
      <c r="C41" s="13" t="s">
        <v>158</v>
      </c>
      <c r="D41" s="13" t="str">
        <f>VLOOKUP(C41,ghg_sort!$A$35:$B$82,2,0)</f>
        <v>Transportation</v>
      </c>
      <c r="E41" s="13">
        <f>R41*ghg_sort!$B$6</f>
        <v>6.1170266666666722</v>
      </c>
      <c r="F41" s="13">
        <f>S41*ghg_sort!$B$6</f>
        <v>15.551390976597313</v>
      </c>
      <c r="G41" s="13">
        <f>T41*ghg_sort!$B$6</f>
        <v>17.673541300719901</v>
      </c>
      <c r="H41" s="13">
        <f>U41*ghg_sort!$B$6</f>
        <v>19.829553376807809</v>
      </c>
      <c r="I41" s="13">
        <f>V41*ghg_sort!$B$6</f>
        <v>20.226743086188268</v>
      </c>
      <c r="J41" s="13">
        <f>W41*ghg_sort!$B$6</f>
        <v>16.589090621728293</v>
      </c>
      <c r="K41" s="13">
        <f>X41*ghg_sort!$B$6</f>
        <v>12.926427206997381</v>
      </c>
      <c r="L41" s="13">
        <f>Y41*ghg_sort!$B$6</f>
        <v>10.03878386725413</v>
      </c>
      <c r="M41" s="13">
        <f>Z41*ghg_sort!$B$6</f>
        <v>8.6329606734508211</v>
      </c>
      <c r="N41" s="13">
        <f>AA41*ghg_sort!$B$6</f>
        <v>7.3078488962448995</v>
      </c>
      <c r="O41" s="13">
        <f>AB41*ghg_sort!$B$6</f>
        <v>6.2158282337071862</v>
      </c>
      <c r="R41" s="13">
        <v>1.66828</v>
      </c>
      <c r="S41" s="13">
        <v>4.2412884481628996</v>
      </c>
      <c r="T41" s="13">
        <v>4.82005671837815</v>
      </c>
      <c r="U41" s="13">
        <v>5.4080600118566702</v>
      </c>
      <c r="V41" s="13">
        <v>5.5163844780513402</v>
      </c>
      <c r="W41" s="13">
        <v>4.5242974422895301</v>
      </c>
      <c r="X41" s="13">
        <v>3.5253892382720098</v>
      </c>
      <c r="Y41" s="13">
        <v>2.7378501456147601</v>
      </c>
      <c r="Z41" s="13">
        <v>2.3544438200320399</v>
      </c>
      <c r="AA41" s="13">
        <v>1.9930496989758799</v>
      </c>
      <c r="AB41" s="13">
        <v>1.69522588192014</v>
      </c>
    </row>
    <row r="42" spans="1:28">
      <c r="A42" s="13" t="s">
        <v>260</v>
      </c>
      <c r="B42" s="13" t="s">
        <v>1</v>
      </c>
      <c r="C42" s="13" t="s">
        <v>159</v>
      </c>
      <c r="D42" s="13" t="str">
        <f>VLOOKUP(C42,ghg_sort!$A$35:$B$82,2,0)</f>
        <v>Transportation</v>
      </c>
      <c r="E42" s="13">
        <f>R42*ghg_sort!$B$6</f>
        <v>0.48860166666666716</v>
      </c>
      <c r="F42" s="13">
        <f>S42*ghg_sort!$B$6</f>
        <v>1.1867005588701571</v>
      </c>
      <c r="G42" s="13">
        <f>T42*ghg_sort!$B$6</f>
        <v>1.2368886599202917</v>
      </c>
      <c r="H42" s="13">
        <f>U42*ghg_sort!$B$6</f>
        <v>1.3848928256874531</v>
      </c>
      <c r="I42" s="13">
        <f>V42*ghg_sort!$B$6</f>
        <v>1.4619695987496246</v>
      </c>
      <c r="J42" s="13">
        <f>W42*ghg_sort!$B$6</f>
        <v>0.95456227446992215</v>
      </c>
      <c r="K42" s="13">
        <f>X42*ghg_sort!$B$6</f>
        <v>0.66604689040474629</v>
      </c>
      <c r="L42" s="13">
        <f>Y42*ghg_sort!$B$6</f>
        <v>0.48501685941071776</v>
      </c>
      <c r="M42" s="13">
        <f>Z42*ghg_sort!$B$6</f>
        <v>0.41720082592438834</v>
      </c>
      <c r="N42" s="13">
        <f>AA42*ghg_sort!$B$6</f>
        <v>0.33510510255771042</v>
      </c>
      <c r="O42" s="13">
        <f>AB42*ghg_sort!$B$6</f>
        <v>0.26944803297518505</v>
      </c>
      <c r="R42" s="13">
        <v>0.13325500000000001</v>
      </c>
      <c r="S42" s="13">
        <v>0.323645606964588</v>
      </c>
      <c r="T42" s="13">
        <v>0.33733327088735199</v>
      </c>
      <c r="U42" s="13">
        <v>0.37769804336930501</v>
      </c>
      <c r="V42" s="13">
        <v>0.39871898147717</v>
      </c>
      <c r="W42" s="13">
        <v>0.26033516576452398</v>
      </c>
      <c r="X42" s="13">
        <v>0.18164915192856701</v>
      </c>
      <c r="Y42" s="13">
        <v>0.13227732529383199</v>
      </c>
      <c r="Z42" s="13">
        <v>0.11378204343392399</v>
      </c>
      <c r="AA42" s="13">
        <v>9.1392300697557299E-2</v>
      </c>
      <c r="AB42" s="13">
        <v>7.3485827175050394E-2</v>
      </c>
    </row>
    <row r="43" spans="1:28">
      <c r="A43" s="13" t="s">
        <v>260</v>
      </c>
      <c r="B43" s="13" t="s">
        <v>1</v>
      </c>
      <c r="C43" s="13" t="s">
        <v>160</v>
      </c>
      <c r="D43" s="13" t="str">
        <f>VLOOKUP(C43,ghg_sort!$A$35:$B$82,2,0)</f>
        <v>Transportation</v>
      </c>
      <c r="E43" s="13">
        <f>R43*ghg_sort!$B$6</f>
        <v>16.483280000000015</v>
      </c>
      <c r="F43" s="13">
        <f>S43*ghg_sort!$B$6</f>
        <v>40.04310849116824</v>
      </c>
      <c r="G43" s="13">
        <f>T43*ghg_sort!$B$6</f>
        <v>41.756483394655369</v>
      </c>
      <c r="H43" s="13">
        <f>U43*ghg_sort!$B$6</f>
        <v>46.753585941553744</v>
      </c>
      <c r="I43" s="13">
        <f>V43*ghg_sort!$B$6</f>
        <v>46.552625772638379</v>
      </c>
      <c r="J43" s="13">
        <f>W43*ghg_sort!$B$6</f>
        <v>40.693268072980636</v>
      </c>
      <c r="K43" s="13">
        <f>X43*ghg_sort!$B$6</f>
        <v>29.363382824397991</v>
      </c>
      <c r="L43" s="13">
        <f>Y43*ghg_sort!$B$6</f>
        <v>19.262749364259481</v>
      </c>
      <c r="M43" s="13">
        <f>Z43*ghg_sort!$B$6</f>
        <v>10.124433699938075</v>
      </c>
      <c r="N43" s="13">
        <f>AA43*ghg_sort!$B$6</f>
        <v>5.7153073793801754</v>
      </c>
      <c r="O43" s="13">
        <f>AB43*ghg_sort!$B$6</f>
        <v>3.0622329577989813</v>
      </c>
      <c r="R43" s="13">
        <v>4.4954400000000003</v>
      </c>
      <c r="S43" s="13">
        <v>10.9208477703186</v>
      </c>
      <c r="T43" s="13">
        <v>11.388131834906</v>
      </c>
      <c r="U43" s="13">
        <v>12.7509779840601</v>
      </c>
      <c r="V43" s="13">
        <v>12.696170665265001</v>
      </c>
      <c r="W43" s="13">
        <v>11.0981640199038</v>
      </c>
      <c r="X43" s="13">
        <v>8.0081953157448993</v>
      </c>
      <c r="Y43" s="13">
        <v>5.2534770993434901</v>
      </c>
      <c r="Z43" s="13">
        <v>2.7612091908921998</v>
      </c>
      <c r="AA43" s="13">
        <v>1.55872019437641</v>
      </c>
      <c r="AB43" s="13">
        <v>0.83515444303608499</v>
      </c>
    </row>
    <row r="44" spans="1:28">
      <c r="A44" s="13" t="s">
        <v>260</v>
      </c>
      <c r="B44" s="13" t="s">
        <v>1</v>
      </c>
      <c r="C44" s="13" t="s">
        <v>161</v>
      </c>
      <c r="D44" s="13" t="str">
        <f>VLOOKUP(C44,ghg_sort!$A$35:$B$82,2,0)</f>
        <v>International</v>
      </c>
      <c r="E44" s="13">
        <f>R44*ghg_sort!$B$6</f>
        <v>4.7456566666666715</v>
      </c>
      <c r="F44" s="13">
        <f>S44*ghg_sort!$B$6</f>
        <v>29.914731040106872</v>
      </c>
      <c r="G44" s="13">
        <f>T44*ghg_sort!$B$6</f>
        <v>25.682433352023896</v>
      </c>
      <c r="H44" s="13">
        <f>U44*ghg_sort!$B$6</f>
        <v>24.149560938747737</v>
      </c>
      <c r="I44" s="13">
        <f>V44*ghg_sort!$B$6</f>
        <v>25.037677020653245</v>
      </c>
      <c r="J44" s="13">
        <f>W44*ghg_sort!$B$6</f>
        <v>23.829324906141391</v>
      </c>
      <c r="K44" s="13">
        <f>X44*ghg_sort!$B$6</f>
        <v>23.030135674050324</v>
      </c>
      <c r="L44" s="13">
        <f>Y44*ghg_sort!$B$6</f>
        <v>22.083207529214977</v>
      </c>
      <c r="M44" s="13">
        <f>Z44*ghg_sort!$B$6</f>
        <v>20.255065395392283</v>
      </c>
      <c r="N44" s="13">
        <f>AA44*ghg_sort!$B$6</f>
        <v>17.637720913857969</v>
      </c>
      <c r="O44" s="13">
        <f>AB44*ghg_sort!$B$6</f>
        <v>15.555323173657497</v>
      </c>
      <c r="R44" s="13">
        <v>1.29427</v>
      </c>
      <c r="S44" s="13">
        <v>8.1585630109382308</v>
      </c>
      <c r="T44" s="13">
        <v>7.00430000509742</v>
      </c>
      <c r="U44" s="13">
        <v>6.58624389238574</v>
      </c>
      <c r="V44" s="13">
        <v>6.82845736926906</v>
      </c>
      <c r="W44" s="13">
        <v>6.4989067925840098</v>
      </c>
      <c r="X44" s="13">
        <v>6.28094609292281</v>
      </c>
      <c r="Y44" s="13">
        <v>6.0226929625131698</v>
      </c>
      <c r="Z44" s="13">
        <v>5.52410874419789</v>
      </c>
      <c r="AA44" s="13">
        <v>4.8102875219612597</v>
      </c>
      <c r="AB44" s="13">
        <v>4.2423608655429499</v>
      </c>
    </row>
    <row r="45" spans="1:28">
      <c r="A45" s="13" t="s">
        <v>260</v>
      </c>
      <c r="B45" s="13" t="s">
        <v>1</v>
      </c>
      <c r="C45" s="13" t="s">
        <v>7</v>
      </c>
      <c r="D45" s="13">
        <f>VLOOKUP(C45,ghg_sort!$A$35:$B$82,2,0)</f>
        <v>0</v>
      </c>
      <c r="E45" s="13">
        <f>R45*ghg_sort!$B$6</f>
        <v>-1.5875003831509291E-8</v>
      </c>
      <c r="F45" s="13">
        <f>S45*ghg_sort!$B$6</f>
        <v>-4.1206742745484837E-8</v>
      </c>
      <c r="G45" s="13">
        <f>T45*ghg_sort!$B$6</f>
        <v>-3.0549178687298618E-7</v>
      </c>
      <c r="H45" s="13">
        <f>U45*ghg_sort!$B$6</f>
        <v>-1.0193300674918361E-6</v>
      </c>
      <c r="I45" s="13">
        <f>V45*ghg_sort!$B$6</f>
        <v>0</v>
      </c>
      <c r="J45" s="13">
        <f>W45*ghg_sort!$B$6</f>
        <v>0</v>
      </c>
      <c r="K45" s="13">
        <f>X45*ghg_sort!$B$6</f>
        <v>0</v>
      </c>
      <c r="L45" s="13">
        <f>Y45*ghg_sort!$B$6</f>
        <v>-5.8532967581000056E-6</v>
      </c>
      <c r="M45" s="13">
        <f>Z45*ghg_sort!$B$6</f>
        <v>-2.7486554305099366E-6</v>
      </c>
      <c r="N45" s="13">
        <f>AA45*ghg_sort!$B$6</f>
        <v>-2.4905729944342374E-7</v>
      </c>
      <c r="O45" s="13">
        <f>AB45*ghg_sort!$B$6</f>
        <v>-8.2166103858496611E-9</v>
      </c>
      <c r="R45" s="14">
        <v>-4.3295464995025302E-9</v>
      </c>
      <c r="S45" s="14">
        <v>-1.12382025669504E-8</v>
      </c>
      <c r="T45" s="14">
        <v>-8.3315941874450703E-8</v>
      </c>
      <c r="U45" s="14">
        <v>-2.7799910931595501E-7</v>
      </c>
      <c r="V45" s="14">
        <v>0</v>
      </c>
      <c r="W45" s="14">
        <v>0</v>
      </c>
      <c r="X45" s="14">
        <v>0</v>
      </c>
      <c r="Y45" s="14">
        <v>-1.5963536613E-6</v>
      </c>
      <c r="Z45" s="14">
        <v>-7.4963329922998202E-7</v>
      </c>
      <c r="AA45" s="14">
        <v>-6.7924718030024595E-8</v>
      </c>
      <c r="AB45" s="14">
        <v>-2.2408937415953599E-9</v>
      </c>
    </row>
    <row r="48" spans="1:28">
      <c r="R48" s="14"/>
      <c r="S48" s="14"/>
      <c r="T48" s="14"/>
      <c r="U48" s="14"/>
      <c r="W48" s="14"/>
      <c r="Z48" s="14"/>
      <c r="AA48" s="14"/>
      <c r="AB48" s="14"/>
    </row>
    <row r="49" spans="1:26">
      <c r="E49" s="13">
        <f>SUM(E3:E48)</f>
        <v>266.37792782246117</v>
      </c>
      <c r="F49" s="13">
        <f t="shared" ref="F49:N49" si="0">SUM(F3:F48)</f>
        <v>530.50278771513456</v>
      </c>
      <c r="G49" s="13">
        <f t="shared" si="0"/>
        <v>622.59101832736246</v>
      </c>
      <c r="H49" s="13">
        <f t="shared" si="0"/>
        <v>665.40648472418366</v>
      </c>
      <c r="I49" s="13">
        <f t="shared" si="0"/>
        <v>675.9799261813497</v>
      </c>
      <c r="J49" s="13">
        <f t="shared" si="0"/>
        <v>617.99870947166141</v>
      </c>
      <c r="K49" s="13">
        <f t="shared" si="0"/>
        <v>500.92009508536137</v>
      </c>
      <c r="L49" s="13">
        <f t="shared" si="0"/>
        <v>382.35294030950183</v>
      </c>
      <c r="M49" s="13">
        <f t="shared" si="0"/>
        <v>258.81255347739028</v>
      </c>
      <c r="N49" s="13">
        <f t="shared" si="0"/>
        <v>139.53297889965751</v>
      </c>
      <c r="O49" s="13">
        <f>SUM(O3:O48)</f>
        <v>13.378381282686197</v>
      </c>
    </row>
    <row r="50" spans="1:26">
      <c r="A50" s="1" t="s">
        <v>121</v>
      </c>
    </row>
    <row r="51" spans="1:26">
      <c r="A51" s="13" t="s">
        <v>8</v>
      </c>
      <c r="B51" s="13" t="s">
        <v>9</v>
      </c>
      <c r="C51" s="13" t="s">
        <v>10</v>
      </c>
      <c r="D51" s="13">
        <v>1990</v>
      </c>
      <c r="E51" s="13">
        <v>2005</v>
      </c>
      <c r="F51" s="13">
        <v>2010</v>
      </c>
      <c r="G51" s="13">
        <v>2015</v>
      </c>
      <c r="H51" s="13">
        <v>2020</v>
      </c>
      <c r="I51" s="13">
        <v>2025</v>
      </c>
      <c r="J51" s="13">
        <v>2030</v>
      </c>
      <c r="K51" s="13">
        <v>2035</v>
      </c>
      <c r="L51" s="13">
        <v>2040</v>
      </c>
      <c r="M51" s="13">
        <v>2045</v>
      </c>
      <c r="N51" s="13">
        <v>2050</v>
      </c>
      <c r="O51" s="13" t="s">
        <v>76</v>
      </c>
      <c r="R51" s="13">
        <v>2015</v>
      </c>
      <c r="S51" s="13">
        <v>2020</v>
      </c>
      <c r="T51" s="13">
        <v>2025</v>
      </c>
      <c r="U51" s="13">
        <v>2030</v>
      </c>
      <c r="V51" s="13">
        <v>2035</v>
      </c>
      <c r="W51" s="13">
        <v>2040</v>
      </c>
      <c r="X51" s="13">
        <v>2045</v>
      </c>
      <c r="Y51" s="13">
        <v>2050</v>
      </c>
      <c r="Z51" s="13" t="s">
        <v>76</v>
      </c>
    </row>
    <row r="52" spans="1:26">
      <c r="A52" s="13" t="s">
        <v>364</v>
      </c>
      <c r="B52" s="13" t="s">
        <v>1</v>
      </c>
      <c r="C52" s="13" t="s">
        <v>57</v>
      </c>
      <c r="D52" s="13">
        <v>6.4985299999999996E-2</v>
      </c>
      <c r="E52" s="13">
        <v>0.12297479</v>
      </c>
      <c r="F52" s="13">
        <v>0.16385319999999901</v>
      </c>
      <c r="G52" s="13">
        <v>0.23484740000000001</v>
      </c>
      <c r="H52" s="13">
        <v>0.25816798699999999</v>
      </c>
      <c r="I52" s="13">
        <v>0.26957433159999999</v>
      </c>
      <c r="J52" s="13">
        <v>0.2881801873</v>
      </c>
      <c r="K52" s="13">
        <v>0.34274827489999998</v>
      </c>
      <c r="L52" s="13">
        <v>0.31627726001000001</v>
      </c>
      <c r="M52" s="13">
        <v>0.27824152616999998</v>
      </c>
      <c r="N52" s="13">
        <v>0.23448787134999999</v>
      </c>
      <c r="O52" s="13" t="s">
        <v>78</v>
      </c>
      <c r="Q52" s="13" t="s">
        <v>173</v>
      </c>
      <c r="R52" s="13">
        <f>SUMIF($D$3:$D$48,$Q52,H$3:H$48)</f>
        <v>48.969369154048948</v>
      </c>
      <c r="S52" s="13">
        <f t="shared" ref="S52:Y52" si="1">SUMIF($D$3:$D$48,$Q52,I$3:I$48)</f>
        <v>55.243528287327202</v>
      </c>
      <c r="T52" s="13">
        <f t="shared" si="1"/>
        <v>50.675259553039012</v>
      </c>
      <c r="U52" s="13">
        <f t="shared" si="1"/>
        <v>47.904928713032433</v>
      </c>
      <c r="V52" s="13">
        <f t="shared" si="1"/>
        <v>42.001918939624623</v>
      </c>
      <c r="W52" s="13">
        <f t="shared" si="1"/>
        <v>33.542807618497434</v>
      </c>
      <c r="X52" s="13">
        <f t="shared" si="1"/>
        <v>24.00289427668184</v>
      </c>
      <c r="Y52" s="13">
        <f t="shared" si="1"/>
        <v>15.715123419354088</v>
      </c>
      <c r="Z52" s="13" t="s">
        <v>193</v>
      </c>
    </row>
    <row r="53" spans="1:26">
      <c r="A53" s="13" t="s">
        <v>364</v>
      </c>
      <c r="B53" s="13" t="s">
        <v>1</v>
      </c>
      <c r="C53" s="13" t="s">
        <v>58</v>
      </c>
      <c r="D53" s="13">
        <v>0.9393783</v>
      </c>
      <c r="E53" s="13">
        <v>0.86327980000000004</v>
      </c>
      <c r="F53" s="13">
        <v>1.0777254999999999</v>
      </c>
      <c r="G53" s="13">
        <v>1.3421124</v>
      </c>
      <c r="H53" s="13">
        <v>1.5025358790000001</v>
      </c>
      <c r="I53" s="13">
        <v>1.39991598131999</v>
      </c>
      <c r="J53" s="13">
        <v>1.2083228530399901</v>
      </c>
      <c r="K53" s="13">
        <v>0.90909811346000002</v>
      </c>
      <c r="L53" s="13">
        <v>0.62286862430000001</v>
      </c>
      <c r="M53" s="13">
        <v>0.41718385664199897</v>
      </c>
      <c r="N53" s="13">
        <v>0.26920554674699998</v>
      </c>
      <c r="O53" s="13" t="s">
        <v>78</v>
      </c>
      <c r="Q53" s="13" t="s">
        <v>172</v>
      </c>
      <c r="R53" s="13">
        <f t="shared" ref="R53:R58" si="2">SUMIF($D$3:$D$48,$Q53,H$3:H$48)</f>
        <v>225.55915727819374</v>
      </c>
      <c r="S53" s="13">
        <f t="shared" ref="S53:S58" si="3">SUMIF($D$3:$D$48,$Q53,I$3:I$48)</f>
        <v>239.91876518308914</v>
      </c>
      <c r="T53" s="13">
        <f t="shared" ref="T53:T58" si="4">SUMIF($D$3:$D$48,$Q53,J$3:J$48)</f>
        <v>228.47049463203572</v>
      </c>
      <c r="U53" s="13">
        <f t="shared" ref="U53:U58" si="5">SUMIF($D$3:$D$48,$Q53,K$3:K$48)</f>
        <v>209.57797245843182</v>
      </c>
      <c r="V53" s="13">
        <f t="shared" ref="V53:V58" si="6">SUMIF($D$3:$D$48,$Q53,L$3:L$48)</f>
        <v>171.9626030235371</v>
      </c>
      <c r="W53" s="13">
        <f t="shared" ref="W53:W58" si="7">SUMIF($D$3:$D$48,$Q53,M$3:M$48)</f>
        <v>113.3294623960327</v>
      </c>
      <c r="X53" s="13">
        <f t="shared" ref="X53:X58" si="8">SUMIF($D$3:$D$48,$Q53,N$3:N$48)</f>
        <v>51.323291720530705</v>
      </c>
      <c r="Y53" s="13">
        <f t="shared" ref="Y53:Y58" si="9">SUMIF($D$3:$D$48,$Q53,O$3:O$48)</f>
        <v>7.9117751098727052</v>
      </c>
      <c r="Z53" s="13" t="s">
        <v>194</v>
      </c>
    </row>
    <row r="54" spans="1:26">
      <c r="A54" s="13" t="s">
        <v>364</v>
      </c>
      <c r="B54" s="13" t="s">
        <v>1</v>
      </c>
      <c r="C54" s="13" t="s">
        <v>59</v>
      </c>
      <c r="D54" s="13">
        <v>0.33981924468000002</v>
      </c>
      <c r="E54" s="13">
        <v>1.2785538596599999</v>
      </c>
      <c r="F54" s="13">
        <v>1.6178942949299999</v>
      </c>
      <c r="G54" s="13">
        <v>1.7799465532000001</v>
      </c>
      <c r="H54" s="13">
        <v>1.8393896805400001</v>
      </c>
      <c r="I54" s="13">
        <v>1.9313104480499901</v>
      </c>
      <c r="J54" s="13">
        <v>2.02462591095999</v>
      </c>
      <c r="K54" s="13">
        <v>2.12400255124999</v>
      </c>
      <c r="L54" s="13">
        <v>2.2927495155551498</v>
      </c>
      <c r="M54" s="13">
        <v>2.50693988431874</v>
      </c>
      <c r="N54" s="13">
        <v>2.8005237757597299</v>
      </c>
      <c r="O54" s="13" t="s">
        <v>78</v>
      </c>
      <c r="Q54" s="13" t="s">
        <v>175</v>
      </c>
      <c r="R54" s="13">
        <f t="shared" si="2"/>
        <v>97.667124844318806</v>
      </c>
      <c r="S54" s="13">
        <f t="shared" si="3"/>
        <v>100.50570663737093</v>
      </c>
      <c r="T54" s="13">
        <f t="shared" si="4"/>
        <v>91.611154026763586</v>
      </c>
      <c r="U54" s="13">
        <f t="shared" si="5"/>
        <v>75.665356404304774</v>
      </c>
      <c r="V54" s="13">
        <f t="shared" si="6"/>
        <v>59.860195639207774</v>
      </c>
      <c r="W54" s="13">
        <f t="shared" si="7"/>
        <v>44.307469920957026</v>
      </c>
      <c r="X54" s="13">
        <f t="shared" si="8"/>
        <v>32.047102065560495</v>
      </c>
      <c r="Y54" s="13">
        <f t="shared" si="9"/>
        <v>22.700192315596325</v>
      </c>
      <c r="Z54" s="13" t="s">
        <v>195</v>
      </c>
    </row>
    <row r="55" spans="1:26">
      <c r="A55" s="13" t="s">
        <v>364</v>
      </c>
      <c r="B55" s="13" t="s">
        <v>1</v>
      </c>
      <c r="C55" s="13" t="s">
        <v>60</v>
      </c>
      <c r="D55" s="13">
        <v>2.95950348981E-2</v>
      </c>
      <c r="E55" s="13">
        <v>0.70970721789999902</v>
      </c>
      <c r="F55" s="13">
        <v>0.88725523735</v>
      </c>
      <c r="G55" s="13">
        <v>0.89976703438999905</v>
      </c>
      <c r="H55" s="13">
        <v>1.04770289739</v>
      </c>
      <c r="I55" s="13">
        <v>1.1083071504589901</v>
      </c>
      <c r="J55" s="13">
        <v>1.1663796025469999</v>
      </c>
      <c r="K55" s="13">
        <v>1.1705450396520001</v>
      </c>
      <c r="L55" s="13">
        <v>1.0765592183071899</v>
      </c>
      <c r="M55" s="13">
        <v>0.93384464063199901</v>
      </c>
      <c r="N55" s="13">
        <v>1.1745735823579999</v>
      </c>
      <c r="O55" s="13" t="s">
        <v>78</v>
      </c>
      <c r="Q55" s="13" t="s">
        <v>17</v>
      </c>
      <c r="R55" s="13">
        <f t="shared" si="2"/>
        <v>253.60015254323559</v>
      </c>
      <c r="S55" s="13">
        <f t="shared" si="3"/>
        <v>238.94916519953114</v>
      </c>
      <c r="T55" s="13">
        <f t="shared" si="4"/>
        <v>206.8020628790251</v>
      </c>
      <c r="U55" s="13">
        <f t="shared" si="5"/>
        <v>128.03179590232898</v>
      </c>
      <c r="V55" s="13">
        <f t="shared" si="6"/>
        <v>69.990419943315302</v>
      </c>
      <c r="W55" s="13">
        <f t="shared" si="7"/>
        <v>31.703346079655578</v>
      </c>
      <c r="X55" s="13">
        <f t="shared" si="8"/>
        <v>0.56417080711611689</v>
      </c>
      <c r="Y55" s="13">
        <f t="shared" si="9"/>
        <v>-11.123607825797844</v>
      </c>
      <c r="Z55" s="13" t="s">
        <v>196</v>
      </c>
    </row>
    <row r="56" spans="1:26">
      <c r="A56" s="13" t="s">
        <v>364</v>
      </c>
      <c r="B56" s="13" t="s">
        <v>1</v>
      </c>
      <c r="C56" s="13" t="s">
        <v>65</v>
      </c>
      <c r="D56" s="13">
        <v>0</v>
      </c>
      <c r="E56" s="13">
        <v>0</v>
      </c>
      <c r="F56" s="13">
        <v>0</v>
      </c>
      <c r="G56" s="13">
        <v>0</v>
      </c>
      <c r="H56" s="14">
        <v>1.83976850999999E-3</v>
      </c>
      <c r="I56" s="13">
        <v>3.4830280460000002E-2</v>
      </c>
      <c r="J56" s="13">
        <v>0.12109383476</v>
      </c>
      <c r="K56" s="13">
        <v>0.24579427468000001</v>
      </c>
      <c r="L56" s="13">
        <v>0.39121097144</v>
      </c>
      <c r="M56" s="13">
        <v>0.53843520076999996</v>
      </c>
      <c r="N56" s="13">
        <v>0.67070332524999998</v>
      </c>
      <c r="O56" s="13" t="s">
        <v>78</v>
      </c>
      <c r="Q56" s="13" t="s">
        <v>174</v>
      </c>
      <c r="R56" s="13">
        <f t="shared" si="2"/>
        <v>0</v>
      </c>
      <c r="S56" s="13">
        <f t="shared" si="3"/>
        <v>0</v>
      </c>
      <c r="T56" s="13">
        <f t="shared" si="4"/>
        <v>0</v>
      </c>
      <c r="U56" s="13">
        <f t="shared" si="5"/>
        <v>0</v>
      </c>
      <c r="V56" s="13">
        <f t="shared" si="6"/>
        <v>0</v>
      </c>
      <c r="W56" s="13">
        <f t="shared" si="7"/>
        <v>-3.9834939691614019E-4</v>
      </c>
      <c r="X56" s="13">
        <f t="shared" si="8"/>
        <v>-0.17311691277679536</v>
      </c>
      <c r="Y56" s="13">
        <f>SUMIF($D$3:$D$48,$Q56,O$3:O$48)</f>
        <v>-50.063355375860638</v>
      </c>
      <c r="Z56" s="13" t="s">
        <v>197</v>
      </c>
    </row>
    <row r="57" spans="1:26">
      <c r="A57" s="13" t="s">
        <v>364</v>
      </c>
      <c r="B57" s="13" t="s">
        <v>1</v>
      </c>
      <c r="C57" s="13" t="s">
        <v>190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4">
        <v>0</v>
      </c>
      <c r="J57" s="14">
        <v>0</v>
      </c>
      <c r="K57" s="14">
        <v>0</v>
      </c>
      <c r="L57" s="14">
        <v>3.2378499999999998E-6</v>
      </c>
      <c r="M57" s="14">
        <v>1.41388834E-3</v>
      </c>
      <c r="N57" s="13">
        <v>0.40680246948999998</v>
      </c>
      <c r="O57" s="13" t="s">
        <v>78</v>
      </c>
      <c r="Q57" s="13" t="s">
        <v>176</v>
      </c>
      <c r="R57" s="31">
        <v>-45</v>
      </c>
      <c r="S57" s="31">
        <v>-45</v>
      </c>
      <c r="T57" s="31">
        <v>-44.875</v>
      </c>
      <c r="U57" s="31">
        <v>-43.0625</v>
      </c>
      <c r="V57" s="13">
        <v>-39.4375</v>
      </c>
      <c r="W57" s="13">
        <v>-37.625</v>
      </c>
      <c r="X57" s="13">
        <v>-35.8125</v>
      </c>
      <c r="Y57" s="13">
        <v>-34</v>
      </c>
      <c r="Z57" s="13" t="s">
        <v>198</v>
      </c>
    </row>
    <row r="58" spans="1:26">
      <c r="A58" s="13" t="s">
        <v>364</v>
      </c>
      <c r="B58" s="13" t="s">
        <v>1</v>
      </c>
      <c r="C58" s="13" t="s">
        <v>19</v>
      </c>
      <c r="D58" s="13">
        <v>1.9055001466599899</v>
      </c>
      <c r="E58" s="13">
        <v>3.9546848334</v>
      </c>
      <c r="F58" s="13">
        <v>4.0586798100500001</v>
      </c>
      <c r="G58" s="13">
        <v>4.4023892890099896</v>
      </c>
      <c r="H58" s="13">
        <v>4.5080142195799997</v>
      </c>
      <c r="I58" s="13">
        <v>4.3306583025274898</v>
      </c>
      <c r="J58" s="13">
        <v>4.0474943857176999</v>
      </c>
      <c r="K58" s="13">
        <v>3.7457341130436901</v>
      </c>
      <c r="L58" s="13">
        <v>3.3845852180858</v>
      </c>
      <c r="M58" s="13">
        <v>3.0578650093080002</v>
      </c>
      <c r="N58" s="13">
        <v>2.7559429085091001</v>
      </c>
      <c r="O58" s="13" t="s">
        <v>78</v>
      </c>
      <c r="Q58" s="13" t="s">
        <v>178</v>
      </c>
      <c r="R58" s="13">
        <f t="shared" si="2"/>
        <v>39.61068345967729</v>
      </c>
      <c r="S58" s="13">
        <f t="shared" si="3"/>
        <v>41.36278327497287</v>
      </c>
      <c r="T58" s="13">
        <f t="shared" si="4"/>
        <v>40.439738380797984</v>
      </c>
      <c r="U58" s="13">
        <f t="shared" si="5"/>
        <v>39.740044429656933</v>
      </c>
      <c r="V58" s="13">
        <f t="shared" si="6"/>
        <v>38.537834297369074</v>
      </c>
      <c r="W58" s="13">
        <f t="shared" si="7"/>
        <v>35.929901835159342</v>
      </c>
      <c r="X58" s="13">
        <f t="shared" si="8"/>
        <v>31.768648480455326</v>
      </c>
      <c r="Y58" s="13">
        <f t="shared" si="9"/>
        <v>28.238253647738151</v>
      </c>
      <c r="Z58" s="13" t="s">
        <v>199</v>
      </c>
    </row>
    <row r="59" spans="1:26">
      <c r="Q59" s="13" t="s">
        <v>29</v>
      </c>
      <c r="R59" s="13">
        <f>SUM(R52:R57)</f>
        <v>580.79580381979713</v>
      </c>
      <c r="S59" s="13">
        <f t="shared" ref="S59:Y59" si="10">SUM(S52:S57)</f>
        <v>589.61716530731837</v>
      </c>
      <c r="T59" s="13">
        <f t="shared" si="10"/>
        <v>532.68397109086345</v>
      </c>
      <c r="U59" s="13">
        <f t="shared" si="10"/>
        <v>418.11755347809799</v>
      </c>
      <c r="V59" s="13">
        <f t="shared" si="10"/>
        <v>304.37763754568482</v>
      </c>
      <c r="W59" s="13">
        <f t="shared" si="10"/>
        <v>185.25768766574583</v>
      </c>
      <c r="X59" s="13">
        <f t="shared" si="10"/>
        <v>71.951841957112364</v>
      </c>
      <c r="Y59" s="13">
        <f t="shared" si="10"/>
        <v>-48.859872356835368</v>
      </c>
      <c r="Z59" s="13" t="s">
        <v>200</v>
      </c>
    </row>
    <row r="60" spans="1:26">
      <c r="A60" s="1" t="s">
        <v>181</v>
      </c>
    </row>
    <row r="61" spans="1:26">
      <c r="A61" s="13" t="s">
        <v>8</v>
      </c>
      <c r="B61" s="13" t="s">
        <v>9</v>
      </c>
      <c r="C61" s="13" t="s">
        <v>39</v>
      </c>
      <c r="D61" s="13" t="s">
        <v>10</v>
      </c>
      <c r="E61" s="13">
        <v>1990</v>
      </c>
      <c r="F61" s="13">
        <v>2005</v>
      </c>
      <c r="G61" s="13">
        <v>2010</v>
      </c>
      <c r="H61" s="13">
        <v>2015</v>
      </c>
      <c r="I61" s="13">
        <v>2020</v>
      </c>
      <c r="J61" s="13">
        <v>2025</v>
      </c>
      <c r="K61" s="13">
        <v>2030</v>
      </c>
      <c r="L61" s="13">
        <v>2035</v>
      </c>
      <c r="M61" s="13">
        <v>2040</v>
      </c>
      <c r="N61" s="13">
        <v>2045</v>
      </c>
      <c r="O61" s="13">
        <v>2050</v>
      </c>
      <c r="P61" s="13" t="s">
        <v>76</v>
      </c>
    </row>
    <row r="62" spans="1:26">
      <c r="A62" s="13" t="s">
        <v>364</v>
      </c>
      <c r="B62" s="13" t="s">
        <v>1</v>
      </c>
      <c r="C62" s="13" t="s">
        <v>63</v>
      </c>
      <c r="D62" s="13" t="s">
        <v>6</v>
      </c>
      <c r="E62" s="13">
        <v>2.6574E-2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 t="s">
        <v>78</v>
      </c>
    </row>
    <row r="63" spans="1:26">
      <c r="A63" s="13" t="s">
        <v>364</v>
      </c>
      <c r="B63" s="13" t="s">
        <v>1</v>
      </c>
      <c r="C63" s="13" t="s">
        <v>63</v>
      </c>
      <c r="D63" s="13" t="s">
        <v>7</v>
      </c>
      <c r="E63" s="13">
        <v>4.1860899999999999E-3</v>
      </c>
      <c r="F63" s="13">
        <v>1.55318E-2</v>
      </c>
      <c r="G63" s="13">
        <v>1.25215E-2</v>
      </c>
      <c r="H63" s="13">
        <v>6.4959199999999996E-3</v>
      </c>
      <c r="I63" s="13">
        <v>6.7860889999999899E-3</v>
      </c>
      <c r="J63" s="13">
        <v>6.9744590800000002E-3</v>
      </c>
      <c r="K63" s="13">
        <v>6.8844415200000003E-3</v>
      </c>
      <c r="L63" s="13">
        <v>6.42532923999999E-3</v>
      </c>
      <c r="M63" s="13">
        <v>5.9662075699999997E-3</v>
      </c>
      <c r="N63" s="13">
        <v>5.8019708000000003E-3</v>
      </c>
      <c r="O63" s="13">
        <v>5.6476193690000003E-3</v>
      </c>
      <c r="P63" s="13" t="s">
        <v>78</v>
      </c>
    </row>
    <row r="64" spans="1:26">
      <c r="A64" s="13" t="s">
        <v>364</v>
      </c>
      <c r="B64" s="13" t="s">
        <v>1</v>
      </c>
      <c r="C64" s="13" t="s">
        <v>64</v>
      </c>
      <c r="D64" s="13" t="s">
        <v>2</v>
      </c>
      <c r="E64" s="13">
        <v>0</v>
      </c>
      <c r="F64" s="13">
        <v>0</v>
      </c>
      <c r="G64" s="13">
        <v>0</v>
      </c>
      <c r="H64" s="13">
        <v>0</v>
      </c>
      <c r="I64" s="14">
        <v>4.4708800000000001E-5</v>
      </c>
      <c r="J64" s="14">
        <v>1.815718E-4</v>
      </c>
      <c r="K64" s="14">
        <v>4.3380139999999899E-4</v>
      </c>
      <c r="L64" s="14">
        <v>7.1334544999999896E-4</v>
      </c>
      <c r="M64" s="14">
        <v>9.7071279999999896E-4</v>
      </c>
      <c r="N64" s="14">
        <v>1.4530413000000001E-3</v>
      </c>
      <c r="O64" s="13">
        <v>1.9944142E-3</v>
      </c>
      <c r="P64" s="13" t="s">
        <v>78</v>
      </c>
    </row>
    <row r="65" spans="1:16">
      <c r="A65" s="13" t="s">
        <v>364</v>
      </c>
      <c r="B65" s="13" t="s">
        <v>1</v>
      </c>
      <c r="C65" s="13" t="s">
        <v>64</v>
      </c>
      <c r="D65" s="13" t="s">
        <v>3</v>
      </c>
      <c r="E65" s="13">
        <v>0</v>
      </c>
      <c r="F65" s="13">
        <v>0</v>
      </c>
      <c r="G65" s="13">
        <v>0</v>
      </c>
      <c r="H65" s="13">
        <v>2.7628000000000002E-3</v>
      </c>
      <c r="I65" s="13">
        <v>2.9902069999999999E-3</v>
      </c>
      <c r="J65" s="13">
        <v>4.1129829999999997E-3</v>
      </c>
      <c r="K65" s="13">
        <v>6.3059499999999899E-3</v>
      </c>
      <c r="L65" s="13">
        <v>8.1750090000000004E-3</v>
      </c>
      <c r="M65" s="13">
        <v>7.204266E-3</v>
      </c>
      <c r="N65" s="13">
        <v>5.0246309999999903E-3</v>
      </c>
      <c r="O65" s="13">
        <v>2.8325859999999998E-3</v>
      </c>
      <c r="P65" s="13" t="s">
        <v>78</v>
      </c>
    </row>
    <row r="66" spans="1:16">
      <c r="A66" s="13" t="s">
        <v>364</v>
      </c>
      <c r="B66" s="13" t="s">
        <v>1</v>
      </c>
      <c r="C66" s="13" t="s">
        <v>64</v>
      </c>
      <c r="D66" s="13" t="s">
        <v>5</v>
      </c>
      <c r="E66" s="13">
        <v>5.2325000000000002E-3</v>
      </c>
      <c r="F66" s="13">
        <v>1.9004400000000001E-2</v>
      </c>
      <c r="G66" s="13">
        <v>2.8799700000000001E-2</v>
      </c>
      <c r="H66" s="13">
        <v>4.1901800000000003E-2</v>
      </c>
      <c r="I66" s="13">
        <v>4.0025350000000001E-2</v>
      </c>
      <c r="J66" s="13">
        <v>3.50409E-2</v>
      </c>
      <c r="K66" s="13">
        <v>2.989439E-2</v>
      </c>
      <c r="L66" s="13">
        <v>2.6282960000000001E-2</v>
      </c>
      <c r="M66" s="13">
        <v>2.595283E-2</v>
      </c>
      <c r="N66" s="13">
        <v>2.8378649999999998E-2</v>
      </c>
      <c r="O66" s="13">
        <v>3.1692989999999997E-2</v>
      </c>
      <c r="P66" s="13" t="s">
        <v>78</v>
      </c>
    </row>
    <row r="67" spans="1:16">
      <c r="A67" s="13" t="s">
        <v>364</v>
      </c>
      <c r="B67" s="13" t="s">
        <v>1</v>
      </c>
      <c r="C67" s="13" t="s">
        <v>64</v>
      </c>
      <c r="D67" s="13" t="s">
        <v>6</v>
      </c>
      <c r="E67" s="13">
        <v>6.4087699999999997E-2</v>
      </c>
      <c r="F67" s="13">
        <v>5.919E-2</v>
      </c>
      <c r="G67" s="13">
        <v>5.2492499999999997E-2</v>
      </c>
      <c r="H67" s="13">
        <v>1.9422999999999999E-2</v>
      </c>
      <c r="I67" s="13">
        <v>1.989016E-2</v>
      </c>
      <c r="J67" s="13">
        <v>1.9871799999999998E-2</v>
      </c>
      <c r="K67" s="13">
        <v>2.0150849999999901E-2</v>
      </c>
      <c r="L67" s="13">
        <v>1.9339323999999901E-2</v>
      </c>
      <c r="M67" s="13">
        <v>1.6721489999999999E-2</v>
      </c>
      <c r="N67" s="13">
        <v>1.293275E-2</v>
      </c>
      <c r="O67" s="13">
        <v>8.9514899999999994E-3</v>
      </c>
      <c r="P67" s="13" t="s">
        <v>78</v>
      </c>
    </row>
    <row r="68" spans="1:16">
      <c r="A68" s="13" t="s">
        <v>364</v>
      </c>
      <c r="B68" s="13" t="s">
        <v>1</v>
      </c>
      <c r="C68" s="13" t="s">
        <v>64</v>
      </c>
      <c r="D68" s="13" t="s">
        <v>7</v>
      </c>
      <c r="E68" s="13">
        <v>0</v>
      </c>
      <c r="F68" s="13">
        <v>1.0464999999999999E-3</v>
      </c>
      <c r="G68" s="14">
        <v>1.674E-4</v>
      </c>
      <c r="H68" s="14">
        <v>1.2559999999999999E-4</v>
      </c>
      <c r="I68" s="14">
        <v>1.2654809999999999E-4</v>
      </c>
      <c r="J68" s="14">
        <v>1.2050510000000001E-4</v>
      </c>
      <c r="K68" s="14">
        <v>1.11883399999999E-4</v>
      </c>
      <c r="L68" s="14">
        <v>9.5804389999999898E-5</v>
      </c>
      <c r="M68" s="14">
        <v>7.7366540000000001E-5</v>
      </c>
      <c r="N68" s="14">
        <v>5.6227289999999901E-5</v>
      </c>
      <c r="O68" s="14">
        <v>3.7298949999999898E-5</v>
      </c>
      <c r="P68" s="13" t="s">
        <v>78</v>
      </c>
    </row>
    <row r="69" spans="1:16">
      <c r="A69" s="13" t="s">
        <v>364</v>
      </c>
      <c r="B69" s="13" t="s">
        <v>1</v>
      </c>
      <c r="C69" s="13" t="s">
        <v>61</v>
      </c>
      <c r="D69" s="13" t="s">
        <v>3</v>
      </c>
      <c r="E69" s="13">
        <v>3.6571800000000002E-2</v>
      </c>
      <c r="F69" s="13">
        <v>3.9287299999999997E-2</v>
      </c>
      <c r="G69" s="13">
        <v>4.2373099999999997E-2</v>
      </c>
      <c r="H69" s="13">
        <v>3.9861500000000001E-2</v>
      </c>
      <c r="I69" s="13">
        <v>3.9867916000000003E-2</v>
      </c>
      <c r="J69" s="13">
        <v>2.9408063999999901E-2</v>
      </c>
      <c r="K69" s="13">
        <v>2.5490137999999999E-2</v>
      </c>
      <c r="L69" s="13">
        <v>2.8745469999999999E-2</v>
      </c>
      <c r="M69" s="13">
        <v>4.2525171E-2</v>
      </c>
      <c r="N69" s="13">
        <v>4.3502600999999898E-2</v>
      </c>
      <c r="O69" s="13">
        <v>4.0354569600000001E-2</v>
      </c>
      <c r="P69" s="13" t="s">
        <v>78</v>
      </c>
    </row>
    <row r="70" spans="1:16">
      <c r="A70" s="13" t="s">
        <v>364</v>
      </c>
      <c r="B70" s="13" t="s">
        <v>1</v>
      </c>
      <c r="C70" s="13" t="s">
        <v>61</v>
      </c>
      <c r="D70" s="13" t="s">
        <v>4</v>
      </c>
      <c r="E70" s="13">
        <v>8.5812200000000005E-2</v>
      </c>
      <c r="F70" s="13">
        <v>0.118297</v>
      </c>
      <c r="G70" s="13">
        <v>0.112141</v>
      </c>
      <c r="H70" s="13">
        <v>0.114653</v>
      </c>
      <c r="I70" s="13">
        <v>0.11497772000000001</v>
      </c>
      <c r="J70" s="13">
        <v>8.4486220000000001E-2</v>
      </c>
      <c r="K70" s="13">
        <v>7.2785799999999998E-2</v>
      </c>
      <c r="L70" s="13">
        <v>5.7531719000000002E-2</v>
      </c>
      <c r="M70" s="13">
        <v>2.5219122E-2</v>
      </c>
      <c r="N70" s="13">
        <v>1.06722679999999E-2</v>
      </c>
      <c r="O70" s="13">
        <v>6.2222620999999997E-3</v>
      </c>
      <c r="P70" s="13" t="s">
        <v>78</v>
      </c>
    </row>
    <row r="71" spans="1:16">
      <c r="A71" s="13" t="s">
        <v>364</v>
      </c>
      <c r="B71" s="13" t="s">
        <v>1</v>
      </c>
      <c r="C71" s="13" t="s">
        <v>61</v>
      </c>
      <c r="D71" s="13" t="s">
        <v>5</v>
      </c>
      <c r="E71" s="13">
        <v>1.39375E-2</v>
      </c>
      <c r="F71" s="13">
        <v>2.0152400000000001E-2</v>
      </c>
      <c r="G71" s="13">
        <v>1.9656400000000001E-2</v>
      </c>
      <c r="H71" s="13">
        <v>1.9656400000000001E-2</v>
      </c>
      <c r="I71" s="13">
        <v>1.82218E-2</v>
      </c>
      <c r="J71" s="13">
        <v>1.39758E-2</v>
      </c>
      <c r="K71" s="13">
        <v>1.20897E-2</v>
      </c>
      <c r="L71" s="13">
        <v>1.1020853000000001E-2</v>
      </c>
      <c r="M71" s="13">
        <v>1.1450347E-2</v>
      </c>
      <c r="N71" s="13">
        <v>1.0903744999999999E-2</v>
      </c>
      <c r="O71" s="13">
        <v>9.9392369099999996E-3</v>
      </c>
      <c r="P71" s="13" t="s">
        <v>78</v>
      </c>
    </row>
    <row r="72" spans="1:16">
      <c r="A72" s="13" t="s">
        <v>364</v>
      </c>
      <c r="B72" s="13" t="s">
        <v>1</v>
      </c>
      <c r="C72" s="13" t="s">
        <v>61</v>
      </c>
      <c r="D72" s="13" t="s">
        <v>6</v>
      </c>
      <c r="E72" s="13">
        <v>1.6688700000000001E-2</v>
      </c>
      <c r="F72" s="13">
        <v>2.1488799999999999E-2</v>
      </c>
      <c r="G72" s="13">
        <v>2.1070200000000001E-2</v>
      </c>
      <c r="H72" s="13">
        <v>2.1070200000000001E-2</v>
      </c>
      <c r="I72" s="13">
        <v>7.9246639999999997E-3</v>
      </c>
      <c r="J72" s="13">
        <v>1.0947511E-2</v>
      </c>
      <c r="K72" s="13">
        <v>9.7177679999999999E-3</v>
      </c>
      <c r="L72" s="13">
        <v>1.02730659999999E-2</v>
      </c>
      <c r="M72" s="13">
        <v>2.19851729999999E-2</v>
      </c>
      <c r="N72" s="13">
        <v>2.7074445700000001E-2</v>
      </c>
      <c r="O72" s="13">
        <v>2.64207196E-2</v>
      </c>
      <c r="P72" s="13" t="s">
        <v>78</v>
      </c>
    </row>
    <row r="73" spans="1:16">
      <c r="A73" s="13" t="s">
        <v>364</v>
      </c>
      <c r="B73" s="13" t="s">
        <v>1</v>
      </c>
      <c r="C73" s="13" t="s">
        <v>191</v>
      </c>
      <c r="D73" s="13" t="s">
        <v>5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4">
        <v>0</v>
      </c>
      <c r="K73" s="14">
        <v>0</v>
      </c>
      <c r="L73" s="14">
        <v>0</v>
      </c>
      <c r="M73" s="14">
        <v>7.3493516000000001E-7</v>
      </c>
      <c r="N73" s="14">
        <v>3.2210839873999999E-4</v>
      </c>
      <c r="O73" s="13">
        <v>9.4481875479739894E-2</v>
      </c>
      <c r="P73" s="13" t="s">
        <v>78</v>
      </c>
    </row>
    <row r="74" spans="1:16">
      <c r="A74" s="13" t="s">
        <v>364</v>
      </c>
      <c r="B74" s="13" t="s">
        <v>1</v>
      </c>
      <c r="C74" s="13" t="s">
        <v>56</v>
      </c>
      <c r="D74" s="13" t="s">
        <v>3</v>
      </c>
      <c r="E74" s="13">
        <v>2.5953E-3</v>
      </c>
      <c r="F74" s="13">
        <v>5.4836900000000003E-3</v>
      </c>
      <c r="G74" s="13">
        <v>3.5999999999999999E-3</v>
      </c>
      <c r="H74" s="13">
        <v>1.1344099999999999E-2</v>
      </c>
      <c r="I74" s="13">
        <v>1.1659252E-2</v>
      </c>
      <c r="J74" s="13">
        <v>1.21536096E-2</v>
      </c>
      <c r="K74" s="13">
        <v>1.5170397299999999E-2</v>
      </c>
      <c r="L74" s="13">
        <v>2.6160032899999901E-2</v>
      </c>
      <c r="M74" s="13">
        <v>4.1307468010000001E-2</v>
      </c>
      <c r="N74" s="13">
        <v>4.6981811169999999E-2</v>
      </c>
      <c r="O74" s="13">
        <v>4.6617258549999999E-2</v>
      </c>
      <c r="P74" s="13" t="s">
        <v>78</v>
      </c>
    </row>
    <row r="75" spans="1:16">
      <c r="A75" s="13" t="s">
        <v>364</v>
      </c>
      <c r="B75" s="13" t="s">
        <v>1</v>
      </c>
      <c r="C75" s="13" t="s">
        <v>56</v>
      </c>
      <c r="D75" s="13" t="s">
        <v>4</v>
      </c>
      <c r="E75" s="13">
        <v>1.8837000000000001E-3</v>
      </c>
      <c r="F75" s="13">
        <v>3.1814E-3</v>
      </c>
      <c r="G75" s="13">
        <v>4.2278999999999997E-3</v>
      </c>
      <c r="H75" s="13">
        <v>4.6464999999999996E-3</v>
      </c>
      <c r="I75" s="13">
        <v>4.7696789999999998E-3</v>
      </c>
      <c r="J75" s="13">
        <v>4.7197723200000001E-3</v>
      </c>
      <c r="K75" s="13">
        <v>4.39294003999999E-3</v>
      </c>
      <c r="L75" s="13">
        <v>3.4306948599999998E-3</v>
      </c>
      <c r="M75" s="13">
        <v>2.4497305E-3</v>
      </c>
      <c r="N75" s="13">
        <v>1.9461998419999999E-3</v>
      </c>
      <c r="O75" s="13">
        <v>1.6789410669999999E-3</v>
      </c>
      <c r="P75" s="13" t="s">
        <v>78</v>
      </c>
    </row>
    <row r="76" spans="1:16">
      <c r="A76" s="13" t="s">
        <v>364</v>
      </c>
      <c r="B76" s="13" t="s">
        <v>1</v>
      </c>
      <c r="C76" s="13" t="s">
        <v>56</v>
      </c>
      <c r="D76" s="13" t="s">
        <v>5</v>
      </c>
      <c r="E76" s="13">
        <v>3.9306500000000001E-2</v>
      </c>
      <c r="F76" s="13">
        <v>0.143622</v>
      </c>
      <c r="G76" s="13">
        <v>0.14705399999999999</v>
      </c>
      <c r="H76" s="13">
        <v>0.17627200000000001</v>
      </c>
      <c r="I76" s="13">
        <v>0.17777074000000001</v>
      </c>
      <c r="J76" s="13">
        <v>0.17706372000000001</v>
      </c>
      <c r="K76" s="13">
        <v>0.18125822</v>
      </c>
      <c r="L76" s="13">
        <v>0.19883430999999999</v>
      </c>
      <c r="M76" s="13">
        <v>0.22194087000000001</v>
      </c>
      <c r="N76" s="13">
        <v>0.23330770200000001</v>
      </c>
      <c r="O76" s="13">
        <v>0.238881435999999</v>
      </c>
      <c r="P76" s="13" t="s">
        <v>78</v>
      </c>
    </row>
    <row r="77" spans="1:16">
      <c r="A77" s="13" t="s">
        <v>364</v>
      </c>
      <c r="B77" s="13" t="s">
        <v>1</v>
      </c>
      <c r="C77" s="13" t="s">
        <v>56</v>
      </c>
      <c r="D77" s="13" t="s">
        <v>6</v>
      </c>
      <c r="E77" s="13">
        <v>9.6065499999999998E-2</v>
      </c>
      <c r="F77" s="13">
        <v>7.1915400000000004E-2</v>
      </c>
      <c r="G77" s="13">
        <v>4.75948E-2</v>
      </c>
      <c r="H77" s="13">
        <v>2.2311399999999999E-2</v>
      </c>
      <c r="I77" s="13">
        <v>2.2861079999999999E-2</v>
      </c>
      <c r="J77" s="13">
        <v>2.3235814E-2</v>
      </c>
      <c r="K77" s="13">
        <v>2.582783E-2</v>
      </c>
      <c r="L77" s="13">
        <v>3.3465499499999898E-2</v>
      </c>
      <c r="M77" s="13">
        <v>4.0375389099999999E-2</v>
      </c>
      <c r="N77" s="13">
        <v>4.2214180400000002E-2</v>
      </c>
      <c r="O77" s="13">
        <v>4.0890456800000002E-2</v>
      </c>
      <c r="P77" s="13" t="s">
        <v>78</v>
      </c>
    </row>
    <row r="78" spans="1:16">
      <c r="A78" s="13" t="s">
        <v>364</v>
      </c>
      <c r="B78" s="13" t="s">
        <v>1</v>
      </c>
      <c r="C78" s="13" t="s">
        <v>56</v>
      </c>
      <c r="D78" s="13" t="s">
        <v>7</v>
      </c>
      <c r="E78" s="13">
        <v>0</v>
      </c>
      <c r="F78" s="13">
        <v>2.2174E-3</v>
      </c>
      <c r="G78" s="13">
        <v>5.9310599999999998E-2</v>
      </c>
      <c r="H78" s="13">
        <v>5.4361800000000002E-2</v>
      </c>
      <c r="I78" s="13">
        <v>5.5620059999999999E-2</v>
      </c>
      <c r="J78" s="13">
        <v>5.6155195900000003E-2</v>
      </c>
      <c r="K78" s="13">
        <v>5.9493482700000003E-2</v>
      </c>
      <c r="L78" s="13">
        <v>6.6661858500000004E-2</v>
      </c>
      <c r="M78" s="13">
        <v>7.1781423699999999E-2</v>
      </c>
      <c r="N78" s="13">
        <v>7.31083176E-2</v>
      </c>
      <c r="O78" s="13">
        <v>7.11315374E-2</v>
      </c>
      <c r="P78" s="13" t="s">
        <v>78</v>
      </c>
    </row>
    <row r="79" spans="1:16">
      <c r="A79" s="13" t="s">
        <v>364</v>
      </c>
      <c r="B79" s="13" t="s">
        <v>1</v>
      </c>
      <c r="C79" s="13" t="s">
        <v>20</v>
      </c>
      <c r="D79" s="13" t="s">
        <v>4</v>
      </c>
      <c r="E79" s="13">
        <v>0</v>
      </c>
      <c r="F79" s="13">
        <v>0</v>
      </c>
      <c r="G79" s="13">
        <v>1.6953300000000001E-2</v>
      </c>
      <c r="H79" s="13">
        <v>2.3106700000000001E-2</v>
      </c>
      <c r="I79" s="13">
        <v>2.2199400000000001E-2</v>
      </c>
      <c r="J79" s="14">
        <v>7.8633800000000003E-4</v>
      </c>
      <c r="K79" s="14">
        <v>1.48166E-4</v>
      </c>
      <c r="L79" s="14">
        <v>3.7636599999999998E-5</v>
      </c>
      <c r="M79" s="14">
        <v>1.3675100000000001E-5</v>
      </c>
      <c r="N79" s="14">
        <v>5.1626000000000003E-6</v>
      </c>
      <c r="O79" s="14">
        <v>2.4885800000000001E-6</v>
      </c>
      <c r="P79" s="13" t="s">
        <v>78</v>
      </c>
    </row>
    <row r="80" spans="1:16">
      <c r="A80" s="13" t="s">
        <v>364</v>
      </c>
      <c r="B80" s="13" t="s">
        <v>1</v>
      </c>
      <c r="C80" s="13" t="s">
        <v>20</v>
      </c>
      <c r="D80" s="13" t="s">
        <v>6</v>
      </c>
      <c r="E80" s="13">
        <v>0.23639399999999999</v>
      </c>
      <c r="F80" s="13">
        <v>1.18882</v>
      </c>
      <c r="G80" s="13">
        <v>1.5032799999999999</v>
      </c>
      <c r="H80" s="13">
        <v>1.8793899999999999</v>
      </c>
      <c r="I80" s="14">
        <v>1.8999299999999999</v>
      </c>
      <c r="J80" s="14">
        <v>1.9077200000000001</v>
      </c>
      <c r="K80" s="14">
        <v>1.88497</v>
      </c>
      <c r="L80" s="14">
        <v>1.8243499999999999</v>
      </c>
      <c r="M80" s="14">
        <v>1.7302599999999999</v>
      </c>
      <c r="N80" s="13">
        <v>1.6470899999999999</v>
      </c>
      <c r="O80" s="14">
        <v>1.5609200000000001</v>
      </c>
      <c r="P80" s="13" t="s">
        <v>78</v>
      </c>
    </row>
    <row r="81" spans="1:16">
      <c r="A81" s="13" t="s">
        <v>364</v>
      </c>
      <c r="B81" s="13" t="s">
        <v>1</v>
      </c>
      <c r="C81" s="13" t="s">
        <v>67</v>
      </c>
      <c r="D81" s="13" t="s">
        <v>2</v>
      </c>
      <c r="E81" s="13">
        <v>0</v>
      </c>
      <c r="F81" s="13">
        <v>0</v>
      </c>
      <c r="G81" s="13">
        <v>0</v>
      </c>
      <c r="H81" s="13">
        <v>0</v>
      </c>
      <c r="I81" s="14">
        <v>1.0846299999999999E-4</v>
      </c>
      <c r="J81" s="14">
        <v>3.605196E-4</v>
      </c>
      <c r="K81" s="14">
        <v>7.6757520000000001E-4</v>
      </c>
      <c r="L81" s="13">
        <v>1.2141857E-3</v>
      </c>
      <c r="M81" s="13">
        <v>1.7627046999999999E-3</v>
      </c>
      <c r="N81" s="13">
        <v>3.0690753000000002E-3</v>
      </c>
      <c r="O81" s="13">
        <v>4.9148539999999998E-3</v>
      </c>
      <c r="P81" s="13" t="s">
        <v>78</v>
      </c>
    </row>
    <row r="82" spans="1:16">
      <c r="A82" s="13" t="s">
        <v>364</v>
      </c>
      <c r="B82" s="13" t="s">
        <v>1</v>
      </c>
      <c r="C82" s="13" t="s">
        <v>67</v>
      </c>
      <c r="D82" s="13" t="s">
        <v>3</v>
      </c>
      <c r="E82" s="13">
        <v>0</v>
      </c>
      <c r="F82" s="13">
        <v>0</v>
      </c>
      <c r="G82" s="13">
        <v>0</v>
      </c>
      <c r="H82" s="13">
        <v>1.0884E-3</v>
      </c>
      <c r="I82" s="13">
        <v>1.4430559999999901E-3</v>
      </c>
      <c r="J82" s="13">
        <v>2.8252389999999998E-3</v>
      </c>
      <c r="K82" s="13">
        <v>5.4581359999999997E-3</v>
      </c>
      <c r="L82" s="13">
        <v>8.1179189999999995E-3</v>
      </c>
      <c r="M82" s="13">
        <v>7.9311009999999994E-3</v>
      </c>
      <c r="N82" s="13">
        <v>6.3822560000000002E-3</v>
      </c>
      <c r="O82" s="13">
        <v>4.3711449999999999E-3</v>
      </c>
      <c r="P82" s="13" t="s">
        <v>78</v>
      </c>
    </row>
    <row r="83" spans="1:16">
      <c r="A83" s="13" t="s">
        <v>364</v>
      </c>
      <c r="B83" s="13" t="s">
        <v>1</v>
      </c>
      <c r="C83" s="13" t="s">
        <v>67</v>
      </c>
      <c r="D83" s="13" t="s">
        <v>4</v>
      </c>
      <c r="E83" s="13">
        <v>0</v>
      </c>
      <c r="F83" s="13">
        <v>0</v>
      </c>
      <c r="G83" s="13">
        <v>0</v>
      </c>
      <c r="H83" s="13">
        <v>0</v>
      </c>
      <c r="I83" s="14">
        <v>1.8147E-3</v>
      </c>
      <c r="J83" s="14">
        <v>3.7479699999999898E-3</v>
      </c>
      <c r="K83" s="14">
        <v>4.9871050000000004E-3</v>
      </c>
      <c r="L83" s="13">
        <v>4.8496519999999899E-3</v>
      </c>
      <c r="M83" s="13">
        <v>3.762011E-3</v>
      </c>
      <c r="N83" s="13">
        <v>2.7643439999999902E-3</v>
      </c>
      <c r="O83" s="13">
        <v>1.9589579999999998E-3</v>
      </c>
      <c r="P83" s="13" t="s">
        <v>78</v>
      </c>
    </row>
    <row r="84" spans="1:16">
      <c r="A84" s="13" t="s">
        <v>364</v>
      </c>
      <c r="B84" s="13" t="s">
        <v>1</v>
      </c>
      <c r="C84" s="13" t="s">
        <v>67</v>
      </c>
      <c r="D84" s="13" t="s">
        <v>5</v>
      </c>
      <c r="E84" s="13">
        <v>0</v>
      </c>
      <c r="F84" s="13">
        <v>0</v>
      </c>
      <c r="G84" s="13">
        <v>0</v>
      </c>
      <c r="H84" s="13">
        <v>0</v>
      </c>
      <c r="I84" s="14">
        <v>8.3984099999999994E-5</v>
      </c>
      <c r="J84" s="14">
        <v>2.7583000000000002E-4</v>
      </c>
      <c r="K84" s="14">
        <v>5.550326E-4</v>
      </c>
      <c r="L84" s="14">
        <v>8.2710610000000001E-4</v>
      </c>
      <c r="M84" s="14">
        <v>1.1020617999999999E-3</v>
      </c>
      <c r="N84" s="13">
        <v>1.7917454999999999E-3</v>
      </c>
      <c r="O84" s="13">
        <v>2.8354053000000001E-3</v>
      </c>
      <c r="P84" s="13" t="s">
        <v>78</v>
      </c>
    </row>
    <row r="85" spans="1:16">
      <c r="A85" s="13" t="s">
        <v>364</v>
      </c>
      <c r="B85" s="13" t="s">
        <v>1</v>
      </c>
      <c r="C85" s="13" t="s">
        <v>67</v>
      </c>
      <c r="D85" s="13" t="s">
        <v>6</v>
      </c>
      <c r="E85" s="13">
        <v>2.1348599999999999E-2</v>
      </c>
      <c r="F85" s="13">
        <v>2.5199699999999998E-2</v>
      </c>
      <c r="G85" s="13">
        <v>3.4157800000000002E-2</v>
      </c>
      <c r="H85" s="14">
        <v>3.4408800000000003E-2</v>
      </c>
      <c r="I85" s="14">
        <v>3.237922E-2</v>
      </c>
      <c r="J85" s="13">
        <v>2.6265299999999998E-2</v>
      </c>
      <c r="K85" s="13">
        <v>1.9324350000000001E-2</v>
      </c>
      <c r="L85" s="13">
        <v>1.4091543999999999E-2</v>
      </c>
      <c r="M85" s="13">
        <v>1.20440399999999E-2</v>
      </c>
      <c r="N85" s="13">
        <v>9.9158400000000004E-3</v>
      </c>
      <c r="O85" s="13">
        <v>7.6969159999999998E-3</v>
      </c>
      <c r="P85" s="13" t="s">
        <v>78</v>
      </c>
    </row>
    <row r="86" spans="1:16">
      <c r="A86" s="13" t="s">
        <v>364</v>
      </c>
      <c r="B86" s="13" t="s">
        <v>1</v>
      </c>
      <c r="C86" s="13" t="s">
        <v>67</v>
      </c>
      <c r="D86" s="13" t="s">
        <v>7</v>
      </c>
      <c r="E86" s="13">
        <v>0</v>
      </c>
      <c r="F86" s="13">
        <v>0</v>
      </c>
      <c r="G86" s="13">
        <v>0</v>
      </c>
      <c r="H86" s="14">
        <v>3.3489899999999999E-4</v>
      </c>
      <c r="I86" s="14">
        <v>9.1609600000000003E-4</v>
      </c>
      <c r="J86" s="13">
        <v>2.2372920000000001E-3</v>
      </c>
      <c r="K86" s="13">
        <v>4.107772E-3</v>
      </c>
      <c r="L86" s="13">
        <v>5.3785220000000002E-3</v>
      </c>
      <c r="M86" s="13">
        <v>5.4848620000000001E-3</v>
      </c>
      <c r="N86" s="13">
        <v>5.4685529999999897E-3</v>
      </c>
      <c r="O86" s="13">
        <v>5.0805060000000003E-3</v>
      </c>
      <c r="P86" s="13" t="s">
        <v>78</v>
      </c>
    </row>
    <row r="87" spans="1:16">
      <c r="A87" s="13" t="s">
        <v>364</v>
      </c>
      <c r="B87" s="13" t="s">
        <v>1</v>
      </c>
      <c r="C87" s="13" t="s">
        <v>21</v>
      </c>
      <c r="D87" s="13" t="s">
        <v>6</v>
      </c>
      <c r="E87" s="13">
        <v>3.2608900000000003E-2</v>
      </c>
      <c r="F87" s="13">
        <v>5.08599E-2</v>
      </c>
      <c r="G87" s="13">
        <v>5.3873799999999999E-2</v>
      </c>
      <c r="H87" s="13">
        <v>4.94367E-2</v>
      </c>
      <c r="I87" s="13">
        <v>5.1756900000000002E-2</v>
      </c>
      <c r="J87" s="13">
        <v>5.0977500000000002E-2</v>
      </c>
      <c r="K87" s="13">
        <v>5.0663300000000001E-2</v>
      </c>
      <c r="L87" s="13">
        <v>5.02832E-2</v>
      </c>
      <c r="M87" s="13">
        <v>4.8282600000000002E-2</v>
      </c>
      <c r="N87" s="13">
        <v>4.6129299999999998E-2</v>
      </c>
      <c r="O87" s="13">
        <v>4.4284900000000002E-2</v>
      </c>
      <c r="P87" s="13" t="s">
        <v>78</v>
      </c>
    </row>
    <row r="88" spans="1:16">
      <c r="A88" s="13" t="s">
        <v>364</v>
      </c>
      <c r="B88" s="13" t="s">
        <v>1</v>
      </c>
      <c r="C88" s="13" t="s">
        <v>32</v>
      </c>
      <c r="D88" s="13" t="s">
        <v>2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2.1803321000000001E-2</v>
      </c>
      <c r="K88" s="13">
        <v>8.1806090999999997E-2</v>
      </c>
      <c r="L88" s="13">
        <v>0.16078330599999999</v>
      </c>
      <c r="M88" s="13">
        <v>0.2359516985</v>
      </c>
      <c r="N88" s="13">
        <v>0.322613926</v>
      </c>
      <c r="O88" s="13">
        <v>0.40417167300000001</v>
      </c>
      <c r="P88" s="13" t="s">
        <v>78</v>
      </c>
    </row>
    <row r="89" spans="1:16">
      <c r="A89" s="13" t="s">
        <v>364</v>
      </c>
      <c r="B89" s="13" t="s">
        <v>1</v>
      </c>
      <c r="C89" s="13" t="s">
        <v>32</v>
      </c>
      <c r="D89" s="13" t="s">
        <v>4</v>
      </c>
      <c r="E89" s="13">
        <v>0.24249380000000001</v>
      </c>
      <c r="F89" s="13">
        <v>0</v>
      </c>
      <c r="G89" s="13">
        <v>0</v>
      </c>
      <c r="H89" s="13">
        <v>0.85360729999999996</v>
      </c>
      <c r="I89" s="13">
        <v>0.95530557000000005</v>
      </c>
      <c r="J89" s="13">
        <v>0.93519775699999996</v>
      </c>
      <c r="K89" s="13">
        <v>0.78766154899999996</v>
      </c>
      <c r="L89" s="13">
        <v>0.59747946399999896</v>
      </c>
      <c r="M89" s="13">
        <v>0.45780959469999999</v>
      </c>
      <c r="N89" s="13">
        <v>0.332828972</v>
      </c>
      <c r="O89" s="13">
        <v>0.221125235999999</v>
      </c>
      <c r="P89" s="13" t="s">
        <v>78</v>
      </c>
    </row>
    <row r="90" spans="1:16">
      <c r="A90" s="13" t="s">
        <v>364</v>
      </c>
      <c r="B90" s="13" t="s">
        <v>1</v>
      </c>
      <c r="C90" s="13" t="s">
        <v>32</v>
      </c>
      <c r="D90" s="13" t="s">
        <v>5</v>
      </c>
      <c r="E90" s="13">
        <v>3.6208699999999899E-2</v>
      </c>
      <c r="F90" s="13">
        <v>0.15555249999999901</v>
      </c>
      <c r="G90" s="13">
        <v>0.17736209999999999</v>
      </c>
      <c r="H90" s="13">
        <v>0.19544590000000001</v>
      </c>
      <c r="I90" s="13">
        <v>0.21564140000000001</v>
      </c>
      <c r="J90" s="13">
        <v>0.24752032560000001</v>
      </c>
      <c r="K90" s="13">
        <v>0.28619461390000001</v>
      </c>
      <c r="L90" s="13">
        <v>0.32013132769999902</v>
      </c>
      <c r="M90" s="13">
        <v>0.33884387029999902</v>
      </c>
      <c r="N90" s="13">
        <v>0.35200257229999998</v>
      </c>
      <c r="O90" s="13">
        <v>0.35918974619999999</v>
      </c>
      <c r="P90" s="13" t="s">
        <v>78</v>
      </c>
    </row>
    <row r="91" spans="1:16">
      <c r="A91" s="13" t="s">
        <v>364</v>
      </c>
      <c r="B91" s="13" t="s">
        <v>1</v>
      </c>
      <c r="C91" s="13" t="s">
        <v>32</v>
      </c>
      <c r="D91" s="13" t="s">
        <v>6</v>
      </c>
      <c r="E91" s="13">
        <v>3.8468599999999999E-2</v>
      </c>
      <c r="F91" s="13">
        <v>2.4488900000000001E-2</v>
      </c>
      <c r="G91" s="13">
        <v>1.180294E-2</v>
      </c>
      <c r="H91" s="13">
        <v>4.18857E-3</v>
      </c>
      <c r="I91" s="13">
        <v>4.7637663999999897E-3</v>
      </c>
      <c r="J91" s="13">
        <v>6.2766001674999898E-3</v>
      </c>
      <c r="K91" s="13">
        <v>8.3613009976999993E-3</v>
      </c>
      <c r="L91" s="13">
        <v>1.07452363436999E-2</v>
      </c>
      <c r="M91" s="13">
        <v>1.14484221458E-2</v>
      </c>
      <c r="N91" s="13">
        <v>1.0965914187999901E-2</v>
      </c>
      <c r="O91" s="13">
        <v>9.8124817491000004E-3</v>
      </c>
      <c r="P91" s="13" t="s">
        <v>78</v>
      </c>
    </row>
    <row r="92" spans="1:16">
      <c r="A92" s="13" t="s">
        <v>364</v>
      </c>
      <c r="B92" s="13" t="s">
        <v>1</v>
      </c>
      <c r="C92" s="13" t="s">
        <v>32</v>
      </c>
      <c r="D92" s="13" t="s">
        <v>7</v>
      </c>
      <c r="E92" s="13">
        <v>0</v>
      </c>
      <c r="F92" s="13">
        <v>3.8468449999999897E-2</v>
      </c>
      <c r="G92" s="13">
        <v>6.6977980000000006E-2</v>
      </c>
      <c r="H92" s="13">
        <v>6.3962699999999997E-2</v>
      </c>
      <c r="I92" s="14">
        <v>7.4281705700000006E-2</v>
      </c>
      <c r="J92" s="14">
        <v>0.10066163950899901</v>
      </c>
      <c r="K92" s="14">
        <v>0.13740353711699901</v>
      </c>
      <c r="L92" s="14">
        <v>0.18262589286199901</v>
      </c>
      <c r="M92" s="14">
        <v>0.19532663001719999</v>
      </c>
      <c r="N92" s="14">
        <v>0.184747118652</v>
      </c>
      <c r="O92" s="14">
        <v>0.160855538209</v>
      </c>
      <c r="P92" s="13" t="s">
        <v>78</v>
      </c>
    </row>
    <row r="93" spans="1:16">
      <c r="A93" s="13" t="s">
        <v>364</v>
      </c>
      <c r="B93" s="13" t="s">
        <v>1</v>
      </c>
      <c r="C93" s="13" t="s">
        <v>66</v>
      </c>
      <c r="D93" s="13" t="s">
        <v>2</v>
      </c>
      <c r="E93" s="13">
        <v>0</v>
      </c>
      <c r="F93" s="13">
        <v>0</v>
      </c>
      <c r="G93" s="13">
        <v>0</v>
      </c>
      <c r="H93" s="13">
        <v>0</v>
      </c>
      <c r="I93" s="14">
        <v>6.2479099999999998E-6</v>
      </c>
      <c r="J93" s="14">
        <v>2.6098959999999999E-5</v>
      </c>
      <c r="K93" s="14">
        <v>6.4430760000000004E-5</v>
      </c>
      <c r="L93" s="14">
        <v>1.0816323E-4</v>
      </c>
      <c r="M93" s="14">
        <v>1.4722684000000001E-4</v>
      </c>
      <c r="N93" s="14">
        <v>2.1232869E-4</v>
      </c>
      <c r="O93" s="14">
        <v>2.8159950000000001E-4</v>
      </c>
      <c r="P93" s="13" t="s">
        <v>78</v>
      </c>
    </row>
    <row r="94" spans="1:16">
      <c r="A94" s="13" t="s">
        <v>364</v>
      </c>
      <c r="B94" s="13" t="s">
        <v>1</v>
      </c>
      <c r="C94" s="13" t="s">
        <v>66</v>
      </c>
      <c r="D94" s="13" t="s">
        <v>5</v>
      </c>
      <c r="E94" s="13">
        <v>3.6418100000000001E-3</v>
      </c>
      <c r="F94" s="13">
        <v>4.7302400000000001E-3</v>
      </c>
      <c r="G94" s="13">
        <v>6.0696700000000001E-3</v>
      </c>
      <c r="H94" s="13">
        <v>5.86039E-3</v>
      </c>
      <c r="I94" s="13">
        <v>5.5990809999999997E-3</v>
      </c>
      <c r="J94" s="13">
        <v>4.9509599999999999E-3</v>
      </c>
      <c r="K94" s="13">
        <v>4.3514920000000002E-3</v>
      </c>
      <c r="L94" s="13">
        <v>3.9601009999999997E-3</v>
      </c>
      <c r="M94" s="13">
        <v>3.9320370000000002E-3</v>
      </c>
      <c r="N94" s="13">
        <v>4.1772620000000002E-3</v>
      </c>
      <c r="O94" s="13">
        <v>4.5009709999999899E-3</v>
      </c>
      <c r="P94" s="13" t="s">
        <v>78</v>
      </c>
    </row>
    <row r="95" spans="1:16">
      <c r="A95" s="13" t="s">
        <v>364</v>
      </c>
      <c r="B95" s="13" t="s">
        <v>1</v>
      </c>
      <c r="C95" s="13" t="s">
        <v>66</v>
      </c>
      <c r="D95" s="13" t="s">
        <v>6</v>
      </c>
      <c r="E95" s="13">
        <v>4.7302200000000003E-3</v>
      </c>
      <c r="F95" s="13">
        <v>2.4697199999999999E-3</v>
      </c>
      <c r="G95" s="13">
        <v>3.5580799999999999E-3</v>
      </c>
      <c r="H95" s="13">
        <v>2.679E-3</v>
      </c>
      <c r="I95" s="14">
        <v>2.7432239999999998E-3</v>
      </c>
      <c r="J95" s="13">
        <v>2.7741699999999998E-3</v>
      </c>
      <c r="K95" s="13">
        <v>2.902712E-3</v>
      </c>
      <c r="L95" s="13">
        <v>2.869693E-3</v>
      </c>
      <c r="M95" s="13">
        <v>2.4986090000000002E-3</v>
      </c>
      <c r="N95" s="13">
        <v>1.9015149999999899E-3</v>
      </c>
      <c r="O95" s="13">
        <v>1.277074E-3</v>
      </c>
      <c r="P95" s="13" t="s">
        <v>78</v>
      </c>
    </row>
    <row r="96" spans="1:16">
      <c r="A96" s="13" t="s">
        <v>364</v>
      </c>
      <c r="B96" s="13" t="s">
        <v>1</v>
      </c>
      <c r="C96" s="13" t="s">
        <v>68</v>
      </c>
      <c r="D96" s="13" t="s">
        <v>2</v>
      </c>
      <c r="E96" s="13">
        <v>0</v>
      </c>
      <c r="F96" s="13">
        <v>0</v>
      </c>
      <c r="G96" s="13">
        <v>0</v>
      </c>
      <c r="H96" s="13">
        <v>0</v>
      </c>
      <c r="I96" s="14">
        <v>8.3085699999999995E-4</v>
      </c>
      <c r="J96" s="13">
        <v>1.3514599999999901E-3</v>
      </c>
      <c r="K96" s="13">
        <v>5.59367799999999E-3</v>
      </c>
      <c r="L96" s="13">
        <v>2.110366E-2</v>
      </c>
      <c r="M96" s="13">
        <v>5.1782118000000002E-2</v>
      </c>
      <c r="N96" s="13">
        <v>7.9430214299999996E-2</v>
      </c>
      <c r="O96" s="13">
        <v>0.1045334272</v>
      </c>
      <c r="P96" s="13" t="s">
        <v>78</v>
      </c>
    </row>
    <row r="97" spans="1:16">
      <c r="A97" s="13" t="s">
        <v>364</v>
      </c>
      <c r="B97" s="13" t="s">
        <v>1</v>
      </c>
      <c r="C97" s="13" t="s">
        <v>68</v>
      </c>
      <c r="D97" s="13" t="s">
        <v>3</v>
      </c>
      <c r="E97" s="13">
        <v>7.4416999999999999E-3</v>
      </c>
      <c r="F97" s="13">
        <v>6.2898999999999997E-2</v>
      </c>
      <c r="G97" s="13">
        <v>8.7590000000000001E-2</v>
      </c>
      <c r="H97" s="13">
        <v>0.109571</v>
      </c>
      <c r="I97" s="13">
        <v>0.121213866</v>
      </c>
      <c r="J97" s="13">
        <v>0.12325723599999901</v>
      </c>
      <c r="K97" s="13">
        <v>0.14223148599999999</v>
      </c>
      <c r="L97" s="13">
        <v>0.186734234</v>
      </c>
      <c r="M97" s="13">
        <v>0.18480828199999999</v>
      </c>
      <c r="N97" s="13">
        <v>0.165176608</v>
      </c>
      <c r="O97" s="13">
        <v>0.1355841515</v>
      </c>
      <c r="P97" s="13" t="s">
        <v>78</v>
      </c>
    </row>
    <row r="98" spans="1:16">
      <c r="A98" s="13" t="s">
        <v>364</v>
      </c>
      <c r="B98" s="13" t="s">
        <v>1</v>
      </c>
      <c r="C98" s="13" t="s">
        <v>68</v>
      </c>
      <c r="D98" s="13" t="s">
        <v>4</v>
      </c>
      <c r="E98" s="13">
        <v>0.24647140000000001</v>
      </c>
      <c r="F98" s="13">
        <v>0.70186700000000002</v>
      </c>
      <c r="G98" s="13">
        <v>0.908613</v>
      </c>
      <c r="H98" s="13">
        <v>0.31868059999999998</v>
      </c>
      <c r="I98" s="13">
        <v>0.37101046999999998</v>
      </c>
      <c r="J98" s="13">
        <v>0.365764274</v>
      </c>
      <c r="K98" s="13">
        <v>0.33644490100000002</v>
      </c>
      <c r="L98" s="13">
        <v>0.24491365000000001</v>
      </c>
      <c r="M98" s="13">
        <v>0.13320955499999901</v>
      </c>
      <c r="N98" s="13">
        <v>6.8789322999999999E-2</v>
      </c>
      <c r="O98" s="13">
        <v>3.8129195099999902E-2</v>
      </c>
      <c r="P98" s="13" t="s">
        <v>78</v>
      </c>
    </row>
    <row r="99" spans="1:16">
      <c r="A99" s="13" t="s">
        <v>364</v>
      </c>
      <c r="B99" s="13" t="s">
        <v>1</v>
      </c>
      <c r="C99" s="13" t="s">
        <v>68</v>
      </c>
      <c r="D99" s="13" t="s">
        <v>5</v>
      </c>
      <c r="E99" s="13">
        <v>0.11110399999999999</v>
      </c>
      <c r="F99" s="13">
        <v>0.328934</v>
      </c>
      <c r="G99" s="13">
        <v>0.46490999999999999</v>
      </c>
      <c r="H99" s="13">
        <v>0.54062200000000005</v>
      </c>
      <c r="I99" s="13">
        <v>0.56406990000000001</v>
      </c>
      <c r="J99" s="13">
        <v>0.55752809999999997</v>
      </c>
      <c r="K99" s="13">
        <v>0.54130520000000004</v>
      </c>
      <c r="L99" s="13">
        <v>0.50736629999999905</v>
      </c>
      <c r="M99" s="13">
        <v>0.50178329999999904</v>
      </c>
      <c r="N99" s="13">
        <v>0.53018094000000004</v>
      </c>
      <c r="O99" s="13">
        <v>0.57637419000000001</v>
      </c>
      <c r="P99" s="13" t="s">
        <v>78</v>
      </c>
    </row>
    <row r="100" spans="1:16">
      <c r="A100" s="13" t="s">
        <v>364</v>
      </c>
      <c r="B100" s="13" t="s">
        <v>1</v>
      </c>
      <c r="C100" s="13" t="s">
        <v>68</v>
      </c>
      <c r="D100" s="13" t="s">
        <v>6</v>
      </c>
      <c r="E100" s="13">
        <v>0.26414799999999999</v>
      </c>
      <c r="F100" s="13">
        <v>0.32156439999999997</v>
      </c>
      <c r="G100" s="13">
        <v>0.25188080000000002</v>
      </c>
      <c r="H100" s="13">
        <v>0.1744762</v>
      </c>
      <c r="I100" s="13">
        <v>0.19083819999999899</v>
      </c>
      <c r="J100" s="13">
        <v>0.19098498999999899</v>
      </c>
      <c r="K100" s="13">
        <v>0.19853189999999901</v>
      </c>
      <c r="L100" s="13">
        <v>0.21146158000000001</v>
      </c>
      <c r="M100" s="13">
        <v>0.208682809999999</v>
      </c>
      <c r="N100" s="13">
        <v>0.19303115800000001</v>
      </c>
      <c r="O100" s="13">
        <v>0.167676567</v>
      </c>
      <c r="P100" s="13" t="s">
        <v>78</v>
      </c>
    </row>
    <row r="101" spans="1:16">
      <c r="A101" s="13" t="s">
        <v>364</v>
      </c>
      <c r="B101" s="13" t="s">
        <v>1</v>
      </c>
      <c r="C101" s="13" t="s">
        <v>68</v>
      </c>
      <c r="D101" s="13" t="s">
        <v>7</v>
      </c>
      <c r="E101" s="13">
        <v>0</v>
      </c>
      <c r="F101" s="13">
        <v>0.15593839999999901</v>
      </c>
      <c r="G101" s="13">
        <v>0.17796200000000001</v>
      </c>
      <c r="H101" s="13">
        <v>0.22577359999999999</v>
      </c>
      <c r="I101" s="13">
        <v>0.24774593</v>
      </c>
      <c r="J101" s="13">
        <v>0.24726259</v>
      </c>
      <c r="K101" s="13">
        <v>0.2527104</v>
      </c>
      <c r="L101" s="13">
        <v>0.24750560999999999</v>
      </c>
      <c r="M101" s="13">
        <v>0.21799511999999999</v>
      </c>
      <c r="N101" s="13">
        <v>0.19002163999999999</v>
      </c>
      <c r="O101" s="13">
        <v>0.16266531199999901</v>
      </c>
      <c r="P101" s="13" t="s">
        <v>78</v>
      </c>
    </row>
    <row r="102" spans="1:16">
      <c r="A102" s="13" t="s">
        <v>364</v>
      </c>
      <c r="B102" s="13" t="s">
        <v>1</v>
      </c>
      <c r="C102" s="13" t="s">
        <v>22</v>
      </c>
      <c r="D102" s="13" t="s">
        <v>6</v>
      </c>
      <c r="E102" s="13">
        <v>0</v>
      </c>
      <c r="F102" s="13">
        <v>3.1394999999999999E-2</v>
      </c>
      <c r="G102" s="13">
        <v>3.1520699999999999E-2</v>
      </c>
      <c r="H102" s="13">
        <v>2.9218299999999999E-2</v>
      </c>
      <c r="I102" s="13">
        <v>3.3638300000000003E-2</v>
      </c>
      <c r="J102" s="13">
        <v>3.4677699999999999E-2</v>
      </c>
      <c r="K102" s="13">
        <v>4.2918900000000003E-2</v>
      </c>
      <c r="L102" s="13">
        <v>6.74979E-2</v>
      </c>
      <c r="M102" s="13">
        <v>9.6563800000000005E-2</v>
      </c>
      <c r="N102" s="13">
        <v>0.115352</v>
      </c>
      <c r="O102" s="13">
        <v>0.12872800000000001</v>
      </c>
    </row>
    <row r="103" spans="1:16">
      <c r="A103" s="13" t="s">
        <v>364</v>
      </c>
      <c r="B103" s="13" t="s">
        <v>1</v>
      </c>
      <c r="C103" s="13" t="s">
        <v>190</v>
      </c>
      <c r="D103" s="13" t="s">
        <v>7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4">
        <v>0</v>
      </c>
      <c r="K103" s="14">
        <v>0</v>
      </c>
      <c r="L103" s="14">
        <v>0</v>
      </c>
      <c r="M103" s="14">
        <v>3.2378499999999998E-6</v>
      </c>
      <c r="N103" s="14">
        <v>1.4138899999999999E-3</v>
      </c>
      <c r="O103" s="13">
        <v>0.40680300000000003</v>
      </c>
    </row>
    <row r="105" spans="1:16">
      <c r="A105" s="1" t="s">
        <v>182</v>
      </c>
      <c r="E105" s="13">
        <v>1990</v>
      </c>
      <c r="F105" s="13">
        <v>2005</v>
      </c>
      <c r="G105" s="13">
        <v>2010</v>
      </c>
      <c r="H105" s="13">
        <v>2015</v>
      </c>
      <c r="I105" s="13">
        <v>2020</v>
      </c>
      <c r="J105" s="13">
        <v>2025</v>
      </c>
      <c r="K105" s="13">
        <v>2030</v>
      </c>
      <c r="L105" s="13">
        <v>2035</v>
      </c>
      <c r="M105" s="13">
        <v>2040</v>
      </c>
      <c r="N105" s="13">
        <v>2045</v>
      </c>
      <c r="O105" s="13">
        <v>2050</v>
      </c>
    </row>
    <row r="106" spans="1:16">
      <c r="C106" s="13" t="s">
        <v>183</v>
      </c>
      <c r="E106" s="13">
        <f>E90/D54</f>
        <v>0.10655282349914232</v>
      </c>
      <c r="F106" s="13">
        <f t="shared" ref="F106:O106" si="11">F90/E54</f>
        <v>0.12166284495935462</v>
      </c>
      <c r="G106" s="13">
        <f t="shared" si="11"/>
        <v>0.10962527067176152</v>
      </c>
      <c r="H106" s="13">
        <f t="shared" si="11"/>
        <v>0.1098043644336545</v>
      </c>
      <c r="I106" s="13">
        <f t="shared" si="11"/>
        <v>0.11723529944818052</v>
      </c>
      <c r="J106" s="13">
        <f t="shared" si="11"/>
        <v>0.1281618529273307</v>
      </c>
      <c r="K106" s="13">
        <f t="shared" si="11"/>
        <v>0.141356787123355</v>
      </c>
      <c r="L106" s="13">
        <f t="shared" si="11"/>
        <v>0.1507207830384194</v>
      </c>
      <c r="M106" s="13">
        <f t="shared" si="11"/>
        <v>0.14778931060768485</v>
      </c>
      <c r="N106" s="13">
        <f t="shared" si="11"/>
        <v>0.14041125377669619</v>
      </c>
      <c r="O106" s="13">
        <f t="shared" si="11"/>
        <v>0.12825805990615399</v>
      </c>
    </row>
    <row r="107" spans="1:16">
      <c r="C107" s="13" t="s">
        <v>184</v>
      </c>
      <c r="E107" s="13">
        <f>IFERROR(E88/D56,0)</f>
        <v>0</v>
      </c>
      <c r="F107" s="13">
        <f t="shared" ref="F107:N107" si="12">IFERROR(F88/E56,0)</f>
        <v>0</v>
      </c>
      <c r="G107" s="13">
        <f t="shared" si="12"/>
        <v>0</v>
      </c>
      <c r="H107" s="13">
        <f t="shared" si="12"/>
        <v>0</v>
      </c>
      <c r="I107" s="13">
        <f t="shared" si="12"/>
        <v>0</v>
      </c>
      <c r="J107" s="13">
        <f t="shared" si="12"/>
        <v>0.62598752327129548</v>
      </c>
      <c r="K107" s="13">
        <f t="shared" si="12"/>
        <v>0.67555950443005031</v>
      </c>
      <c r="L107" s="13">
        <f t="shared" si="12"/>
        <v>0.65413771825777489</v>
      </c>
      <c r="M107" s="13">
        <f t="shared" si="12"/>
        <v>0.60313159835852892</v>
      </c>
      <c r="N107" s="13">
        <f t="shared" si="12"/>
        <v>0.59916945537483346</v>
      </c>
      <c r="O107" s="13">
        <f>IFERROR(O88/N56,0)</f>
        <v>0.60260872100096985</v>
      </c>
    </row>
    <row r="108" spans="1:16">
      <c r="P108" s="13" t="s">
        <v>76</v>
      </c>
    </row>
    <row r="109" spans="1:16">
      <c r="C109" s="13" t="s">
        <v>185</v>
      </c>
      <c r="E109" s="13">
        <f>SUM(E19:E23)*E106</f>
        <v>3.6680562512285286</v>
      </c>
      <c r="F109" s="13">
        <f t="shared" ref="F109:O109" si="13">SUM(F19:F23)*F106</f>
        <v>21.135632832528746</v>
      </c>
      <c r="G109" s="13">
        <f t="shared" si="13"/>
        <v>26.968085566588716</v>
      </c>
      <c r="H109" s="13">
        <f t="shared" si="13"/>
        <v>27.846403570287816</v>
      </c>
      <c r="I109" s="13">
        <f t="shared" si="13"/>
        <v>28.001200242680444</v>
      </c>
      <c r="J109" s="13">
        <f t="shared" si="13"/>
        <v>26.462699365544179</v>
      </c>
      <c r="K109" s="13">
        <f t="shared" si="13"/>
        <v>17.884876059673545</v>
      </c>
      <c r="L109" s="13">
        <f t="shared" si="13"/>
        <v>10.042523238154425</v>
      </c>
      <c r="M109" s="13">
        <f t="shared" si="13"/>
        <v>3.8474584644471883</v>
      </c>
      <c r="N109" s="13">
        <f t="shared" si="13"/>
        <v>-1.0262289875601793</v>
      </c>
      <c r="O109" s="13">
        <f t="shared" si="13"/>
        <v>-2.5499319604269819</v>
      </c>
      <c r="P109" s="13" t="s">
        <v>171</v>
      </c>
    </row>
    <row r="110" spans="1:16">
      <c r="C110" s="13" t="s">
        <v>186</v>
      </c>
      <c r="E110" s="13">
        <f>SUM(E3:E4)*E107</f>
        <v>0</v>
      </c>
      <c r="F110" s="13">
        <f t="shared" ref="F110:O110" si="14">SUM(F3:F4)*F107</f>
        <v>0</v>
      </c>
      <c r="G110" s="13">
        <f t="shared" si="14"/>
        <v>0</v>
      </c>
      <c r="H110" s="13">
        <f t="shared" si="14"/>
        <v>0</v>
      </c>
      <c r="I110" s="13">
        <f t="shared" si="14"/>
        <v>0</v>
      </c>
      <c r="J110" s="13">
        <f t="shared" si="14"/>
        <v>1.1130630932262162</v>
      </c>
      <c r="K110" s="13">
        <f t="shared" si="14"/>
        <v>3.3651989830385989</v>
      </c>
      <c r="L110" s="13">
        <f t="shared" si="14"/>
        <v>2.2428816450045126</v>
      </c>
      <c r="M110" s="13">
        <f t="shared" si="14"/>
        <v>-3.7909030482722774</v>
      </c>
      <c r="N110" s="13">
        <f t="shared" si="14"/>
        <v>-6.1736884967334547</v>
      </c>
      <c r="O110" s="13">
        <f t="shared" si="14"/>
        <v>-5.8289656914782562</v>
      </c>
      <c r="P110" s="13" t="s">
        <v>171</v>
      </c>
    </row>
    <row r="111" spans="1:16">
      <c r="O111" s="13">
        <v>-16.449281558430421</v>
      </c>
      <c r="P111" s="13">
        <f>O110/O111</f>
        <v>0.35435989534089124</v>
      </c>
    </row>
    <row r="112" spans="1:16">
      <c r="A112" s="1" t="s">
        <v>187</v>
      </c>
    </row>
    <row r="113" spans="4:13">
      <c r="E113" s="13">
        <v>2015</v>
      </c>
      <c r="F113" s="13">
        <v>2020</v>
      </c>
      <c r="G113" s="13">
        <v>2025</v>
      </c>
      <c r="H113" s="13">
        <v>2030</v>
      </c>
      <c r="I113" s="13">
        <v>2035</v>
      </c>
      <c r="J113" s="13">
        <v>2040</v>
      </c>
      <c r="K113" s="13">
        <v>2045</v>
      </c>
      <c r="L113" s="13">
        <v>2050</v>
      </c>
      <c r="M113" s="13" t="s">
        <v>76</v>
      </c>
    </row>
    <row r="114" spans="4:13">
      <c r="D114" s="13" t="s">
        <v>188</v>
      </c>
      <c r="E114" s="13">
        <f>H26</f>
        <v>89.060708206792015</v>
      </c>
      <c r="F114" s="13">
        <f t="shared" ref="F114:K114" si="15">I26</f>
        <v>99.8003501359415</v>
      </c>
      <c r="G114" s="13">
        <f t="shared" si="15"/>
        <v>99.009920350043359</v>
      </c>
      <c r="H114" s="13">
        <f t="shared" si="15"/>
        <v>84.909895034128354</v>
      </c>
      <c r="I114" s="13">
        <f t="shared" si="15"/>
        <v>64.448597308976161</v>
      </c>
      <c r="J114" s="13">
        <f t="shared" si="15"/>
        <v>46.511210432800709</v>
      </c>
      <c r="K114" s="13">
        <f t="shared" si="15"/>
        <v>28.572115960747432</v>
      </c>
      <c r="L114" s="13">
        <f>O26</f>
        <v>15.374534697286983</v>
      </c>
      <c r="M114" s="13" t="s">
        <v>171</v>
      </c>
    </row>
    <row r="115" spans="4:13">
      <c r="D115" s="13" t="s">
        <v>185</v>
      </c>
      <c r="E115" s="13">
        <f>H109</f>
        <v>27.846403570287816</v>
      </c>
      <c r="F115" s="13">
        <f t="shared" ref="F115:L115" si="16">I109</f>
        <v>28.001200242680444</v>
      </c>
      <c r="G115" s="13">
        <f t="shared" si="16"/>
        <v>26.462699365544179</v>
      </c>
      <c r="H115" s="13">
        <f t="shared" si="16"/>
        <v>17.884876059673545</v>
      </c>
      <c r="I115" s="13">
        <f t="shared" si="16"/>
        <v>10.042523238154425</v>
      </c>
      <c r="J115" s="13">
        <f t="shared" si="16"/>
        <v>3.8474584644471883</v>
      </c>
      <c r="K115" s="13">
        <f t="shared" si="16"/>
        <v>-1.0262289875601793</v>
      </c>
      <c r="L115" s="13">
        <f t="shared" si="16"/>
        <v>-2.5499319604269819</v>
      </c>
      <c r="M115" s="13" t="s">
        <v>171</v>
      </c>
    </row>
    <row r="116" spans="4:13">
      <c r="D116" s="13" t="s">
        <v>186</v>
      </c>
      <c r="E116" s="13">
        <f>H110</f>
        <v>0</v>
      </c>
      <c r="F116" s="13">
        <f t="shared" ref="F116:L116" si="17">I110</f>
        <v>0</v>
      </c>
      <c r="G116" s="13">
        <f t="shared" si="17"/>
        <v>1.1130630932262162</v>
      </c>
      <c r="H116" s="13">
        <f t="shared" si="17"/>
        <v>3.3651989830385989</v>
      </c>
      <c r="I116" s="13">
        <f t="shared" si="17"/>
        <v>2.2428816450045126</v>
      </c>
      <c r="J116" s="13">
        <f t="shared" si="17"/>
        <v>-3.7909030482722774</v>
      </c>
      <c r="K116" s="13">
        <f t="shared" si="17"/>
        <v>-6.1736884967334547</v>
      </c>
      <c r="L116" s="13">
        <f t="shared" si="17"/>
        <v>-5.8289656914782562</v>
      </c>
      <c r="M116" s="13" t="s">
        <v>171</v>
      </c>
    </row>
    <row r="117" spans="4:13">
      <c r="D117" s="13" t="s">
        <v>192</v>
      </c>
      <c r="E117" s="13">
        <f>SUM(E114:E116)</f>
        <v>116.90711177707983</v>
      </c>
      <c r="F117" s="13">
        <f t="shared" ref="F117:L117" si="18">SUM(F114:F116)</f>
        <v>127.80155037862194</v>
      </c>
      <c r="G117" s="13">
        <f t="shared" si="18"/>
        <v>126.58568280881376</v>
      </c>
      <c r="H117" s="13">
        <f t="shared" si="18"/>
        <v>106.15997007684049</v>
      </c>
      <c r="I117" s="13">
        <f t="shared" si="18"/>
        <v>76.734002192135108</v>
      </c>
      <c r="J117" s="13">
        <f t="shared" si="18"/>
        <v>46.567765848975618</v>
      </c>
      <c r="K117" s="13">
        <f t="shared" si="18"/>
        <v>21.372198476453796</v>
      </c>
      <c r="L117" s="13">
        <f t="shared" si="18"/>
        <v>6.9956370453817449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5DCF0-B66C-4956-A747-2A3245DE09B8}">
  <dimension ref="A1:AB118"/>
  <sheetViews>
    <sheetView topLeftCell="A55" zoomScale="40" zoomScaleNormal="40" workbookViewId="0">
      <selection activeCell="A62" sqref="A62:O103"/>
    </sheetView>
  </sheetViews>
  <sheetFormatPr defaultColWidth="8.69921875" defaultRowHeight="17.399999999999999"/>
  <cols>
    <col min="1" max="2" width="8.69921875" style="13"/>
    <col min="3" max="3" width="24.8984375" style="13" bestFit="1" customWidth="1"/>
    <col min="4" max="4" width="22.09765625" style="13" bestFit="1" customWidth="1"/>
    <col min="5" max="16384" width="8.69921875" style="13"/>
  </cols>
  <sheetData>
    <row r="1" spans="1:28">
      <c r="A1" s="1" t="s">
        <v>180</v>
      </c>
    </row>
    <row r="2" spans="1:28">
      <c r="A2" s="13" t="s">
        <v>8</v>
      </c>
      <c r="B2" s="13" t="s">
        <v>9</v>
      </c>
      <c r="C2" s="13" t="s">
        <v>39</v>
      </c>
      <c r="E2" s="13">
        <v>1990</v>
      </c>
      <c r="F2" s="13">
        <v>2005</v>
      </c>
      <c r="G2" s="13">
        <v>2010</v>
      </c>
      <c r="H2" s="13">
        <v>2015</v>
      </c>
      <c r="I2" s="13">
        <v>2020</v>
      </c>
      <c r="J2" s="13">
        <v>2025</v>
      </c>
      <c r="K2" s="13">
        <v>2030</v>
      </c>
      <c r="L2" s="13">
        <v>2035</v>
      </c>
      <c r="M2" s="13">
        <v>2040</v>
      </c>
      <c r="N2" s="13">
        <v>2045</v>
      </c>
      <c r="O2" s="13">
        <v>2050</v>
      </c>
      <c r="P2" s="13" t="s">
        <v>76</v>
      </c>
    </row>
    <row r="3" spans="1:28">
      <c r="A3" s="13" t="s">
        <v>259</v>
      </c>
      <c r="B3" s="13" t="s">
        <v>1</v>
      </c>
      <c r="C3" s="13" t="s">
        <v>140</v>
      </c>
      <c r="D3" s="13" t="str">
        <f>VLOOKUP(C3,ghg_sort!$A$35:$B$82,2,0)</f>
        <v>Industry</v>
      </c>
      <c r="E3" s="13">
        <f>R3*ghg_sort!$B$6</f>
        <v>0</v>
      </c>
      <c r="F3" s="13">
        <f>S3*ghg_sort!$B$6</f>
        <v>0</v>
      </c>
      <c r="G3" s="13">
        <f>T3*ghg_sort!$B$6</f>
        <v>0</v>
      </c>
      <c r="H3" s="13">
        <f>U3*ghg_sort!$B$6</f>
        <v>0</v>
      </c>
      <c r="I3" s="13">
        <f>V3*ghg_sort!$B$6</f>
        <v>6.588520828967373E-2</v>
      </c>
      <c r="J3" s="13">
        <f>W3*ghg_sort!$B$6</f>
        <v>0.78418170109645746</v>
      </c>
      <c r="K3" s="13">
        <f>X3*ghg_sort!$B$6</f>
        <v>1.6276695559752556</v>
      </c>
      <c r="L3" s="13">
        <f>Y3*ghg_sort!$B$6</f>
        <v>-0.8818791856460052</v>
      </c>
      <c r="M3" s="13">
        <f>Z3*ghg_sort!$B$6</f>
        <v>-9.6309689294238652</v>
      </c>
      <c r="N3" s="13">
        <f>AA3*ghg_sort!$B$6</f>
        <v>-12.335452801249319</v>
      </c>
      <c r="O3" s="13">
        <f>AB3*ghg_sort!$B$6</f>
        <v>-10.614768978044999</v>
      </c>
      <c r="P3" s="13" t="s">
        <v>171</v>
      </c>
      <c r="R3" s="13">
        <v>0</v>
      </c>
      <c r="S3" s="13">
        <v>0</v>
      </c>
      <c r="T3" s="13">
        <v>0</v>
      </c>
      <c r="U3" s="13">
        <v>0</v>
      </c>
      <c r="V3" s="13">
        <v>1.7968693169910999E-2</v>
      </c>
      <c r="W3" s="13">
        <v>0.21386773666267</v>
      </c>
      <c r="X3" s="13">
        <v>0.44390987890234201</v>
      </c>
      <c r="Y3" s="13">
        <v>-0.240512505176183</v>
      </c>
      <c r="Z3" s="13">
        <v>-2.6266278898428701</v>
      </c>
      <c r="AA3" s="13">
        <v>-3.3642144003407202</v>
      </c>
      <c r="AB3" s="13">
        <v>-2.8949369940122698</v>
      </c>
    </row>
    <row r="4" spans="1:28">
      <c r="A4" s="13" t="s">
        <v>259</v>
      </c>
      <c r="B4" s="13" t="s">
        <v>1</v>
      </c>
      <c r="C4" s="13" t="s">
        <v>141</v>
      </c>
      <c r="D4" s="13" t="str">
        <f>VLOOKUP(C4,ghg_sort!$A$35:$B$82,2,0)</f>
        <v>Industry</v>
      </c>
      <c r="E4" s="13">
        <f>R4*ghg_sort!$B$6</f>
        <v>0</v>
      </c>
      <c r="F4" s="13">
        <f>S4*ghg_sort!$B$6</f>
        <v>0</v>
      </c>
      <c r="G4" s="13">
        <f>T4*ghg_sort!$B$6</f>
        <v>0</v>
      </c>
      <c r="H4" s="13">
        <f>U4*ghg_sort!$B$6</f>
        <v>0</v>
      </c>
      <c r="I4" s="13">
        <f>V4*ghg_sort!$B$6</f>
        <v>4.5858522773067442E-2</v>
      </c>
      <c r="J4" s="13">
        <f>W4*ghg_sort!$B$6</f>
        <v>0.99373657029702833</v>
      </c>
      <c r="K4" s="13">
        <f>X4*ghg_sort!$B$6</f>
        <v>3.1028452838794798</v>
      </c>
      <c r="L4" s="13">
        <f>Y4*ghg_sort!$B$6</f>
        <v>4.7865444353749043</v>
      </c>
      <c r="M4" s="13">
        <f>Z4*ghg_sort!$B$6</f>
        <v>4.2352110168962041</v>
      </c>
      <c r="N4" s="13">
        <f>AA4*ghg_sort!$B$6</f>
        <v>3.1159181901931006</v>
      </c>
      <c r="O4" s="13">
        <f>AB4*ghg_sort!$B$6</f>
        <v>2.0792412339697002</v>
      </c>
      <c r="P4" s="13" t="s">
        <v>171</v>
      </c>
      <c r="R4" s="13">
        <v>0</v>
      </c>
      <c r="S4" s="13">
        <v>0</v>
      </c>
      <c r="T4" s="13">
        <v>0</v>
      </c>
      <c r="U4" s="13">
        <v>0</v>
      </c>
      <c r="V4" s="13">
        <v>1.2506869847200199E-2</v>
      </c>
      <c r="W4" s="13">
        <v>0.27101906462646203</v>
      </c>
      <c r="X4" s="13">
        <v>0.84623053196713005</v>
      </c>
      <c r="Y4" s="13">
        <v>1.3054212096477</v>
      </c>
      <c r="Z4" s="13">
        <v>1.1550575500625999</v>
      </c>
      <c r="AA4" s="13">
        <v>0.84979587005266299</v>
      </c>
      <c r="AB4" s="13">
        <v>0.56706579108264499</v>
      </c>
    </row>
    <row r="5" spans="1:28">
      <c r="A5" s="13" t="s">
        <v>259</v>
      </c>
      <c r="B5" s="13" t="s">
        <v>1</v>
      </c>
      <c r="C5" s="13" t="s">
        <v>63</v>
      </c>
      <c r="D5" s="13" t="str">
        <f>VLOOKUP(C5,ghg_sort!$A$35:$B$82,2,0)</f>
        <v>Industry</v>
      </c>
      <c r="E5" s="13">
        <f>R5*ghg_sort!$B$6</f>
        <v>2.1263130613577585</v>
      </c>
      <c r="F5" s="13">
        <f>S5*ghg_sort!$B$6</f>
        <v>0.80629536474832475</v>
      </c>
      <c r="G5" s="13">
        <f>T5*ghg_sort!$B$6</f>
        <v>0.64856045232603954</v>
      </c>
      <c r="H5" s="13">
        <f>U5*ghg_sort!$B$6</f>
        <v>0.33665395423484695</v>
      </c>
      <c r="I5" s="13">
        <f>V5*ghg_sort!$B$6</f>
        <v>0.35035607904150479</v>
      </c>
      <c r="J5" s="13">
        <f>W5*ghg_sort!$B$6</f>
        <v>0.35778522469882534</v>
      </c>
      <c r="K5" s="13">
        <f>X5*ghg_sort!$B$6</f>
        <v>0.34957202945849541</v>
      </c>
      <c r="L5" s="13">
        <f>Y5*ghg_sort!$B$6</f>
        <v>0.30371711017697745</v>
      </c>
      <c r="M5" s="13">
        <f>Z5*ghg_sort!$B$6</f>
        <v>0.23100662450094592</v>
      </c>
      <c r="N5" s="13">
        <f>AA5*ghg_sort!$B$6</f>
        <v>0.17878454062679924</v>
      </c>
      <c r="O5" s="13">
        <f>AB5*ghg_sort!$B$6</f>
        <v>0.1377732784284961</v>
      </c>
      <c r="P5" s="13" t="s">
        <v>171</v>
      </c>
      <c r="R5" s="13">
        <v>0.57990356218847905</v>
      </c>
      <c r="S5" s="13">
        <v>0.219898735840452</v>
      </c>
      <c r="T5" s="13">
        <v>0.17688012336164699</v>
      </c>
      <c r="U5" s="13">
        <v>9.1814714791321805E-2</v>
      </c>
      <c r="V5" s="13">
        <v>9.5551657920410302E-2</v>
      </c>
      <c r="W5" s="13">
        <v>9.7577788554224998E-2</v>
      </c>
      <c r="X5" s="13">
        <v>9.53378262159532E-2</v>
      </c>
      <c r="Y5" s="13">
        <v>8.2831939139175595E-2</v>
      </c>
      <c r="Z5" s="13">
        <v>6.3001806682076097E-2</v>
      </c>
      <c r="AA5" s="13">
        <v>4.87594201709452E-2</v>
      </c>
      <c r="AB5" s="13">
        <v>3.7574530480498899E-2</v>
      </c>
    </row>
    <row r="6" spans="1:28">
      <c r="A6" s="13" t="s">
        <v>259</v>
      </c>
      <c r="B6" s="13" t="s">
        <v>1</v>
      </c>
      <c r="C6" s="13" t="s">
        <v>64</v>
      </c>
      <c r="D6" s="13" t="str">
        <f>VLOOKUP(C6,ghg_sort!$A$35:$B$82,2,0)</f>
        <v>Industry</v>
      </c>
      <c r="E6" s="13">
        <f>R6*ghg_sort!$B$6</f>
        <v>4.605773333333337</v>
      </c>
      <c r="F6" s="13">
        <f>S6*ghg_sort!$B$6</f>
        <v>4.307647964289087</v>
      </c>
      <c r="G6" s="13">
        <f>T6*ghg_sort!$B$6</f>
        <v>3.7690731631676604</v>
      </c>
      <c r="H6" s="13">
        <f>U6*ghg_sort!$B$6</f>
        <v>1.397150924697995</v>
      </c>
      <c r="I6" s="13">
        <f>V6*ghg_sort!$B$6</f>
        <v>1.4235508302340285</v>
      </c>
      <c r="J6" s="13">
        <f>W6*ghg_sort!$B$6</f>
        <v>1.4224889867978547</v>
      </c>
      <c r="K6" s="13">
        <f>X6*ghg_sort!$B$6</f>
        <v>1.4441743446700364</v>
      </c>
      <c r="L6" s="13">
        <f>Y6*ghg_sort!$B$6</f>
        <v>1.39368534146298</v>
      </c>
      <c r="M6" s="13">
        <f>Z6*ghg_sort!$B$6</f>
        <v>1.192936836146353</v>
      </c>
      <c r="N6" s="13">
        <f>AA6*ghg_sort!$B$6</f>
        <v>0.87563665014585179</v>
      </c>
      <c r="O6" s="13">
        <f>AB6*ghg_sort!$B$6</f>
        <v>0.57093225194458985</v>
      </c>
      <c r="P6" s="13" t="s">
        <v>171</v>
      </c>
      <c r="R6" s="13">
        <v>1.2561199999999999</v>
      </c>
      <c r="S6" s="13">
        <v>1.1748130811697499</v>
      </c>
      <c r="T6" s="13">
        <v>1.02792904450027</v>
      </c>
      <c r="U6" s="13">
        <v>0.38104116128127102</v>
      </c>
      <c r="V6" s="13">
        <v>0.38824113551837103</v>
      </c>
      <c r="W6" s="13">
        <v>0.38795154185396002</v>
      </c>
      <c r="X6" s="13">
        <v>0.39386573036455502</v>
      </c>
      <c r="Y6" s="13">
        <v>0.38009600221717599</v>
      </c>
      <c r="Z6" s="13">
        <v>0.32534640985809599</v>
      </c>
      <c r="AA6" s="13">
        <v>0.238809995494323</v>
      </c>
      <c r="AB6" s="13">
        <v>0.15570879598488799</v>
      </c>
    </row>
    <row r="7" spans="1:28">
      <c r="A7" s="13" t="s">
        <v>259</v>
      </c>
      <c r="B7" s="13" t="s">
        <v>1</v>
      </c>
      <c r="C7" s="13" t="s">
        <v>189</v>
      </c>
      <c r="D7" s="13" t="str">
        <f>VLOOKUP(C7,ghg_sort!$A$35:$B$82,2,0)</f>
        <v>DAC</v>
      </c>
      <c r="E7" s="13">
        <f>R7*ghg_sort!$B$6</f>
        <v>0</v>
      </c>
      <c r="F7" s="13">
        <f>S7*ghg_sort!$B$6</f>
        <v>0</v>
      </c>
      <c r="G7" s="13">
        <f>T7*ghg_sort!$B$6</f>
        <v>0</v>
      </c>
      <c r="H7" s="13">
        <f>U7*ghg_sort!$B$6</f>
        <v>0</v>
      </c>
      <c r="I7" s="13">
        <f>V7*ghg_sort!$B$6</f>
        <v>0</v>
      </c>
      <c r="J7" s="13">
        <f>W7*ghg_sort!$B$6</f>
        <v>0</v>
      </c>
      <c r="K7" s="13">
        <f>X7*ghg_sort!$B$6</f>
        <v>0</v>
      </c>
      <c r="L7" s="13">
        <f>Y7*ghg_sort!$B$6</f>
        <v>0</v>
      </c>
      <c r="M7" s="13">
        <f>Z7*ghg_sort!$B$6</f>
        <v>-2.7423660000000023E-4</v>
      </c>
      <c r="N7" s="13">
        <f>AA7*ghg_sort!$B$6</f>
        <v>-0.11155503333333343</v>
      </c>
      <c r="O7" s="13">
        <f>AB7*ghg_sort!$B$6</f>
        <v>-48.724500000000049</v>
      </c>
      <c r="P7" s="13" t="s">
        <v>171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4">
        <v>0</v>
      </c>
      <c r="X7" s="14">
        <v>0</v>
      </c>
      <c r="Y7" s="13">
        <v>0</v>
      </c>
      <c r="Z7" s="14">
        <v>-7.4791799999999998E-5</v>
      </c>
      <c r="AA7" s="13">
        <v>-3.0424099999999999E-2</v>
      </c>
      <c r="AB7" s="13">
        <v>-13.288500000000001</v>
      </c>
    </row>
    <row r="8" spans="1:28">
      <c r="A8" s="13" t="s">
        <v>259</v>
      </c>
      <c r="B8" s="13" t="s">
        <v>1</v>
      </c>
      <c r="C8" s="13" t="s">
        <v>142</v>
      </c>
      <c r="D8" s="13" t="str">
        <f>VLOOKUP(C8,ghg_sort!$A$35:$B$82,2,0)</f>
        <v>Electricity</v>
      </c>
      <c r="E8" s="13">
        <f>R8*ghg_sort!$B$6</f>
        <v>0</v>
      </c>
      <c r="F8" s="13">
        <f>S8*ghg_sort!$B$6</f>
        <v>0</v>
      </c>
      <c r="G8" s="13">
        <f>T8*ghg_sort!$B$6</f>
        <v>0</v>
      </c>
      <c r="H8" s="13">
        <f>U8*ghg_sort!$B$6</f>
        <v>0</v>
      </c>
      <c r="I8" s="13">
        <f>V8*ghg_sort!$B$6</f>
        <v>0.10301242404115016</v>
      </c>
      <c r="J8" s="13">
        <f>W8*ghg_sort!$B$6</f>
        <v>0.32156865856040889</v>
      </c>
      <c r="K8" s="13">
        <f>X8*ghg_sort!$B$6</f>
        <v>1.448989297555618</v>
      </c>
      <c r="L8" s="13">
        <f>Y8*ghg_sort!$B$6</f>
        <v>3.1930851989946354</v>
      </c>
      <c r="M8" s="13">
        <f>Z8*ghg_sort!$B$6</f>
        <v>5.4121246508005649</v>
      </c>
      <c r="N8" s="13">
        <f>AA8*ghg_sort!$B$6</f>
        <v>7.6056056135760137</v>
      </c>
      <c r="O8" s="13">
        <f>AB8*ghg_sort!$B$6</f>
        <v>8.4973685741714799</v>
      </c>
      <c r="P8" s="13" t="s">
        <v>171</v>
      </c>
      <c r="R8" s="13">
        <v>0</v>
      </c>
      <c r="S8" s="13">
        <v>0</v>
      </c>
      <c r="T8" s="13">
        <v>0</v>
      </c>
      <c r="U8" s="13">
        <v>0</v>
      </c>
      <c r="V8" s="13">
        <v>2.8094297465768199E-2</v>
      </c>
      <c r="W8" s="13">
        <v>8.7700543243747806E-2</v>
      </c>
      <c r="X8" s="13">
        <v>0.39517889933334999</v>
      </c>
      <c r="Y8" s="13">
        <v>0.87084141790762704</v>
      </c>
      <c r="Z8" s="13">
        <v>1.4760339956728801</v>
      </c>
      <c r="AA8" s="13">
        <v>2.0742560764298199</v>
      </c>
      <c r="AB8" s="13">
        <v>2.3174641565922198</v>
      </c>
    </row>
    <row r="9" spans="1:28">
      <c r="A9" s="13" t="s">
        <v>259</v>
      </c>
      <c r="B9" s="13" t="s">
        <v>1</v>
      </c>
      <c r="C9" s="13" t="s">
        <v>61</v>
      </c>
      <c r="D9" s="13" t="str">
        <f>VLOOKUP(C9,ghg_sort!$A$35:$B$82,2,0)</f>
        <v>Industry</v>
      </c>
      <c r="E9" s="13">
        <f>R9*ghg_sort!$B$6</f>
        <v>16.756666666666682</v>
      </c>
      <c r="F9" s="13">
        <f>S9*ghg_sort!$B$6</f>
        <v>25.626333333333356</v>
      </c>
      <c r="G9" s="13">
        <f>T9*ghg_sort!$B$6</f>
        <v>24.99566666666669</v>
      </c>
      <c r="H9" s="13">
        <f>U9*ghg_sort!$B$6</f>
        <v>24.99566666666669</v>
      </c>
      <c r="I9" s="13">
        <f>V9*ghg_sort!$B$6</f>
        <v>23.17139000000002</v>
      </c>
      <c r="J9" s="13">
        <f>W9*ghg_sort!$B$6</f>
        <v>17.783846666666683</v>
      </c>
      <c r="K9" s="13">
        <f>X9*ghg_sort!$B$6</f>
        <v>15.429956666666682</v>
      </c>
      <c r="L9" s="13">
        <f>Y9*ghg_sort!$B$6</f>
        <v>13.297950233333346</v>
      </c>
      <c r="M9" s="13">
        <f>Z9*ghg_sort!$B$6</f>
        <v>7.1427209333333401</v>
      </c>
      <c r="N9" s="13">
        <f>AA9*ghg_sort!$B$6</f>
        <v>3.9603577933333365</v>
      </c>
      <c r="O9" s="13">
        <f>AB9*ghg_sort!$B$6</f>
        <v>2.8299609433333361</v>
      </c>
      <c r="P9" s="13" t="s">
        <v>171</v>
      </c>
      <c r="R9" s="13">
        <v>4.57</v>
      </c>
      <c r="S9" s="13">
        <v>6.9889999999999999</v>
      </c>
      <c r="T9" s="13">
        <v>6.8170000000000002</v>
      </c>
      <c r="U9" s="13">
        <v>6.8170000000000002</v>
      </c>
      <c r="V9" s="13">
        <v>6.3194699999999999</v>
      </c>
      <c r="W9" s="13">
        <v>4.8501399999999997</v>
      </c>
      <c r="X9" s="13">
        <v>4.20817</v>
      </c>
      <c r="Y9" s="13">
        <v>3.6267136999999998</v>
      </c>
      <c r="Z9" s="13">
        <v>1.9480147999999999</v>
      </c>
      <c r="AA9" s="13">
        <v>1.0800975799999999</v>
      </c>
      <c r="AB9" s="13">
        <v>0.77180753000000002</v>
      </c>
    </row>
    <row r="10" spans="1:28">
      <c r="A10" s="13" t="s">
        <v>259</v>
      </c>
      <c r="B10" s="13" t="s">
        <v>1</v>
      </c>
      <c r="C10" s="13" t="s">
        <v>56</v>
      </c>
      <c r="D10" s="13" t="str">
        <f>VLOOKUP(C10,ghg_sort!$A$35:$B$82,2,0)</f>
        <v>Industry</v>
      </c>
      <c r="E10" s="13">
        <f>R10*ghg_sort!$B$6</f>
        <v>7.0924510108533836</v>
      </c>
      <c r="F10" s="13">
        <f>S10*ghg_sort!$B$6</f>
        <v>5.6013318845318683</v>
      </c>
      <c r="G10" s="13">
        <f>T10*ghg_sort!$B$6</f>
        <v>6.9047962688915536</v>
      </c>
      <c r="H10" s="13">
        <f>U10*ghg_sort!$B$6</f>
        <v>4.8798783215262711</v>
      </c>
      <c r="I10" s="13">
        <f>V10*ghg_sort!$B$6</f>
        <v>4.9777065550966642</v>
      </c>
      <c r="J10" s="13">
        <f>W10*ghg_sort!$B$6</f>
        <v>5.0003755050793179</v>
      </c>
      <c r="K10" s="13">
        <f>X10*ghg_sort!$B$6</f>
        <v>5.1444485927824042</v>
      </c>
      <c r="L10" s="13">
        <f>Y10*ghg_sort!$B$6</f>
        <v>4.6158683905089477</v>
      </c>
      <c r="M10" s="13">
        <f>Z10*ghg_sort!$B$6</f>
        <v>2.6307930909827295</v>
      </c>
      <c r="N10" s="13">
        <f>AA10*ghg_sort!$B$6</f>
        <v>1.1522337757769676</v>
      </c>
      <c r="O10" s="13">
        <f>AB10*ghg_sort!$B$6</f>
        <v>3.7041222467097602E-2</v>
      </c>
      <c r="P10" s="13" t="s">
        <v>171</v>
      </c>
      <c r="R10" s="13">
        <v>1.9343048211418301</v>
      </c>
      <c r="S10" s="13">
        <v>1.52763596850869</v>
      </c>
      <c r="T10" s="13">
        <v>1.8831262551522401</v>
      </c>
      <c r="U10" s="13">
        <v>1.3308759058708</v>
      </c>
      <c r="V10" s="13">
        <v>1.3575563332081799</v>
      </c>
      <c r="W10" s="13">
        <v>1.36373877411254</v>
      </c>
      <c r="X10" s="13">
        <v>1.4030314343952</v>
      </c>
      <c r="Y10" s="13">
        <v>1.2588731974115299</v>
      </c>
      <c r="Z10" s="13">
        <v>0.71748902481347099</v>
      </c>
      <c r="AA10" s="13">
        <v>0.3142455752119</v>
      </c>
      <c r="AB10" s="13">
        <v>1.0102151581935699E-2</v>
      </c>
    </row>
    <row r="11" spans="1:28">
      <c r="A11" s="13" t="s">
        <v>259</v>
      </c>
      <c r="B11" s="13" t="s">
        <v>1</v>
      </c>
      <c r="C11" s="13" t="s">
        <v>20</v>
      </c>
      <c r="D11" s="13" t="str">
        <f>VLOOKUP(C11,ghg_sort!$A$35:$B$82,2,0)</f>
        <v>Industry</v>
      </c>
      <c r="E11" s="13">
        <f>R11*ghg_sort!$B$6</f>
        <v>0</v>
      </c>
      <c r="F11" s="13">
        <f>S11*ghg_sort!$B$6</f>
        <v>-9.0781814142504927E-3</v>
      </c>
      <c r="G11" s="13">
        <f>T11*ghg_sort!$B$6</f>
        <v>1.3520113031458343</v>
      </c>
      <c r="H11" s="13">
        <f>U11*ghg_sort!$B$6</f>
        <v>1.8078110866473367</v>
      </c>
      <c r="I11" s="13">
        <f>V11*ghg_sort!$B$6</f>
        <v>1.0353504717567963</v>
      </c>
      <c r="J11" s="13">
        <f>W11*ghg_sort!$B$6</f>
        <v>-1.1075381201526411</v>
      </c>
      <c r="K11" s="13">
        <f>X11*ghg_sort!$B$6</f>
        <v>-1.1650328294630128</v>
      </c>
      <c r="L11" s="13">
        <f>Y11*ghg_sort!$B$6</f>
        <v>-1.1957223652204796</v>
      </c>
      <c r="M11" s="13">
        <f>Z11*ghg_sort!$B$6</f>
        <v>-2.8027585341352141</v>
      </c>
      <c r="N11" s="13">
        <f>AA11*ghg_sort!$B$6</f>
        <v>-9.1976712682191781</v>
      </c>
      <c r="O11" s="13">
        <f>AB11*ghg_sort!$B$6</f>
        <v>-14.427460934220781</v>
      </c>
      <c r="P11" s="13" t="s">
        <v>171</v>
      </c>
      <c r="R11" s="13">
        <v>0</v>
      </c>
      <c r="S11" s="13">
        <v>-2.4758676584319501E-3</v>
      </c>
      <c r="T11" s="13">
        <v>0.36873035540340898</v>
      </c>
      <c r="U11" s="13">
        <v>0.493039387267455</v>
      </c>
      <c r="V11" s="13">
        <v>0.28236831047912597</v>
      </c>
      <c r="W11" s="13">
        <v>-0.30205585095072002</v>
      </c>
      <c r="X11" s="13">
        <v>-0.317736226217185</v>
      </c>
      <c r="Y11" s="13">
        <v>-0.32610609960558501</v>
      </c>
      <c r="Z11" s="13">
        <v>-0.76438869112778496</v>
      </c>
      <c r="AA11" s="13">
        <v>-2.5084558004234099</v>
      </c>
      <c r="AB11" s="13">
        <v>-3.9347620729693</v>
      </c>
    </row>
    <row r="12" spans="1:28">
      <c r="A12" s="13" t="s">
        <v>259</v>
      </c>
      <c r="B12" s="13" t="s">
        <v>1</v>
      </c>
      <c r="C12" s="13" t="s">
        <v>143</v>
      </c>
      <c r="D12" s="13" t="str">
        <f>VLOOKUP(C12,ghg_sort!$A$35:$B$82,2,0)</f>
        <v>Building</v>
      </c>
      <c r="E12" s="13">
        <f>R12*ghg_sort!$B$6</f>
        <v>2.207646056141737E-2</v>
      </c>
      <c r="F12" s="13">
        <f>S12*ghg_sort!$B$6</f>
        <v>0.48726633484955478</v>
      </c>
      <c r="G12" s="13">
        <f>T12*ghg_sort!$B$6</f>
        <v>0.56189045903865653</v>
      </c>
      <c r="H12" s="13">
        <f>U12*ghg_sort!$B$6</f>
        <v>0.58534261678130761</v>
      </c>
      <c r="I12" s="13">
        <f>V12*ghg_sort!$B$6</f>
        <v>0.60241803961352247</v>
      </c>
      <c r="J12" s="13">
        <f>W12*ghg_sort!$B$6</f>
        <v>0.50239968438299609</v>
      </c>
      <c r="K12" s="13">
        <f>X12*ghg_sort!$B$6</f>
        <v>0.41642694925773371</v>
      </c>
      <c r="L12" s="13">
        <f>Y12*ghg_sort!$B$6</f>
        <v>0.30727353902026128</v>
      </c>
      <c r="M12" s="13">
        <f>Z12*ghg_sort!$B$6</f>
        <v>0.19115838318851724</v>
      </c>
      <c r="N12" s="13">
        <f>AA12*ghg_sort!$B$6</f>
        <v>0.1066129656394441</v>
      </c>
      <c r="O12" s="13">
        <f>AB12*ghg_sort!$B$6</f>
        <v>5.5567366203680885E-2</v>
      </c>
      <c r="P12" s="13" t="s">
        <v>171</v>
      </c>
      <c r="R12" s="13">
        <v>6.0208528803865503E-3</v>
      </c>
      <c r="S12" s="13">
        <v>0.132890818595333</v>
      </c>
      <c r="T12" s="13">
        <v>0.15324285246508801</v>
      </c>
      <c r="U12" s="13">
        <v>0.15963889548581101</v>
      </c>
      <c r="V12" s="13">
        <v>0.16429582898550599</v>
      </c>
      <c r="W12" s="13">
        <v>0.137018095740817</v>
      </c>
      <c r="X12" s="13">
        <v>0.1135709861612</v>
      </c>
      <c r="Y12" s="13">
        <v>8.3801874278253002E-2</v>
      </c>
      <c r="Z12" s="13">
        <v>5.2134104505959199E-2</v>
      </c>
      <c r="AA12" s="13">
        <v>2.9076263356211999E-2</v>
      </c>
      <c r="AB12" s="13">
        <v>1.5154736237367499E-2</v>
      </c>
    </row>
    <row r="13" spans="1:28">
      <c r="A13" s="13" t="s">
        <v>259</v>
      </c>
      <c r="B13" s="13" t="s">
        <v>1</v>
      </c>
      <c r="C13" s="13" t="s">
        <v>144</v>
      </c>
      <c r="D13" s="13" t="str">
        <f>VLOOKUP(C13,ghg_sort!$A$35:$B$82,2,0)</f>
        <v>Building</v>
      </c>
      <c r="E13" s="13">
        <f>R13*ghg_sort!$B$6</f>
        <v>11.381111018598761</v>
      </c>
      <c r="F13" s="13">
        <f>S13*ghg_sort!$B$6</f>
        <v>13.759372321297656</v>
      </c>
      <c r="G13" s="13">
        <f>T13*ghg_sort!$B$6</f>
        <v>10.705193534171116</v>
      </c>
      <c r="H13" s="13">
        <f>U13*ghg_sort!$B$6</f>
        <v>9.8225620356521244</v>
      </c>
      <c r="I13" s="13">
        <f>V13*ghg_sort!$B$6</f>
        <v>10.457687626830337</v>
      </c>
      <c r="J13" s="13">
        <f>W13*ghg_sort!$B$6</f>
        <v>9.8897515613193452</v>
      </c>
      <c r="K13" s="13">
        <f>X13*ghg_sort!$B$6</f>
        <v>9.5369974310480909</v>
      </c>
      <c r="L13" s="13">
        <f>Y13*ghg_sort!$B$6</f>
        <v>8.593537732398822</v>
      </c>
      <c r="M13" s="13">
        <f>Z13*ghg_sort!$B$6</f>
        <v>7.4760024840275197</v>
      </c>
      <c r="N13" s="13">
        <f>AA13*ghg_sort!$B$6</f>
        <v>5.3955820736389049</v>
      </c>
      <c r="O13" s="13">
        <f>AB13*ghg_sort!$B$6</f>
        <v>3.2447637410306136</v>
      </c>
      <c r="P13" s="13" t="s">
        <v>171</v>
      </c>
      <c r="R13" s="13">
        <v>3.1039393687087502</v>
      </c>
      <c r="S13" s="13">
        <v>3.7525560876266302</v>
      </c>
      <c r="T13" s="13">
        <v>2.9195982365921198</v>
      </c>
      <c r="U13" s="13">
        <v>2.6788805551778498</v>
      </c>
      <c r="V13" s="13">
        <v>2.85209662549918</v>
      </c>
      <c r="W13" s="13">
        <v>2.6972049712689099</v>
      </c>
      <c r="X13" s="13">
        <v>2.6009992993767499</v>
      </c>
      <c r="Y13" s="13">
        <v>2.3436921088360401</v>
      </c>
      <c r="Z13" s="13">
        <v>2.0389097683711399</v>
      </c>
      <c r="AA13" s="13">
        <v>1.4715223837197</v>
      </c>
      <c r="AB13" s="13">
        <v>0.88493556573562104</v>
      </c>
    </row>
    <row r="14" spans="1:28">
      <c r="A14" s="13" t="s">
        <v>259</v>
      </c>
      <c r="B14" s="13" t="s">
        <v>1</v>
      </c>
      <c r="C14" s="13" t="s">
        <v>145</v>
      </c>
      <c r="D14" s="13" t="str">
        <f>VLOOKUP(C14,ghg_sort!$A$35:$B$82,2,0)</f>
        <v>Building</v>
      </c>
      <c r="E14" s="13">
        <f>R14*ghg_sort!$B$6</f>
        <v>13.451076053389015</v>
      </c>
      <c r="F14" s="13">
        <f>S14*ghg_sort!$B$6</f>
        <v>13.952049618316419</v>
      </c>
      <c r="G14" s="13">
        <f>T14*ghg_sort!$B$6</f>
        <v>9.9927326965679484</v>
      </c>
      <c r="H14" s="13">
        <f>U14*ghg_sort!$B$6</f>
        <v>8.8396075974692288</v>
      </c>
      <c r="I14" s="13">
        <f>V14*ghg_sort!$B$6</f>
        <v>10.094058086085573</v>
      </c>
      <c r="J14" s="13">
        <f>W14*ghg_sort!$B$6</f>
        <v>8.4615110116149506</v>
      </c>
      <c r="K14" s="13">
        <f>X14*ghg_sort!$B$6</f>
        <v>7.0875373615701669</v>
      </c>
      <c r="L14" s="13">
        <f>Y14*ghg_sort!$B$6</f>
        <v>5.2562319531445212</v>
      </c>
      <c r="M14" s="13">
        <f>Z14*ghg_sort!$B$6</f>
        <v>3.0288204941029813</v>
      </c>
      <c r="N14" s="13">
        <f>AA14*ghg_sort!$B$6</f>
        <v>1.5150381683923289</v>
      </c>
      <c r="O14" s="13">
        <f>AB14*ghg_sort!$B$6</f>
        <v>0.715974284873097</v>
      </c>
      <c r="P14" s="13" t="s">
        <v>171</v>
      </c>
      <c r="R14" s="13">
        <v>3.6684752872879098</v>
      </c>
      <c r="S14" s="13">
        <v>3.80510444135902</v>
      </c>
      <c r="T14" s="13">
        <v>2.7252907354276199</v>
      </c>
      <c r="U14" s="13">
        <v>2.4108020720370602</v>
      </c>
      <c r="V14" s="13">
        <v>2.7529249325687899</v>
      </c>
      <c r="W14" s="13">
        <v>2.3076848213495298</v>
      </c>
      <c r="X14" s="13">
        <v>1.93296473497368</v>
      </c>
      <c r="Y14" s="13">
        <v>1.43351780540305</v>
      </c>
      <c r="Z14" s="13">
        <v>0.82604195293717597</v>
      </c>
      <c r="AA14" s="13">
        <v>0.41319222774336201</v>
      </c>
      <c r="AB14" s="13">
        <v>0.195265714056299</v>
      </c>
    </row>
    <row r="15" spans="1:28">
      <c r="A15" s="13" t="s">
        <v>259</v>
      </c>
      <c r="B15" s="13" t="s">
        <v>1</v>
      </c>
      <c r="C15" s="13" t="s">
        <v>67</v>
      </c>
      <c r="D15" s="13" t="str">
        <f>VLOOKUP(C15,ghg_sort!$A$35:$B$82,2,0)</f>
        <v>Industry</v>
      </c>
      <c r="E15" s="13">
        <f>R15*ghg_sort!$B$6</f>
        <v>1.5342506666666682</v>
      </c>
      <c r="F15" s="13">
        <f>S15*ghg_sort!$B$6</f>
        <v>1.8108255676316134</v>
      </c>
      <c r="G15" s="13">
        <f>T15*ghg_sort!$B$6</f>
        <v>2.4469682030574904</v>
      </c>
      <c r="H15" s="13">
        <f>U15*ghg_sort!$B$6</f>
        <v>2.4809548613421719</v>
      </c>
      <c r="I15" s="13">
        <f>V15*ghg_sort!$B$6</f>
        <v>2.5357114333440252</v>
      </c>
      <c r="J15" s="13">
        <f>W15*ghg_sort!$B$6</f>
        <v>2.3621030592441614</v>
      </c>
      <c r="K15" s="13">
        <f>X15*ghg_sort!$B$6</f>
        <v>2.0919237128666013</v>
      </c>
      <c r="L15" s="13">
        <f>Y15*ghg_sort!$B$6</f>
        <v>1.7692646337895592</v>
      </c>
      <c r="M15" s="13">
        <f>Z15*ghg_sort!$B$6</f>
        <v>1.5103507179825988</v>
      </c>
      <c r="N15" s="13">
        <f>AA15*ghg_sort!$B$6</f>
        <v>1.2257436669111856</v>
      </c>
      <c r="O15" s="13">
        <f>AB15*ghg_sort!$B$6</f>
        <v>0.94563308574842153</v>
      </c>
      <c r="P15" s="13" t="s">
        <v>171</v>
      </c>
      <c r="R15" s="13">
        <v>0.41843200000000003</v>
      </c>
      <c r="S15" s="14">
        <v>0.49386151844498499</v>
      </c>
      <c r="T15" s="13">
        <v>0.66735496447022402</v>
      </c>
      <c r="U15" s="13">
        <v>0.67662405309331897</v>
      </c>
      <c r="V15" s="13">
        <v>0.69155766363927895</v>
      </c>
      <c r="W15" s="13">
        <v>0.64420992524840703</v>
      </c>
      <c r="X15" s="13">
        <v>0.57052464896361799</v>
      </c>
      <c r="Y15" s="13">
        <v>0.482526718306243</v>
      </c>
      <c r="Z15" s="13">
        <v>0.411913832177072</v>
      </c>
      <c r="AA15" s="13">
        <v>0.33429372733941398</v>
      </c>
      <c r="AB15" s="13">
        <v>0.25789993247684201</v>
      </c>
    </row>
    <row r="16" spans="1:28">
      <c r="A16" s="13" t="s">
        <v>259</v>
      </c>
      <c r="B16" s="13" t="s">
        <v>1</v>
      </c>
      <c r="C16" s="13" t="s">
        <v>21</v>
      </c>
      <c r="D16" s="13" t="str">
        <f>VLOOKUP(C16,ghg_sort!$A$35:$B$82,2,0)</f>
        <v>Industry</v>
      </c>
      <c r="E16" s="13">
        <f>R16*ghg_sort!$B$6</f>
        <v>0</v>
      </c>
      <c r="F16" s="13">
        <f>S16*ghg_sort!$B$6</f>
        <v>-3.8838125108142473E-4</v>
      </c>
      <c r="G16" s="13">
        <f>T16*ghg_sort!$B$6</f>
        <v>-1.2364429049532938E-2</v>
      </c>
      <c r="H16" s="13">
        <f>U16*ghg_sort!$B$6</f>
        <v>-1.3288318792502687E-2</v>
      </c>
      <c r="I16" s="13">
        <f>V16*ghg_sort!$B$6</f>
        <v>-3.2330381280484391E-2</v>
      </c>
      <c r="J16" s="13">
        <f>W16*ghg_sort!$B$6</f>
        <v>-3.1725701345207018E-2</v>
      </c>
      <c r="K16" s="13">
        <f>X16*ghg_sort!$B$6</f>
        <v>-3.1755073463295924E-2</v>
      </c>
      <c r="L16" s="13">
        <f>Y16*ghg_sort!$B$6</f>
        <v>-3.3163986895936706E-2</v>
      </c>
      <c r="M16" s="13">
        <f>Z16*ghg_sort!$B$6</f>
        <v>-7.8499846878144708E-2</v>
      </c>
      <c r="N16" s="13">
        <f>AA16*ghg_sort!$B$6</f>
        <v>-0.25821976553618764</v>
      </c>
      <c r="O16" s="13">
        <f>AB16*ghg_sort!$B$6</f>
        <v>-0.40943877463209272</v>
      </c>
      <c r="P16" s="13" t="s">
        <v>171</v>
      </c>
      <c r="R16" s="13">
        <v>0</v>
      </c>
      <c r="S16" s="14">
        <v>-1.05922159385843E-4</v>
      </c>
      <c r="T16" s="14">
        <v>-3.37211701350898E-3</v>
      </c>
      <c r="U16" s="13">
        <v>-3.6240869434098202E-3</v>
      </c>
      <c r="V16" s="14">
        <v>-8.8173767128593705E-3</v>
      </c>
      <c r="W16" s="14">
        <v>-8.6524640032382694E-3</v>
      </c>
      <c r="X16" s="14">
        <v>-8.6604745808988807E-3</v>
      </c>
      <c r="Y16" s="13">
        <v>-9.0447236988918205E-3</v>
      </c>
      <c r="Z16" s="14">
        <v>-2.1409049148584901E-2</v>
      </c>
      <c r="AA16" s="13">
        <v>-7.0423572418960204E-2</v>
      </c>
      <c r="AB16" s="14">
        <v>-0.111665120354207</v>
      </c>
    </row>
    <row r="17" spans="1:28">
      <c r="A17" s="13" t="s">
        <v>259</v>
      </c>
      <c r="B17" s="13" t="s">
        <v>1</v>
      </c>
      <c r="C17" s="13" t="s">
        <v>3</v>
      </c>
      <c r="D17" s="13">
        <f>VLOOKUP(C17,ghg_sort!$A$35:$B$82,2,0)</f>
        <v>0</v>
      </c>
      <c r="E17" s="13">
        <f>R17*ghg_sort!$B$6</f>
        <v>0</v>
      </c>
      <c r="F17" s="13">
        <f>S17*ghg_sort!$B$6</f>
        <v>0</v>
      </c>
      <c r="G17" s="13">
        <f>T17*ghg_sort!$B$6</f>
        <v>-3.6666732639900037E-6</v>
      </c>
      <c r="H17" s="13">
        <f>U17*ghg_sort!$B$6</f>
        <v>0</v>
      </c>
      <c r="I17" s="13">
        <f>V17*ghg_sort!$B$6</f>
        <v>-2.1999986072203353E-5</v>
      </c>
      <c r="J17" s="13">
        <f>W17*ghg_sort!$B$6</f>
        <v>0</v>
      </c>
      <c r="K17" s="13">
        <f>X17*ghg_sort!$B$6</f>
        <v>-3.2999910160763367E-5</v>
      </c>
      <c r="L17" s="13">
        <f>Y17*ghg_sort!$B$6</f>
        <v>0</v>
      </c>
      <c r="M17" s="13">
        <f>Z17*ghg_sort!$B$6</f>
        <v>-4.7666507150606708E-5</v>
      </c>
      <c r="N17" s="13">
        <f>AA17*ghg_sort!$B$6</f>
        <v>-2.1999987598600021E-5</v>
      </c>
      <c r="O17" s="13">
        <f>AB17*ghg_sort!$B$6</f>
        <v>-2.1999967180106688E-5</v>
      </c>
      <c r="P17" s="13" t="s">
        <v>171</v>
      </c>
      <c r="R17" s="13">
        <v>0</v>
      </c>
      <c r="S17" s="14">
        <v>0</v>
      </c>
      <c r="T17" s="14">
        <v>-1.00000179927E-6</v>
      </c>
      <c r="U17" s="13">
        <v>0</v>
      </c>
      <c r="V17" s="14">
        <v>-5.9999962015099996E-6</v>
      </c>
      <c r="W17" s="14">
        <v>0</v>
      </c>
      <c r="X17" s="14">
        <v>-8.9999754983900003E-6</v>
      </c>
      <c r="Y17" s="14">
        <v>0</v>
      </c>
      <c r="Z17" s="14">
        <v>-1.299995649562E-5</v>
      </c>
      <c r="AA17" s="14">
        <v>-5.9999966177999998E-6</v>
      </c>
      <c r="AB17" s="14">
        <v>-5.9999910491200002E-6</v>
      </c>
    </row>
    <row r="18" spans="1:28">
      <c r="A18" s="13" t="s">
        <v>259</v>
      </c>
      <c r="B18" s="13" t="s">
        <v>1</v>
      </c>
      <c r="C18" s="13" t="s">
        <v>162</v>
      </c>
      <c r="D18" s="13">
        <f>VLOOKUP(C18,ghg_sort!$A$35:$B$82,2,0)</f>
        <v>0</v>
      </c>
      <c r="E18" s="13">
        <f>R18*ghg_sort!$B$6</f>
        <v>0</v>
      </c>
      <c r="F18" s="13">
        <f>S18*ghg_sort!$B$6</f>
        <v>-8.0244658360866348E-8</v>
      </c>
      <c r="G18" s="13">
        <f>T18*ghg_sort!$B$6</f>
        <v>0</v>
      </c>
      <c r="H18" s="13">
        <f>U18*ghg_sort!$B$6</f>
        <v>0</v>
      </c>
      <c r="I18" s="13">
        <f>V18*ghg_sort!$B$6</f>
        <v>-1.8511553049974253E-8</v>
      </c>
      <c r="J18" s="13">
        <f>W18*ghg_sort!$B$6</f>
        <v>-2.2802506534280608E-6</v>
      </c>
      <c r="K18" s="13">
        <f>X18*ghg_sort!$B$6</f>
        <v>-2.9430425070013614E-6</v>
      </c>
      <c r="L18" s="13">
        <f>Y18*ghg_sort!$B$6</f>
        <v>0</v>
      </c>
      <c r="M18" s="13">
        <f>Z18*ghg_sort!$B$6</f>
        <v>0</v>
      </c>
      <c r="N18" s="13">
        <f>AA18*ghg_sort!$B$6</f>
        <v>0</v>
      </c>
      <c r="O18" s="13">
        <f>AB18*ghg_sort!$B$6</f>
        <v>0</v>
      </c>
      <c r="P18" s="13" t="s">
        <v>171</v>
      </c>
      <c r="R18" s="14">
        <v>0</v>
      </c>
      <c r="S18" s="14">
        <v>-2.1884906825690801E-8</v>
      </c>
      <c r="T18" s="14">
        <v>0</v>
      </c>
      <c r="U18" s="14">
        <v>0</v>
      </c>
      <c r="V18" s="14">
        <v>-5.0486053772657004E-9</v>
      </c>
      <c r="W18" s="14">
        <v>-6.2188654184401605E-7</v>
      </c>
      <c r="X18" s="14">
        <v>-8.0264795645491604E-7</v>
      </c>
      <c r="Y18" s="14">
        <v>0</v>
      </c>
      <c r="Z18" s="14">
        <v>0</v>
      </c>
      <c r="AA18" s="14">
        <v>0</v>
      </c>
      <c r="AB18" s="14">
        <v>0</v>
      </c>
    </row>
    <row r="19" spans="1:28">
      <c r="A19" s="13" t="s">
        <v>259</v>
      </c>
      <c r="B19" s="13" t="s">
        <v>1</v>
      </c>
      <c r="C19" s="13" t="s">
        <v>146</v>
      </c>
      <c r="D19" s="13" t="str">
        <f>VLOOKUP(C19,ghg_sort!$A$35:$B$82,2,0)</f>
        <v>Electricity</v>
      </c>
      <c r="E19" s="13">
        <f>R19*ghg_sort!$B$6</f>
        <v>2.1896434690780268E-4</v>
      </c>
      <c r="F19" s="13">
        <f>S19*ghg_sort!$B$6</f>
        <v>4.4037520141186777E-4</v>
      </c>
      <c r="G19" s="13">
        <f>T19*ghg_sort!$B$6</f>
        <v>4.1622197831397008E-4</v>
      </c>
      <c r="H19" s="13">
        <f>U19*ghg_sort!$B$6</f>
        <v>4.0291476431084669E-4</v>
      </c>
      <c r="I19" s="13">
        <f>V19*ghg_sort!$B$6</f>
        <v>8.0421797334253914E-4</v>
      </c>
      <c r="J19" s="13">
        <f>W19*ghg_sort!$B$6</f>
        <v>8.4493199856560449E-4</v>
      </c>
      <c r="K19" s="13">
        <f>X19*ghg_sort!$B$6</f>
        <v>8.2943955521862678E-4</v>
      </c>
      <c r="L19" s="13">
        <f>Y19*ghg_sort!$B$6</f>
        <v>7.741300546449441E-4</v>
      </c>
      <c r="M19" s="13">
        <f>Z19*ghg_sort!$B$6</f>
        <v>6.4470378692002496E-4</v>
      </c>
      <c r="N19" s="13">
        <f>AA19*ghg_sort!$B$6</f>
        <v>5.2300639580026248E-4</v>
      </c>
      <c r="O19" s="13">
        <f>AB19*ghg_sort!$B$6</f>
        <v>4.4010782855820405E-4</v>
      </c>
      <c r="P19" s="13" t="s">
        <v>171</v>
      </c>
      <c r="R19" s="14">
        <v>5.97175491566734E-5</v>
      </c>
      <c r="S19" s="14">
        <v>1.2010232765778201E-4</v>
      </c>
      <c r="T19" s="14">
        <v>1.13515084994719E-4</v>
      </c>
      <c r="U19" s="14">
        <v>1.0988584481204899E-4</v>
      </c>
      <c r="V19" s="14">
        <v>2.1933217454796501E-4</v>
      </c>
      <c r="W19" s="14">
        <v>2.3043599960880101E-4</v>
      </c>
      <c r="X19" s="14">
        <v>2.2621078778689799E-4</v>
      </c>
      <c r="Y19" s="14">
        <v>2.1112637853953E-4</v>
      </c>
      <c r="Z19" s="14">
        <v>1.75828305523643E-4</v>
      </c>
      <c r="AA19" s="14">
        <v>1.42638107945526E-4</v>
      </c>
      <c r="AB19" s="14">
        <v>1.2002940778860099E-4</v>
      </c>
    </row>
    <row r="20" spans="1:28">
      <c r="A20" s="13" t="s">
        <v>259</v>
      </c>
      <c r="B20" s="13" t="s">
        <v>1</v>
      </c>
      <c r="C20" s="13" t="s">
        <v>132</v>
      </c>
      <c r="D20" s="13" t="str">
        <f>VLOOKUP(C20,ghg_sort!$A$35:$B$82,2,0)</f>
        <v>Electricity</v>
      </c>
      <c r="E20" s="13">
        <f>R20*ghg_sort!$B$6</f>
        <v>0</v>
      </c>
      <c r="F20" s="13">
        <f>S20*ghg_sort!$B$6</f>
        <v>0</v>
      </c>
      <c r="G20" s="13">
        <f>T20*ghg_sort!$B$6</f>
        <v>0</v>
      </c>
      <c r="H20" s="13">
        <f>U20*ghg_sort!$B$6</f>
        <v>0</v>
      </c>
      <c r="I20" s="13">
        <f>V20*ghg_sort!$B$6</f>
        <v>0</v>
      </c>
      <c r="J20" s="13">
        <f>W20*ghg_sort!$B$6</f>
        <v>-5.9225198324608487E-3</v>
      </c>
      <c r="K20" s="13">
        <f>X20*ghg_sort!$B$6</f>
        <v>-0.12543791466561971</v>
      </c>
      <c r="L20" s="13">
        <f>Y20*ghg_sort!$B$6</f>
        <v>-1.479097850525839</v>
      </c>
      <c r="M20" s="13">
        <f>Z20*ghg_sort!$B$6</f>
        <v>-6.747509299184653</v>
      </c>
      <c r="N20" s="13">
        <f>AA20*ghg_sort!$B$6</f>
        <v>-13.282274436780336</v>
      </c>
      <c r="O20" s="13">
        <f>AB20*ghg_sort!$B$6</f>
        <v>-17.206279757221296</v>
      </c>
      <c r="P20" s="13" t="s">
        <v>171</v>
      </c>
      <c r="R20" s="13">
        <v>0</v>
      </c>
      <c r="S20" s="14">
        <v>0</v>
      </c>
      <c r="T20" s="14">
        <v>0</v>
      </c>
      <c r="U20" s="14">
        <v>0</v>
      </c>
      <c r="V20" s="13">
        <v>0</v>
      </c>
      <c r="W20" s="13">
        <v>-1.6152326815802301E-3</v>
      </c>
      <c r="X20" s="14">
        <v>-3.42103403633508E-2</v>
      </c>
      <c r="Y20" s="14">
        <v>-0.40339032287068299</v>
      </c>
      <c r="Z20" s="14">
        <v>-1.84022980886854</v>
      </c>
      <c r="AA20" s="13">
        <v>-3.6224384827582701</v>
      </c>
      <c r="AB20" s="14">
        <v>-4.6926217519694404</v>
      </c>
    </row>
    <row r="21" spans="1:28">
      <c r="A21" s="13" t="s">
        <v>259</v>
      </c>
      <c r="B21" s="13" t="s">
        <v>1</v>
      </c>
      <c r="C21" s="13" t="s">
        <v>133</v>
      </c>
      <c r="D21" s="13" t="str">
        <f>VLOOKUP(C21,ghg_sort!$A$35:$B$82,2,0)</f>
        <v>Electricity</v>
      </c>
      <c r="E21" s="13">
        <f>R21*ghg_sort!$B$6</f>
        <v>0</v>
      </c>
      <c r="F21" s="13">
        <f>S21*ghg_sort!$B$6</f>
        <v>0</v>
      </c>
      <c r="G21" s="13">
        <f>T21*ghg_sort!$B$6</f>
        <v>0</v>
      </c>
      <c r="H21" s="13">
        <f>U21*ghg_sort!$B$6</f>
        <v>0</v>
      </c>
      <c r="I21" s="13">
        <f>V21*ghg_sort!$B$6</f>
        <v>0</v>
      </c>
      <c r="J21" s="13">
        <f>W21*ghg_sort!$B$6</f>
        <v>-2.7191402539691158E-3</v>
      </c>
      <c r="K21" s="13">
        <f>X21*ghg_sort!$B$6</f>
        <v>-7.3214458879159103E-2</v>
      </c>
      <c r="L21" s="13">
        <f>Y21*ghg_sort!$B$6</f>
        <v>-1.3283317728909776</v>
      </c>
      <c r="M21" s="13">
        <f>Z21*ghg_sort!$B$6</f>
        <v>-6.1985838531514021</v>
      </c>
      <c r="N21" s="13">
        <f>AA21*ghg_sort!$B$6</f>
        <v>-10.276957746609961</v>
      </c>
      <c r="O21" s="13">
        <f>AB21*ghg_sort!$B$6</f>
        <v>-9.2711964352579095</v>
      </c>
      <c r="P21" s="13" t="s">
        <v>171</v>
      </c>
      <c r="R21" s="14">
        <v>0</v>
      </c>
      <c r="S21" s="14">
        <v>0</v>
      </c>
      <c r="T21" s="14">
        <v>0</v>
      </c>
      <c r="U21" s="14">
        <v>0</v>
      </c>
      <c r="V21" s="13">
        <v>0</v>
      </c>
      <c r="W21" s="14">
        <v>-7.4158370562793995E-4</v>
      </c>
      <c r="X21" s="13">
        <v>-1.99675796943161E-2</v>
      </c>
      <c r="Y21" s="13">
        <v>-0.36227230169753899</v>
      </c>
      <c r="Z21" s="13">
        <v>-1.6905228690412899</v>
      </c>
      <c r="AA21" s="13">
        <v>-2.8028066581663502</v>
      </c>
      <c r="AB21" s="13">
        <v>-2.5285081187067</v>
      </c>
    </row>
    <row r="22" spans="1:28">
      <c r="A22" s="13" t="s">
        <v>259</v>
      </c>
      <c r="B22" s="13" t="s">
        <v>1</v>
      </c>
      <c r="C22" s="13" t="s">
        <v>136</v>
      </c>
      <c r="D22" s="13" t="str">
        <f>VLOOKUP(C22,ghg_sort!$A$35:$B$82,2,0)</f>
        <v>Electricity</v>
      </c>
      <c r="E22" s="13">
        <f>R22*ghg_sort!$B$6</f>
        <v>0</v>
      </c>
      <c r="F22" s="13">
        <f>S22*ghg_sort!$B$6</f>
        <v>0</v>
      </c>
      <c r="G22" s="13">
        <f>T22*ghg_sort!$B$6</f>
        <v>0</v>
      </c>
      <c r="H22" s="13">
        <f>U22*ghg_sort!$B$6</f>
        <v>0</v>
      </c>
      <c r="I22" s="13">
        <f>V22*ghg_sort!$B$6</f>
        <v>0</v>
      </c>
      <c r="J22" s="13">
        <f>W22*ghg_sort!$B$6</f>
        <v>0</v>
      </c>
      <c r="K22" s="13">
        <f>X22*ghg_sort!$B$6</f>
        <v>0.23469296846836998</v>
      </c>
      <c r="L22" s="13">
        <f>Y22*ghg_sort!$B$6</f>
        <v>0.53765002205003887</v>
      </c>
      <c r="M22" s="13">
        <f>Z22*ghg_sort!$B$6</f>
        <v>1.1717862807310011</v>
      </c>
      <c r="N22" s="13">
        <f>AA22*ghg_sort!$B$6</f>
        <v>2.3543715932856153</v>
      </c>
      <c r="O22" s="13">
        <f>AB22*ghg_sort!$B$6</f>
        <v>3.1512272764188181</v>
      </c>
      <c r="P22" s="13" t="s">
        <v>171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4">
        <v>0</v>
      </c>
      <c r="X22" s="13">
        <v>6.4007173218646296E-2</v>
      </c>
      <c r="Y22" s="13">
        <v>0.146631824195465</v>
      </c>
      <c r="Z22" s="13">
        <v>0.31957807656300002</v>
      </c>
      <c r="AA22" s="13">
        <v>0.64210134362334903</v>
      </c>
      <c r="AB22" s="13">
        <v>0.85942562084149499</v>
      </c>
    </row>
    <row r="23" spans="1:28">
      <c r="A23" s="13" t="s">
        <v>259</v>
      </c>
      <c r="B23" s="13" t="s">
        <v>1</v>
      </c>
      <c r="C23" s="13" t="s">
        <v>59</v>
      </c>
      <c r="D23" s="13" t="str">
        <f>VLOOKUP(C23,ghg_sort!$A$35:$B$82,2,0)</f>
        <v>Electricity</v>
      </c>
      <c r="E23" s="13">
        <f>R23*ghg_sort!$B$6</f>
        <v>34.424549247056277</v>
      </c>
      <c r="F23" s="13">
        <f>S23*ghg_sort!$B$6</f>
        <v>173.72254661881294</v>
      </c>
      <c r="G23" s="13">
        <f>T23*ghg_sort!$B$6</f>
        <v>246.00203742154505</v>
      </c>
      <c r="H23" s="13">
        <f>U23*ghg_sort!$B$6</f>
        <v>253.59974962847127</v>
      </c>
      <c r="I23" s="13">
        <f>V23*ghg_sort!$B$6</f>
        <v>238.84534855751664</v>
      </c>
      <c r="J23" s="13">
        <f>W23*ghg_sort!$B$6</f>
        <v>206.79798775364503</v>
      </c>
      <c r="K23" s="13">
        <f>X23*ghg_sort!$B$6</f>
        <v>128.64694797127885</v>
      </c>
      <c r="L23" s="13">
        <f>Y23*ghg_sort!$B$6</f>
        <v>71.34027847396824</v>
      </c>
      <c r="M23" s="13">
        <f>Z23*ghg_sort!$B$6</f>
        <v>40.282066291916202</v>
      </c>
      <c r="N23" s="13">
        <f>AA23*ghg_sort!$B$6</f>
        <v>16.059295850948438</v>
      </c>
      <c r="O23" s="13">
        <f>AB23*ghg_sort!$B$6</f>
        <v>4.1722948367207477</v>
      </c>
      <c r="P23" s="13" t="s">
        <v>171</v>
      </c>
      <c r="R23" s="13">
        <v>9.3885134310153404</v>
      </c>
      <c r="S23" s="13">
        <v>47.378876350585301</v>
      </c>
      <c r="T23" s="13">
        <v>67.091464751330406</v>
      </c>
      <c r="U23" s="13">
        <v>69.163568080492098</v>
      </c>
      <c r="V23" s="13">
        <v>65.139640515686295</v>
      </c>
      <c r="W23" s="13">
        <v>56.399451205539499</v>
      </c>
      <c r="X23" s="13">
        <v>35.0855312648942</v>
      </c>
      <c r="Y23" s="13">
        <v>19.456439583809502</v>
      </c>
      <c r="Z23" s="13">
        <v>10.986018079613499</v>
      </c>
      <c r="AA23" s="13">
        <v>4.37980795934957</v>
      </c>
      <c r="AB23" s="13">
        <v>1.1378985918329301</v>
      </c>
    </row>
    <row r="24" spans="1:28">
      <c r="A24" s="13" t="s">
        <v>259</v>
      </c>
      <c r="B24" s="13" t="s">
        <v>1</v>
      </c>
      <c r="C24" s="13" t="s">
        <v>163</v>
      </c>
      <c r="D24" s="13" t="str">
        <f>VLOOKUP(C24,ghg_sort!$A$35:$B$82,2,0)</f>
        <v>Industry</v>
      </c>
      <c r="E24" s="13">
        <f>R24*ghg_sort!$B$6</f>
        <v>0</v>
      </c>
      <c r="F24" s="13">
        <f>S24*ghg_sort!$B$6</f>
        <v>-6.2894747411195391E-7</v>
      </c>
      <c r="G24" s="13">
        <f>T24*ghg_sort!$B$6</f>
        <v>-2.6730592860294609E-7</v>
      </c>
      <c r="H24" s="13">
        <f>U24*ghg_sort!$B$6</f>
        <v>-1.3251332841245228E-6</v>
      </c>
      <c r="I24" s="13">
        <f>V24*ghg_sort!$B$6</f>
        <v>-3.7023239560702304E-7</v>
      </c>
      <c r="J24" s="13">
        <f>W24*ghg_sort!$B$6</f>
        <v>0</v>
      </c>
      <c r="K24" s="13">
        <f>X24*ghg_sort!$B$6</f>
        <v>0</v>
      </c>
      <c r="L24" s="13">
        <f>Y24*ghg_sort!$B$6</f>
        <v>0</v>
      </c>
      <c r="M24" s="13">
        <f>Z24*ghg_sort!$B$6</f>
        <v>0</v>
      </c>
      <c r="N24" s="13">
        <f>AA24*ghg_sort!$B$6</f>
        <v>0</v>
      </c>
      <c r="O24" s="13">
        <f>AB24*ghg_sort!$B$6</f>
        <v>-3.5654742210880574E-7</v>
      </c>
      <c r="P24" s="13" t="s">
        <v>171</v>
      </c>
      <c r="R24" s="13">
        <v>0</v>
      </c>
      <c r="S24" s="14">
        <v>-1.7153112930326E-7</v>
      </c>
      <c r="T24" s="14">
        <v>-7.2901616891712502E-8</v>
      </c>
      <c r="U24" s="14">
        <v>-3.61399986579415E-7</v>
      </c>
      <c r="V24" s="14">
        <v>-1.00972471529188E-7</v>
      </c>
      <c r="W24" s="13">
        <v>0</v>
      </c>
      <c r="X24" s="13">
        <v>0</v>
      </c>
      <c r="Y24" s="14">
        <v>0</v>
      </c>
      <c r="Z24" s="14">
        <v>0</v>
      </c>
      <c r="AA24" s="14">
        <v>0</v>
      </c>
      <c r="AB24" s="14">
        <v>-9.7240206029674207E-8</v>
      </c>
    </row>
    <row r="25" spans="1:28">
      <c r="A25" s="13" t="s">
        <v>259</v>
      </c>
      <c r="B25" s="13" t="s">
        <v>1</v>
      </c>
      <c r="C25" s="13" t="s">
        <v>147</v>
      </c>
      <c r="D25" s="13" t="str">
        <f>VLOOKUP(C25,ghg_sort!$A$35:$B$82,2,0)</f>
        <v>Industry</v>
      </c>
      <c r="E25" s="13">
        <f>R25*ghg_sort!$B$6</f>
        <v>3.6727754664187806E-7</v>
      </c>
      <c r="F25" s="13">
        <f>S25*ghg_sort!$B$6</f>
        <v>4.3128216513828639E-7</v>
      </c>
      <c r="G25" s="13">
        <f>T25*ghg_sort!$B$6</f>
        <v>-1.8090575256331691E-6</v>
      </c>
      <c r="H25" s="13">
        <f>U25*ghg_sort!$B$6</f>
        <v>5.5974148889063212E-7</v>
      </c>
      <c r="I25" s="13">
        <f>V25*ghg_sort!$B$6</f>
        <v>4.3152938720604571E-2</v>
      </c>
      <c r="J25" s="13">
        <f>W25*ghg_sort!$B$6</f>
        <v>2.9319681683929E-2</v>
      </c>
      <c r="K25" s="13">
        <f>X25*ghg_sort!$B$6</f>
        <v>1.4987024734714903E-2</v>
      </c>
      <c r="L25" s="13">
        <f>Y25*ghg_sort!$B$6</f>
        <v>6.4996834891768327E-3</v>
      </c>
      <c r="M25" s="13">
        <f>Z25*ghg_sort!$B$6</f>
        <v>3.772291313017337E-3</v>
      </c>
      <c r="N25" s="13">
        <f>AA25*ghg_sort!$B$6</f>
        <v>1.0332952981755297E-3</v>
      </c>
      <c r="O25" s="13">
        <f>AB25*ghg_sort!$B$6</f>
        <v>4.7230647346971783E-4</v>
      </c>
      <c r="P25" s="13" t="s">
        <v>171</v>
      </c>
      <c r="R25" s="14">
        <v>1.0016660362960301E-7</v>
      </c>
      <c r="S25" s="14">
        <v>1.1762240867407799E-7</v>
      </c>
      <c r="T25" s="14">
        <v>-4.9337932517268204E-7</v>
      </c>
      <c r="U25" s="14">
        <v>1.5265676969744499E-7</v>
      </c>
      <c r="V25" s="13">
        <v>1.17689832874376E-2</v>
      </c>
      <c r="W25" s="13">
        <v>7.99627682288972E-3</v>
      </c>
      <c r="X25" s="13">
        <v>4.08737038219497E-3</v>
      </c>
      <c r="Y25" s="13">
        <v>1.77264095159368E-3</v>
      </c>
      <c r="Z25" s="13">
        <v>1.0288067217320001E-3</v>
      </c>
      <c r="AA25" s="14">
        <v>2.81807808593326E-4</v>
      </c>
      <c r="AB25" s="14">
        <v>1.2881085640083201E-4</v>
      </c>
    </row>
    <row r="26" spans="1:28">
      <c r="A26" s="13" t="s">
        <v>259</v>
      </c>
      <c r="B26" s="13" t="s">
        <v>1</v>
      </c>
      <c r="C26" s="13" t="s">
        <v>32</v>
      </c>
      <c r="D26" s="13" t="str">
        <f>VLOOKUP(C26,ghg_sort!$A$35:$B$82,2,0)</f>
        <v>Industry</v>
      </c>
      <c r="E26" s="13">
        <f>R26*ghg_sort!$B$6</f>
        <v>27.038264000000026</v>
      </c>
      <c r="F26" s="13">
        <f>S26*ghg_sort!$B$6</f>
        <v>3.7567432863257402</v>
      </c>
      <c r="G26" s="13">
        <f>T26*ghg_sort!$B$6</f>
        <v>4.3146747983677471</v>
      </c>
      <c r="H26" s="13">
        <f>U26*ghg_sort!$B$6</f>
        <v>89.060708206792015</v>
      </c>
      <c r="I26" s="13">
        <f>V26*ghg_sort!$B$6</f>
        <v>99.8003501359415</v>
      </c>
      <c r="J26" s="13">
        <f>W26*ghg_sort!$B$6</f>
        <v>99.056964443501258</v>
      </c>
      <c r="K26" s="13">
        <f>X26*ghg_sort!$B$6</f>
        <v>82.210294305359071</v>
      </c>
      <c r="L26" s="13">
        <f>Y26*ghg_sort!$B$6</f>
        <v>60.209243541871658</v>
      </c>
      <c r="M26" s="13">
        <f>Z26*ghg_sort!$B$6</f>
        <v>41.936062899096704</v>
      </c>
      <c r="N26" s="13">
        <f>AA26*ghg_sort!$B$6</f>
        <v>24.813485319625407</v>
      </c>
      <c r="O26" s="13">
        <f>AB26*ghg_sort!$B$6</f>
        <v>12.674338356353129</v>
      </c>
      <c r="P26" s="13" t="s">
        <v>171</v>
      </c>
      <c r="R26" s="13">
        <v>7.374072</v>
      </c>
      <c r="S26" s="13">
        <v>1.02456635081611</v>
      </c>
      <c r="T26" s="13">
        <v>1.1767294904639301</v>
      </c>
      <c r="U26" s="13">
        <v>24.289284056397801</v>
      </c>
      <c r="V26" s="13">
        <v>27.2182773098022</v>
      </c>
      <c r="W26" s="13">
        <v>27.015535757318499</v>
      </c>
      <c r="X26" s="13">
        <v>22.420989356006999</v>
      </c>
      <c r="Y26" s="13">
        <v>16.420702784146801</v>
      </c>
      <c r="Z26" s="13">
        <v>11.437108063389999</v>
      </c>
      <c r="AA26" s="13">
        <v>6.7673141780796504</v>
      </c>
      <c r="AB26" s="13">
        <v>3.45663773355085</v>
      </c>
    </row>
    <row r="27" spans="1:28">
      <c r="A27" s="13" t="s">
        <v>259</v>
      </c>
      <c r="B27" s="13" t="s">
        <v>1</v>
      </c>
      <c r="C27" s="13" t="s">
        <v>66</v>
      </c>
      <c r="D27" s="13" t="str">
        <f>VLOOKUP(C27,ghg_sort!$A$35:$B$82,2,0)</f>
        <v>Industry</v>
      </c>
      <c r="E27" s="13">
        <f>R27*ghg_sort!$B$6</f>
        <v>0.33994510000000033</v>
      </c>
      <c r="F27" s="13">
        <f>S27*ghg_sort!$B$6</f>
        <v>0.17747164048703556</v>
      </c>
      <c r="G27" s="13">
        <f>T27*ghg_sort!$B$6</f>
        <v>0.25489086142046985</v>
      </c>
      <c r="H27" s="13">
        <f>U27*ghg_sort!$B$6</f>
        <v>0.19181033255708591</v>
      </c>
      <c r="I27" s="13">
        <f>V27*ghg_sort!$B$6</f>
        <v>0.19543282214163199</v>
      </c>
      <c r="J27" s="13">
        <f>W27*ghg_sort!$B$6</f>
        <v>0.19772030008619809</v>
      </c>
      <c r="K27" s="13">
        <f>X27*ghg_sort!$B$6</f>
        <v>0.20713731009231059</v>
      </c>
      <c r="L27" s="13">
        <f>Y27*ghg_sort!$B$6</f>
        <v>0.20614298432793432</v>
      </c>
      <c r="M27" s="13">
        <f>Z27*ghg_sort!$B$6</f>
        <v>0.17798517641051051</v>
      </c>
      <c r="N27" s="13">
        <f>AA27*ghg_sort!$B$6</f>
        <v>0.12867808994014823</v>
      </c>
      <c r="O27" s="13">
        <f>AB27*ghg_sort!$B$6</f>
        <v>8.142544105001652E-2</v>
      </c>
      <c r="P27" s="13" t="s">
        <v>171</v>
      </c>
      <c r="R27" s="13">
        <v>9.2712299999999997E-2</v>
      </c>
      <c r="S27" s="14">
        <v>4.8401356496464203E-2</v>
      </c>
      <c r="T27" s="14">
        <v>6.9515689478309897E-2</v>
      </c>
      <c r="U27" s="14">
        <v>5.2311908879205199E-2</v>
      </c>
      <c r="V27" s="14">
        <v>5.3299860584081399E-2</v>
      </c>
      <c r="W27" s="14">
        <v>5.3923718205326703E-2</v>
      </c>
      <c r="X27" s="14">
        <v>5.6491993661539203E-2</v>
      </c>
      <c r="Y27" s="14">
        <v>5.6220813907618399E-2</v>
      </c>
      <c r="Z27" s="14">
        <v>4.8541411748321002E-2</v>
      </c>
      <c r="AA27" s="14">
        <v>3.5094024529131303E-2</v>
      </c>
      <c r="AB27" s="14">
        <v>2.2206938468186301E-2</v>
      </c>
    </row>
    <row r="28" spans="1:28">
      <c r="A28" s="13" t="s">
        <v>259</v>
      </c>
      <c r="B28" s="13" t="s">
        <v>1</v>
      </c>
      <c r="C28" s="13" t="s">
        <v>68</v>
      </c>
      <c r="D28" s="13" t="str">
        <f>VLOOKUP(C28,ghg_sort!$A$35:$B$82,2,0)</f>
        <v>Industry</v>
      </c>
      <c r="E28" s="13">
        <f>R28*ghg_sort!$B$6</f>
        <v>43.655256701498971</v>
      </c>
      <c r="F28" s="13">
        <f>S28*ghg_sort!$B$6</f>
        <v>101.45922687273496</v>
      </c>
      <c r="G28" s="13">
        <f>T28*ghg_sort!$B$6</f>
        <v>118.21389745262471</v>
      </c>
      <c r="H28" s="13">
        <f>U28*ghg_sort!$B$6</f>
        <v>56.092826799839919</v>
      </c>
      <c r="I28" s="13">
        <f>V28*ghg_sort!$B$6</f>
        <v>63.524595431999593</v>
      </c>
      <c r="J28" s="13">
        <f>W28*ghg_sort!$B$6</f>
        <v>62.927667644489688</v>
      </c>
      <c r="K28" s="13">
        <f>X28*ghg_sort!$B$6</f>
        <v>60.837090557375426</v>
      </c>
      <c r="L28" s="13">
        <f>Y28*ghg_sort!$B$6</f>
        <v>52.405034970029185</v>
      </c>
      <c r="M28" s="13">
        <f>Z28*ghg_sort!$B$6</f>
        <v>39.599306846243508</v>
      </c>
      <c r="N28" s="13">
        <f>AA28*ghg_sort!$B$6</f>
        <v>30.05898362143104</v>
      </c>
      <c r="O28" s="13">
        <f>AB28*ghg_sort!$B$6</f>
        <v>23.170423822427221</v>
      </c>
      <c r="P28" s="13" t="s">
        <v>171</v>
      </c>
      <c r="R28" s="14">
        <v>11.9059791004088</v>
      </c>
      <c r="S28" s="14">
        <v>27.670698238018598</v>
      </c>
      <c r="T28" s="14">
        <v>32.240153850715799</v>
      </c>
      <c r="U28" s="14">
        <v>15.298043672683599</v>
      </c>
      <c r="V28" s="13">
        <v>17.3248896632726</v>
      </c>
      <c r="W28" s="14">
        <v>17.162091175769898</v>
      </c>
      <c r="X28" s="13">
        <v>16.591933788375101</v>
      </c>
      <c r="Y28" s="14">
        <v>14.2922822645534</v>
      </c>
      <c r="Z28" s="13">
        <v>10.7998109580664</v>
      </c>
      <c r="AA28" s="14">
        <v>8.1979046240266396</v>
      </c>
      <c r="AB28" s="13">
        <v>6.3192064970255997</v>
      </c>
    </row>
    <row r="29" spans="1:28">
      <c r="A29" s="13" t="s">
        <v>259</v>
      </c>
      <c r="B29" s="13" t="s">
        <v>1</v>
      </c>
      <c r="C29" s="13" t="s">
        <v>22</v>
      </c>
      <c r="D29" s="13" t="str">
        <f>VLOOKUP(C29,ghg_sort!$A$35:$B$82,2,0)</f>
        <v>Industry</v>
      </c>
      <c r="E29" s="13">
        <f>R29*ghg_sort!$B$6</f>
        <v>0</v>
      </c>
      <c r="F29" s="13">
        <f>S29*ghg_sort!$B$6</f>
        <v>-2.3974151301323212E-4</v>
      </c>
      <c r="G29" s="13">
        <f>T29*ghg_sort!$B$6</f>
        <v>-7.2342299734121703E-3</v>
      </c>
      <c r="H29" s="13">
        <f>U29*ghg_sort!$B$6</f>
        <v>-7.8537217284928313E-3</v>
      </c>
      <c r="I29" s="13">
        <f>V29*ghg_sort!$B$6</f>
        <v>-2.1012445966186528E-2</v>
      </c>
      <c r="J29" s="13">
        <f>W29*ghg_sort!$B$6</f>
        <v>-2.1590337453045883E-2</v>
      </c>
      <c r="K29" s="13">
        <f>X29*ghg_sort!$B$6</f>
        <v>-2.6960850353104054E-2</v>
      </c>
      <c r="L29" s="13">
        <f>Y29*ghg_sort!$B$6</f>
        <v>-4.4752569014588642E-2</v>
      </c>
      <c r="M29" s="13">
        <f>Z29*ghg_sort!$B$6</f>
        <v>-0.15711877775343217</v>
      </c>
      <c r="N29" s="13">
        <f>AA29*ghg_sort!$B$6</f>
        <v>-0.64461430021049293</v>
      </c>
      <c r="O29" s="13">
        <f>AB29*ghg_sort!$B$6</f>
        <v>-1.1889648248917462</v>
      </c>
      <c r="P29" s="13" t="s">
        <v>171</v>
      </c>
      <c r="R29" s="13">
        <v>0</v>
      </c>
      <c r="S29" s="14">
        <v>-6.5384049003608703E-5</v>
      </c>
      <c r="T29" s="13">
        <v>-1.9729718109305901E-3</v>
      </c>
      <c r="U29" s="13">
        <v>-2.1419241077707701E-3</v>
      </c>
      <c r="V29" s="13">
        <v>-5.7306670816872299E-3</v>
      </c>
      <c r="W29" s="13">
        <v>-5.88827385083069E-3</v>
      </c>
      <c r="X29" s="13">
        <v>-7.3529591872101901E-3</v>
      </c>
      <c r="Y29" s="13">
        <v>-1.22052460948878E-2</v>
      </c>
      <c r="Z29" s="13">
        <v>-4.2850575750936003E-2</v>
      </c>
      <c r="AA29" s="13">
        <v>-0.17580390005740701</v>
      </c>
      <c r="AB29" s="13">
        <v>-0.32426313406138502</v>
      </c>
    </row>
    <row r="30" spans="1:28">
      <c r="A30" s="13" t="s">
        <v>259</v>
      </c>
      <c r="B30" s="13" t="s">
        <v>1</v>
      </c>
      <c r="C30" s="13" t="s">
        <v>62</v>
      </c>
      <c r="D30" s="13" t="str">
        <f>VLOOKUP(C30,ghg_sort!$A$35:$B$82,2,0)</f>
        <v>Industry</v>
      </c>
      <c r="E30" s="13">
        <f>R30*ghg_sort!$B$6</f>
        <v>9.7891444583392992</v>
      </c>
      <c r="F30" s="13">
        <f>S30*ghg_sort!$B$6</f>
        <v>13.385650644517884</v>
      </c>
      <c r="G30" s="13">
        <f>T30*ghg_sort!$B$6</f>
        <v>12.734759733984395</v>
      </c>
      <c r="H30" s="13">
        <f>U30*ghg_sort!$B$6</f>
        <v>12.985316141487996</v>
      </c>
      <c r="I30" s="13">
        <f>V30*ghg_sort!$B$6</f>
        <v>12.073793965558023</v>
      </c>
      <c r="J30" s="13">
        <f>W30*ghg_sort!$B$6</f>
        <v>9.2431450107249091</v>
      </c>
      <c r="K30" s="13">
        <f>X30*ghg_sort!$B$6</f>
        <v>8.0083971444765272</v>
      </c>
      <c r="L30" s="13">
        <f>Y30*ghg_sort!$B$6</f>
        <v>6.4938688608260922</v>
      </c>
      <c r="M30" s="13">
        <f>Z30*ghg_sort!$B$6</f>
        <v>4.0216819334668568</v>
      </c>
      <c r="N30" s="13">
        <f>AA30*ghg_sort!$B$6</f>
        <v>2.8040160691037355</v>
      </c>
      <c r="O30" s="13">
        <f>AB30*ghg_sort!$B$6</f>
        <v>2.2091717980972843</v>
      </c>
      <c r="P30" s="13" t="s">
        <v>171</v>
      </c>
      <c r="R30" s="13">
        <v>2.6697666704561702</v>
      </c>
      <c r="S30" s="13">
        <v>3.6506319939594198</v>
      </c>
      <c r="T30" s="13">
        <v>3.47311629108665</v>
      </c>
      <c r="U30" s="13">
        <v>3.5414498567694501</v>
      </c>
      <c r="V30" s="13">
        <v>3.2928528996976398</v>
      </c>
      <c r="W30" s="13">
        <v>2.5208577301977</v>
      </c>
      <c r="X30" s="13">
        <v>2.1841083121299598</v>
      </c>
      <c r="Y30" s="13">
        <v>1.77105514386166</v>
      </c>
      <c r="Z30" s="13">
        <v>1.09682234549096</v>
      </c>
      <c r="AA30" s="13">
        <v>0.764731655210109</v>
      </c>
      <c r="AB30" s="13">
        <v>0.60250139948107695</v>
      </c>
    </row>
    <row r="31" spans="1:28">
      <c r="A31" s="13" t="s">
        <v>259</v>
      </c>
      <c r="B31" s="13" t="s">
        <v>1</v>
      </c>
      <c r="C31" s="13" t="s">
        <v>190</v>
      </c>
      <c r="D31" s="13" t="str">
        <f>VLOOKUP(C31,ghg_sort!$A$35:$B$82,2,0)</f>
        <v>DAC</v>
      </c>
      <c r="E31" s="13">
        <f>R31*ghg_sort!$B$6</f>
        <v>0</v>
      </c>
      <c r="F31" s="13">
        <f>S31*ghg_sort!$B$6</f>
        <v>0</v>
      </c>
      <c r="G31" s="13">
        <f>T31*ghg_sort!$B$6</f>
        <v>0</v>
      </c>
      <c r="H31" s="13">
        <f>U31*ghg_sort!$B$6</f>
        <v>0</v>
      </c>
      <c r="I31" s="13">
        <f>V31*ghg_sort!$B$6</f>
        <v>0</v>
      </c>
      <c r="J31" s="13">
        <f>W31*ghg_sort!$B$6</f>
        <v>0</v>
      </c>
      <c r="K31" s="13">
        <f>X31*ghg_sort!$B$6</f>
        <v>0</v>
      </c>
      <c r="L31" s="13">
        <f>Y31*ghg_sort!$B$6</f>
        <v>0</v>
      </c>
      <c r="M31" s="13">
        <f>Z31*ghg_sort!$B$6</f>
        <v>3.4051780519414158E-6</v>
      </c>
      <c r="N31" s="13">
        <f>AA31*ghg_sort!$B$6</f>
        <v>2.1241618286883153E-3</v>
      </c>
      <c r="O31" s="13">
        <f>AB31*ghg_sort!$B$6</f>
        <v>0.98630259590538594</v>
      </c>
      <c r="P31" s="13" t="s">
        <v>171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4">
        <v>0</v>
      </c>
      <c r="X31" s="14">
        <v>0</v>
      </c>
      <c r="Y31" s="14">
        <v>0</v>
      </c>
      <c r="Z31" s="14">
        <v>9.2868492325674897E-7</v>
      </c>
      <c r="AA31" s="14">
        <v>5.7931686236954E-4</v>
      </c>
      <c r="AB31" s="13">
        <v>0.26899161706510499</v>
      </c>
    </row>
    <row r="32" spans="1:28">
      <c r="A32" s="13" t="s">
        <v>259</v>
      </c>
      <c r="B32" s="13" t="s">
        <v>1</v>
      </c>
      <c r="C32" s="13" t="s">
        <v>164</v>
      </c>
      <c r="D32" s="13">
        <f>VLOOKUP(C32,ghg_sort!$A$35:$B$82,2,0)</f>
        <v>0</v>
      </c>
      <c r="E32" s="13">
        <f>R32*ghg_sort!$B$6</f>
        <v>0</v>
      </c>
      <c r="F32" s="13">
        <f>S32*ghg_sort!$B$6</f>
        <v>0</v>
      </c>
      <c r="G32" s="13">
        <f>T32*ghg_sort!$B$6</f>
        <v>-8.8992840459724013E-7</v>
      </c>
      <c r="H32" s="13">
        <f>U32*ghg_sort!$B$6</f>
        <v>-1.5359606930237695E-6</v>
      </c>
      <c r="I32" s="13">
        <f>V32*ghg_sort!$B$6</f>
        <v>-3.8244425948478969E-7</v>
      </c>
      <c r="J32" s="13">
        <f>W32*ghg_sort!$B$6</f>
        <v>-7.6193905586480441E-7</v>
      </c>
      <c r="K32" s="13">
        <f>X32*ghg_sort!$B$6</f>
        <v>0</v>
      </c>
      <c r="L32" s="13">
        <f>Y32*ghg_sort!$B$6</f>
        <v>-1.3415229644575563E-7</v>
      </c>
      <c r="M32" s="13">
        <f>Z32*ghg_sort!$B$6</f>
        <v>0</v>
      </c>
      <c r="N32" s="13">
        <f>AA32*ghg_sort!$B$6</f>
        <v>-2.8483380315159908E-6</v>
      </c>
      <c r="O32" s="13">
        <f>AB32*ghg_sort!$B$6</f>
        <v>0</v>
      </c>
      <c r="P32" s="13" t="s">
        <v>171</v>
      </c>
      <c r="R32" s="13">
        <v>0</v>
      </c>
      <c r="S32" s="14">
        <v>0</v>
      </c>
      <c r="T32" s="14">
        <v>-2.4270774670833798E-7</v>
      </c>
      <c r="U32" s="14">
        <v>-4.1889837082466401E-7</v>
      </c>
      <c r="V32" s="14">
        <v>-1.0430297985948801E-7</v>
      </c>
      <c r="W32" s="14">
        <v>-2.0780156069040101E-7</v>
      </c>
      <c r="X32" s="13">
        <v>0</v>
      </c>
      <c r="Y32" s="14">
        <v>-3.6586989939751498E-8</v>
      </c>
      <c r="Z32" s="14">
        <v>0</v>
      </c>
      <c r="AA32" s="14">
        <v>-7.7681946314072404E-7</v>
      </c>
      <c r="AB32" s="14">
        <v>0</v>
      </c>
    </row>
    <row r="33" spans="1:28">
      <c r="A33" s="13" t="s">
        <v>259</v>
      </c>
      <c r="B33" s="13" t="s">
        <v>1</v>
      </c>
      <c r="C33" s="13" t="s">
        <v>6</v>
      </c>
      <c r="D33" s="13" t="str">
        <f>VLOOKUP(C33,ghg_sort!$A$35:$B$82,2,0)</f>
        <v>Industry</v>
      </c>
      <c r="E33" s="13">
        <f>R33*ghg_sort!$B$6</f>
        <v>0</v>
      </c>
      <c r="F33" s="13">
        <f>S33*ghg_sort!$B$6</f>
        <v>0</v>
      </c>
      <c r="G33" s="13">
        <f>T33*ghg_sort!$B$6</f>
        <v>-5.1522214526304177E-7</v>
      </c>
      <c r="H33" s="13">
        <f>U33*ghg_sort!$B$6</f>
        <v>0</v>
      </c>
      <c r="I33" s="13">
        <f>V33*ghg_sort!$B$6</f>
        <v>-1.5297758198910785E-6</v>
      </c>
      <c r="J33" s="13">
        <f>W33*ghg_sort!$B$6</f>
        <v>0</v>
      </c>
      <c r="K33" s="13">
        <f>X33*ghg_sort!$B$6</f>
        <v>-2.556413364393994E-6</v>
      </c>
      <c r="L33" s="13">
        <f>Y33*ghg_sort!$B$6</f>
        <v>0</v>
      </c>
      <c r="M33" s="13">
        <f>Z33*ghg_sort!$B$6</f>
        <v>0</v>
      </c>
      <c r="N33" s="13">
        <f>AA33*ghg_sort!$B$6</f>
        <v>0</v>
      </c>
      <c r="O33" s="13">
        <f>AB33*ghg_sort!$B$6</f>
        <v>-3.7724157469395131E-6</v>
      </c>
      <c r="P33" s="13" t="s">
        <v>171</v>
      </c>
      <c r="R33" s="13">
        <v>0</v>
      </c>
      <c r="S33" s="13">
        <v>0</v>
      </c>
      <c r="T33" s="14">
        <v>-1.40515130526284E-7</v>
      </c>
      <c r="U33" s="13">
        <v>0</v>
      </c>
      <c r="V33" s="14">
        <v>-4.1721158724302101E-7</v>
      </c>
      <c r="W33" s="13">
        <v>0</v>
      </c>
      <c r="X33" s="14">
        <v>-6.9720364483472498E-7</v>
      </c>
      <c r="Y33" s="14">
        <v>0</v>
      </c>
      <c r="Z33" s="14">
        <v>0</v>
      </c>
      <c r="AA33" s="13">
        <v>0</v>
      </c>
      <c r="AB33" s="14">
        <v>-1.0288406582562299E-6</v>
      </c>
    </row>
    <row r="34" spans="1:28">
      <c r="A34" s="13" t="s">
        <v>259</v>
      </c>
      <c r="B34" s="13" t="s">
        <v>1</v>
      </c>
      <c r="C34" s="13" t="s">
        <v>148</v>
      </c>
      <c r="D34" s="13" t="str">
        <f>VLOOKUP(C34,ghg_sort!$A$35:$B$82,2,0)</f>
        <v>Industry</v>
      </c>
      <c r="E34" s="13">
        <f>R34*ghg_sort!$B$6</f>
        <v>2.0245353333333354</v>
      </c>
      <c r="F34" s="13">
        <f>S34*ghg_sort!$B$6</f>
        <v>15.065143451769599</v>
      </c>
      <c r="G34" s="13">
        <f>T34*ghg_sort!$B$6</f>
        <v>21.17748904879199</v>
      </c>
      <c r="H34" s="13">
        <f>U34*ghg_sort!$B$6</f>
        <v>31.35152278831422</v>
      </c>
      <c r="I34" s="13">
        <f>V34*ghg_sort!$B$6</f>
        <v>30.728975515446919</v>
      </c>
      <c r="J34" s="13">
        <f>W34*ghg_sort!$B$6</f>
        <v>29.562611103436282</v>
      </c>
      <c r="K34" s="13">
        <f>X34*ghg_sort!$B$6</f>
        <v>27.621966476293554</v>
      </c>
      <c r="L34" s="13">
        <f>Y34*ghg_sort!$B$6</f>
        <v>25.52239515130513</v>
      </c>
      <c r="M34" s="13">
        <f>Z34*ghg_sort!$B$6</f>
        <v>20.223773083295487</v>
      </c>
      <c r="N34" s="13">
        <f>AA34*ghg_sort!$B$6</f>
        <v>2.7516033617291988</v>
      </c>
      <c r="O34" s="13">
        <f>AB34*ghg_sort!$B$6</f>
        <v>-12.810996356885514</v>
      </c>
      <c r="P34" s="13" t="s">
        <v>171</v>
      </c>
      <c r="R34" s="13">
        <v>0.55214600000000003</v>
      </c>
      <c r="S34" s="13">
        <v>4.1086754868462503</v>
      </c>
      <c r="T34" s="13">
        <v>5.7756788314887197</v>
      </c>
      <c r="U34" s="13">
        <v>8.5504153059038703</v>
      </c>
      <c r="V34" s="13">
        <v>8.3806296860309697</v>
      </c>
      <c r="W34" s="14">
        <v>8.0625303009371603</v>
      </c>
      <c r="X34" s="14">
        <v>7.5332635844436897</v>
      </c>
      <c r="Y34" s="14">
        <v>6.9606532230832103</v>
      </c>
      <c r="Z34" s="13">
        <v>5.5155744772624002</v>
      </c>
      <c r="AA34" s="13">
        <v>0.75043728047159897</v>
      </c>
      <c r="AB34" s="13">
        <v>-3.4939080973324099</v>
      </c>
    </row>
    <row r="35" spans="1:28">
      <c r="A35" s="13" t="s">
        <v>259</v>
      </c>
      <c r="B35" s="13" t="s">
        <v>1</v>
      </c>
      <c r="C35" s="13" t="s">
        <v>152</v>
      </c>
      <c r="D35" s="13" t="str">
        <f>VLOOKUP(C35,ghg_sort!$A$35:$B$82,2,0)</f>
        <v>Building</v>
      </c>
      <c r="E35" s="13">
        <f>R35*ghg_sort!$B$6</f>
        <v>15.650855202105838</v>
      </c>
      <c r="F35" s="13">
        <f>S35*ghg_sort!$B$6</f>
        <v>19.751219919670561</v>
      </c>
      <c r="G35" s="13">
        <f>T35*ghg_sort!$B$6</f>
        <v>19.760550402334957</v>
      </c>
      <c r="H35" s="13">
        <f>U35*ghg_sort!$B$6</f>
        <v>18.335950936102925</v>
      </c>
      <c r="I35" s="13">
        <f>V35*ghg_sort!$B$6</f>
        <v>20.005707540428446</v>
      </c>
      <c r="J35" s="13">
        <f>W35*ghg_sort!$B$6</f>
        <v>19.797422809833368</v>
      </c>
      <c r="K35" s="13">
        <f>X35*ghg_sort!$B$6</f>
        <v>19.670715719976258</v>
      </c>
      <c r="L35" s="13">
        <f>Y35*ghg_sort!$B$6</f>
        <v>18.551297142878003</v>
      </c>
      <c r="M35" s="13">
        <f>Z35*ghg_sort!$B$6</f>
        <v>16.44099388016479</v>
      </c>
      <c r="N35" s="13">
        <f>AA35*ghg_sort!$B$6</f>
        <v>13.102353876956093</v>
      </c>
      <c r="O35" s="13">
        <f>AB35*ghg_sort!$B$6</f>
        <v>9.1310432862959292</v>
      </c>
      <c r="P35" s="13" t="s">
        <v>171</v>
      </c>
      <c r="R35" s="13">
        <v>4.2684150551197702</v>
      </c>
      <c r="S35" s="13">
        <v>5.3866963417283298</v>
      </c>
      <c r="T35" s="14">
        <v>5.3892410188186197</v>
      </c>
      <c r="U35" s="14">
        <v>5.0007138916644296</v>
      </c>
      <c r="V35" s="14">
        <v>5.4561020564804803</v>
      </c>
      <c r="W35" s="14">
        <v>5.39929712995455</v>
      </c>
      <c r="X35" s="14">
        <v>5.3647406509026103</v>
      </c>
      <c r="Y35" s="13">
        <v>5.0594446753303597</v>
      </c>
      <c r="Z35" s="14">
        <v>4.4839074218631199</v>
      </c>
      <c r="AA35" s="13">
        <v>3.57336923916984</v>
      </c>
      <c r="AB35" s="14">
        <v>2.49028453262616</v>
      </c>
    </row>
    <row r="36" spans="1:28">
      <c r="A36" s="13" t="s">
        <v>259</v>
      </c>
      <c r="B36" s="13" t="s">
        <v>1</v>
      </c>
      <c r="C36" s="13" t="s">
        <v>153</v>
      </c>
      <c r="D36" s="13" t="str">
        <f>VLOOKUP(C36,ghg_sort!$A$35:$B$82,2,0)</f>
        <v>Building</v>
      </c>
      <c r="E36" s="13">
        <f>R36*ghg_sort!$B$6</f>
        <v>27.314761492950971</v>
      </c>
      <c r="F36" s="13">
        <f>S36*ghg_sort!$B$6</f>
        <v>12.740593929886655</v>
      </c>
      <c r="G36" s="13">
        <f>T36*ghg_sort!$B$6</f>
        <v>12.693356183610385</v>
      </c>
      <c r="H36" s="13">
        <f>U36*ghg_sort!$B$6</f>
        <v>11.385905968043359</v>
      </c>
      <c r="I36" s="13">
        <f>V36*ghg_sort!$B$6</f>
        <v>14.083656994369319</v>
      </c>
      <c r="J36" s="13">
        <f>W36*ghg_sort!$B$6</f>
        <v>12.056690208316025</v>
      </c>
      <c r="K36" s="13">
        <f>X36*ghg_sort!$B$6</f>
        <v>11.3532484124927</v>
      </c>
      <c r="L36" s="13">
        <f>Y36*ghg_sort!$B$6</f>
        <v>9.5934414715208387</v>
      </c>
      <c r="M36" s="13">
        <f>Z36*ghg_sort!$B$6</f>
        <v>6.8385577549353957</v>
      </c>
      <c r="N36" s="13">
        <f>AA36*ghg_sort!$B$6</f>
        <v>4.3796136975520641</v>
      </c>
      <c r="O36" s="13">
        <f>AB36*ghg_sort!$B$6</f>
        <v>2.5819962958787164</v>
      </c>
      <c r="P36" s="13" t="s">
        <v>171</v>
      </c>
      <c r="R36" s="13">
        <v>7.4494804071684397</v>
      </c>
      <c r="S36" s="13">
        <v>3.47470743542363</v>
      </c>
      <c r="T36" s="14">
        <v>3.4618244137119198</v>
      </c>
      <c r="U36" s="13">
        <v>3.1052470821936402</v>
      </c>
      <c r="V36" s="14">
        <v>3.8409973621007198</v>
      </c>
      <c r="W36" s="13">
        <v>3.2881882386316401</v>
      </c>
      <c r="X36" s="13">
        <v>3.0963404761343698</v>
      </c>
      <c r="Y36" s="14">
        <v>2.6163931285965898</v>
      </c>
      <c r="Z36" s="13">
        <v>1.86506120589147</v>
      </c>
      <c r="AA36" s="14">
        <v>1.19444009933238</v>
      </c>
      <c r="AB36" s="14">
        <v>0.70418080796692195</v>
      </c>
    </row>
    <row r="37" spans="1:28">
      <c r="A37" s="13" t="s">
        <v>259</v>
      </c>
      <c r="B37" s="13" t="s">
        <v>1</v>
      </c>
      <c r="C37" s="13" t="s">
        <v>154</v>
      </c>
      <c r="D37" s="13" t="str">
        <f>VLOOKUP(C37,ghg_sort!$A$35:$B$82,2,0)</f>
        <v>International</v>
      </c>
      <c r="E37" s="13">
        <f>R37*ghg_sort!$B$6</f>
        <v>0.5610513333333339</v>
      </c>
      <c r="F37" s="13">
        <f>S37*ghg_sort!$B$6</f>
        <v>10.161416835775306</v>
      </c>
      <c r="G37" s="13">
        <f>T37*ghg_sort!$B$6</f>
        <v>11.947433457441983</v>
      </c>
      <c r="H37" s="13">
        <f>U37*ghg_sort!$B$6</f>
        <v>15.461122520929557</v>
      </c>
      <c r="I37" s="13">
        <f>V37*ghg_sort!$B$6</f>
        <v>16.325106254319625</v>
      </c>
      <c r="J37" s="13">
        <f>W37*ghg_sort!$B$6</f>
        <v>16.613689199468219</v>
      </c>
      <c r="K37" s="13">
        <f>X37*ghg_sort!$B$6</f>
        <v>16.732902478900936</v>
      </c>
      <c r="L37" s="13">
        <f>Y37*ghg_sort!$B$6</f>
        <v>16.519399769063892</v>
      </c>
      <c r="M37" s="13">
        <f>Z37*ghg_sort!$B$6</f>
        <v>15.728974705342596</v>
      </c>
      <c r="N37" s="13">
        <f>AA37*ghg_sort!$B$6</f>
        <v>14.152160813157083</v>
      </c>
      <c r="O37" s="13">
        <f>AB37*ghg_sort!$B$6</f>
        <v>12.621909795200541</v>
      </c>
      <c r="P37" s="13" t="s">
        <v>171</v>
      </c>
      <c r="R37" s="13">
        <v>0.15301400000000001</v>
      </c>
      <c r="S37" s="13">
        <v>2.7712955006659898</v>
      </c>
      <c r="T37" s="13">
        <v>3.2583909429387199</v>
      </c>
      <c r="U37" s="13">
        <v>4.21666977843533</v>
      </c>
      <c r="V37" s="13">
        <v>4.4523017057235297</v>
      </c>
      <c r="W37" s="13">
        <v>4.5310061453095098</v>
      </c>
      <c r="X37" s="13">
        <v>4.5635188578820696</v>
      </c>
      <c r="Y37" s="13">
        <v>4.5052908461083296</v>
      </c>
      <c r="Z37" s="13">
        <v>4.2897203741843404</v>
      </c>
      <c r="AA37" s="13">
        <v>3.8596802217701098</v>
      </c>
      <c r="AB37" s="13">
        <v>3.4423390350546899</v>
      </c>
    </row>
    <row r="38" spans="1:28">
      <c r="A38" s="13" t="s">
        <v>259</v>
      </c>
      <c r="B38" s="13" t="s">
        <v>1</v>
      </c>
      <c r="C38" s="13" t="s">
        <v>155</v>
      </c>
      <c r="D38" s="13" t="str">
        <f>VLOOKUP(C38,ghg_sort!$A$35:$B$82,2,0)</f>
        <v>Transportation</v>
      </c>
      <c r="E38" s="13">
        <f>R38*ghg_sort!$B$6</f>
        <v>5.0582154333333378</v>
      </c>
      <c r="F38" s="13">
        <f>S38*ghg_sort!$B$6</f>
        <v>2.9109752243785207</v>
      </c>
      <c r="G38" s="13">
        <f>T38*ghg_sort!$B$6</f>
        <v>2.2964146719906391</v>
      </c>
      <c r="H38" s="13">
        <f>U38*ghg_sort!$B$6</f>
        <v>0.96798718071215317</v>
      </c>
      <c r="I38" s="13">
        <f>V38*ghg_sort!$B$6</f>
        <v>1.0288174660558089</v>
      </c>
      <c r="J38" s="13">
        <f>W38*ghg_sort!$B$6</f>
        <v>0.9018580060138558</v>
      </c>
      <c r="K38" s="13">
        <f>X38*ghg_sort!$B$6</f>
        <v>0.84414280966404842</v>
      </c>
      <c r="L38" s="13">
        <f>Y38*ghg_sort!$B$6</f>
        <v>0.72561135121615494</v>
      </c>
      <c r="M38" s="13">
        <f>Z38*ghg_sort!$B$6</f>
        <v>0.5330678810663475</v>
      </c>
      <c r="N38" s="13">
        <f>AA38*ghg_sort!$B$6</f>
        <v>0.36626805314821698</v>
      </c>
      <c r="O38" s="13">
        <f>AB38*ghg_sort!$B$6</f>
        <v>0.2605553555109929</v>
      </c>
      <c r="P38" s="13" t="s">
        <v>171</v>
      </c>
      <c r="R38" s="13">
        <v>1.3795132999999999</v>
      </c>
      <c r="S38" s="13">
        <v>0.79390233392141396</v>
      </c>
      <c r="T38" s="13">
        <v>0.62629491054290098</v>
      </c>
      <c r="U38" s="13">
        <v>0.26399650383058698</v>
      </c>
      <c r="V38" s="13">
        <v>0.28058658165158401</v>
      </c>
      <c r="W38" s="13">
        <v>0.24596127436741499</v>
      </c>
      <c r="X38" s="13">
        <v>0.23022076627201299</v>
      </c>
      <c r="Y38" s="13">
        <v>0.19789400487713299</v>
      </c>
      <c r="Z38" s="13">
        <v>0.145382149381731</v>
      </c>
      <c r="AA38" s="13">
        <v>9.9891287222240902E-2</v>
      </c>
      <c r="AB38" s="13">
        <v>7.1060551502998004E-2</v>
      </c>
    </row>
    <row r="39" spans="1:28">
      <c r="A39" s="13" t="s">
        <v>259</v>
      </c>
      <c r="B39" s="13" t="s">
        <v>1</v>
      </c>
      <c r="C39" s="13" t="s">
        <v>156</v>
      </c>
      <c r="D39" s="13" t="str">
        <f>VLOOKUP(C39,ghg_sort!$A$35:$B$82,2,0)</f>
        <v>Transportation</v>
      </c>
      <c r="E39" s="13">
        <f>R39*ghg_sort!$B$6</f>
        <v>9.4148633333333418</v>
      </c>
      <c r="F39" s="13">
        <f>S39*ghg_sort!$B$6</f>
        <v>22.867889884136389</v>
      </c>
      <c r="G39" s="13">
        <f>T39*ghg_sort!$B$6</f>
        <v>23.835254531642168</v>
      </c>
      <c r="H39" s="13">
        <f>U39*ghg_sort!$B$6</f>
        <v>26.687851972856016</v>
      </c>
      <c r="I39" s="13">
        <f>V39*ghg_sort!$B$6</f>
        <v>29.04755234565458</v>
      </c>
      <c r="J39" s="13">
        <f>W39*ghg_sort!$B$6</f>
        <v>30.281963291666631</v>
      </c>
      <c r="K39" s="13">
        <f>X39*ghg_sort!$B$6</f>
        <v>29.711673682300052</v>
      </c>
      <c r="L39" s="13">
        <f>Y39*ghg_sort!$B$6</f>
        <v>27.294713108558049</v>
      </c>
      <c r="M39" s="13">
        <f>Z39*ghg_sort!$B$6</f>
        <v>22.704254807697158</v>
      </c>
      <c r="N39" s="13">
        <f>AA39*ghg_sort!$B$6</f>
        <v>16.652190450705383</v>
      </c>
      <c r="O39" s="13">
        <f>AB39*ghg_sort!$B$6</f>
        <v>11.411775521879564</v>
      </c>
      <c r="P39" s="13" t="s">
        <v>171</v>
      </c>
      <c r="R39" s="13">
        <v>2.5676899999999998</v>
      </c>
      <c r="S39" s="13">
        <v>6.2366972411281001</v>
      </c>
      <c r="T39" s="13">
        <v>6.5005239631751301</v>
      </c>
      <c r="U39" s="13">
        <v>7.2785050835061798</v>
      </c>
      <c r="V39" s="13">
        <v>7.9220597306330598</v>
      </c>
      <c r="W39" s="13">
        <v>8.2587172613636195</v>
      </c>
      <c r="X39" s="13">
        <v>8.1031837315363706</v>
      </c>
      <c r="Y39" s="13">
        <v>7.4440126659703703</v>
      </c>
      <c r="Z39" s="13">
        <v>6.1920694930083098</v>
      </c>
      <c r="AA39" s="13">
        <v>4.5415064865560097</v>
      </c>
      <c r="AB39" s="13">
        <v>3.11230241505806</v>
      </c>
    </row>
    <row r="40" spans="1:28">
      <c r="A40" s="13" t="s">
        <v>259</v>
      </c>
      <c r="B40" s="13" t="s">
        <v>1</v>
      </c>
      <c r="C40" s="13" t="s">
        <v>157</v>
      </c>
      <c r="D40" s="13" t="str">
        <f>VLOOKUP(C40,ghg_sort!$A$35:$B$82,2,0)</f>
        <v>Transportation</v>
      </c>
      <c r="E40" s="13">
        <f>R40*ghg_sort!$B$6</f>
        <v>6.3019835999999687</v>
      </c>
      <c r="F40" s="13">
        <f>S40*ghg_sort!$B$6</f>
        <v>1.4661221989921369</v>
      </c>
      <c r="G40" s="13">
        <f>T40*ghg_sort!$B$6</f>
        <v>1.6532101999793578</v>
      </c>
      <c r="H40" s="13">
        <f>U40*ghg_sort!$B$6</f>
        <v>2.0432535467016328</v>
      </c>
      <c r="I40" s="13">
        <f>V40*ghg_sort!$B$6</f>
        <v>2.187998368084271</v>
      </c>
      <c r="J40" s="13">
        <f>W40*ghg_sort!$B$6</f>
        <v>2.1943135500164579</v>
      </c>
      <c r="K40" s="13">
        <f>X40*ghg_sort!$B$6</f>
        <v>2.179107634547087</v>
      </c>
      <c r="L40" s="13">
        <f>Y40*ghg_sort!$B$6</f>
        <v>2.1265646398117237</v>
      </c>
      <c r="M40" s="13">
        <f>Z40*ghg_sort!$B$6</f>
        <v>1.9680768420052648</v>
      </c>
      <c r="N40" s="13">
        <f>AA40*ghg_sort!$B$6</f>
        <v>1.7173083070741268</v>
      </c>
      <c r="O40" s="13">
        <f>AB40*ghg_sort!$B$6</f>
        <v>1.488357221799266</v>
      </c>
      <c r="R40" s="13">
        <v>1.7187227999999899</v>
      </c>
      <c r="S40" s="13">
        <v>0.39985150881603698</v>
      </c>
      <c r="T40" s="13">
        <v>0.45087550908527901</v>
      </c>
      <c r="U40" s="13">
        <v>0.55725096728226298</v>
      </c>
      <c r="V40" s="13">
        <v>0.59672682765934604</v>
      </c>
      <c r="W40" s="13">
        <v>0.59844915000448795</v>
      </c>
      <c r="X40" s="13">
        <v>0.59430208214920499</v>
      </c>
      <c r="Y40" s="13">
        <v>0.57997217449410599</v>
      </c>
      <c r="Z40" s="13">
        <v>0.536748229637799</v>
      </c>
      <c r="AA40" s="13">
        <v>0.46835681102021598</v>
      </c>
      <c r="AB40" s="13">
        <v>0.405915605945254</v>
      </c>
    </row>
    <row r="41" spans="1:28">
      <c r="A41" s="13" t="s">
        <v>259</v>
      </c>
      <c r="B41" s="13" t="s">
        <v>1</v>
      </c>
      <c r="C41" s="13" t="s">
        <v>158</v>
      </c>
      <c r="D41" s="13" t="str">
        <f>VLOOKUP(C41,ghg_sort!$A$35:$B$82,2,0)</f>
        <v>Transportation</v>
      </c>
      <c r="E41" s="13">
        <f>R41*ghg_sort!$B$6</f>
        <v>6.1170266666666722</v>
      </c>
      <c r="F41" s="13">
        <f>S41*ghg_sort!$B$6</f>
        <v>15.551390976597313</v>
      </c>
      <c r="G41" s="13">
        <f>T41*ghg_sort!$B$6</f>
        <v>17.673541300719901</v>
      </c>
      <c r="H41" s="13">
        <f>U41*ghg_sort!$B$6</f>
        <v>19.829553376807809</v>
      </c>
      <c r="I41" s="13">
        <f>V41*ghg_sort!$B$6</f>
        <v>20.226743086188268</v>
      </c>
      <c r="J41" s="13">
        <f>W41*ghg_sort!$B$6</f>
        <v>16.59010797241638</v>
      </c>
      <c r="K41" s="13">
        <f>X41*ghg_sort!$B$6</f>
        <v>12.934112214259438</v>
      </c>
      <c r="L41" s="13">
        <f>Y41*ghg_sort!$B$6</f>
        <v>10.054153731110215</v>
      </c>
      <c r="M41" s="13">
        <f>Z41*ghg_sort!$B$6</f>
        <v>8.6440879520406479</v>
      </c>
      <c r="N41" s="13">
        <f>AA41*ghg_sort!$B$6</f>
        <v>7.3138105044226629</v>
      </c>
      <c r="O41" s="13">
        <f>AB41*ghg_sort!$B$6</f>
        <v>6.1961087371260417</v>
      </c>
      <c r="R41" s="13">
        <v>1.66828</v>
      </c>
      <c r="S41" s="13">
        <v>4.2412884481628996</v>
      </c>
      <c r="T41" s="13">
        <v>4.82005671837815</v>
      </c>
      <c r="U41" s="13">
        <v>5.4080600118566702</v>
      </c>
      <c r="V41" s="13">
        <v>5.5163844780513402</v>
      </c>
      <c r="W41" s="13">
        <v>4.5245749015680996</v>
      </c>
      <c r="X41" s="13">
        <v>3.5274851493434798</v>
      </c>
      <c r="Y41" s="13">
        <v>2.74204192666642</v>
      </c>
      <c r="Z41" s="13">
        <v>2.3574785323747198</v>
      </c>
      <c r="AA41" s="13">
        <v>1.9946755921152699</v>
      </c>
      <c r="AB41" s="13">
        <v>1.6898478373980099</v>
      </c>
    </row>
    <row r="42" spans="1:28">
      <c r="A42" s="13" t="s">
        <v>259</v>
      </c>
      <c r="B42" s="13" t="s">
        <v>1</v>
      </c>
      <c r="C42" s="13" t="s">
        <v>159</v>
      </c>
      <c r="D42" s="13" t="str">
        <f>VLOOKUP(C42,ghg_sort!$A$35:$B$82,2,0)</f>
        <v>Transportation</v>
      </c>
      <c r="E42" s="13">
        <f>R42*ghg_sort!$B$6</f>
        <v>0.48860166666666716</v>
      </c>
      <c r="F42" s="13">
        <f>S42*ghg_sort!$B$6</f>
        <v>1.1867005588701571</v>
      </c>
      <c r="G42" s="13">
        <f>T42*ghg_sort!$B$6</f>
        <v>1.2368886599202917</v>
      </c>
      <c r="H42" s="13">
        <f>U42*ghg_sort!$B$6</f>
        <v>1.3848928256874531</v>
      </c>
      <c r="I42" s="13">
        <f>V42*ghg_sort!$B$6</f>
        <v>1.4619695987496246</v>
      </c>
      <c r="J42" s="13">
        <f>W42*ghg_sort!$B$6</f>
        <v>0.95472242651500461</v>
      </c>
      <c r="K42" s="13">
        <f>X42*ghg_sort!$B$6</f>
        <v>0.66695498884885263</v>
      </c>
      <c r="L42" s="13">
        <f>Y42*ghg_sort!$B$6</f>
        <v>0.48835424036758013</v>
      </c>
      <c r="M42" s="13">
        <f>Z42*ghg_sort!$B$6</f>
        <v>0.42084086516707436</v>
      </c>
      <c r="N42" s="13">
        <f>AA42*ghg_sort!$B$6</f>
        <v>0.33795366459686071</v>
      </c>
      <c r="O42" s="13">
        <f>AB42*ghg_sort!$B$6</f>
        <v>0.26825657744590969</v>
      </c>
      <c r="R42" s="13">
        <v>0.13325500000000001</v>
      </c>
      <c r="S42" s="13">
        <v>0.323645606964588</v>
      </c>
      <c r="T42" s="13">
        <v>0.33733327088735199</v>
      </c>
      <c r="U42" s="13">
        <v>0.37769804336930501</v>
      </c>
      <c r="V42" s="13">
        <v>0.39871898147717</v>
      </c>
      <c r="W42" s="13">
        <v>0.26037884359500102</v>
      </c>
      <c r="X42" s="13">
        <v>0.181896815140596</v>
      </c>
      <c r="Y42" s="13">
        <v>0.13318752010024901</v>
      </c>
      <c r="Z42" s="13">
        <v>0.114774781409202</v>
      </c>
      <c r="AA42" s="13">
        <v>9.2169181253689197E-2</v>
      </c>
      <c r="AB42" s="13">
        <v>7.3160884757975303E-2</v>
      </c>
    </row>
    <row r="43" spans="1:28">
      <c r="A43" s="13" t="s">
        <v>259</v>
      </c>
      <c r="B43" s="13" t="s">
        <v>1</v>
      </c>
      <c r="C43" s="13" t="s">
        <v>160</v>
      </c>
      <c r="D43" s="13" t="str">
        <f>VLOOKUP(C43,ghg_sort!$A$35:$B$82,2,0)</f>
        <v>Transportation</v>
      </c>
      <c r="E43" s="13">
        <f>R43*ghg_sort!$B$6</f>
        <v>16.483280000000015</v>
      </c>
      <c r="F43" s="13">
        <f>S43*ghg_sort!$B$6</f>
        <v>40.04310849116824</v>
      </c>
      <c r="G43" s="13">
        <f>T43*ghg_sort!$B$6</f>
        <v>41.756483394655369</v>
      </c>
      <c r="H43" s="13">
        <f>U43*ghg_sort!$B$6</f>
        <v>46.753585941553744</v>
      </c>
      <c r="I43" s="13">
        <f>V43*ghg_sort!$B$6</f>
        <v>46.552625772638379</v>
      </c>
      <c r="J43" s="13">
        <f>W43*ghg_sort!$B$6</f>
        <v>40.697681302550471</v>
      </c>
      <c r="K43" s="13">
        <f>X43*ghg_sort!$B$6</f>
        <v>29.383311979221958</v>
      </c>
      <c r="L43" s="13">
        <f>Y43*ghg_sort!$B$6</f>
        <v>19.312294033244463</v>
      </c>
      <c r="M43" s="13">
        <f>Z43*ghg_sort!$B$6</f>
        <v>10.179457542715825</v>
      </c>
      <c r="N43" s="13">
        <f>AA43*ghg_sort!$B$6</f>
        <v>5.7607021230702955</v>
      </c>
      <c r="O43" s="13">
        <f>AB43*ghg_sort!$B$6</f>
        <v>3.0892619666596741</v>
      </c>
      <c r="R43" s="13">
        <v>4.4954400000000003</v>
      </c>
      <c r="S43" s="13">
        <v>10.9208477703186</v>
      </c>
      <c r="T43" s="13">
        <v>11.388131834906</v>
      </c>
      <c r="U43" s="13">
        <v>12.7509779840601</v>
      </c>
      <c r="V43" s="13">
        <v>12.696170665265001</v>
      </c>
      <c r="W43" s="13">
        <v>11.0993676279683</v>
      </c>
      <c r="X43" s="13">
        <v>8.0136305397877994</v>
      </c>
      <c r="Y43" s="13">
        <v>5.2669892817939399</v>
      </c>
      <c r="Z43" s="13">
        <v>2.7762156934679498</v>
      </c>
      <c r="AA43" s="13">
        <v>1.5711005790191701</v>
      </c>
      <c r="AB43" s="13">
        <v>0.84252599090718305</v>
      </c>
    </row>
    <row r="44" spans="1:28">
      <c r="A44" s="13" t="s">
        <v>259</v>
      </c>
      <c r="B44" s="13" t="s">
        <v>1</v>
      </c>
      <c r="C44" s="13" t="s">
        <v>161</v>
      </c>
      <c r="D44" s="13" t="str">
        <f>VLOOKUP(C44,ghg_sort!$A$35:$B$82,2,0)</f>
        <v>International</v>
      </c>
      <c r="E44" s="13">
        <f>R44*ghg_sort!$B$6</f>
        <v>4.7456566666666715</v>
      </c>
      <c r="F44" s="13">
        <f>S44*ghg_sort!$B$6</f>
        <v>29.914731040106872</v>
      </c>
      <c r="G44" s="13">
        <f>T44*ghg_sort!$B$6</f>
        <v>25.682433352023896</v>
      </c>
      <c r="H44" s="13">
        <f>U44*ghg_sort!$B$6</f>
        <v>24.149560938747737</v>
      </c>
      <c r="I44" s="13">
        <f>V44*ghg_sort!$B$6</f>
        <v>25.037677020653245</v>
      </c>
      <c r="J44" s="13">
        <f>W44*ghg_sort!$B$6</f>
        <v>23.839181940466734</v>
      </c>
      <c r="K44" s="13">
        <f>X44*ghg_sort!$B$6</f>
        <v>23.094847207886541</v>
      </c>
      <c r="L44" s="13">
        <f>Y44*ghg_sort!$B$6</f>
        <v>22.259307136806907</v>
      </c>
      <c r="M44" s="13">
        <f>Z44*ghg_sort!$B$6</f>
        <v>20.409252894055356</v>
      </c>
      <c r="N44" s="13">
        <f>AA44*ghg_sort!$B$6</f>
        <v>17.732133810071868</v>
      </c>
      <c r="O44" s="13">
        <f>AB44*ghg_sort!$B$6</f>
        <v>15.485401858636649</v>
      </c>
      <c r="R44" s="13">
        <v>1.29427</v>
      </c>
      <c r="S44" s="13">
        <v>8.1585630109382308</v>
      </c>
      <c r="T44" s="13">
        <v>7.00430000509742</v>
      </c>
      <c r="U44" s="13">
        <v>6.58624389238574</v>
      </c>
      <c r="V44" s="13">
        <v>6.82845736926906</v>
      </c>
      <c r="W44" s="13">
        <v>6.50159507467274</v>
      </c>
      <c r="X44" s="13">
        <v>6.2985946930599601</v>
      </c>
      <c r="Y44" s="13">
        <v>6.07072012822006</v>
      </c>
      <c r="Z44" s="13">
        <v>5.5661598801969099</v>
      </c>
      <c r="AA44" s="13">
        <v>4.8360364936559597</v>
      </c>
      <c r="AB44" s="13">
        <v>4.2232914159918096</v>
      </c>
    </row>
    <row r="45" spans="1:28">
      <c r="A45" s="13" t="s">
        <v>259</v>
      </c>
      <c r="B45" s="13" t="s">
        <v>1</v>
      </c>
      <c r="C45" s="13" t="s">
        <v>7</v>
      </c>
      <c r="D45" s="13">
        <f>VLOOKUP(C45,ghg_sort!$A$35:$B$82,2,0)</f>
        <v>0</v>
      </c>
      <c r="E45" s="13">
        <f>R45*ghg_sort!$B$6</f>
        <v>-1.5875003831509291E-8</v>
      </c>
      <c r="F45" s="13">
        <f>S45*ghg_sort!$B$6</f>
        <v>-4.1206742745484837E-8</v>
      </c>
      <c r="G45" s="13">
        <f>T45*ghg_sort!$B$6</f>
        <v>-3.0549178687298618E-7</v>
      </c>
      <c r="H45" s="13">
        <f>U45*ghg_sort!$B$6</f>
        <v>-1.0193300674918361E-6</v>
      </c>
      <c r="I45" s="13">
        <f>V45*ghg_sort!$B$6</f>
        <v>0</v>
      </c>
      <c r="J45" s="13">
        <f>W45*ghg_sort!$B$6</f>
        <v>0</v>
      </c>
      <c r="K45" s="13">
        <f>X45*ghg_sort!$B$6</f>
        <v>-1.1158490686413484E-6</v>
      </c>
      <c r="L45" s="13">
        <f>Y45*ghg_sort!$B$6</f>
        <v>-8.3338203993366741E-6</v>
      </c>
      <c r="M45" s="13">
        <f>Z45*ghg_sort!$B$6</f>
        <v>-4.1578308070566706E-6</v>
      </c>
      <c r="N45" s="13">
        <f>AA45*ghg_sort!$B$6</f>
        <v>-1.303812281535758E-6</v>
      </c>
      <c r="O45" s="13">
        <f>AB45*ghg_sort!$B$6</f>
        <v>-2.9712161286285454E-7</v>
      </c>
      <c r="R45" s="14">
        <v>-4.3295464995025302E-9</v>
      </c>
      <c r="S45" s="14">
        <v>-1.12382025669504E-8</v>
      </c>
      <c r="T45" s="14">
        <v>-8.3315941874450703E-8</v>
      </c>
      <c r="U45" s="14">
        <v>-2.7799910931595501E-7</v>
      </c>
      <c r="V45" s="14">
        <v>0</v>
      </c>
      <c r="W45" s="13">
        <v>0</v>
      </c>
      <c r="X45" s="14">
        <v>-3.0432247326582201E-7</v>
      </c>
      <c r="Y45" s="14">
        <v>-2.2728601089100001E-6</v>
      </c>
      <c r="Z45" s="14">
        <v>-1.1339538564699999E-6</v>
      </c>
      <c r="AA45" s="14">
        <v>-3.5558516769157002E-7</v>
      </c>
      <c r="AB45" s="14">
        <v>-8.1033167144414795E-8</v>
      </c>
    </row>
    <row r="48" spans="1:28">
      <c r="R48" s="14"/>
      <c r="S48" s="14"/>
      <c r="T48" s="14"/>
      <c r="U48" s="14"/>
      <c r="W48" s="14"/>
      <c r="Z48" s="14"/>
      <c r="AA48" s="14"/>
      <c r="AB48" s="14"/>
    </row>
    <row r="49" spans="1:25">
      <c r="E49" s="13">
        <f>SUM(E3:E48)</f>
        <v>266.37792782246117</v>
      </c>
      <c r="F49" s="13">
        <f t="shared" ref="F49:N49" si="0">SUM(F3:F48)</f>
        <v>530.50278771513456</v>
      </c>
      <c r="G49" s="13">
        <f t="shared" si="0"/>
        <v>622.59101832736246</v>
      </c>
      <c r="H49" s="13">
        <f t="shared" si="0"/>
        <v>665.40648472418366</v>
      </c>
      <c r="I49" s="13">
        <f t="shared" si="0"/>
        <v>675.9799261813497</v>
      </c>
      <c r="J49" s="13">
        <f t="shared" si="0"/>
        <v>618.45414134535986</v>
      </c>
      <c r="K49" s="13">
        <f t="shared" si="0"/>
        <v>500.61146080942314</v>
      </c>
      <c r="L49" s="13">
        <f t="shared" si="0"/>
        <v>382.20122681253844</v>
      </c>
      <c r="M49" s="13">
        <f t="shared" si="0"/>
        <v>258.72000796712592</v>
      </c>
      <c r="N49" s="13">
        <f t="shared" si="0"/>
        <v>139.51335160449813</v>
      </c>
      <c r="O49" s="13">
        <f>SUM(O3:O48)</f>
        <v>13.441386652672108</v>
      </c>
    </row>
    <row r="50" spans="1:25">
      <c r="A50" s="1" t="s">
        <v>121</v>
      </c>
    </row>
    <row r="51" spans="1:25">
      <c r="A51" s="13" t="s">
        <v>8</v>
      </c>
      <c r="B51" s="13" t="s">
        <v>9</v>
      </c>
      <c r="C51" s="13" t="s">
        <v>10</v>
      </c>
      <c r="D51" s="13">
        <v>1990</v>
      </c>
      <c r="E51" s="13">
        <v>2005</v>
      </c>
      <c r="F51" s="13">
        <v>2010</v>
      </c>
      <c r="G51" s="13">
        <v>2015</v>
      </c>
      <c r="H51" s="13">
        <v>2020</v>
      </c>
      <c r="I51" s="13">
        <v>2025</v>
      </c>
      <c r="J51" s="13">
        <v>2030</v>
      </c>
      <c r="K51" s="13">
        <v>2035</v>
      </c>
      <c r="L51" s="13">
        <v>2040</v>
      </c>
      <c r="M51" s="13">
        <v>2045</v>
      </c>
      <c r="N51" s="13">
        <v>2050</v>
      </c>
      <c r="O51" s="13" t="s">
        <v>76</v>
      </c>
      <c r="R51" s="13">
        <v>2015</v>
      </c>
      <c r="S51" s="13">
        <v>2020</v>
      </c>
      <c r="T51" s="13">
        <v>2025</v>
      </c>
      <c r="U51" s="13">
        <v>2030</v>
      </c>
      <c r="V51" s="13">
        <v>2035</v>
      </c>
      <c r="W51" s="13">
        <v>2040</v>
      </c>
      <c r="X51" s="13">
        <v>2045</v>
      </c>
      <c r="Y51" s="13">
        <v>2050</v>
      </c>
    </row>
    <row r="52" spans="1:25">
      <c r="A52" s="13" t="s">
        <v>363</v>
      </c>
      <c r="B52" s="13" t="s">
        <v>1</v>
      </c>
      <c r="C52" s="13" t="s">
        <v>57</v>
      </c>
      <c r="D52" s="13">
        <v>6.4985299999999996E-2</v>
      </c>
      <c r="E52" s="13">
        <v>0.12297479</v>
      </c>
      <c r="F52" s="13">
        <v>0.16385319999999901</v>
      </c>
      <c r="G52" s="13">
        <v>0.23484740000000001</v>
      </c>
      <c r="H52" s="13">
        <v>0.25816798699999999</v>
      </c>
      <c r="I52" s="13">
        <v>0.26946539599999902</v>
      </c>
      <c r="J52" s="13">
        <v>0.28666728659999902</v>
      </c>
      <c r="K52" s="13">
        <v>0.35417256029999999</v>
      </c>
      <c r="L52" s="13">
        <v>0.32757945817999901</v>
      </c>
      <c r="M52" s="13">
        <v>0.28812829895999997</v>
      </c>
      <c r="N52" s="13">
        <v>0.24252810874</v>
      </c>
      <c r="O52" s="13" t="s">
        <v>78</v>
      </c>
      <c r="Q52" s="13" t="s">
        <v>173</v>
      </c>
      <c r="R52" s="13">
        <f>SUMIF($D$3:$D$48,$Q52,H$3:H$48)</f>
        <v>48.969369154048948</v>
      </c>
      <c r="S52" s="13">
        <f t="shared" ref="S52:Y58" si="1">SUMIF($D$3:$D$48,$Q52,I$3:I$48)</f>
        <v>55.243528287327202</v>
      </c>
      <c r="T52" s="13">
        <f t="shared" si="1"/>
        <v>50.707775275466688</v>
      </c>
      <c r="U52" s="13">
        <f t="shared" si="1"/>
        <v>48.064925874344951</v>
      </c>
      <c r="V52" s="13">
        <f t="shared" si="1"/>
        <v>42.301781838962448</v>
      </c>
      <c r="W52" s="13">
        <f t="shared" si="1"/>
        <v>33.975532996419204</v>
      </c>
      <c r="X52" s="13">
        <f t="shared" si="1"/>
        <v>24.499200782178836</v>
      </c>
      <c r="Y52" s="13">
        <f t="shared" si="1"/>
        <v>15.729344974282039</v>
      </c>
    </row>
    <row r="53" spans="1:25">
      <c r="A53" s="13" t="s">
        <v>363</v>
      </c>
      <c r="B53" s="13" t="s">
        <v>1</v>
      </c>
      <c r="C53" s="13" t="s">
        <v>58</v>
      </c>
      <c r="D53" s="13">
        <v>0.9393783</v>
      </c>
      <c r="E53" s="13">
        <v>0.86327980000000004</v>
      </c>
      <c r="F53" s="13">
        <v>1.0777254999999999</v>
      </c>
      <c r="G53" s="13">
        <v>1.3421124</v>
      </c>
      <c r="H53" s="13">
        <v>1.5025358790000001</v>
      </c>
      <c r="I53" s="13">
        <v>1.40063637078</v>
      </c>
      <c r="J53" s="13">
        <v>1.18498302308</v>
      </c>
      <c r="K53" s="13">
        <v>0.87020890481999902</v>
      </c>
      <c r="L53" s="13">
        <v>0.57421952712000002</v>
      </c>
      <c r="M53" s="13">
        <v>0.36628743431699901</v>
      </c>
      <c r="N53" s="13">
        <v>0.22515325319900001</v>
      </c>
      <c r="O53" s="13" t="s">
        <v>78</v>
      </c>
      <c r="Q53" s="13" t="s">
        <v>172</v>
      </c>
      <c r="R53" s="13">
        <f t="shared" ref="R53:R58" si="2">SUMIF($D$3:$D$48,$Q53,H$3:H$48)</f>
        <v>225.55915727819374</v>
      </c>
      <c r="S53" s="13">
        <f t="shared" si="1"/>
        <v>239.91876518308914</v>
      </c>
      <c r="T53" s="13">
        <f t="shared" si="1"/>
        <v>228.5610917388517</v>
      </c>
      <c r="U53" s="13">
        <f t="shared" si="1"/>
        <v>206.86671169493778</v>
      </c>
      <c r="V53" s="13">
        <f t="shared" si="1"/>
        <v>168.85469722971888</v>
      </c>
      <c r="W53" s="13">
        <f t="shared" si="1"/>
        <v>110.23625536147759</v>
      </c>
      <c r="X53" s="13">
        <f t="shared" si="1"/>
        <v>48.630516238899773</v>
      </c>
      <c r="Y53" s="13">
        <f t="shared" si="1"/>
        <v>5.2847797426544574</v>
      </c>
    </row>
    <row r="54" spans="1:25">
      <c r="A54" s="13" t="s">
        <v>363</v>
      </c>
      <c r="B54" s="13" t="s">
        <v>1</v>
      </c>
      <c r="C54" s="13" t="s">
        <v>59</v>
      </c>
      <c r="D54" s="13">
        <v>0.33981924468000002</v>
      </c>
      <c r="E54" s="13">
        <v>1.2785538596599999</v>
      </c>
      <c r="F54" s="13">
        <v>1.6178942949299999</v>
      </c>
      <c r="G54" s="13">
        <v>1.7799465532000001</v>
      </c>
      <c r="H54" s="13">
        <v>1.8393896805400001</v>
      </c>
      <c r="I54" s="13">
        <v>1.9314151474400001</v>
      </c>
      <c r="J54" s="13">
        <v>2.01236185023</v>
      </c>
      <c r="K54" s="13">
        <v>2.0917291471699899</v>
      </c>
      <c r="L54" s="13">
        <v>2.2371735715727401</v>
      </c>
      <c r="M54" s="13">
        <v>2.43023929506084</v>
      </c>
      <c r="N54" s="13">
        <v>2.7092777571597999</v>
      </c>
      <c r="O54" s="13" t="s">
        <v>78</v>
      </c>
      <c r="Q54" s="13" t="s">
        <v>175</v>
      </c>
      <c r="R54" s="13">
        <f t="shared" si="2"/>
        <v>97.667124844318806</v>
      </c>
      <c r="S54" s="13">
        <f t="shared" si="1"/>
        <v>100.50570663737093</v>
      </c>
      <c r="T54" s="13">
        <f t="shared" si="1"/>
        <v>91.620646549178815</v>
      </c>
      <c r="U54" s="13">
        <f t="shared" si="1"/>
        <v>75.719303308841432</v>
      </c>
      <c r="V54" s="13">
        <f t="shared" si="1"/>
        <v>60.001691104308179</v>
      </c>
      <c r="W54" s="13">
        <f t="shared" si="1"/>
        <v>44.449785890692311</v>
      </c>
      <c r="X54" s="13">
        <f t="shared" si="1"/>
        <v>32.148233103017546</v>
      </c>
      <c r="Y54" s="13">
        <f t="shared" si="1"/>
        <v>22.71431538042145</v>
      </c>
    </row>
    <row r="55" spans="1:25">
      <c r="A55" s="13" t="s">
        <v>363</v>
      </c>
      <c r="B55" s="13" t="s">
        <v>1</v>
      </c>
      <c r="C55" s="13" t="s">
        <v>60</v>
      </c>
      <c r="D55" s="13">
        <v>2.95950348981E-2</v>
      </c>
      <c r="E55" s="13">
        <v>0.70970721789999902</v>
      </c>
      <c r="F55" s="13">
        <v>0.88725523735</v>
      </c>
      <c r="G55" s="13">
        <v>0.89976703438999905</v>
      </c>
      <c r="H55" s="13">
        <v>1.04770289739</v>
      </c>
      <c r="I55" s="13">
        <v>1.108702886493</v>
      </c>
      <c r="J55" s="13">
        <v>1.1613808337359901</v>
      </c>
      <c r="K55" s="13">
        <v>1.158796725303</v>
      </c>
      <c r="L55" s="13">
        <v>1.0605429564595901</v>
      </c>
      <c r="M55" s="13">
        <v>0.914271751482999</v>
      </c>
      <c r="N55" s="13">
        <v>1.12476857785899</v>
      </c>
      <c r="O55" s="13" t="s">
        <v>78</v>
      </c>
      <c r="Q55" s="13" t="s">
        <v>17</v>
      </c>
      <c r="R55" s="13">
        <f t="shared" si="2"/>
        <v>253.60015254323559</v>
      </c>
      <c r="S55" s="13">
        <f t="shared" si="1"/>
        <v>238.94916519953114</v>
      </c>
      <c r="T55" s="13">
        <f t="shared" si="1"/>
        <v>207.11175968411757</v>
      </c>
      <c r="U55" s="13">
        <f t="shared" si="1"/>
        <v>130.13280730331329</v>
      </c>
      <c r="V55" s="13">
        <f t="shared" si="1"/>
        <v>72.264358201650737</v>
      </c>
      <c r="W55" s="13">
        <f t="shared" si="1"/>
        <v>33.920528774898635</v>
      </c>
      <c r="X55" s="13">
        <f t="shared" si="1"/>
        <v>2.4605638808155703</v>
      </c>
      <c r="Y55" s="13">
        <f t="shared" si="1"/>
        <v>-10.6561453973396</v>
      </c>
    </row>
    <row r="56" spans="1:25">
      <c r="A56" s="13" t="s">
        <v>363</v>
      </c>
      <c r="B56" s="13" t="s">
        <v>1</v>
      </c>
      <c r="C56" s="13" t="s">
        <v>65</v>
      </c>
      <c r="D56" s="13">
        <v>0</v>
      </c>
      <c r="E56" s="13">
        <v>0</v>
      </c>
      <c r="F56" s="13">
        <v>0</v>
      </c>
      <c r="G56" s="13">
        <v>0</v>
      </c>
      <c r="H56" s="14">
        <v>1.83976850999999E-3</v>
      </c>
      <c r="I56" s="13">
        <v>3.4793896589999998E-2</v>
      </c>
      <c r="J56" s="13">
        <v>0.11362409507</v>
      </c>
      <c r="K56" s="13">
        <v>0.225634532999999</v>
      </c>
      <c r="L56" s="13">
        <v>0.350964363029999</v>
      </c>
      <c r="M56" s="13">
        <v>0.47216478794</v>
      </c>
      <c r="N56" s="13">
        <v>0.57509936875000001</v>
      </c>
      <c r="O56" s="13" t="s">
        <v>78</v>
      </c>
      <c r="Q56" s="13" t="s">
        <v>174</v>
      </c>
      <c r="R56" s="13">
        <f t="shared" si="2"/>
        <v>0</v>
      </c>
      <c r="S56" s="13">
        <f t="shared" si="1"/>
        <v>0</v>
      </c>
      <c r="T56" s="13">
        <f t="shared" si="1"/>
        <v>0</v>
      </c>
      <c r="U56" s="13">
        <f t="shared" si="1"/>
        <v>0</v>
      </c>
      <c r="V56" s="13">
        <f t="shared" si="1"/>
        <v>0</v>
      </c>
      <c r="W56" s="13">
        <f t="shared" si="1"/>
        <v>-2.7083142194805882E-4</v>
      </c>
      <c r="X56" s="13">
        <f t="shared" si="1"/>
        <v>-0.10943087150464512</v>
      </c>
      <c r="Y56" s="13">
        <f>SUMIF($D$3:$D$48,$Q56,O$3:O$48)</f>
        <v>-47.738197404094663</v>
      </c>
    </row>
    <row r="57" spans="1:25">
      <c r="A57" s="13" t="s">
        <v>363</v>
      </c>
      <c r="B57" s="13" t="s">
        <v>1</v>
      </c>
      <c r="C57" s="13" t="s">
        <v>190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4">
        <v>0</v>
      </c>
      <c r="J57" s="14">
        <v>0</v>
      </c>
      <c r="K57" s="14">
        <v>0</v>
      </c>
      <c r="L57" s="14">
        <v>2.1982699999999998E-6</v>
      </c>
      <c r="M57" s="14">
        <v>8.9342334999999997E-4</v>
      </c>
      <c r="N57" s="13">
        <v>0.38784129916999999</v>
      </c>
      <c r="O57" s="13" t="s">
        <v>78</v>
      </c>
      <c r="Q57" s="13" t="s">
        <v>176</v>
      </c>
      <c r="R57" s="31">
        <v>-45</v>
      </c>
      <c r="S57" s="31">
        <v>-45</v>
      </c>
      <c r="T57" s="31">
        <v>-44.875</v>
      </c>
      <c r="U57" s="31">
        <v>-43.0625</v>
      </c>
      <c r="V57" s="13">
        <v>-39.4375</v>
      </c>
      <c r="W57" s="13">
        <v>-37.625</v>
      </c>
      <c r="X57" s="13">
        <v>-35.8125</v>
      </c>
      <c r="Y57" s="13">
        <v>-34</v>
      </c>
    </row>
    <row r="58" spans="1:25">
      <c r="A58" s="13" t="s">
        <v>363</v>
      </c>
      <c r="B58" s="13" t="s">
        <v>1</v>
      </c>
      <c r="C58" s="13" t="s">
        <v>19</v>
      </c>
      <c r="D58" s="13">
        <v>1.9055001466599899</v>
      </c>
      <c r="E58" s="13">
        <v>3.9546848334</v>
      </c>
      <c r="F58" s="13">
        <v>4.0586798100500001</v>
      </c>
      <c r="G58" s="13">
        <v>4.4023892890099896</v>
      </c>
      <c r="H58" s="13">
        <v>4.5080142195799997</v>
      </c>
      <c r="I58" s="13">
        <v>4.3311837331741998</v>
      </c>
      <c r="J58" s="13">
        <v>4.0496229900247904</v>
      </c>
      <c r="K58" s="13">
        <v>3.7549226372845999</v>
      </c>
      <c r="L58" s="13">
        <v>3.3936816636897</v>
      </c>
      <c r="M58" s="13">
        <v>3.0656761681649898</v>
      </c>
      <c r="N58" s="13">
        <v>2.7569465891642899</v>
      </c>
      <c r="O58" s="13" t="s">
        <v>78</v>
      </c>
      <c r="Q58" s="13" t="s">
        <v>178</v>
      </c>
      <c r="R58" s="13">
        <f t="shared" si="2"/>
        <v>39.61068345967729</v>
      </c>
      <c r="S58" s="13">
        <f t="shared" si="1"/>
        <v>41.36278327497287</v>
      </c>
      <c r="T58" s="13">
        <f t="shared" si="1"/>
        <v>40.452871139934956</v>
      </c>
      <c r="U58" s="13">
        <f t="shared" si="1"/>
        <v>39.827749686787477</v>
      </c>
      <c r="V58" s="13">
        <f t="shared" si="1"/>
        <v>38.778706905870798</v>
      </c>
      <c r="W58" s="13">
        <f t="shared" si="1"/>
        <v>36.13822759939795</v>
      </c>
      <c r="X58" s="13">
        <f t="shared" si="1"/>
        <v>31.884294623228953</v>
      </c>
      <c r="Y58" s="13">
        <f t="shared" si="1"/>
        <v>28.10731165383719</v>
      </c>
    </row>
    <row r="59" spans="1:25">
      <c r="Q59" s="13" t="s">
        <v>29</v>
      </c>
      <c r="R59" s="13">
        <f>SUM(R52:R57)</f>
        <v>580.79580381979713</v>
      </c>
      <c r="S59" s="13">
        <f t="shared" ref="S59:X59" si="3">SUM(S52:S57)</f>
        <v>589.61716530731837</v>
      </c>
      <c r="T59" s="13">
        <f t="shared" si="3"/>
        <v>533.12627324761479</v>
      </c>
      <c r="U59" s="13">
        <f t="shared" si="3"/>
        <v>417.72124818143743</v>
      </c>
      <c r="V59" s="13">
        <f t="shared" si="3"/>
        <v>303.98502837464025</v>
      </c>
      <c r="W59" s="13">
        <f t="shared" si="3"/>
        <v>184.9568321920658</v>
      </c>
      <c r="X59" s="13">
        <f t="shared" si="3"/>
        <v>71.816583133407079</v>
      </c>
      <c r="Y59" s="13">
        <f>SUM(Y52:Y57)</f>
        <v>-48.665902704076316</v>
      </c>
    </row>
    <row r="60" spans="1:25">
      <c r="A60" s="1" t="s">
        <v>181</v>
      </c>
    </row>
    <row r="61" spans="1:25">
      <c r="A61" s="13" t="s">
        <v>8</v>
      </c>
      <c r="B61" s="13" t="s">
        <v>9</v>
      </c>
      <c r="C61" s="13" t="s">
        <v>39</v>
      </c>
      <c r="D61" s="13" t="s">
        <v>10</v>
      </c>
      <c r="E61" s="13">
        <v>1990</v>
      </c>
      <c r="F61" s="13">
        <v>2005</v>
      </c>
      <c r="G61" s="13">
        <v>2010</v>
      </c>
      <c r="H61" s="13">
        <v>2015</v>
      </c>
      <c r="I61" s="13">
        <v>2020</v>
      </c>
      <c r="J61" s="13">
        <v>2025</v>
      </c>
      <c r="K61" s="13">
        <v>2030</v>
      </c>
      <c r="L61" s="13">
        <v>2035</v>
      </c>
      <c r="M61" s="13">
        <v>2040</v>
      </c>
      <c r="N61" s="13">
        <v>2045</v>
      </c>
      <c r="O61" s="13">
        <v>2050</v>
      </c>
      <c r="P61" s="13" t="s">
        <v>76</v>
      </c>
    </row>
    <row r="62" spans="1:25">
      <c r="A62" s="13" t="s">
        <v>363</v>
      </c>
      <c r="B62" s="13" t="s">
        <v>1</v>
      </c>
      <c r="C62" s="13" t="s">
        <v>63</v>
      </c>
      <c r="D62" s="13" t="s">
        <v>6</v>
      </c>
      <c r="E62" s="13">
        <v>2.6574E-2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 t="s">
        <v>78</v>
      </c>
    </row>
    <row r="63" spans="1:25">
      <c r="A63" s="13" t="s">
        <v>363</v>
      </c>
      <c r="B63" s="13" t="s">
        <v>1</v>
      </c>
      <c r="C63" s="13" t="s">
        <v>63</v>
      </c>
      <c r="D63" s="13" t="s">
        <v>7</v>
      </c>
      <c r="E63" s="13">
        <v>4.1860899999999999E-3</v>
      </c>
      <c r="F63" s="13">
        <v>1.55318E-2</v>
      </c>
      <c r="G63" s="13">
        <v>1.25215E-2</v>
      </c>
      <c r="H63" s="13">
        <v>6.4959199999999996E-3</v>
      </c>
      <c r="I63" s="13">
        <v>6.7860889999999899E-3</v>
      </c>
      <c r="J63" s="13">
        <v>6.9744624199999999E-3</v>
      </c>
      <c r="K63" s="13">
        <v>6.8834583499999998E-3</v>
      </c>
      <c r="L63" s="13">
        <v>6.4207359999999998E-3</v>
      </c>
      <c r="M63" s="13">
        <v>5.9536243199999998E-3</v>
      </c>
      <c r="N63" s="13">
        <v>5.7878355899999897E-3</v>
      </c>
      <c r="O63" s="13">
        <v>5.634164358E-3</v>
      </c>
      <c r="P63" s="13" t="s">
        <v>78</v>
      </c>
    </row>
    <row r="64" spans="1:25">
      <c r="A64" s="13" t="s">
        <v>363</v>
      </c>
      <c r="B64" s="13" t="s">
        <v>1</v>
      </c>
      <c r="C64" s="13" t="s">
        <v>64</v>
      </c>
      <c r="D64" s="13" t="s">
        <v>2</v>
      </c>
      <c r="E64" s="13">
        <v>0</v>
      </c>
      <c r="F64" s="13">
        <v>0</v>
      </c>
      <c r="G64" s="13">
        <v>0</v>
      </c>
      <c r="H64" s="13">
        <v>0</v>
      </c>
      <c r="I64" s="14">
        <v>4.4708800000000001E-5</v>
      </c>
      <c r="J64" s="14">
        <v>1.8172609999999901E-4</v>
      </c>
      <c r="K64" s="14">
        <v>4.3444810000000002E-4</v>
      </c>
      <c r="L64" s="14">
        <v>7.1005033999999999E-4</v>
      </c>
      <c r="M64" s="14">
        <v>9.5710130000000002E-4</v>
      </c>
      <c r="N64" s="14">
        <v>1.4332936E-3</v>
      </c>
      <c r="O64" s="13">
        <v>1.9844477000000001E-3</v>
      </c>
      <c r="P64" s="13" t="s">
        <v>78</v>
      </c>
    </row>
    <row r="65" spans="1:16">
      <c r="A65" s="13" t="s">
        <v>363</v>
      </c>
      <c r="B65" s="13" t="s">
        <v>1</v>
      </c>
      <c r="C65" s="13" t="s">
        <v>64</v>
      </c>
      <c r="D65" s="13" t="s">
        <v>3</v>
      </c>
      <c r="E65" s="13">
        <v>0</v>
      </c>
      <c r="F65" s="13">
        <v>0</v>
      </c>
      <c r="G65" s="13">
        <v>0</v>
      </c>
      <c r="H65" s="13">
        <v>2.7628000000000002E-3</v>
      </c>
      <c r="I65" s="13">
        <v>2.9902069999999999E-3</v>
      </c>
      <c r="J65" s="13">
        <v>4.1109529999999997E-3</v>
      </c>
      <c r="K65" s="13">
        <v>6.2694499999999898E-3</v>
      </c>
      <c r="L65" s="13">
        <v>8.3007889999999994E-3</v>
      </c>
      <c r="M65" s="13">
        <v>7.4155569999999997E-3</v>
      </c>
      <c r="N65" s="13">
        <v>5.2413529999999998E-3</v>
      </c>
      <c r="O65" s="13">
        <v>2.9662719999999998E-3</v>
      </c>
      <c r="P65" s="13" t="s">
        <v>78</v>
      </c>
    </row>
    <row r="66" spans="1:16">
      <c r="A66" s="13" t="s">
        <v>363</v>
      </c>
      <c r="B66" s="13" t="s">
        <v>1</v>
      </c>
      <c r="C66" s="13" t="s">
        <v>64</v>
      </c>
      <c r="D66" s="13" t="s">
        <v>5</v>
      </c>
      <c r="E66" s="13">
        <v>5.2325000000000002E-3</v>
      </c>
      <c r="F66" s="13">
        <v>1.9004400000000001E-2</v>
      </c>
      <c r="G66" s="13">
        <v>2.8799700000000001E-2</v>
      </c>
      <c r="H66" s="13">
        <v>4.1901800000000003E-2</v>
      </c>
      <c r="I66" s="13">
        <v>4.0025350000000001E-2</v>
      </c>
      <c r="J66" s="13">
        <v>3.5047969999999998E-2</v>
      </c>
      <c r="K66" s="13">
        <v>2.9974299999999999E-2</v>
      </c>
      <c r="L66" s="13">
        <v>2.6300049999999998E-2</v>
      </c>
      <c r="M66" s="13">
        <v>2.58034399999999E-2</v>
      </c>
      <c r="N66" s="13">
        <v>2.809586E-2</v>
      </c>
      <c r="O66" s="13">
        <v>3.1490600000000001E-2</v>
      </c>
      <c r="P66" s="13" t="s">
        <v>78</v>
      </c>
    </row>
    <row r="67" spans="1:16">
      <c r="A67" s="13" t="s">
        <v>363</v>
      </c>
      <c r="B67" s="13" t="s">
        <v>1</v>
      </c>
      <c r="C67" s="13" t="s">
        <v>64</v>
      </c>
      <c r="D67" s="13" t="s">
        <v>6</v>
      </c>
      <c r="E67" s="13">
        <v>6.4087699999999997E-2</v>
      </c>
      <c r="F67" s="13">
        <v>5.919E-2</v>
      </c>
      <c r="G67" s="13">
        <v>5.2492499999999997E-2</v>
      </c>
      <c r="H67" s="13">
        <v>1.9422999999999999E-2</v>
      </c>
      <c r="I67" s="13">
        <v>1.989016E-2</v>
      </c>
      <c r="J67" s="13">
        <v>1.9879439999999901E-2</v>
      </c>
      <c r="K67" s="13">
        <v>2.0191310000000001E-2</v>
      </c>
      <c r="L67" s="13">
        <v>1.9503247000000001E-2</v>
      </c>
      <c r="M67" s="13">
        <v>1.6925280000000001E-2</v>
      </c>
      <c r="N67" s="13">
        <v>1.3165659999999999E-2</v>
      </c>
      <c r="O67" s="13">
        <v>9.0853400000000008E-3</v>
      </c>
      <c r="P67" s="13" t="s">
        <v>78</v>
      </c>
    </row>
    <row r="68" spans="1:16">
      <c r="A68" s="13" t="s">
        <v>363</v>
      </c>
      <c r="B68" s="13" t="s">
        <v>1</v>
      </c>
      <c r="C68" s="13" t="s">
        <v>64</v>
      </c>
      <c r="D68" s="13" t="s">
        <v>7</v>
      </c>
      <c r="E68" s="13">
        <v>0</v>
      </c>
      <c r="F68" s="13">
        <v>1.0464999999999999E-3</v>
      </c>
      <c r="G68" s="14">
        <v>1.674E-4</v>
      </c>
      <c r="H68" s="14">
        <v>1.2559999999999999E-4</v>
      </c>
      <c r="I68" s="14">
        <v>1.2654809999999999E-4</v>
      </c>
      <c r="J68" s="14">
        <v>1.2056380000000001E-4</v>
      </c>
      <c r="K68" s="14">
        <v>1.1233159999999999E-4</v>
      </c>
      <c r="L68" s="14">
        <v>9.6679620000000003E-5</v>
      </c>
      <c r="M68" s="14">
        <v>7.829158E-5</v>
      </c>
      <c r="N68" s="14">
        <v>5.7198889999999998E-5</v>
      </c>
      <c r="O68" s="14">
        <v>3.7874789999999998E-5</v>
      </c>
      <c r="P68" s="13" t="s">
        <v>78</v>
      </c>
    </row>
    <row r="69" spans="1:16">
      <c r="A69" s="13" t="s">
        <v>363</v>
      </c>
      <c r="B69" s="13" t="s">
        <v>1</v>
      </c>
      <c r="C69" s="13" t="s">
        <v>61</v>
      </c>
      <c r="D69" s="13" t="s">
        <v>3</v>
      </c>
      <c r="E69" s="13">
        <v>3.6571800000000002E-2</v>
      </c>
      <c r="F69" s="13">
        <v>3.9287299999999997E-2</v>
      </c>
      <c r="G69" s="13">
        <v>4.2373099999999997E-2</v>
      </c>
      <c r="H69" s="13">
        <v>3.9861500000000001E-2</v>
      </c>
      <c r="I69" s="13">
        <v>3.9867916000000003E-2</v>
      </c>
      <c r="J69" s="13">
        <v>2.9426437999999999E-2</v>
      </c>
      <c r="K69" s="13">
        <v>2.55534E-2</v>
      </c>
      <c r="L69" s="13">
        <v>2.9750978000000001E-2</v>
      </c>
      <c r="M69" s="13">
        <v>4.3877429999999898E-2</v>
      </c>
      <c r="N69" s="13">
        <v>4.4918956999999898E-2</v>
      </c>
      <c r="O69" s="13">
        <v>4.1515022399999997E-2</v>
      </c>
      <c r="P69" s="13" t="s">
        <v>78</v>
      </c>
    </row>
    <row r="70" spans="1:16">
      <c r="A70" s="13" t="s">
        <v>363</v>
      </c>
      <c r="B70" s="13" t="s">
        <v>1</v>
      </c>
      <c r="C70" s="13" t="s">
        <v>61</v>
      </c>
      <c r="D70" s="13" t="s">
        <v>4</v>
      </c>
      <c r="E70" s="13">
        <v>8.5812200000000005E-2</v>
      </c>
      <c r="F70" s="13">
        <v>0.118297</v>
      </c>
      <c r="G70" s="13">
        <v>0.112141</v>
      </c>
      <c r="H70" s="13">
        <v>0.114653</v>
      </c>
      <c r="I70" s="13">
        <v>0.11497772000000001</v>
      </c>
      <c r="J70" s="13">
        <v>8.4539980000000001E-2</v>
      </c>
      <c r="K70" s="13">
        <v>7.3013309999999998E-2</v>
      </c>
      <c r="L70" s="13">
        <v>5.7594528999999998E-2</v>
      </c>
      <c r="M70" s="13">
        <v>2.5224239999999998E-2</v>
      </c>
      <c r="N70" s="13">
        <v>1.0680395000000001E-2</v>
      </c>
      <c r="O70" s="13">
        <v>6.2012617000000003E-3</v>
      </c>
      <c r="P70" s="13" t="s">
        <v>78</v>
      </c>
    </row>
    <row r="71" spans="1:16">
      <c r="A71" s="13" t="s">
        <v>363</v>
      </c>
      <c r="B71" s="13" t="s">
        <v>1</v>
      </c>
      <c r="C71" s="13" t="s">
        <v>61</v>
      </c>
      <c r="D71" s="13" t="s">
        <v>5</v>
      </c>
      <c r="E71" s="13">
        <v>1.39375E-2</v>
      </c>
      <c r="F71" s="13">
        <v>2.0152400000000001E-2</v>
      </c>
      <c r="G71" s="13">
        <v>1.9656400000000001E-2</v>
      </c>
      <c r="H71" s="13">
        <v>1.9656400000000001E-2</v>
      </c>
      <c r="I71" s="13">
        <v>1.82218E-2</v>
      </c>
      <c r="J71" s="13">
        <v>1.39851E-2</v>
      </c>
      <c r="K71" s="13">
        <v>1.2134000000000001E-2</v>
      </c>
      <c r="L71" s="13">
        <v>1.115822E-2</v>
      </c>
      <c r="M71" s="13">
        <v>1.1539776E-2</v>
      </c>
      <c r="N71" s="13">
        <v>1.0972625E-2</v>
      </c>
      <c r="O71" s="13">
        <v>9.9481055900000007E-3</v>
      </c>
      <c r="P71" s="13" t="s">
        <v>78</v>
      </c>
    </row>
    <row r="72" spans="1:16">
      <c r="A72" s="13" t="s">
        <v>363</v>
      </c>
      <c r="B72" s="13" t="s">
        <v>1</v>
      </c>
      <c r="C72" s="13" t="s">
        <v>61</v>
      </c>
      <c r="D72" s="13" t="s">
        <v>6</v>
      </c>
      <c r="E72" s="13">
        <v>1.6688700000000001E-2</v>
      </c>
      <c r="F72" s="13">
        <v>2.1488799999999999E-2</v>
      </c>
      <c r="G72" s="13">
        <v>2.1070200000000001E-2</v>
      </c>
      <c r="H72" s="13">
        <v>2.1070200000000001E-2</v>
      </c>
      <c r="I72" s="13">
        <v>7.9246639999999997E-3</v>
      </c>
      <c r="J72" s="13">
        <v>1.0958058999999999E-2</v>
      </c>
      <c r="K72" s="13">
        <v>9.8226270000000004E-3</v>
      </c>
      <c r="L72" s="13">
        <v>1.02324859999999E-2</v>
      </c>
      <c r="M72" s="13">
        <v>2.1306697999999999E-2</v>
      </c>
      <c r="N72" s="13">
        <v>2.61737836E-2</v>
      </c>
      <c r="O72" s="13">
        <v>2.5364287900000001E-2</v>
      </c>
      <c r="P72" s="13" t="s">
        <v>78</v>
      </c>
    </row>
    <row r="73" spans="1:16">
      <c r="A73" s="13" t="s">
        <v>363</v>
      </c>
      <c r="B73" s="13" t="s">
        <v>1</v>
      </c>
      <c r="C73" s="13" t="s">
        <v>191</v>
      </c>
      <c r="D73" s="13" t="s">
        <v>5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4">
        <v>0</v>
      </c>
      <c r="K73" s="14">
        <v>0</v>
      </c>
      <c r="L73" s="14">
        <v>0</v>
      </c>
      <c r="M73" s="14">
        <v>4.9958274999999995E-7</v>
      </c>
      <c r="N73" s="14">
        <v>2.0361559085000001E-4</v>
      </c>
      <c r="O73" s="13">
        <v>9.0121585689799999E-2</v>
      </c>
      <c r="P73" s="13" t="s">
        <v>78</v>
      </c>
    </row>
    <row r="74" spans="1:16">
      <c r="A74" s="13" t="s">
        <v>363</v>
      </c>
      <c r="B74" s="13" t="s">
        <v>1</v>
      </c>
      <c r="C74" s="13" t="s">
        <v>56</v>
      </c>
      <c r="D74" s="13" t="s">
        <v>3</v>
      </c>
      <c r="E74" s="13">
        <v>2.5953E-3</v>
      </c>
      <c r="F74" s="13">
        <v>5.4836900000000003E-3</v>
      </c>
      <c r="G74" s="13">
        <v>3.5999999999999999E-3</v>
      </c>
      <c r="H74" s="13">
        <v>1.1344099999999999E-2</v>
      </c>
      <c r="I74" s="13">
        <v>1.1659252E-2</v>
      </c>
      <c r="J74" s="13">
        <v>1.2152557E-2</v>
      </c>
      <c r="K74" s="13">
        <v>1.51064585999999E-2</v>
      </c>
      <c r="L74" s="13">
        <v>2.6029672300000001E-2</v>
      </c>
      <c r="M74" s="13">
        <v>4.1012487180000001E-2</v>
      </c>
      <c r="N74" s="13">
        <v>4.6886389959999997E-2</v>
      </c>
      <c r="O74" s="13">
        <v>4.6622001939999901E-2</v>
      </c>
      <c r="P74" s="13" t="s">
        <v>78</v>
      </c>
    </row>
    <row r="75" spans="1:16">
      <c r="A75" s="13" t="s">
        <v>363</v>
      </c>
      <c r="B75" s="13" t="s">
        <v>1</v>
      </c>
      <c r="C75" s="13" t="s">
        <v>56</v>
      </c>
      <c r="D75" s="13" t="s">
        <v>4</v>
      </c>
      <c r="E75" s="13">
        <v>1.8837000000000001E-3</v>
      </c>
      <c r="F75" s="13">
        <v>3.1814E-3</v>
      </c>
      <c r="G75" s="13">
        <v>4.2278999999999997E-3</v>
      </c>
      <c r="H75" s="13">
        <v>4.6464999999999996E-3</v>
      </c>
      <c r="I75" s="13">
        <v>4.7696789999999998E-3</v>
      </c>
      <c r="J75" s="13">
        <v>4.72029678E-3</v>
      </c>
      <c r="K75" s="13">
        <v>4.3993970799999999E-3</v>
      </c>
      <c r="L75" s="13">
        <v>3.4457607200000001E-3</v>
      </c>
      <c r="M75" s="13">
        <v>2.4617247199999999E-3</v>
      </c>
      <c r="N75" s="13">
        <v>1.9581590769999998E-3</v>
      </c>
      <c r="O75" s="13">
        <v>1.6820341490000001E-3</v>
      </c>
      <c r="P75" s="13" t="s">
        <v>78</v>
      </c>
    </row>
    <row r="76" spans="1:16">
      <c r="A76" s="13" t="s">
        <v>363</v>
      </c>
      <c r="B76" s="13" t="s">
        <v>1</v>
      </c>
      <c r="C76" s="13" t="s">
        <v>56</v>
      </c>
      <c r="D76" s="13" t="s">
        <v>5</v>
      </c>
      <c r="E76" s="13">
        <v>3.9306500000000001E-2</v>
      </c>
      <c r="F76" s="13">
        <v>0.143622</v>
      </c>
      <c r="G76" s="13">
        <v>0.14705399999999999</v>
      </c>
      <c r="H76" s="13">
        <v>0.17627200000000001</v>
      </c>
      <c r="I76" s="13">
        <v>0.17777074000000001</v>
      </c>
      <c r="J76" s="13">
        <v>0.17706742</v>
      </c>
      <c r="K76" s="13">
        <v>0.18132245</v>
      </c>
      <c r="L76" s="13">
        <v>0.19888763999999901</v>
      </c>
      <c r="M76" s="13">
        <v>0.22202907999999999</v>
      </c>
      <c r="N76" s="13">
        <v>0.233291365999999</v>
      </c>
      <c r="O76" s="13">
        <v>0.23885378299999999</v>
      </c>
      <c r="P76" s="13" t="s">
        <v>78</v>
      </c>
    </row>
    <row r="77" spans="1:16">
      <c r="A77" s="13" t="s">
        <v>363</v>
      </c>
      <c r="B77" s="13" t="s">
        <v>1</v>
      </c>
      <c r="C77" s="13" t="s">
        <v>56</v>
      </c>
      <c r="D77" s="13" t="s">
        <v>6</v>
      </c>
      <c r="E77" s="13">
        <v>9.6065499999999998E-2</v>
      </c>
      <c r="F77" s="13">
        <v>7.1915400000000004E-2</v>
      </c>
      <c r="G77" s="13">
        <v>4.75948E-2</v>
      </c>
      <c r="H77" s="13">
        <v>2.2311399999999999E-2</v>
      </c>
      <c r="I77" s="13">
        <v>2.2861079999999999E-2</v>
      </c>
      <c r="J77" s="13">
        <v>2.32368903E-2</v>
      </c>
      <c r="K77" s="13">
        <v>2.5816609899999898E-2</v>
      </c>
      <c r="L77" s="13">
        <v>3.3572830999999997E-2</v>
      </c>
      <c r="M77" s="13">
        <v>4.0560277700000001E-2</v>
      </c>
      <c r="N77" s="13">
        <v>4.2411804900000002E-2</v>
      </c>
      <c r="O77" s="13">
        <v>4.09747549E-2</v>
      </c>
      <c r="P77" s="13" t="s">
        <v>78</v>
      </c>
    </row>
    <row r="78" spans="1:16">
      <c r="A78" s="13" t="s">
        <v>363</v>
      </c>
      <c r="B78" s="13" t="s">
        <v>1</v>
      </c>
      <c r="C78" s="13" t="s">
        <v>56</v>
      </c>
      <c r="D78" s="13" t="s">
        <v>7</v>
      </c>
      <c r="E78" s="13">
        <v>0</v>
      </c>
      <c r="F78" s="13">
        <v>2.2174E-3</v>
      </c>
      <c r="G78" s="13">
        <v>5.9310599999999998E-2</v>
      </c>
      <c r="H78" s="13">
        <v>5.4361800000000002E-2</v>
      </c>
      <c r="I78" s="13">
        <v>5.5620059999999999E-2</v>
      </c>
      <c r="J78" s="13">
        <v>5.6158441400000002E-2</v>
      </c>
      <c r="K78" s="13">
        <v>5.9528781400000001E-2</v>
      </c>
      <c r="L78" s="13">
        <v>6.6799968699999906E-2</v>
      </c>
      <c r="M78" s="13">
        <v>7.1849478600000002E-2</v>
      </c>
      <c r="N78" s="13">
        <v>7.3098236299999994E-2</v>
      </c>
      <c r="O78" s="13">
        <v>7.1058785900000004E-2</v>
      </c>
      <c r="P78" s="13" t="s">
        <v>78</v>
      </c>
    </row>
    <row r="79" spans="1:16">
      <c r="A79" s="13" t="s">
        <v>363</v>
      </c>
      <c r="B79" s="13" t="s">
        <v>1</v>
      </c>
      <c r="C79" s="13" t="s">
        <v>20</v>
      </c>
      <c r="D79" s="13" t="s">
        <v>4</v>
      </c>
      <c r="E79" s="13">
        <v>0</v>
      </c>
      <c r="F79" s="13">
        <v>0</v>
      </c>
      <c r="G79" s="13">
        <v>1.6953300000000001E-2</v>
      </c>
      <c r="H79" s="13">
        <v>2.3106700000000001E-2</v>
      </c>
      <c r="I79" s="13">
        <v>2.2199400000000001E-2</v>
      </c>
      <c r="J79" s="14">
        <v>7.9483600000000005E-4</v>
      </c>
      <c r="K79" s="14">
        <v>1.5669699999999999E-4</v>
      </c>
      <c r="L79" s="14">
        <v>4.0911100000000002E-5</v>
      </c>
      <c r="M79" s="14">
        <v>1.4817899999999999E-5</v>
      </c>
      <c r="N79" s="14">
        <v>5.5246399999999998E-6</v>
      </c>
      <c r="O79" s="14">
        <v>2.5107500000000001E-6</v>
      </c>
      <c r="P79" s="13" t="s">
        <v>78</v>
      </c>
    </row>
    <row r="80" spans="1:16">
      <c r="A80" s="13" t="s">
        <v>363</v>
      </c>
      <c r="B80" s="13" t="s">
        <v>1</v>
      </c>
      <c r="C80" s="13" t="s">
        <v>20</v>
      </c>
      <c r="D80" s="13" t="s">
        <v>6</v>
      </c>
      <c r="E80" s="13">
        <v>0.23639399999999999</v>
      </c>
      <c r="F80" s="13">
        <v>1.18882</v>
      </c>
      <c r="G80" s="13">
        <v>1.5032799999999999</v>
      </c>
      <c r="H80" s="13">
        <v>1.8793899999999999</v>
      </c>
      <c r="I80" s="14">
        <v>1.8999299999999999</v>
      </c>
      <c r="J80" s="14">
        <v>1.9077500000000001</v>
      </c>
      <c r="K80" s="14">
        <v>1.88517</v>
      </c>
      <c r="L80" s="14">
        <v>1.82524</v>
      </c>
      <c r="M80" s="14">
        <v>1.73081</v>
      </c>
      <c r="N80" s="13">
        <v>1.64761</v>
      </c>
      <c r="O80" s="14">
        <v>1.5610299999999999</v>
      </c>
      <c r="P80" s="13" t="s">
        <v>78</v>
      </c>
    </row>
    <row r="81" spans="1:16">
      <c r="A81" s="13" t="s">
        <v>363</v>
      </c>
      <c r="B81" s="13" t="s">
        <v>1</v>
      </c>
      <c r="C81" s="13" t="s">
        <v>67</v>
      </c>
      <c r="D81" s="13" t="s">
        <v>2</v>
      </c>
      <c r="E81" s="13">
        <v>0</v>
      </c>
      <c r="F81" s="13">
        <v>0</v>
      </c>
      <c r="G81" s="13">
        <v>0</v>
      </c>
      <c r="H81" s="13">
        <v>0</v>
      </c>
      <c r="I81" s="14">
        <v>1.0846299999999999E-4</v>
      </c>
      <c r="J81" s="14">
        <v>3.6052749999999998E-4</v>
      </c>
      <c r="K81" s="14">
        <v>7.6674410000000001E-4</v>
      </c>
      <c r="L81" s="13">
        <v>1.1961057000000001E-3</v>
      </c>
      <c r="M81" s="13">
        <v>1.7099902999999899E-3</v>
      </c>
      <c r="N81" s="13">
        <v>2.9697325999999999E-3</v>
      </c>
      <c r="O81" s="13">
        <v>4.8417549999999997E-3</v>
      </c>
      <c r="P81" s="13" t="s">
        <v>78</v>
      </c>
    </row>
    <row r="82" spans="1:16">
      <c r="A82" s="13" t="s">
        <v>363</v>
      </c>
      <c r="B82" s="13" t="s">
        <v>1</v>
      </c>
      <c r="C82" s="13" t="s">
        <v>67</v>
      </c>
      <c r="D82" s="13" t="s">
        <v>3</v>
      </c>
      <c r="E82" s="13">
        <v>0</v>
      </c>
      <c r="F82" s="13">
        <v>0</v>
      </c>
      <c r="G82" s="13">
        <v>0</v>
      </c>
      <c r="H82" s="13">
        <v>1.0884E-3</v>
      </c>
      <c r="I82" s="13">
        <v>1.4430559999999901E-3</v>
      </c>
      <c r="J82" s="13">
        <v>2.821629E-3</v>
      </c>
      <c r="K82" s="13">
        <v>5.4103160000000001E-3</v>
      </c>
      <c r="L82" s="13">
        <v>8.1745110000000006E-3</v>
      </c>
      <c r="M82" s="13">
        <v>8.0782489999999992E-3</v>
      </c>
      <c r="N82" s="13">
        <v>6.5685259999999999E-3</v>
      </c>
      <c r="O82" s="13">
        <v>4.4985329999999999E-3</v>
      </c>
      <c r="P82" s="13" t="s">
        <v>78</v>
      </c>
    </row>
    <row r="83" spans="1:16">
      <c r="A83" s="13" t="s">
        <v>363</v>
      </c>
      <c r="B83" s="13" t="s">
        <v>1</v>
      </c>
      <c r="C83" s="13" t="s">
        <v>67</v>
      </c>
      <c r="D83" s="13" t="s">
        <v>4</v>
      </c>
      <c r="E83" s="13">
        <v>0</v>
      </c>
      <c r="F83" s="13">
        <v>0</v>
      </c>
      <c r="G83" s="13">
        <v>0</v>
      </c>
      <c r="H83" s="13">
        <v>0</v>
      </c>
      <c r="I83" s="14">
        <v>1.8147E-3</v>
      </c>
      <c r="J83" s="14">
        <v>3.7558399999999999E-3</v>
      </c>
      <c r="K83" s="14">
        <v>5.0402069999999997E-3</v>
      </c>
      <c r="L83" s="13">
        <v>4.9379350000000001E-3</v>
      </c>
      <c r="M83" s="13">
        <v>3.8486919999999999E-3</v>
      </c>
      <c r="N83" s="13">
        <v>2.8375609999999902E-3</v>
      </c>
      <c r="O83" s="13">
        <v>1.9946999999999999E-3</v>
      </c>
      <c r="P83" s="13" t="s">
        <v>78</v>
      </c>
    </row>
    <row r="84" spans="1:16">
      <c r="A84" s="13" t="s">
        <v>363</v>
      </c>
      <c r="B84" s="13" t="s">
        <v>1</v>
      </c>
      <c r="C84" s="13" t="s">
        <v>67</v>
      </c>
      <c r="D84" s="13" t="s">
        <v>5</v>
      </c>
      <c r="E84" s="13">
        <v>0</v>
      </c>
      <c r="F84" s="13">
        <v>0</v>
      </c>
      <c r="G84" s="13">
        <v>0</v>
      </c>
      <c r="H84" s="13">
        <v>0</v>
      </c>
      <c r="I84" s="14">
        <v>8.3984099999999994E-5</v>
      </c>
      <c r="J84" s="14">
        <v>2.7576510000000001E-4</v>
      </c>
      <c r="K84" s="14">
        <v>5.5597139999999997E-4</v>
      </c>
      <c r="L84" s="14">
        <v>8.1843840000000003E-4</v>
      </c>
      <c r="M84" s="14">
        <v>1.0762371999999999E-3</v>
      </c>
      <c r="N84" s="13">
        <v>1.7380291999999999E-3</v>
      </c>
      <c r="O84" s="13">
        <v>2.7901133E-3</v>
      </c>
      <c r="P84" s="13" t="s">
        <v>78</v>
      </c>
    </row>
    <row r="85" spans="1:16">
      <c r="A85" s="13" t="s">
        <v>363</v>
      </c>
      <c r="B85" s="13" t="s">
        <v>1</v>
      </c>
      <c r="C85" s="13" t="s">
        <v>67</v>
      </c>
      <c r="D85" s="13" t="s">
        <v>6</v>
      </c>
      <c r="E85" s="13">
        <v>2.1348599999999999E-2</v>
      </c>
      <c r="F85" s="13">
        <v>2.5199699999999998E-2</v>
      </c>
      <c r="G85" s="13">
        <v>3.4157800000000002E-2</v>
      </c>
      <c r="H85" s="14">
        <v>3.4408800000000003E-2</v>
      </c>
      <c r="I85" s="14">
        <v>3.237922E-2</v>
      </c>
      <c r="J85" s="13">
        <v>2.6265719999999999E-2</v>
      </c>
      <c r="K85" s="13">
        <v>1.9327459999999901E-2</v>
      </c>
      <c r="L85" s="13">
        <v>1.4094812999999999E-2</v>
      </c>
      <c r="M85" s="13">
        <v>1.203648E-2</v>
      </c>
      <c r="N85" s="13">
        <v>9.9247699999999994E-3</v>
      </c>
      <c r="O85" s="13">
        <v>7.6927089999999998E-3</v>
      </c>
      <c r="P85" s="13" t="s">
        <v>78</v>
      </c>
    </row>
    <row r="86" spans="1:16">
      <c r="A86" s="13" t="s">
        <v>363</v>
      </c>
      <c r="B86" s="13" t="s">
        <v>1</v>
      </c>
      <c r="C86" s="13" t="s">
        <v>67</v>
      </c>
      <c r="D86" s="13" t="s">
        <v>7</v>
      </c>
      <c r="E86" s="13">
        <v>0</v>
      </c>
      <c r="F86" s="13">
        <v>0</v>
      </c>
      <c r="G86" s="13">
        <v>0</v>
      </c>
      <c r="H86" s="14">
        <v>3.3489899999999999E-4</v>
      </c>
      <c r="I86" s="14">
        <v>9.1609600000000003E-4</v>
      </c>
      <c r="J86" s="13">
        <v>2.2380719999999998E-3</v>
      </c>
      <c r="K86" s="13">
        <v>4.1213444999999996E-3</v>
      </c>
      <c r="L86" s="13">
        <v>5.3854209999999996E-3</v>
      </c>
      <c r="M86" s="13">
        <v>5.4805080000000003E-3</v>
      </c>
      <c r="N86" s="13">
        <v>5.4754280000000001E-3</v>
      </c>
      <c r="O86" s="13">
        <v>5.0803849999999998E-3</v>
      </c>
      <c r="P86" s="13" t="s">
        <v>78</v>
      </c>
    </row>
    <row r="87" spans="1:16">
      <c r="A87" s="13" t="s">
        <v>363</v>
      </c>
      <c r="B87" s="13" t="s">
        <v>1</v>
      </c>
      <c r="C87" s="13" t="s">
        <v>21</v>
      </c>
      <c r="D87" s="13" t="s">
        <v>6</v>
      </c>
      <c r="E87" s="13">
        <v>3.2608900000000003E-2</v>
      </c>
      <c r="F87" s="13">
        <v>5.08599E-2</v>
      </c>
      <c r="G87" s="13">
        <v>5.3873799999999999E-2</v>
      </c>
      <c r="H87" s="13">
        <v>4.94367E-2</v>
      </c>
      <c r="I87" s="13">
        <v>5.1756900000000002E-2</v>
      </c>
      <c r="J87" s="13">
        <v>5.0985299999999997E-2</v>
      </c>
      <c r="K87" s="13">
        <v>5.0701099999999999E-2</v>
      </c>
      <c r="L87" s="13">
        <v>5.0451200000000002E-2</v>
      </c>
      <c r="M87" s="13">
        <v>4.8451000000000001E-2</v>
      </c>
      <c r="N87" s="13">
        <v>4.6253000000000002E-2</v>
      </c>
      <c r="O87" s="13">
        <v>4.4299900000000003E-2</v>
      </c>
      <c r="P87" s="13" t="s">
        <v>78</v>
      </c>
    </row>
    <row r="88" spans="1:16">
      <c r="A88" s="13" t="s">
        <v>363</v>
      </c>
      <c r="B88" s="13" t="s">
        <v>1</v>
      </c>
      <c r="C88" s="13" t="s">
        <v>32</v>
      </c>
      <c r="D88" s="13" t="s">
        <v>2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2.1763945E-2</v>
      </c>
      <c r="K88" s="13">
        <v>7.4354005000000001E-2</v>
      </c>
      <c r="L88" s="13">
        <v>0.14109391099999999</v>
      </c>
      <c r="M88" s="13">
        <v>0.1975487131</v>
      </c>
      <c r="N88" s="13">
        <v>0.25888768400000001</v>
      </c>
      <c r="O88" s="13">
        <v>0.310668002</v>
      </c>
      <c r="P88" s="13" t="s">
        <v>78</v>
      </c>
    </row>
    <row r="89" spans="1:16">
      <c r="A89" s="13" t="s">
        <v>363</v>
      </c>
      <c r="B89" s="13" t="s">
        <v>1</v>
      </c>
      <c r="C89" s="13" t="s">
        <v>32</v>
      </c>
      <c r="D89" s="13" t="s">
        <v>4</v>
      </c>
      <c r="E89" s="13">
        <v>0.24249380000000001</v>
      </c>
      <c r="F89" s="13">
        <v>0</v>
      </c>
      <c r="G89" s="13">
        <v>0</v>
      </c>
      <c r="H89" s="13">
        <v>0.85360729999999996</v>
      </c>
      <c r="I89" s="13">
        <v>0.95530557000000005</v>
      </c>
      <c r="J89" s="13">
        <v>0.93571031999999998</v>
      </c>
      <c r="K89" s="13">
        <v>0.76332765999999996</v>
      </c>
      <c r="L89" s="13">
        <v>0.556615745</v>
      </c>
      <c r="M89" s="13">
        <v>0.40681397050000001</v>
      </c>
      <c r="N89" s="13">
        <v>0.279572557</v>
      </c>
      <c r="O89" s="13">
        <v>0.17543988099999999</v>
      </c>
      <c r="P89" s="13" t="s">
        <v>78</v>
      </c>
    </row>
    <row r="90" spans="1:16">
      <c r="A90" s="13" t="s">
        <v>363</v>
      </c>
      <c r="B90" s="13" t="s">
        <v>1</v>
      </c>
      <c r="C90" s="13" t="s">
        <v>32</v>
      </c>
      <c r="D90" s="13" t="s">
        <v>5</v>
      </c>
      <c r="E90" s="13">
        <v>3.6208699999999899E-2</v>
      </c>
      <c r="F90" s="13">
        <v>0.15555249999999901</v>
      </c>
      <c r="G90" s="13">
        <v>0.17736209999999999</v>
      </c>
      <c r="H90" s="13">
        <v>0.19544590000000001</v>
      </c>
      <c r="I90" s="13">
        <v>0.21564140000000001</v>
      </c>
      <c r="J90" s="13">
        <v>0.24742510939999901</v>
      </c>
      <c r="K90" s="13">
        <v>0.27113878479999998</v>
      </c>
      <c r="L90" s="13">
        <v>0.28913547490000002</v>
      </c>
      <c r="M90" s="13">
        <v>0.29169816050000003</v>
      </c>
      <c r="N90" s="13">
        <v>0.28855602889999998</v>
      </c>
      <c r="O90" s="13">
        <v>0.27961414359999998</v>
      </c>
      <c r="P90" s="13" t="s">
        <v>78</v>
      </c>
    </row>
    <row r="91" spans="1:16">
      <c r="A91" s="13" t="s">
        <v>363</v>
      </c>
      <c r="B91" s="13" t="s">
        <v>1</v>
      </c>
      <c r="C91" s="13" t="s">
        <v>32</v>
      </c>
      <c r="D91" s="13" t="s">
        <v>6</v>
      </c>
      <c r="E91" s="13">
        <v>3.8468599999999999E-2</v>
      </c>
      <c r="F91" s="13">
        <v>2.4488900000000001E-2</v>
      </c>
      <c r="G91" s="13">
        <v>1.180294E-2</v>
      </c>
      <c r="H91" s="13">
        <v>4.18857E-3</v>
      </c>
      <c r="I91" s="13">
        <v>4.7637663999999897E-3</v>
      </c>
      <c r="J91" s="13">
        <v>6.2700820842E-3</v>
      </c>
      <c r="K91" s="13">
        <v>7.8644906647999998E-3</v>
      </c>
      <c r="L91" s="13">
        <v>9.6642443245999899E-3</v>
      </c>
      <c r="M91" s="13">
        <v>9.9025426596999998E-3</v>
      </c>
      <c r="N91" s="13">
        <v>9.1134474149999894E-3</v>
      </c>
      <c r="O91" s="13">
        <v>7.7485883242999903E-3</v>
      </c>
      <c r="P91" s="13" t="s">
        <v>78</v>
      </c>
    </row>
    <row r="92" spans="1:16">
      <c r="A92" s="13" t="s">
        <v>363</v>
      </c>
      <c r="B92" s="13" t="s">
        <v>1</v>
      </c>
      <c r="C92" s="13" t="s">
        <v>32</v>
      </c>
      <c r="D92" s="13" t="s">
        <v>7</v>
      </c>
      <c r="E92" s="13">
        <v>0</v>
      </c>
      <c r="F92" s="13">
        <v>3.8468449999999897E-2</v>
      </c>
      <c r="G92" s="13">
        <v>6.6977980000000006E-2</v>
      </c>
      <c r="H92" s="13">
        <v>6.3962699999999997E-2</v>
      </c>
      <c r="I92" s="14">
        <v>7.4281705700000006E-2</v>
      </c>
      <c r="J92" s="14">
        <v>0.100553475623</v>
      </c>
      <c r="K92" s="14">
        <v>0.12912823472599999</v>
      </c>
      <c r="L92" s="14">
        <v>0.164161538173</v>
      </c>
      <c r="M92" s="14">
        <v>0.1690789014496</v>
      </c>
      <c r="N92" s="14">
        <v>0.15392195531299999</v>
      </c>
      <c r="O92" s="14">
        <v>0.12742359277099999</v>
      </c>
      <c r="P92" s="13" t="s">
        <v>78</v>
      </c>
    </row>
    <row r="93" spans="1:16">
      <c r="A93" s="13" t="s">
        <v>363</v>
      </c>
      <c r="B93" s="13" t="s">
        <v>1</v>
      </c>
      <c r="C93" s="13" t="s">
        <v>66</v>
      </c>
      <c r="D93" s="13" t="s">
        <v>2</v>
      </c>
      <c r="E93" s="13">
        <v>0</v>
      </c>
      <c r="F93" s="13">
        <v>0</v>
      </c>
      <c r="G93" s="13">
        <v>0</v>
      </c>
      <c r="H93" s="13">
        <v>0</v>
      </c>
      <c r="I93" s="14">
        <v>6.2479099999999998E-6</v>
      </c>
      <c r="J93" s="14">
        <v>2.6120889999999999E-5</v>
      </c>
      <c r="K93" s="14">
        <v>6.4491469999999995E-5</v>
      </c>
      <c r="L93" s="14">
        <v>1.0769766E-4</v>
      </c>
      <c r="M93" s="14">
        <v>1.4559172999999999E-4</v>
      </c>
      <c r="N93" s="14">
        <v>2.1022476000000001E-4</v>
      </c>
      <c r="O93" s="14">
        <v>2.8072749999999999E-4</v>
      </c>
      <c r="P93" s="13" t="s">
        <v>78</v>
      </c>
    </row>
    <row r="94" spans="1:16">
      <c r="A94" s="13" t="s">
        <v>363</v>
      </c>
      <c r="B94" s="13" t="s">
        <v>1</v>
      </c>
      <c r="C94" s="13" t="s">
        <v>66</v>
      </c>
      <c r="D94" s="13" t="s">
        <v>5</v>
      </c>
      <c r="E94" s="13">
        <v>3.6418100000000001E-3</v>
      </c>
      <c r="F94" s="13">
        <v>4.7302400000000001E-3</v>
      </c>
      <c r="G94" s="13">
        <v>6.0696700000000001E-3</v>
      </c>
      <c r="H94" s="13">
        <v>5.86039E-3</v>
      </c>
      <c r="I94" s="13">
        <v>5.5990809999999997E-3</v>
      </c>
      <c r="J94" s="13">
        <v>4.9519319999999896E-3</v>
      </c>
      <c r="K94" s="13">
        <v>4.3618219999999996E-3</v>
      </c>
      <c r="L94" s="13">
        <v>3.9637530000000004E-3</v>
      </c>
      <c r="M94" s="13">
        <v>3.9182790000000002E-3</v>
      </c>
      <c r="N94" s="13">
        <v>4.1502409999999998E-3</v>
      </c>
      <c r="O94" s="13">
        <v>4.4821490000000004E-3</v>
      </c>
      <c r="P94" s="13" t="s">
        <v>78</v>
      </c>
    </row>
    <row r="95" spans="1:16">
      <c r="A95" s="13" t="s">
        <v>363</v>
      </c>
      <c r="B95" s="13" t="s">
        <v>1</v>
      </c>
      <c r="C95" s="13" t="s">
        <v>66</v>
      </c>
      <c r="D95" s="13" t="s">
        <v>6</v>
      </c>
      <c r="E95" s="13">
        <v>4.7302200000000003E-3</v>
      </c>
      <c r="F95" s="13">
        <v>2.4697199999999999E-3</v>
      </c>
      <c r="G95" s="13">
        <v>3.5580799999999999E-3</v>
      </c>
      <c r="H95" s="13">
        <v>2.679E-3</v>
      </c>
      <c r="I95" s="14">
        <v>2.7432239999999998E-3</v>
      </c>
      <c r="J95" s="13">
        <v>2.7752369999999998E-3</v>
      </c>
      <c r="K95" s="13">
        <v>2.9075799999999999E-3</v>
      </c>
      <c r="L95" s="13">
        <v>2.8948889999999999E-3</v>
      </c>
      <c r="M95" s="13">
        <v>2.5337269999999999E-3</v>
      </c>
      <c r="N95" s="13">
        <v>1.94131599999999E-3</v>
      </c>
      <c r="O95" s="13">
        <v>1.300222E-3</v>
      </c>
      <c r="P95" s="13" t="s">
        <v>78</v>
      </c>
    </row>
    <row r="96" spans="1:16">
      <c r="A96" s="13" t="s">
        <v>363</v>
      </c>
      <c r="B96" s="13" t="s">
        <v>1</v>
      </c>
      <c r="C96" s="13" t="s">
        <v>68</v>
      </c>
      <c r="D96" s="13" t="s">
        <v>2</v>
      </c>
      <c r="E96" s="13">
        <v>0</v>
      </c>
      <c r="F96" s="13">
        <v>0</v>
      </c>
      <c r="G96" s="13">
        <v>0</v>
      </c>
      <c r="H96" s="13">
        <v>0</v>
      </c>
      <c r="I96" s="14">
        <v>8.3085699999999995E-4</v>
      </c>
      <c r="J96" s="13">
        <v>1.3564499999999999E-3</v>
      </c>
      <c r="K96" s="13">
        <v>5.6072190000000001E-3</v>
      </c>
      <c r="L96" s="13">
        <v>2.0877692999999999E-2</v>
      </c>
      <c r="M96" s="13">
        <v>5.0445377E-2</v>
      </c>
      <c r="N96" s="13">
        <v>7.7477711799999904E-2</v>
      </c>
      <c r="O96" s="13">
        <v>0.102780868199999</v>
      </c>
      <c r="P96" s="13" t="s">
        <v>78</v>
      </c>
    </row>
    <row r="97" spans="1:16">
      <c r="A97" s="13" t="s">
        <v>363</v>
      </c>
      <c r="B97" s="13" t="s">
        <v>1</v>
      </c>
      <c r="C97" s="13" t="s">
        <v>68</v>
      </c>
      <c r="D97" s="13" t="s">
        <v>3</v>
      </c>
      <c r="E97" s="13">
        <v>7.4416999999999999E-3</v>
      </c>
      <c r="F97" s="13">
        <v>6.2898999999999997E-2</v>
      </c>
      <c r="G97" s="13">
        <v>8.7590000000000001E-2</v>
      </c>
      <c r="H97" s="13">
        <v>0.109571</v>
      </c>
      <c r="I97" s="13">
        <v>0.121213866</v>
      </c>
      <c r="J97" s="13">
        <v>0.123300558999999</v>
      </c>
      <c r="K97" s="13">
        <v>0.14195085199999999</v>
      </c>
      <c r="L97" s="13">
        <v>0.19101436999999999</v>
      </c>
      <c r="M97" s="13">
        <v>0.19161257299999901</v>
      </c>
      <c r="N97" s="13">
        <v>0.172425681999999</v>
      </c>
      <c r="O97" s="13">
        <v>0.14213477560000001</v>
      </c>
      <c r="P97" s="13" t="s">
        <v>78</v>
      </c>
    </row>
    <row r="98" spans="1:16">
      <c r="A98" s="13" t="s">
        <v>363</v>
      </c>
      <c r="B98" s="13" t="s">
        <v>1</v>
      </c>
      <c r="C98" s="13" t="s">
        <v>68</v>
      </c>
      <c r="D98" s="13" t="s">
        <v>4</v>
      </c>
      <c r="E98" s="13">
        <v>0.24647140000000001</v>
      </c>
      <c r="F98" s="13">
        <v>0.70186700000000002</v>
      </c>
      <c r="G98" s="13">
        <v>0.908613</v>
      </c>
      <c r="H98" s="13">
        <v>0.31868059999999998</v>
      </c>
      <c r="I98" s="13">
        <v>0.37101046999999998</v>
      </c>
      <c r="J98" s="13">
        <v>0.36586521799999999</v>
      </c>
      <c r="K98" s="13">
        <v>0.33707949399999898</v>
      </c>
      <c r="L98" s="13">
        <v>0.24666366300000001</v>
      </c>
      <c r="M98" s="13">
        <v>0.13542468499999999</v>
      </c>
      <c r="N98" s="13">
        <v>7.1045452999999995E-2</v>
      </c>
      <c r="O98" s="13">
        <v>3.97440100999999E-2</v>
      </c>
      <c r="P98" s="13" t="s">
        <v>78</v>
      </c>
    </row>
    <row r="99" spans="1:16">
      <c r="A99" s="13" t="s">
        <v>363</v>
      </c>
      <c r="B99" s="13" t="s">
        <v>1</v>
      </c>
      <c r="C99" s="13" t="s">
        <v>68</v>
      </c>
      <c r="D99" s="13" t="s">
        <v>5</v>
      </c>
      <c r="E99" s="13">
        <v>0.11110399999999999</v>
      </c>
      <c r="F99" s="13">
        <v>0.328934</v>
      </c>
      <c r="G99" s="13">
        <v>0.46490999999999999</v>
      </c>
      <c r="H99" s="13">
        <v>0.54062200000000005</v>
      </c>
      <c r="I99" s="13">
        <v>0.56406990000000001</v>
      </c>
      <c r="J99" s="13">
        <v>0.55762780000000001</v>
      </c>
      <c r="K99" s="13">
        <v>0.54209180000000001</v>
      </c>
      <c r="L99" s="13">
        <v>0.50699640000000001</v>
      </c>
      <c r="M99" s="13">
        <v>0.49752950000000001</v>
      </c>
      <c r="N99" s="13">
        <v>0.52309838999999902</v>
      </c>
      <c r="O99" s="13">
        <v>0.56921513000000001</v>
      </c>
      <c r="P99" s="13" t="s">
        <v>78</v>
      </c>
    </row>
    <row r="100" spans="1:16">
      <c r="A100" s="13" t="s">
        <v>363</v>
      </c>
      <c r="B100" s="13" t="s">
        <v>1</v>
      </c>
      <c r="C100" s="13" t="s">
        <v>68</v>
      </c>
      <c r="D100" s="13" t="s">
        <v>6</v>
      </c>
      <c r="E100" s="13">
        <v>0.26414799999999999</v>
      </c>
      <c r="F100" s="13">
        <v>0.32156439999999997</v>
      </c>
      <c r="G100" s="13">
        <v>0.25188080000000002</v>
      </c>
      <c r="H100" s="13">
        <v>0.1744762</v>
      </c>
      <c r="I100" s="13">
        <v>0.19083819999999899</v>
      </c>
      <c r="J100" s="13">
        <v>0.19104578</v>
      </c>
      <c r="K100" s="13">
        <v>0.19881104999999999</v>
      </c>
      <c r="L100" s="13">
        <v>0.21291963</v>
      </c>
      <c r="M100" s="13">
        <v>0.21078503999999901</v>
      </c>
      <c r="N100" s="13">
        <v>0.195587014</v>
      </c>
      <c r="O100" s="13">
        <v>0.16957324100000001</v>
      </c>
      <c r="P100" s="13" t="s">
        <v>78</v>
      </c>
    </row>
    <row r="101" spans="1:16">
      <c r="A101" s="13" t="s">
        <v>363</v>
      </c>
      <c r="B101" s="13" t="s">
        <v>1</v>
      </c>
      <c r="C101" s="13" t="s">
        <v>68</v>
      </c>
      <c r="D101" s="13" t="s">
        <v>7</v>
      </c>
      <c r="E101" s="13">
        <v>0</v>
      </c>
      <c r="F101" s="13">
        <v>0.15593839999999901</v>
      </c>
      <c r="G101" s="13">
        <v>0.17796200000000001</v>
      </c>
      <c r="H101" s="13">
        <v>0.22577359999999999</v>
      </c>
      <c r="I101" s="13">
        <v>0.24774593</v>
      </c>
      <c r="J101" s="13">
        <v>0.24734049</v>
      </c>
      <c r="K101" s="13">
        <v>0.25318971000000001</v>
      </c>
      <c r="L101" s="13">
        <v>0.24916779999999999</v>
      </c>
      <c r="M101" s="13">
        <v>0.22026707000000001</v>
      </c>
      <c r="N101" s="13">
        <v>0.19257058999999899</v>
      </c>
      <c r="O101" s="13">
        <v>0.164838015999999</v>
      </c>
      <c r="P101" s="13" t="s">
        <v>78</v>
      </c>
    </row>
    <row r="102" spans="1:16">
      <c r="A102" s="13" t="s">
        <v>363</v>
      </c>
      <c r="B102" s="13" t="s">
        <v>1</v>
      </c>
      <c r="C102" s="13" t="s">
        <v>22</v>
      </c>
      <c r="D102" s="13" t="s">
        <v>6</v>
      </c>
      <c r="E102" s="13">
        <v>0</v>
      </c>
      <c r="F102" s="13">
        <v>3.1394999999999999E-2</v>
      </c>
      <c r="G102" s="13">
        <v>3.1520699999999999E-2</v>
      </c>
      <c r="H102" s="13">
        <v>2.9218299999999999E-2</v>
      </c>
      <c r="I102" s="13">
        <v>3.3638300000000003E-2</v>
      </c>
      <c r="J102" s="13">
        <v>3.4697100000000002E-2</v>
      </c>
      <c r="K102" s="13">
        <v>4.3046500000000001E-2</v>
      </c>
      <c r="L102" s="13">
        <v>6.8080500000000002E-2</v>
      </c>
      <c r="M102" s="13">
        <v>9.6975500000000006E-2</v>
      </c>
      <c r="N102" s="13">
        <v>0.115465</v>
      </c>
      <c r="O102" s="13">
        <v>0.12864200000000001</v>
      </c>
    </row>
    <row r="103" spans="1:16">
      <c r="A103" s="13" t="s">
        <v>363</v>
      </c>
      <c r="B103" s="13" t="s">
        <v>1</v>
      </c>
      <c r="C103" s="13" t="s">
        <v>190</v>
      </c>
      <c r="D103" s="13" t="s">
        <v>7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4">
        <v>0</v>
      </c>
      <c r="K103" s="14">
        <v>0</v>
      </c>
      <c r="L103" s="14">
        <v>0</v>
      </c>
      <c r="M103" s="14">
        <v>2.1982699999999998E-6</v>
      </c>
      <c r="N103" s="14">
        <v>8.9342399999999998E-4</v>
      </c>
      <c r="O103" s="13">
        <v>0.38784099999999999</v>
      </c>
    </row>
    <row r="105" spans="1:16">
      <c r="A105" s="1" t="s">
        <v>182</v>
      </c>
      <c r="E105" s="13">
        <v>1990</v>
      </c>
      <c r="F105" s="13">
        <v>2005</v>
      </c>
      <c r="G105" s="13">
        <v>2010</v>
      </c>
      <c r="H105" s="13">
        <v>2015</v>
      </c>
      <c r="I105" s="13">
        <v>2020</v>
      </c>
      <c r="J105" s="13">
        <v>2025</v>
      </c>
      <c r="K105" s="13">
        <v>2030</v>
      </c>
      <c r="L105" s="13">
        <v>2035</v>
      </c>
      <c r="M105" s="13">
        <v>2040</v>
      </c>
      <c r="N105" s="13">
        <v>2045</v>
      </c>
      <c r="O105" s="13">
        <v>2050</v>
      </c>
    </row>
    <row r="106" spans="1:16">
      <c r="C106" s="13" t="s">
        <v>183</v>
      </c>
      <c r="E106" s="13">
        <f>E90/D54</f>
        <v>0.10655282349914232</v>
      </c>
      <c r="F106" s="13">
        <f t="shared" ref="F106:O106" si="4">F90/E54</f>
        <v>0.12166284495935462</v>
      </c>
      <c r="G106" s="13">
        <f t="shared" si="4"/>
        <v>0.10962527067176152</v>
      </c>
      <c r="H106" s="13">
        <f t="shared" si="4"/>
        <v>0.1098043644336545</v>
      </c>
      <c r="I106" s="13">
        <f t="shared" si="4"/>
        <v>0.11723529944818052</v>
      </c>
      <c r="J106" s="13">
        <f t="shared" si="4"/>
        <v>0.12810560677643507</v>
      </c>
      <c r="K106" s="13">
        <f t="shared" si="4"/>
        <v>0.13473659559239337</v>
      </c>
      <c r="L106" s="13">
        <f t="shared" si="4"/>
        <v>0.13822797052438007</v>
      </c>
      <c r="M106" s="13">
        <f t="shared" si="4"/>
        <v>0.13038691508184377</v>
      </c>
      <c r="N106" s="13">
        <f t="shared" si="4"/>
        <v>0.11873564446367661</v>
      </c>
      <c r="O106" s="13">
        <f t="shared" si="4"/>
        <v>0.10320615627580618</v>
      </c>
    </row>
    <row r="107" spans="1:16">
      <c r="C107" s="13" t="s">
        <v>184</v>
      </c>
      <c r="E107" s="13">
        <f>IFERROR(E88/D56,0)</f>
        <v>0</v>
      </c>
      <c r="F107" s="13">
        <f t="shared" ref="F107:O107" si="5">IFERROR(F88/E56,0)</f>
        <v>0</v>
      </c>
      <c r="G107" s="13">
        <f t="shared" si="5"/>
        <v>0</v>
      </c>
      <c r="H107" s="13">
        <f t="shared" si="5"/>
        <v>0</v>
      </c>
      <c r="I107" s="13">
        <f t="shared" si="5"/>
        <v>0</v>
      </c>
      <c r="J107" s="13">
        <f t="shared" si="5"/>
        <v>0.6255104237521677</v>
      </c>
      <c r="K107" s="13">
        <f t="shared" si="5"/>
        <v>0.65438589371552736</v>
      </c>
      <c r="L107" s="13">
        <f t="shared" si="5"/>
        <v>0.62532055321514379</v>
      </c>
      <c r="M107" s="13">
        <f t="shared" si="5"/>
        <v>0.5628739949392364</v>
      </c>
      <c r="N107" s="13">
        <f t="shared" si="5"/>
        <v>0.54829942980182156</v>
      </c>
      <c r="O107" s="13">
        <f t="shared" si="5"/>
        <v>0.5401988228143052</v>
      </c>
    </row>
    <row r="108" spans="1:16">
      <c r="P108" s="13" t="s">
        <v>76</v>
      </c>
    </row>
    <row r="109" spans="1:16">
      <c r="C109" s="13" t="s">
        <v>185</v>
      </c>
      <c r="E109" s="13">
        <f>SUM(E20:E23)*E106</f>
        <v>3.6680329199591197</v>
      </c>
      <c r="F109" s="13">
        <f t="shared" ref="F109:O109" si="6">SUM(F20:F23)*F106</f>
        <v>21.135579255228894</v>
      </c>
      <c r="G109" s="13">
        <f t="shared" si="6"/>
        <v>26.968039938141683</v>
      </c>
      <c r="H109" s="13">
        <f t="shared" si="6"/>
        <v>27.846359328488198</v>
      </c>
      <c r="I109" s="13">
        <f t="shared" si="6"/>
        <v>28.001105959945516</v>
      </c>
      <c r="J109" s="13">
        <f t="shared" si="6"/>
        <v>26.490874656217557</v>
      </c>
      <c r="K109" s="13">
        <f t="shared" si="6"/>
        <v>17.338307790064999</v>
      </c>
      <c r="L109" s="13">
        <f t="shared" si="6"/>
        <v>9.5474748822661812</v>
      </c>
      <c r="M109" s="13">
        <f t="shared" si="6"/>
        <v>3.7170388067097417</v>
      </c>
      <c r="N109" s="13">
        <f t="shared" si="6"/>
        <v>-0.61096194543328641</v>
      </c>
      <c r="O109" s="13">
        <f t="shared" si="6"/>
        <v>-1.9768059780119418</v>
      </c>
      <c r="P109" s="13" t="s">
        <v>171</v>
      </c>
    </row>
    <row r="110" spans="1:16">
      <c r="C110" s="13" t="s">
        <v>186</v>
      </c>
      <c r="E110" s="13">
        <f>SUM(E3:E4)*E107</f>
        <v>0</v>
      </c>
      <c r="F110" s="13">
        <f t="shared" ref="F110:N110" si="7">SUM(F3:F4)*F107</f>
        <v>0</v>
      </c>
      <c r="G110" s="13">
        <f t="shared" si="7"/>
        <v>0</v>
      </c>
      <c r="H110" s="13">
        <f t="shared" si="7"/>
        <v>0</v>
      </c>
      <c r="I110" s="13">
        <f t="shared" si="7"/>
        <v>0</v>
      </c>
      <c r="J110" s="13">
        <f t="shared" si="7"/>
        <v>1.1121064113360608</v>
      </c>
      <c r="K110" s="13">
        <f t="shared" si="7"/>
        <v>3.0955821812129058</v>
      </c>
      <c r="L110" s="13">
        <f t="shared" si="7"/>
        <v>2.4416674340804225</v>
      </c>
      <c r="M110" s="13">
        <f t="shared" si="7"/>
        <v>-3.0371318119494397</v>
      </c>
      <c r="N110" s="13">
        <f t="shared" si="7"/>
        <v>-5.0550655702802834</v>
      </c>
      <c r="O110" s="13">
        <f>SUM(O3:O4)*O107</f>
        <v>-4.6108820394483185</v>
      </c>
      <c r="P110" s="13" t="s">
        <v>171</v>
      </c>
    </row>
    <row r="112" spans="1:16">
      <c r="A112" s="1" t="s">
        <v>187</v>
      </c>
    </row>
    <row r="113" spans="4:13">
      <c r="E113" s="13">
        <v>2015</v>
      </c>
      <c r="F113" s="13">
        <v>2020</v>
      </c>
      <c r="G113" s="13">
        <v>2025</v>
      </c>
      <c r="H113" s="13">
        <v>2030</v>
      </c>
      <c r="I113" s="13">
        <v>2035</v>
      </c>
      <c r="J113" s="13">
        <v>2040</v>
      </c>
      <c r="K113" s="13">
        <v>2045</v>
      </c>
      <c r="L113" s="13">
        <v>2050</v>
      </c>
      <c r="M113" s="13" t="s">
        <v>76</v>
      </c>
    </row>
    <row r="114" spans="4:13">
      <c r="D114" s="13" t="s">
        <v>188</v>
      </c>
      <c r="E114" s="13">
        <f>H26</f>
        <v>89.060708206792015</v>
      </c>
      <c r="F114" s="13">
        <f t="shared" ref="F114:L114" si="8">I26</f>
        <v>99.8003501359415</v>
      </c>
      <c r="G114" s="13">
        <f t="shared" si="8"/>
        <v>99.056964443501258</v>
      </c>
      <c r="H114" s="13">
        <f t="shared" si="8"/>
        <v>82.210294305359071</v>
      </c>
      <c r="I114" s="13">
        <f t="shared" si="8"/>
        <v>60.209243541871658</v>
      </c>
      <c r="J114" s="13">
        <f t="shared" si="8"/>
        <v>41.936062899096704</v>
      </c>
      <c r="K114" s="13">
        <f t="shared" si="8"/>
        <v>24.813485319625407</v>
      </c>
      <c r="L114" s="13">
        <f t="shared" si="8"/>
        <v>12.674338356353129</v>
      </c>
      <c r="M114" s="13" t="s">
        <v>171</v>
      </c>
    </row>
    <row r="115" spans="4:13">
      <c r="D115" s="13" t="s">
        <v>185</v>
      </c>
      <c r="E115" s="13">
        <f>H109</f>
        <v>27.846359328488198</v>
      </c>
      <c r="F115" s="13">
        <f t="shared" ref="F115:L115" si="9">I109</f>
        <v>28.001105959945516</v>
      </c>
      <c r="G115" s="13">
        <f t="shared" si="9"/>
        <v>26.490874656217557</v>
      </c>
      <c r="H115" s="13">
        <f t="shared" si="9"/>
        <v>17.338307790064999</v>
      </c>
      <c r="I115" s="13">
        <f t="shared" si="9"/>
        <v>9.5474748822661812</v>
      </c>
      <c r="J115" s="13">
        <f t="shared" si="9"/>
        <v>3.7170388067097417</v>
      </c>
      <c r="K115" s="13">
        <f t="shared" si="9"/>
        <v>-0.61096194543328641</v>
      </c>
      <c r="L115" s="13">
        <f t="shared" si="9"/>
        <v>-1.9768059780119418</v>
      </c>
      <c r="M115" s="13" t="s">
        <v>171</v>
      </c>
    </row>
    <row r="116" spans="4:13">
      <c r="D116" s="13" t="s">
        <v>186</v>
      </c>
      <c r="E116" s="13">
        <f>H110</f>
        <v>0</v>
      </c>
      <c r="F116" s="13">
        <f t="shared" ref="F116:L116" si="10">I110</f>
        <v>0</v>
      </c>
      <c r="G116" s="13">
        <f t="shared" si="10"/>
        <v>1.1121064113360608</v>
      </c>
      <c r="H116" s="13">
        <f t="shared" si="10"/>
        <v>3.0955821812129058</v>
      </c>
      <c r="I116" s="13">
        <f t="shared" si="10"/>
        <v>2.4416674340804225</v>
      </c>
      <c r="J116" s="13">
        <f t="shared" si="10"/>
        <v>-3.0371318119494397</v>
      </c>
      <c r="K116" s="13">
        <f t="shared" si="10"/>
        <v>-5.0550655702802834</v>
      </c>
      <c r="L116" s="13">
        <f t="shared" si="10"/>
        <v>-4.6108820394483185</v>
      </c>
      <c r="M116" s="13" t="s">
        <v>171</v>
      </c>
    </row>
    <row r="117" spans="4:13">
      <c r="D117" s="13" t="s">
        <v>192</v>
      </c>
      <c r="E117" s="13">
        <f>SUM(E114:E116)</f>
        <v>116.90706753528022</v>
      </c>
      <c r="F117" s="13">
        <f t="shared" ref="F117:L117" si="11">SUM(F114:F116)</f>
        <v>127.80145609588702</v>
      </c>
      <c r="G117" s="13">
        <f t="shared" si="11"/>
        <v>126.65994551105487</v>
      </c>
      <c r="H117" s="13">
        <f t="shared" si="11"/>
        <v>102.64418427663698</v>
      </c>
      <c r="I117" s="13">
        <f t="shared" si="11"/>
        <v>72.198385858218273</v>
      </c>
      <c r="J117" s="13">
        <f t="shared" si="11"/>
        <v>42.615969893857013</v>
      </c>
      <c r="K117" s="13">
        <f t="shared" si="11"/>
        <v>19.147457803911838</v>
      </c>
      <c r="L117" s="13">
        <f t="shared" si="11"/>
        <v>6.0866503388928681</v>
      </c>
    </row>
    <row r="118" spans="4:13">
      <c r="L118" s="13">
        <f>L117/F117</f>
        <v>4.7625829351476003E-2</v>
      </c>
      <c r="M118" s="13">
        <f>1-L118</f>
        <v>0.95237417064852403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ED7F-810F-4087-97DA-30AFE341679C}">
  <dimension ref="A2:S20"/>
  <sheetViews>
    <sheetView topLeftCell="C1" zoomScale="70" zoomScaleNormal="70" workbookViewId="0">
      <selection activeCell="F17" sqref="F17:L19"/>
    </sheetView>
  </sheetViews>
  <sheetFormatPr defaultColWidth="8.69921875" defaultRowHeight="17.399999999999999"/>
  <cols>
    <col min="1" max="4" width="8.69921875" style="13"/>
    <col min="5" max="5" width="30.296875" style="13" bestFit="1" customWidth="1"/>
    <col min="6" max="15" width="8.69921875" style="13"/>
    <col min="16" max="16" width="22.3984375" style="13" bestFit="1" customWidth="1"/>
    <col min="17" max="17" width="9" style="13" bestFit="1" customWidth="1"/>
    <col min="18" max="18" width="30.296875" style="13" bestFit="1" customWidth="1"/>
    <col min="19" max="16384" width="8.69921875" style="13"/>
  </cols>
  <sheetData>
    <row r="2" spans="1:19">
      <c r="A2" s="13" t="s">
        <v>8</v>
      </c>
      <c r="B2" s="13" t="s">
        <v>9</v>
      </c>
      <c r="C2" s="13" t="s">
        <v>39</v>
      </c>
      <c r="D2" s="13" t="s">
        <v>40</v>
      </c>
      <c r="E2" s="13" t="s">
        <v>42</v>
      </c>
      <c r="F2" s="13">
        <v>1990</v>
      </c>
      <c r="G2" s="13">
        <v>2005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P2" s="16" t="s">
        <v>140</v>
      </c>
      <c r="Q2" s="16" t="s">
        <v>57</v>
      </c>
      <c r="R2" s="16" t="s">
        <v>326</v>
      </c>
      <c r="S2" s="16" t="s">
        <v>335</v>
      </c>
    </row>
    <row r="3" spans="1:19">
      <c r="A3" s="13" t="s">
        <v>364</v>
      </c>
      <c r="B3" s="13" t="s">
        <v>1</v>
      </c>
      <c r="C3" s="13" t="s">
        <v>140</v>
      </c>
      <c r="D3" s="13" t="s">
        <v>57</v>
      </c>
      <c r="E3" s="13" t="s">
        <v>326</v>
      </c>
      <c r="F3" s="13">
        <v>0</v>
      </c>
      <c r="G3" s="13">
        <v>0</v>
      </c>
      <c r="H3" s="14">
        <v>1.39887E-4</v>
      </c>
      <c r="I3" s="13">
        <v>3.7223999999999998E-3</v>
      </c>
      <c r="J3" s="13">
        <v>1.3159199999999999E-2</v>
      </c>
      <c r="K3" s="13">
        <v>1.08786E-2</v>
      </c>
      <c r="L3" s="14">
        <v>3.2691000000000003E-4</v>
      </c>
      <c r="M3" s="14">
        <v>1.02196E-5</v>
      </c>
      <c r="N3" s="14">
        <v>1.3513099999999999E-6</v>
      </c>
      <c r="P3" s="16" t="s">
        <v>140</v>
      </c>
      <c r="Q3" s="16" t="s">
        <v>57</v>
      </c>
      <c r="R3" s="16" t="s">
        <v>327</v>
      </c>
      <c r="S3" s="16" t="s">
        <v>335</v>
      </c>
    </row>
    <row r="4" spans="1:19">
      <c r="A4" s="13" t="s">
        <v>364</v>
      </c>
      <c r="B4" s="13" t="s">
        <v>1</v>
      </c>
      <c r="C4" s="13" t="s">
        <v>140</v>
      </c>
      <c r="D4" s="13" t="s">
        <v>57</v>
      </c>
      <c r="E4" s="13" t="s">
        <v>327</v>
      </c>
      <c r="F4" s="13">
        <v>0</v>
      </c>
      <c r="G4" s="13">
        <v>0</v>
      </c>
      <c r="H4" s="13">
        <v>0</v>
      </c>
      <c r="I4" s="14">
        <v>8.3212099999999999E-7</v>
      </c>
      <c r="J4" s="14">
        <v>1.78469E-4</v>
      </c>
      <c r="K4" s="14">
        <v>1.6524400000000002E-2</v>
      </c>
      <c r="L4" s="13">
        <v>6.0357599999999997E-2</v>
      </c>
      <c r="M4" s="13">
        <v>7.5002799999999994E-2</v>
      </c>
      <c r="N4" s="13">
        <v>6.8158999999999997E-2</v>
      </c>
      <c r="P4" s="30" t="s">
        <v>140</v>
      </c>
      <c r="Q4" s="30" t="s">
        <v>58</v>
      </c>
      <c r="R4" s="30" t="s">
        <v>328</v>
      </c>
      <c r="S4" s="30" t="s">
        <v>333</v>
      </c>
    </row>
    <row r="5" spans="1:19">
      <c r="A5" s="13" t="s">
        <v>364</v>
      </c>
      <c r="B5" s="13" t="s">
        <v>1</v>
      </c>
      <c r="C5" s="13" t="s">
        <v>140</v>
      </c>
      <c r="D5" s="13" t="s">
        <v>58</v>
      </c>
      <c r="E5" s="13" t="s">
        <v>328</v>
      </c>
      <c r="F5" s="13">
        <v>0</v>
      </c>
      <c r="G5" s="13">
        <v>0</v>
      </c>
      <c r="H5" s="13">
        <v>0</v>
      </c>
      <c r="I5" s="14">
        <v>6.6891800000000001E-4</v>
      </c>
      <c r="J5" s="13">
        <v>3.4842599999999999E-3</v>
      </c>
      <c r="K5" s="13">
        <v>9.7354699999999995E-3</v>
      </c>
      <c r="L5" s="13">
        <v>1.7331099999999999E-2</v>
      </c>
      <c r="M5" s="13">
        <v>2.4204300000000002E-2</v>
      </c>
      <c r="N5" s="13">
        <v>2.85002E-2</v>
      </c>
      <c r="P5" s="37" t="s">
        <v>140</v>
      </c>
      <c r="Q5" s="37" t="s">
        <v>59</v>
      </c>
      <c r="R5" s="37" t="s">
        <v>329</v>
      </c>
      <c r="S5" s="37" t="s">
        <v>334</v>
      </c>
    </row>
    <row r="6" spans="1:19">
      <c r="A6" s="13" t="s">
        <v>364</v>
      </c>
      <c r="B6" s="13" t="s">
        <v>1</v>
      </c>
      <c r="C6" s="13" t="s">
        <v>140</v>
      </c>
      <c r="D6" s="13" t="s">
        <v>59</v>
      </c>
      <c r="E6" s="13" t="s">
        <v>329</v>
      </c>
      <c r="F6" s="13">
        <v>0</v>
      </c>
      <c r="G6" s="13">
        <v>0</v>
      </c>
      <c r="H6" s="14">
        <v>1.6552700000000002E-5</v>
      </c>
      <c r="I6" s="14">
        <v>3.0526899999999999E-4</v>
      </c>
      <c r="J6" s="14">
        <v>1.0463200000000001E-3</v>
      </c>
      <c r="K6" s="13">
        <v>2.2321200000000002E-3</v>
      </c>
      <c r="L6" s="13">
        <v>3.7459099999999999E-3</v>
      </c>
      <c r="M6" s="13">
        <v>5.9159299999999998E-3</v>
      </c>
      <c r="N6" s="13">
        <v>8.7573700000000004E-3</v>
      </c>
      <c r="P6" s="37" t="s">
        <v>140</v>
      </c>
      <c r="Q6" s="37" t="s">
        <v>60</v>
      </c>
      <c r="R6" s="37" t="s">
        <v>330</v>
      </c>
      <c r="S6" s="37" t="s">
        <v>334</v>
      </c>
    </row>
    <row r="7" spans="1:19">
      <c r="A7" s="13" t="s">
        <v>364</v>
      </c>
      <c r="B7" s="13" t="s">
        <v>1</v>
      </c>
      <c r="C7" s="13" t="s">
        <v>140</v>
      </c>
      <c r="D7" s="13" t="s">
        <v>60</v>
      </c>
      <c r="E7" s="13" t="s">
        <v>330</v>
      </c>
      <c r="F7" s="13">
        <v>0</v>
      </c>
      <c r="G7" s="13">
        <v>0</v>
      </c>
      <c r="H7" s="14">
        <v>8.8957700000000001E-4</v>
      </c>
      <c r="I7" s="13">
        <v>1.0425E-2</v>
      </c>
      <c r="J7" s="13">
        <v>2.2462900000000001E-2</v>
      </c>
      <c r="K7" s="13">
        <v>1.8601400000000001E-2</v>
      </c>
      <c r="L7" s="13">
        <v>5.7290199999999996E-3</v>
      </c>
      <c r="M7" s="14">
        <v>1.01005E-3</v>
      </c>
      <c r="N7" s="14">
        <v>2.3023499999999999E-4</v>
      </c>
      <c r="P7" s="30" t="s">
        <v>140</v>
      </c>
      <c r="Q7" s="30" t="s">
        <v>60</v>
      </c>
      <c r="R7" s="30" t="s">
        <v>331</v>
      </c>
      <c r="S7" s="30" t="s">
        <v>333</v>
      </c>
    </row>
    <row r="8" spans="1:19">
      <c r="A8" s="13" t="s">
        <v>364</v>
      </c>
      <c r="B8" s="13" t="s">
        <v>1</v>
      </c>
      <c r="C8" s="13" t="s">
        <v>140</v>
      </c>
      <c r="D8" s="13" t="s">
        <v>60</v>
      </c>
      <c r="E8" s="13" t="s">
        <v>331</v>
      </c>
      <c r="F8" s="13">
        <v>0</v>
      </c>
      <c r="G8" s="13">
        <v>0</v>
      </c>
      <c r="H8" s="13">
        <v>0</v>
      </c>
      <c r="I8" s="14">
        <v>5.46284E-5</v>
      </c>
      <c r="J8" s="14">
        <v>2.2881799999999999E-3</v>
      </c>
      <c r="K8" s="13">
        <v>1.71136E-2</v>
      </c>
      <c r="L8" s="13">
        <v>4.3994400000000003E-2</v>
      </c>
      <c r="M8" s="13">
        <v>7.0790400000000003E-2</v>
      </c>
      <c r="N8" s="13">
        <v>8.3437399999999995E-2</v>
      </c>
      <c r="P8" s="16" t="s">
        <v>140</v>
      </c>
      <c r="Q8" s="16" t="s">
        <v>292</v>
      </c>
      <c r="R8" s="16" t="s">
        <v>332</v>
      </c>
      <c r="S8" s="16" t="s">
        <v>335</v>
      </c>
    </row>
    <row r="9" spans="1:19">
      <c r="A9" s="13" t="s">
        <v>364</v>
      </c>
      <c r="B9" s="13" t="s">
        <v>1</v>
      </c>
      <c r="C9" s="13" t="s">
        <v>140</v>
      </c>
      <c r="D9" s="13" t="s">
        <v>292</v>
      </c>
      <c r="E9" s="13" t="s">
        <v>332</v>
      </c>
      <c r="F9" s="13">
        <v>0</v>
      </c>
      <c r="G9" s="13">
        <v>0</v>
      </c>
      <c r="H9" s="14">
        <v>7.5669399999999998E-5</v>
      </c>
      <c r="I9" s="13">
        <v>2.5104799999999998E-3</v>
      </c>
      <c r="J9" s="13">
        <v>1.3067499999999999E-2</v>
      </c>
      <c r="K9" s="13">
        <v>3.6569999999999998E-2</v>
      </c>
      <c r="L9" s="13">
        <v>6.6987599999999994E-2</v>
      </c>
      <c r="M9" s="13">
        <v>9.8534999999999998E-2</v>
      </c>
      <c r="N9" s="13">
        <v>0.125665</v>
      </c>
      <c r="P9" s="16" t="s">
        <v>140</v>
      </c>
      <c r="Q9" s="16" t="s">
        <v>297</v>
      </c>
      <c r="R9" s="16" t="s">
        <v>329</v>
      </c>
      <c r="S9" s="16" t="s">
        <v>335</v>
      </c>
    </row>
    <row r="10" spans="1:19">
      <c r="A10" s="13" t="s">
        <v>364</v>
      </c>
      <c r="B10" s="13" t="s">
        <v>1</v>
      </c>
      <c r="C10" s="13" t="s">
        <v>140</v>
      </c>
      <c r="D10" s="13" t="s">
        <v>297</v>
      </c>
      <c r="E10" s="13" t="s">
        <v>329</v>
      </c>
      <c r="F10" s="13">
        <v>0</v>
      </c>
      <c r="G10" s="13">
        <v>0</v>
      </c>
      <c r="H10" s="14">
        <v>3.2167099999999999E-5</v>
      </c>
      <c r="I10" s="13">
        <v>1.3642999999999999E-3</v>
      </c>
      <c r="J10" s="13">
        <v>8.9661099999999994E-3</v>
      </c>
      <c r="K10" s="13">
        <v>3.1373699999999997E-2</v>
      </c>
      <c r="L10" s="13">
        <v>7.1309399999999995E-2</v>
      </c>
      <c r="M10" s="13">
        <v>0.129438</v>
      </c>
      <c r="N10" s="13">
        <v>0.20908099999999999</v>
      </c>
      <c r="P10" s="16" t="s">
        <v>140</v>
      </c>
      <c r="Q10" s="16" t="s">
        <v>301</v>
      </c>
      <c r="R10" s="16" t="s">
        <v>329</v>
      </c>
      <c r="S10" s="16" t="s">
        <v>335</v>
      </c>
    </row>
    <row r="11" spans="1:19">
      <c r="A11" s="13" t="s">
        <v>364</v>
      </c>
      <c r="B11" s="13" t="s">
        <v>1</v>
      </c>
      <c r="C11" s="13" t="s">
        <v>140</v>
      </c>
      <c r="D11" s="13" t="s">
        <v>301</v>
      </c>
      <c r="E11" s="13" t="s">
        <v>329</v>
      </c>
      <c r="F11" s="13">
        <v>0</v>
      </c>
      <c r="G11" s="13">
        <v>0</v>
      </c>
      <c r="H11" s="14">
        <v>4.23381E-5</v>
      </c>
      <c r="I11" s="13">
        <v>1.5787399999999999E-3</v>
      </c>
      <c r="J11" s="13">
        <v>8.6609300000000007E-3</v>
      </c>
      <c r="K11" s="13">
        <v>2.5534500000000002E-2</v>
      </c>
      <c r="L11" s="13">
        <v>4.8124500000000001E-2</v>
      </c>
      <c r="M11" s="13">
        <v>7.0537199999999994E-2</v>
      </c>
      <c r="N11" s="13">
        <v>9.0698100000000004E-2</v>
      </c>
      <c r="P11" s="37" t="s">
        <v>141</v>
      </c>
      <c r="Q11" s="37" t="s">
        <v>59</v>
      </c>
      <c r="R11" s="37" t="s">
        <v>329</v>
      </c>
      <c r="S11" s="37" t="s">
        <v>334</v>
      </c>
    </row>
    <row r="12" spans="1:19">
      <c r="A12" s="13" t="s">
        <v>364</v>
      </c>
      <c r="B12" s="13" t="s">
        <v>1</v>
      </c>
      <c r="C12" s="13" t="s">
        <v>141</v>
      </c>
      <c r="D12" s="13" t="s">
        <v>59</v>
      </c>
      <c r="E12" s="13" t="s">
        <v>329</v>
      </c>
      <c r="F12" s="13">
        <v>0</v>
      </c>
      <c r="G12" s="13">
        <v>0</v>
      </c>
      <c r="H12" s="14">
        <v>3.7796699999999997E-5</v>
      </c>
      <c r="I12" s="14">
        <v>9.8084299999999991E-4</v>
      </c>
      <c r="J12" s="13">
        <v>3.8167399999999999E-3</v>
      </c>
      <c r="K12" s="13">
        <v>8.1916200000000002E-3</v>
      </c>
      <c r="L12" s="13">
        <v>1.25183E-2</v>
      </c>
      <c r="M12" s="13">
        <v>1.7769500000000001E-2</v>
      </c>
      <c r="N12" s="13">
        <v>2.3985200000000002E-2</v>
      </c>
      <c r="P12" s="37" t="s">
        <v>141</v>
      </c>
      <c r="Q12" s="37" t="s">
        <v>60</v>
      </c>
      <c r="R12" s="37" t="s">
        <v>330</v>
      </c>
      <c r="S12" s="37" t="s">
        <v>334</v>
      </c>
    </row>
    <row r="13" spans="1:19">
      <c r="A13" s="13" t="s">
        <v>364</v>
      </c>
      <c r="B13" s="13" t="s">
        <v>1</v>
      </c>
      <c r="C13" s="13" t="s">
        <v>141</v>
      </c>
      <c r="D13" s="13" t="s">
        <v>60</v>
      </c>
      <c r="E13" s="13" t="s">
        <v>330</v>
      </c>
      <c r="F13" s="13">
        <v>0</v>
      </c>
      <c r="G13" s="13">
        <v>0</v>
      </c>
      <c r="H13" s="14">
        <v>6.0577899999999997E-4</v>
      </c>
      <c r="I13" s="13">
        <v>1.32189E-2</v>
      </c>
      <c r="J13" s="13">
        <v>4.3963200000000001E-2</v>
      </c>
      <c r="K13" s="13">
        <v>6.9039000000000003E-2</v>
      </c>
      <c r="L13" s="13">
        <v>6.0786399999999997E-2</v>
      </c>
      <c r="M13" s="13">
        <v>4.5221299999999999E-2</v>
      </c>
      <c r="N13" s="13">
        <v>3.2188300000000003E-2</v>
      </c>
    </row>
    <row r="14" spans="1:19">
      <c r="H14" s="14">
        <f>SUM(H3:H13)</f>
        <v>1.839767E-3</v>
      </c>
    </row>
    <row r="16" spans="1:19">
      <c r="F16" s="13">
        <v>2020</v>
      </c>
      <c r="G16" s="13">
        <v>2025</v>
      </c>
      <c r="H16" s="13">
        <v>2030</v>
      </c>
      <c r="I16" s="13">
        <v>2035</v>
      </c>
      <c r="J16" s="13">
        <v>2040</v>
      </c>
      <c r="K16" s="13">
        <v>2045</v>
      </c>
      <c r="L16" s="13">
        <v>2050</v>
      </c>
      <c r="P16" s="13" t="s">
        <v>360</v>
      </c>
      <c r="Q16" s="13" t="s">
        <v>361</v>
      </c>
    </row>
    <row r="17" spans="5:17">
      <c r="E17" s="13" t="s">
        <v>334</v>
      </c>
      <c r="F17" s="14">
        <f>SUM(H13,H12,H7,H6)*$P$19*10^(-9)</f>
        <v>1.2914211666666668E-2</v>
      </c>
      <c r="G17" s="14">
        <f t="shared" ref="G17:L17" si="0">SUM(I13,I12,I7,I6)*$P$19*10^(-9)</f>
        <v>0.20775010000000002</v>
      </c>
      <c r="H17" s="14">
        <f t="shared" si="0"/>
        <v>0.59407633333333343</v>
      </c>
      <c r="I17" s="14">
        <f t="shared" si="0"/>
        <v>0.81720116666666676</v>
      </c>
      <c r="J17" s="14">
        <f t="shared" si="0"/>
        <v>0.68983025000000009</v>
      </c>
      <c r="K17" s="14">
        <f t="shared" si="0"/>
        <v>0.58263983333333325</v>
      </c>
      <c r="L17" s="14">
        <f t="shared" si="0"/>
        <v>0.54300920833333333</v>
      </c>
      <c r="M17" s="14"/>
      <c r="P17" s="13">
        <f>1/120</f>
        <v>8.3333333333333332E-3</v>
      </c>
      <c r="Q17" s="13" t="s">
        <v>362</v>
      </c>
    </row>
    <row r="18" spans="5:17">
      <c r="E18" s="13" t="s">
        <v>333</v>
      </c>
      <c r="F18" s="14">
        <f>SUM(H5,H8)*$P$19*10^(-9)</f>
        <v>0</v>
      </c>
      <c r="G18" s="14">
        <f t="shared" ref="G18:L18" si="1">SUM(I5,I8)*$P$19*10^(-9)</f>
        <v>6.0295533333333332E-3</v>
      </c>
      <c r="H18" s="14">
        <f t="shared" si="1"/>
        <v>4.810366666666667E-2</v>
      </c>
      <c r="I18" s="14">
        <f t="shared" si="1"/>
        <v>0.22374224999999998</v>
      </c>
      <c r="J18" s="14">
        <f t="shared" si="1"/>
        <v>0.51104583333333342</v>
      </c>
      <c r="K18" s="14">
        <f t="shared" si="1"/>
        <v>0.79162250000000001</v>
      </c>
      <c r="L18" s="14">
        <f t="shared" si="1"/>
        <v>0.93281333333333327</v>
      </c>
      <c r="M18" s="14"/>
      <c r="P18" s="13">
        <f>1/120</f>
        <v>8.3333333333333332E-3</v>
      </c>
      <c r="Q18" s="38">
        <f>1*10^(-12)</f>
        <v>9.9999999999999998E-13</v>
      </c>
    </row>
    <row r="19" spans="5:17">
      <c r="E19" s="13" t="s">
        <v>335</v>
      </c>
      <c r="F19" s="14">
        <f>SUM(H11,H9:H10,H3:H4)*$P$19*10^(-9)</f>
        <v>2.4171799999999997E-3</v>
      </c>
      <c r="G19" s="14">
        <f t="shared" ref="G19:L19" si="2">SUM(I11,I9:I10,I3:I4)*$P$19*10^(-9)</f>
        <v>7.647293434166666E-2</v>
      </c>
      <c r="H19" s="14">
        <f t="shared" si="2"/>
        <v>0.366935075</v>
      </c>
      <c r="I19" s="14">
        <f t="shared" si="2"/>
        <v>1.0073433333333333</v>
      </c>
      <c r="J19" s="14">
        <f t="shared" si="2"/>
        <v>2.05921675</v>
      </c>
      <c r="K19" s="14">
        <f t="shared" si="2"/>
        <v>3.1126934966666666</v>
      </c>
      <c r="L19" s="14">
        <f t="shared" si="2"/>
        <v>4.1133704275833329</v>
      </c>
      <c r="M19" s="14"/>
      <c r="P19" s="13">
        <f>P18*10^12</f>
        <v>8333333333.333333</v>
      </c>
      <c r="Q19" s="13">
        <f>Q18*10^12</f>
        <v>1</v>
      </c>
    </row>
    <row r="20" spans="5:17">
      <c r="F20" s="14">
        <f>SUM(F17:F19)</f>
        <v>1.5331391666666668E-2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4A06B-ED16-40C6-8F00-3D103404D157}">
  <dimension ref="A1:V23"/>
  <sheetViews>
    <sheetView zoomScale="40" zoomScaleNormal="40" workbookViewId="0">
      <selection activeCell="I20" sqref="I20:J20"/>
    </sheetView>
  </sheetViews>
  <sheetFormatPr defaultColWidth="8.69921875" defaultRowHeight="17.399999999999999"/>
  <cols>
    <col min="1" max="1" width="38.69921875" style="13" bestFit="1" customWidth="1"/>
    <col min="2" max="2" width="11.69921875" style="13" bestFit="1" customWidth="1"/>
    <col min="3" max="3" width="13" style="13" bestFit="1" customWidth="1"/>
    <col min="4" max="4" width="13.59765625" style="13" bestFit="1" customWidth="1"/>
    <col min="5" max="5" width="23.296875" style="13" bestFit="1" customWidth="1"/>
    <col min="6" max="6" width="22.796875" style="13" customWidth="1"/>
    <col min="7" max="16384" width="8.69921875" style="13"/>
  </cols>
  <sheetData>
    <row r="1" spans="1:22">
      <c r="A1" s="1" t="s">
        <v>82</v>
      </c>
    </row>
    <row r="2" spans="1:22">
      <c r="A2" s="13" t="s">
        <v>8</v>
      </c>
      <c r="B2" s="13" t="s">
        <v>9</v>
      </c>
      <c r="C2" s="13" t="s">
        <v>39</v>
      </c>
      <c r="D2" s="13" t="s">
        <v>40</v>
      </c>
      <c r="E2" s="13" t="s">
        <v>42</v>
      </c>
      <c r="F2" s="13">
        <v>1990</v>
      </c>
      <c r="G2" s="13">
        <v>2005</v>
      </c>
      <c r="H2" s="13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22">
      <c r="A3" s="13" t="s">
        <v>365</v>
      </c>
      <c r="B3" s="13" t="s">
        <v>1</v>
      </c>
      <c r="C3" s="13" t="s">
        <v>32</v>
      </c>
      <c r="D3" s="13" t="s">
        <v>33</v>
      </c>
      <c r="E3" s="13" t="s">
        <v>33</v>
      </c>
      <c r="F3" s="13">
        <v>4.6700899999999997E-2</v>
      </c>
      <c r="G3" s="13">
        <v>4.37793E-2</v>
      </c>
      <c r="H3" s="13">
        <v>4.4930499999999998E-2</v>
      </c>
      <c r="I3" s="13">
        <v>5.9595799999999997E-2</v>
      </c>
      <c r="J3" s="13">
        <v>6.2599500000000002E-2</v>
      </c>
      <c r="K3" s="13">
        <v>6.3532699999999998E-2</v>
      </c>
      <c r="L3" s="13">
        <v>6.2897599999999998E-2</v>
      </c>
      <c r="M3" s="13">
        <v>6.2215199999999998E-2</v>
      </c>
      <c r="N3" s="13">
        <v>6.2446399999999999E-2</v>
      </c>
      <c r="O3" s="13">
        <v>6.1829500000000003E-2</v>
      </c>
      <c r="P3" s="13">
        <v>6.1005499999999997E-2</v>
      </c>
      <c r="Q3" s="13">
        <v>0</v>
      </c>
      <c r="R3" s="13">
        <v>0</v>
      </c>
      <c r="S3" s="13">
        <v>0</v>
      </c>
      <c r="T3" s="13" t="s">
        <v>107</v>
      </c>
      <c r="V3" s="13">
        <v>29.821999999999999</v>
      </c>
    </row>
    <row r="4" spans="1:22">
      <c r="A4" s="13" t="s">
        <v>365</v>
      </c>
      <c r="B4" s="13" t="s">
        <v>1</v>
      </c>
      <c r="C4" s="13" t="s">
        <v>32</v>
      </c>
      <c r="D4" s="13" t="s">
        <v>33</v>
      </c>
      <c r="E4" s="13" t="s">
        <v>79</v>
      </c>
      <c r="F4" s="13">
        <v>4.78009E-2</v>
      </c>
      <c r="G4" s="13">
        <v>4.4879299999999997E-2</v>
      </c>
      <c r="H4" s="13">
        <v>4.6030500000000002E-2</v>
      </c>
      <c r="I4" s="13">
        <v>6.0695800000000001E-2</v>
      </c>
      <c r="J4" s="13">
        <v>189.81</v>
      </c>
      <c r="K4" s="13">
        <v>189.81100000000001</v>
      </c>
      <c r="L4" s="13">
        <v>189.81100000000001</v>
      </c>
      <c r="M4" s="13">
        <v>189.81</v>
      </c>
      <c r="N4" s="13">
        <v>189.81</v>
      </c>
      <c r="O4" s="13">
        <v>189.81</v>
      </c>
      <c r="P4" s="13">
        <v>189.809</v>
      </c>
      <c r="Q4" s="13">
        <v>0</v>
      </c>
      <c r="R4" s="13">
        <v>0</v>
      </c>
      <c r="S4" s="13">
        <v>0</v>
      </c>
      <c r="T4" s="13" t="s">
        <v>107</v>
      </c>
      <c r="V4" s="13">
        <v>104.69</v>
      </c>
    </row>
    <row r="5" spans="1:22">
      <c r="A5" s="13" t="s">
        <v>365</v>
      </c>
      <c r="B5" s="13" t="s">
        <v>1</v>
      </c>
      <c r="C5" s="13" t="s">
        <v>32</v>
      </c>
      <c r="D5" s="13" t="s">
        <v>33</v>
      </c>
      <c r="E5" s="13" t="s">
        <v>34</v>
      </c>
      <c r="F5" s="13">
        <v>4.9068399999999998E-2</v>
      </c>
      <c r="G5" s="13">
        <v>4.6045599999999999E-2</v>
      </c>
      <c r="H5" s="13">
        <v>4.8171600000000002E-2</v>
      </c>
      <c r="I5" s="13">
        <v>4.8434600000000001E-2</v>
      </c>
      <c r="J5" s="13">
        <v>7.1687699999999993E-2</v>
      </c>
      <c r="K5" s="13">
        <v>7.1512500000000007E-2</v>
      </c>
      <c r="L5" s="13">
        <v>7.0690600000000006E-2</v>
      </c>
      <c r="M5" s="13">
        <v>6.9852899999999996E-2</v>
      </c>
      <c r="N5" s="13">
        <v>7.0812799999999995E-2</v>
      </c>
      <c r="O5" s="13">
        <v>7.0142700000000002E-2</v>
      </c>
      <c r="P5" s="13">
        <v>6.95992E-2</v>
      </c>
      <c r="Q5" s="13">
        <v>0</v>
      </c>
      <c r="R5" s="13">
        <v>0</v>
      </c>
      <c r="S5" s="13">
        <v>0</v>
      </c>
      <c r="T5" s="13" t="s">
        <v>107</v>
      </c>
      <c r="V5" s="13">
        <f>V4/V3</f>
        <v>3.5104956072698008</v>
      </c>
    </row>
    <row r="6" spans="1:22">
      <c r="A6" s="13" t="s">
        <v>365</v>
      </c>
      <c r="B6" s="13" t="s">
        <v>1</v>
      </c>
      <c r="C6" s="13" t="s">
        <v>32</v>
      </c>
      <c r="D6" s="13" t="s">
        <v>33</v>
      </c>
      <c r="E6" s="13" t="s">
        <v>35</v>
      </c>
      <c r="F6" s="13">
        <v>7.2400900000000004E-2</v>
      </c>
      <c r="G6" s="13">
        <v>7.8434799999999999E-2</v>
      </c>
      <c r="H6" s="13">
        <v>8.0760399999999996E-2</v>
      </c>
      <c r="I6" s="13">
        <v>8.2232700000000006E-2</v>
      </c>
      <c r="J6" s="13">
        <v>7.3400900000000005E-2</v>
      </c>
      <c r="K6" s="13">
        <v>7.3359099999999997E-2</v>
      </c>
      <c r="L6" s="13">
        <v>7.2601399999999996E-2</v>
      </c>
      <c r="M6" s="13">
        <v>7.2087300000000007E-2</v>
      </c>
      <c r="N6" s="13">
        <v>7.3279899999999995E-2</v>
      </c>
      <c r="O6" s="13">
        <v>7.4306700000000003E-2</v>
      </c>
      <c r="P6" s="13">
        <v>7.4940400000000004E-2</v>
      </c>
      <c r="Q6" s="13">
        <v>0</v>
      </c>
      <c r="R6" s="13">
        <v>0</v>
      </c>
      <c r="S6" s="13">
        <v>0</v>
      </c>
      <c r="T6" s="13" t="s">
        <v>107</v>
      </c>
    </row>
    <row r="7" spans="1:22">
      <c r="A7" s="13" t="s">
        <v>365</v>
      </c>
      <c r="B7" s="13" t="s">
        <v>1</v>
      </c>
      <c r="C7" s="13" t="s">
        <v>32</v>
      </c>
      <c r="D7" s="13" t="s">
        <v>36</v>
      </c>
      <c r="E7" s="13" t="s">
        <v>36</v>
      </c>
      <c r="F7" s="13">
        <v>0.117372</v>
      </c>
      <c r="G7" s="12">
        <v>0.12808800000000001</v>
      </c>
      <c r="H7" s="12">
        <v>0.13622600000000001</v>
      </c>
      <c r="I7" s="12">
        <v>0.13803799999999999</v>
      </c>
      <c r="J7" s="12">
        <v>0.14437</v>
      </c>
      <c r="K7" s="12">
        <v>0.14588000000000001</v>
      </c>
      <c r="L7" s="12">
        <v>0.14292099999999999</v>
      </c>
      <c r="M7" s="12">
        <v>0.14089099999999999</v>
      </c>
      <c r="N7" s="12">
        <v>0.14263899999999999</v>
      </c>
      <c r="O7" s="12">
        <v>0.14091600000000001</v>
      </c>
      <c r="P7" s="12">
        <v>0.13905200000000001</v>
      </c>
      <c r="Q7" s="12">
        <v>0</v>
      </c>
      <c r="R7" s="13">
        <v>0</v>
      </c>
      <c r="S7" s="13">
        <v>0</v>
      </c>
      <c r="T7" s="13" t="s">
        <v>107</v>
      </c>
    </row>
    <row r="8" spans="1:22">
      <c r="A8" s="13" t="s">
        <v>365</v>
      </c>
      <c r="B8" s="13" t="s">
        <v>1</v>
      </c>
      <c r="C8" s="13" t="s">
        <v>32</v>
      </c>
      <c r="D8" s="13" t="s">
        <v>36</v>
      </c>
      <c r="E8" s="13" t="s">
        <v>80</v>
      </c>
      <c r="F8" s="13">
        <v>0.122172</v>
      </c>
      <c r="G8" s="12">
        <v>0.13288800000000001</v>
      </c>
      <c r="H8" s="12">
        <v>0.14102600000000001</v>
      </c>
      <c r="I8" s="12">
        <v>0.142738</v>
      </c>
      <c r="J8" s="12">
        <v>63.900799999999997</v>
      </c>
      <c r="K8" s="12">
        <v>63.902200000000001</v>
      </c>
      <c r="L8" s="12">
        <v>63.8992</v>
      </c>
      <c r="M8" s="12">
        <v>63.896999999999998</v>
      </c>
      <c r="N8" s="12">
        <v>63.898699999999998</v>
      </c>
      <c r="O8" s="12">
        <v>63.896799999999999</v>
      </c>
      <c r="P8" s="12">
        <v>63.8949</v>
      </c>
      <c r="Q8" s="12">
        <v>0</v>
      </c>
      <c r="R8" s="13">
        <v>0</v>
      </c>
      <c r="S8" s="13">
        <v>0</v>
      </c>
      <c r="T8" s="13" t="s">
        <v>107</v>
      </c>
    </row>
    <row r="9" spans="1:22">
      <c r="A9" s="13" t="s">
        <v>365</v>
      </c>
      <c r="B9" s="13" t="s">
        <v>1</v>
      </c>
      <c r="C9" s="13" t="s">
        <v>32</v>
      </c>
      <c r="D9" s="13" t="s">
        <v>36</v>
      </c>
      <c r="E9" s="13" t="s">
        <v>37</v>
      </c>
      <c r="F9" s="13">
        <v>0.107576</v>
      </c>
      <c r="G9" s="12">
        <v>0.11736000000000001</v>
      </c>
      <c r="H9" s="12">
        <v>0.12012</v>
      </c>
      <c r="I9" s="12">
        <v>0.118518</v>
      </c>
      <c r="J9" s="12">
        <v>0.21869</v>
      </c>
      <c r="K9" s="12">
        <v>0.21717</v>
      </c>
      <c r="L9" s="12">
        <v>0.210395</v>
      </c>
      <c r="M9" s="12">
        <v>0.20502999999999999</v>
      </c>
      <c r="N9" s="12">
        <v>0.20863899999999999</v>
      </c>
      <c r="O9" s="12">
        <v>0.20424200000000001</v>
      </c>
      <c r="P9" s="12">
        <v>0.20064399999999999</v>
      </c>
      <c r="Q9" s="12">
        <v>0</v>
      </c>
      <c r="R9" s="13">
        <v>0</v>
      </c>
      <c r="S9" s="13">
        <v>0</v>
      </c>
      <c r="T9" s="13" t="s">
        <v>107</v>
      </c>
    </row>
    <row r="10" spans="1:22">
      <c r="A10" s="13" t="s">
        <v>365</v>
      </c>
      <c r="B10" s="13" t="s">
        <v>1</v>
      </c>
      <c r="C10" s="13" t="s">
        <v>32</v>
      </c>
      <c r="D10" s="13" t="s">
        <v>38</v>
      </c>
      <c r="E10" s="13" t="s">
        <v>38</v>
      </c>
      <c r="F10" s="13">
        <v>4.2500000000000003E-2</v>
      </c>
      <c r="G10" s="13">
        <v>5.3156500000000002E-2</v>
      </c>
      <c r="H10" s="13">
        <v>5.62058E-2</v>
      </c>
      <c r="I10" s="13">
        <v>5.80489E-2</v>
      </c>
      <c r="J10" s="13">
        <v>6.6612599999999994E-2</v>
      </c>
      <c r="K10" s="13">
        <v>6.9657399999999994E-2</v>
      </c>
      <c r="L10" s="13">
        <v>6.7971799999999999E-2</v>
      </c>
      <c r="M10" s="13">
        <v>6.7144300000000004E-2</v>
      </c>
      <c r="N10" s="13">
        <v>6.8864300000000003E-2</v>
      </c>
      <c r="O10" s="13">
        <v>6.82754E-2</v>
      </c>
      <c r="P10" s="13">
        <v>6.7371799999999996E-2</v>
      </c>
      <c r="Q10" s="13">
        <v>0</v>
      </c>
      <c r="R10" s="13">
        <v>0</v>
      </c>
      <c r="S10" s="13">
        <v>0</v>
      </c>
      <c r="T10" s="13" t="s">
        <v>107</v>
      </c>
    </row>
    <row r="11" spans="1:22">
      <c r="A11" s="13" t="s">
        <v>365</v>
      </c>
      <c r="B11" s="13" t="s">
        <v>1</v>
      </c>
      <c r="C11" s="13" t="s">
        <v>32</v>
      </c>
      <c r="D11" s="13" t="s">
        <v>38</v>
      </c>
      <c r="E11" s="13" t="s">
        <v>81</v>
      </c>
      <c r="F11" s="13">
        <v>4.2500000000000003E-2</v>
      </c>
      <c r="G11" s="13">
        <v>5.3156500000000002E-2</v>
      </c>
      <c r="H11" s="13">
        <v>5.62058E-2</v>
      </c>
      <c r="I11" s="13">
        <v>5.80489E-2</v>
      </c>
      <c r="J11" s="13">
        <v>0.63122</v>
      </c>
      <c r="K11" s="13">
        <v>0.63426499999999997</v>
      </c>
      <c r="L11" s="13">
        <v>0.632579</v>
      </c>
      <c r="M11" s="13">
        <v>0.63175199999999998</v>
      </c>
      <c r="N11" s="13">
        <v>0.63347200000000004</v>
      </c>
      <c r="O11" s="13">
        <v>0.63288299999999997</v>
      </c>
      <c r="P11" s="13">
        <v>0.63197899999999996</v>
      </c>
      <c r="Q11" s="13">
        <v>0</v>
      </c>
      <c r="R11" s="13">
        <v>0</v>
      </c>
      <c r="S11" s="13">
        <v>0</v>
      </c>
      <c r="T11" s="13" t="s">
        <v>107</v>
      </c>
    </row>
    <row r="14" spans="1:22">
      <c r="E14" s="13" t="s">
        <v>42</v>
      </c>
      <c r="F14" s="13">
        <v>1990</v>
      </c>
      <c r="G14" s="13">
        <v>2005</v>
      </c>
      <c r="H14" s="13">
        <v>2010</v>
      </c>
      <c r="I14" s="13">
        <v>2015</v>
      </c>
      <c r="J14" s="13">
        <v>2020</v>
      </c>
      <c r="K14" s="13">
        <v>2025</v>
      </c>
      <c r="L14" s="13">
        <v>2030</v>
      </c>
      <c r="M14" s="13">
        <v>2035</v>
      </c>
      <c r="N14" s="13">
        <v>2040</v>
      </c>
      <c r="O14" s="13">
        <v>2045</v>
      </c>
      <c r="P14" s="13">
        <v>2050</v>
      </c>
    </row>
    <row r="15" spans="1:22">
      <c r="E15" s="13" t="s">
        <v>346</v>
      </c>
      <c r="G15" s="13">
        <f>G3*$V$5*1000</f>
        <v>153.68704033934679</v>
      </c>
      <c r="H15" s="13">
        <f t="shared" ref="H15:P15" si="0">H3*$V$5*1000</f>
        <v>157.72832288243578</v>
      </c>
      <c r="I15" s="13">
        <f t="shared" si="0"/>
        <v>209.21079411172957</v>
      </c>
      <c r="J15" s="13">
        <f t="shared" si="0"/>
        <v>219.75526976728591</v>
      </c>
      <c r="K15" s="13">
        <f t="shared" si="0"/>
        <v>223.03126426799005</v>
      </c>
      <c r="L15" s="13">
        <f t="shared" si="0"/>
        <v>220.80174850781302</v>
      </c>
      <c r="M15" s="13">
        <f t="shared" si="0"/>
        <v>218.40618630541212</v>
      </c>
      <c r="N15" s="13">
        <f t="shared" si="0"/>
        <v>219.21781288981288</v>
      </c>
      <c r="O15" s="13">
        <f t="shared" si="0"/>
        <v>217.05218814968816</v>
      </c>
      <c r="P15" s="13">
        <f t="shared" si="0"/>
        <v>214.15953976929782</v>
      </c>
    </row>
    <row r="16" spans="1:22">
      <c r="E16" s="13" t="s">
        <v>347</v>
      </c>
      <c r="G16" s="13">
        <f t="shared" ref="G16:P23" si="1">G4*$V$5*1000</f>
        <v>157.54858550734355</v>
      </c>
      <c r="H16" s="13">
        <f t="shared" si="1"/>
        <v>161.58986805043259</v>
      </c>
      <c r="K16" s="13">
        <f t="shared" si="1"/>
        <v>666330.68171148817</v>
      </c>
      <c r="L16" s="13">
        <f t="shared" si="1"/>
        <v>666330.68171148817</v>
      </c>
      <c r="M16" s="13">
        <f t="shared" si="1"/>
        <v>666327.1712158809</v>
      </c>
      <c r="N16" s="13">
        <f t="shared" si="1"/>
        <v>666327.1712158809</v>
      </c>
      <c r="O16" s="13">
        <f t="shared" si="1"/>
        <v>666327.1712158809</v>
      </c>
      <c r="P16" s="13">
        <f t="shared" si="1"/>
        <v>666323.66072027362</v>
      </c>
    </row>
    <row r="17" spans="5:16">
      <c r="E17" s="13" t="s">
        <v>355</v>
      </c>
      <c r="G17" s="13">
        <f t="shared" si="1"/>
        <v>161.64287653410233</v>
      </c>
      <c r="H17" s="13">
        <f t="shared" si="1"/>
        <v>169.10619019515792</v>
      </c>
      <c r="I17" s="13">
        <f t="shared" si="1"/>
        <v>170.02945053986988</v>
      </c>
      <c r="J17" s="13">
        <f t="shared" si="1"/>
        <v>251.65935594527528</v>
      </c>
      <c r="K17" s="13">
        <f t="shared" si="1"/>
        <v>251.04431711488166</v>
      </c>
      <c r="L17" s="13">
        <f t="shared" si="1"/>
        <v>248.15904077526659</v>
      </c>
      <c r="M17" s="13">
        <f t="shared" si="1"/>
        <v>245.21829860505665</v>
      </c>
      <c r="N17" s="13">
        <f t="shared" si="1"/>
        <v>248.58802333847493</v>
      </c>
      <c r="O17" s="13">
        <f t="shared" si="1"/>
        <v>246.23564023204347</v>
      </c>
      <c r="P17" s="13">
        <f t="shared" si="1"/>
        <v>244.32768586949234</v>
      </c>
    </row>
    <row r="18" spans="5:16">
      <c r="E18" s="13" t="s">
        <v>35</v>
      </c>
      <c r="G18" s="13">
        <f t="shared" si="1"/>
        <v>275.34502085708533</v>
      </c>
      <c r="H18" s="13">
        <f t="shared" si="1"/>
        <v>283.50902944135203</v>
      </c>
      <c r="I18" s="13">
        <f t="shared" si="1"/>
        <v>288.67753212393535</v>
      </c>
      <c r="J18" s="13">
        <f t="shared" si="1"/>
        <v>257.67353701964998</v>
      </c>
      <c r="K18" s="13">
        <f t="shared" si="1"/>
        <v>257.52679830326605</v>
      </c>
      <c r="L18" s="13">
        <f t="shared" si="1"/>
        <v>254.86689578163768</v>
      </c>
      <c r="M18" s="13">
        <f t="shared" si="1"/>
        <v>253.06214998994031</v>
      </c>
      <c r="N18" s="13">
        <f t="shared" si="1"/>
        <v>257.24876705117026</v>
      </c>
      <c r="O18" s="13">
        <f t="shared" si="1"/>
        <v>260.85334394071492</v>
      </c>
      <c r="P18" s="13">
        <f t="shared" si="1"/>
        <v>263.07794500704182</v>
      </c>
    </row>
    <row r="19" spans="5:16">
      <c r="E19" s="13" t="s">
        <v>349</v>
      </c>
      <c r="G19" s="13">
        <f t="shared" si="1"/>
        <v>449.65236134397429</v>
      </c>
      <c r="H19" s="13">
        <f t="shared" si="1"/>
        <v>478.22077459593595</v>
      </c>
      <c r="I19" s="13">
        <f t="shared" si="1"/>
        <v>484.58179263630876</v>
      </c>
      <c r="J19" s="13">
        <f t="shared" si="1"/>
        <v>506.81025082154116</v>
      </c>
      <c r="K19" s="13">
        <f t="shared" si="1"/>
        <v>512.11109918851855</v>
      </c>
      <c r="L19" s="13">
        <f t="shared" si="1"/>
        <v>501.72354268660712</v>
      </c>
      <c r="M19" s="13">
        <f t="shared" si="1"/>
        <v>494.59723660384947</v>
      </c>
      <c r="N19" s="13">
        <f t="shared" si="1"/>
        <v>500.7335829253571</v>
      </c>
      <c r="O19" s="13">
        <f t="shared" si="1"/>
        <v>494.68499899403128</v>
      </c>
      <c r="P19" s="13">
        <f t="shared" si="1"/>
        <v>488.14143518208039</v>
      </c>
    </row>
    <row r="20" spans="5:16">
      <c r="E20" s="13" t="s">
        <v>350</v>
      </c>
      <c r="G20" s="13">
        <f t="shared" si="1"/>
        <v>466.50274025886927</v>
      </c>
      <c r="H20" s="13">
        <f t="shared" si="1"/>
        <v>495.07115351083098</v>
      </c>
      <c r="K20" s="13">
        <f t="shared" si="1"/>
        <v>224328.39239487625</v>
      </c>
      <c r="L20" s="13">
        <f t="shared" si="1"/>
        <v>224317.86090805446</v>
      </c>
      <c r="M20" s="13">
        <f t="shared" si="1"/>
        <v>224310.13781771847</v>
      </c>
      <c r="N20" s="13">
        <f t="shared" si="1"/>
        <v>224316.10566025082</v>
      </c>
      <c r="O20" s="13">
        <f t="shared" si="1"/>
        <v>224309.435718597</v>
      </c>
      <c r="P20" s="13">
        <f t="shared" si="1"/>
        <v>224302.76577694321</v>
      </c>
    </row>
    <row r="21" spans="5:16">
      <c r="E21" s="13" t="s">
        <v>358</v>
      </c>
      <c r="G21" s="13">
        <f t="shared" si="1"/>
        <v>411.99176446918386</v>
      </c>
      <c r="H21" s="13">
        <f t="shared" si="1"/>
        <v>421.68073234524849</v>
      </c>
      <c r="K21" s="13">
        <f t="shared" si="1"/>
        <v>762.37433103078263</v>
      </c>
      <c r="L21" s="13">
        <f t="shared" si="1"/>
        <v>738.5907232915298</v>
      </c>
      <c r="M21" s="13">
        <f t="shared" si="1"/>
        <v>719.75691435852718</v>
      </c>
      <c r="N21" s="13">
        <f t="shared" si="1"/>
        <v>732.42629300516398</v>
      </c>
      <c r="O21" s="13">
        <f t="shared" si="1"/>
        <v>716.9906438199987</v>
      </c>
      <c r="P21" s="13">
        <f t="shared" si="1"/>
        <v>704.3598806250418</v>
      </c>
    </row>
    <row r="22" spans="5:16">
      <c r="E22" s="13" t="s">
        <v>351</v>
      </c>
      <c r="G22" s="13">
        <f t="shared" si="1"/>
        <v>186.60565974783719</v>
      </c>
      <c r="H22" s="13">
        <f t="shared" si="1"/>
        <v>197.31021400308495</v>
      </c>
      <c r="I22" s="13">
        <f t="shared" si="1"/>
        <v>203.78040845684396</v>
      </c>
      <c r="J22" s="13">
        <f t="shared" si="1"/>
        <v>233.84323968882032</v>
      </c>
      <c r="K22" s="13">
        <f t="shared" si="1"/>
        <v>244.53199671383541</v>
      </c>
      <c r="L22" s="13">
        <f t="shared" si="1"/>
        <v>238.61470531822144</v>
      </c>
      <c r="M22" s="13">
        <f t="shared" si="1"/>
        <v>235.70977020320569</v>
      </c>
      <c r="N22" s="13">
        <f t="shared" si="1"/>
        <v>241.74782264770974</v>
      </c>
      <c r="O22" s="13">
        <f t="shared" si="1"/>
        <v>239.68049178458855</v>
      </c>
      <c r="P22" s="13">
        <f t="shared" si="1"/>
        <v>236.50840795385955</v>
      </c>
    </row>
    <row r="23" spans="5:16">
      <c r="E23" s="13" t="s">
        <v>81</v>
      </c>
      <c r="G23" s="13">
        <f t="shared" si="1"/>
        <v>186.60565974783719</v>
      </c>
      <c r="H23" s="13">
        <f t="shared" si="1"/>
        <v>197.31021400308495</v>
      </c>
      <c r="I23" s="13">
        <f t="shared" si="1"/>
        <v>203.78040845684396</v>
      </c>
      <c r="J23" s="13">
        <f t="shared" si="1"/>
        <v>2215.8950372208433</v>
      </c>
      <c r="K23" s="13">
        <f t="shared" si="1"/>
        <v>2226.5844963449799</v>
      </c>
      <c r="L23" s="13">
        <f t="shared" si="1"/>
        <v>2220.6658007511237</v>
      </c>
      <c r="M23" s="13">
        <f t="shared" si="1"/>
        <v>2217.762620883911</v>
      </c>
      <c r="N23" s="13">
        <f t="shared" si="1"/>
        <v>2223.8006733284155</v>
      </c>
      <c r="O23" s="13">
        <f t="shared" si="1"/>
        <v>2221.7329914157335</v>
      </c>
      <c r="P23" s="13">
        <f t="shared" si="1"/>
        <v>2218.5595033867612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A239C-5ED7-450F-A013-67687C963572}">
  <dimension ref="A1:V23"/>
  <sheetViews>
    <sheetView topLeftCell="A9" zoomScale="70" zoomScaleNormal="70" workbookViewId="0">
      <selection activeCell="J17" sqref="J17"/>
    </sheetView>
  </sheetViews>
  <sheetFormatPr defaultColWidth="8.69921875" defaultRowHeight="17.399999999999999"/>
  <cols>
    <col min="1" max="1" width="38.69921875" style="13" bestFit="1" customWidth="1"/>
    <col min="2" max="2" width="11.69921875" style="13" bestFit="1" customWidth="1"/>
    <col min="3" max="3" width="13" style="13" bestFit="1" customWidth="1"/>
    <col min="4" max="4" width="13.59765625" style="13" bestFit="1" customWidth="1"/>
    <col min="5" max="5" width="23.296875" style="13" bestFit="1" customWidth="1"/>
    <col min="6" max="6" width="22.796875" style="13" customWidth="1"/>
    <col min="7" max="16384" width="8.69921875" style="13"/>
  </cols>
  <sheetData>
    <row r="1" spans="1:22">
      <c r="A1" s="1" t="s">
        <v>82</v>
      </c>
    </row>
    <row r="2" spans="1:22">
      <c r="A2" s="13" t="s">
        <v>8</v>
      </c>
      <c r="B2" s="13" t="s">
        <v>9</v>
      </c>
      <c r="C2" s="13" t="s">
        <v>39</v>
      </c>
      <c r="D2" s="13" t="s">
        <v>40</v>
      </c>
      <c r="E2" s="13" t="s">
        <v>42</v>
      </c>
      <c r="F2" s="13">
        <v>1990</v>
      </c>
      <c r="G2" s="13">
        <v>2005</v>
      </c>
      <c r="H2" s="13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22">
      <c r="A3" s="13" t="s">
        <v>364</v>
      </c>
      <c r="B3" s="13" t="s">
        <v>1</v>
      </c>
      <c r="C3" s="13" t="s">
        <v>32</v>
      </c>
      <c r="D3" s="13" t="s">
        <v>33</v>
      </c>
      <c r="E3" s="13" t="s">
        <v>33</v>
      </c>
      <c r="F3" s="13">
        <v>4.6700899999999997E-2</v>
      </c>
      <c r="G3" s="13">
        <v>4.37793E-2</v>
      </c>
      <c r="H3" s="13">
        <v>4.4930499999999998E-2</v>
      </c>
      <c r="I3" s="13">
        <v>5.9595799999999997E-2</v>
      </c>
      <c r="J3" s="13">
        <v>6.2271399999999998E-2</v>
      </c>
      <c r="K3" s="13">
        <v>9.7998399999999999E-2</v>
      </c>
      <c r="L3" s="13">
        <v>0.13564799999999999</v>
      </c>
      <c r="M3" s="13">
        <v>0.179539</v>
      </c>
      <c r="N3" s="13">
        <v>0.23342199999999999</v>
      </c>
      <c r="O3" s="13">
        <v>0.30376799999999998</v>
      </c>
      <c r="P3" s="13">
        <v>0.372672</v>
      </c>
      <c r="Q3" s="13">
        <v>0</v>
      </c>
      <c r="R3" s="13">
        <v>0</v>
      </c>
      <c r="S3" s="13">
        <v>0</v>
      </c>
      <c r="T3" s="13" t="s">
        <v>107</v>
      </c>
      <c r="V3" s="13">
        <v>29.821999999999999</v>
      </c>
    </row>
    <row r="4" spans="1:22">
      <c r="A4" s="13" t="s">
        <v>364</v>
      </c>
      <c r="B4" s="13" t="s">
        <v>1</v>
      </c>
      <c r="C4" s="13" t="s">
        <v>32</v>
      </c>
      <c r="D4" s="13" t="s">
        <v>33</v>
      </c>
      <c r="E4" s="13" t="s">
        <v>79</v>
      </c>
      <c r="F4" s="13">
        <v>4.78009E-2</v>
      </c>
      <c r="G4" s="13">
        <v>4.4879299999999997E-2</v>
      </c>
      <c r="H4" s="13">
        <v>4.6030500000000002E-2</v>
      </c>
      <c r="I4" s="13">
        <v>6.0695800000000001E-2</v>
      </c>
      <c r="J4" s="13">
        <v>189.81</v>
      </c>
      <c r="K4" s="13">
        <v>0.146504</v>
      </c>
      <c r="L4" s="13">
        <v>0.152917</v>
      </c>
      <c r="M4" s="13">
        <v>0.15908</v>
      </c>
      <c r="N4" s="13">
        <v>0.16484099999999999</v>
      </c>
      <c r="O4" s="13">
        <v>0.171958</v>
      </c>
      <c r="P4" s="13">
        <v>0.17902899999999999</v>
      </c>
      <c r="Q4" s="13">
        <v>0</v>
      </c>
      <c r="R4" s="13">
        <v>0</v>
      </c>
      <c r="S4" s="13">
        <v>0</v>
      </c>
      <c r="T4" s="13" t="s">
        <v>107</v>
      </c>
      <c r="V4" s="13">
        <v>104.69</v>
      </c>
    </row>
    <row r="5" spans="1:22">
      <c r="A5" s="13" t="s">
        <v>364</v>
      </c>
      <c r="B5" s="13" t="s">
        <v>1</v>
      </c>
      <c r="C5" s="13" t="s">
        <v>32</v>
      </c>
      <c r="D5" s="13" t="s">
        <v>33</v>
      </c>
      <c r="E5" s="13" t="s">
        <v>34</v>
      </c>
      <c r="F5" s="13">
        <v>4.9068399999999998E-2</v>
      </c>
      <c r="G5" s="13">
        <v>4.6045599999999999E-2</v>
      </c>
      <c r="H5" s="13">
        <v>4.8171600000000002E-2</v>
      </c>
      <c r="I5" s="13">
        <v>4.8434600000000001E-2</v>
      </c>
      <c r="J5" s="13">
        <v>7.1451799999999996E-2</v>
      </c>
      <c r="K5" s="13">
        <v>0.104518</v>
      </c>
      <c r="L5" s="13">
        <v>0.137375</v>
      </c>
      <c r="M5" s="13">
        <v>0.174148</v>
      </c>
      <c r="N5" s="13">
        <v>0.21643100000000001</v>
      </c>
      <c r="O5" s="13">
        <v>0.27195399999999997</v>
      </c>
      <c r="P5" s="13">
        <v>0.32637899999999997</v>
      </c>
      <c r="Q5" s="13">
        <v>0</v>
      </c>
      <c r="R5" s="13">
        <v>0</v>
      </c>
      <c r="S5" s="13">
        <v>0</v>
      </c>
      <c r="T5" s="13" t="s">
        <v>107</v>
      </c>
      <c r="V5" s="13">
        <f>V4/V3</f>
        <v>3.5104956072698008</v>
      </c>
    </row>
    <row r="6" spans="1:22">
      <c r="A6" s="13" t="s">
        <v>364</v>
      </c>
      <c r="B6" s="13" t="s">
        <v>1</v>
      </c>
      <c r="C6" s="13" t="s">
        <v>32</v>
      </c>
      <c r="D6" s="13" t="s">
        <v>33</v>
      </c>
      <c r="E6" s="13" t="s">
        <v>35</v>
      </c>
      <c r="F6" s="13">
        <v>7.2400900000000004E-2</v>
      </c>
      <c r="G6" s="13">
        <v>7.8434799999999999E-2</v>
      </c>
      <c r="H6" s="13">
        <v>8.0760399999999996E-2</v>
      </c>
      <c r="I6" s="13">
        <v>8.2232700000000006E-2</v>
      </c>
      <c r="J6" s="13">
        <v>7.4036699999999997E-2</v>
      </c>
      <c r="K6" s="13">
        <v>7.9450999999999994E-2</v>
      </c>
      <c r="L6" s="13">
        <v>8.7658799999999995E-2</v>
      </c>
      <c r="M6" s="13">
        <v>9.7594100000000003E-2</v>
      </c>
      <c r="N6" s="13">
        <v>0.13664599999999999</v>
      </c>
      <c r="O6" s="13">
        <v>0.19585900000000001</v>
      </c>
      <c r="P6" s="13">
        <v>0.25689499999999998</v>
      </c>
      <c r="Q6" s="13">
        <v>0</v>
      </c>
      <c r="R6" s="13">
        <v>0</v>
      </c>
      <c r="S6" s="13">
        <v>0</v>
      </c>
      <c r="T6" s="13" t="s">
        <v>107</v>
      </c>
    </row>
    <row r="7" spans="1:22">
      <c r="A7" s="13" t="s">
        <v>364</v>
      </c>
      <c r="B7" s="13" t="s">
        <v>1</v>
      </c>
      <c r="C7" s="13" t="s">
        <v>32</v>
      </c>
      <c r="D7" s="13" t="s">
        <v>36</v>
      </c>
      <c r="E7" s="13" t="s">
        <v>36</v>
      </c>
      <c r="F7" s="13">
        <v>0.117372</v>
      </c>
      <c r="G7" s="12">
        <v>0.12808800000000001</v>
      </c>
      <c r="H7" s="12">
        <v>0.13622600000000001</v>
      </c>
      <c r="I7" s="12">
        <v>0.13803799999999999</v>
      </c>
      <c r="J7" s="12">
        <v>0.14414099999999999</v>
      </c>
      <c r="K7" s="12">
        <v>0.16470699999999999</v>
      </c>
      <c r="L7" s="12">
        <v>0.183337</v>
      </c>
      <c r="M7" s="12">
        <v>0.20253599999999999</v>
      </c>
      <c r="N7" s="12">
        <v>0.22281200000000001</v>
      </c>
      <c r="O7" s="12">
        <v>0.24405299999999999</v>
      </c>
      <c r="P7" s="12">
        <v>0.26367000000000002</v>
      </c>
      <c r="Q7" s="12">
        <v>0</v>
      </c>
      <c r="R7" s="13">
        <v>0</v>
      </c>
      <c r="S7" s="13">
        <v>0</v>
      </c>
      <c r="T7" s="13" t="s">
        <v>107</v>
      </c>
    </row>
    <row r="8" spans="1:22">
      <c r="A8" s="13" t="s">
        <v>364</v>
      </c>
      <c r="B8" s="13" t="s">
        <v>1</v>
      </c>
      <c r="C8" s="13" t="s">
        <v>32</v>
      </c>
      <c r="D8" s="13" t="s">
        <v>36</v>
      </c>
      <c r="E8" s="13" t="s">
        <v>80</v>
      </c>
      <c r="F8" s="13">
        <v>0.122172</v>
      </c>
      <c r="G8" s="12">
        <v>0.13288800000000001</v>
      </c>
      <c r="H8" s="12">
        <v>0.14102600000000001</v>
      </c>
      <c r="I8" s="12">
        <v>0.142738</v>
      </c>
      <c r="J8" s="12">
        <v>63.900599999999997</v>
      </c>
      <c r="K8" s="12">
        <v>0.185168</v>
      </c>
      <c r="L8" s="12">
        <v>0.193303</v>
      </c>
      <c r="M8" s="12">
        <v>0.199626</v>
      </c>
      <c r="N8" s="12">
        <v>0.203734</v>
      </c>
      <c r="O8" s="12">
        <v>0.203565</v>
      </c>
      <c r="P8" s="12">
        <v>0.202373</v>
      </c>
      <c r="Q8" s="12">
        <v>0</v>
      </c>
      <c r="R8" s="13">
        <v>0</v>
      </c>
      <c r="S8" s="13">
        <v>0</v>
      </c>
      <c r="T8" s="13" t="s">
        <v>107</v>
      </c>
    </row>
    <row r="9" spans="1:22">
      <c r="A9" s="13" t="s">
        <v>364</v>
      </c>
      <c r="B9" s="13" t="s">
        <v>1</v>
      </c>
      <c r="C9" s="13" t="s">
        <v>32</v>
      </c>
      <c r="D9" s="13" t="s">
        <v>36</v>
      </c>
      <c r="E9" s="13" t="s">
        <v>37</v>
      </c>
      <c r="F9" s="13">
        <v>0.107576</v>
      </c>
      <c r="G9" s="12">
        <v>0.11736000000000001</v>
      </c>
      <c r="H9" s="12">
        <v>0.12012</v>
      </c>
      <c r="I9" s="12">
        <v>0.118518</v>
      </c>
      <c r="J9" s="12">
        <v>0.21848500000000001</v>
      </c>
      <c r="K9" s="12">
        <v>0.25495400000000001</v>
      </c>
      <c r="L9" s="12">
        <v>0.28056199999999998</v>
      </c>
      <c r="M9" s="12">
        <v>0.29736899999999999</v>
      </c>
      <c r="N9" s="12">
        <v>0.29612699999999997</v>
      </c>
      <c r="O9" s="12">
        <v>0.28836299999999998</v>
      </c>
      <c r="P9" s="12">
        <v>0.27751500000000001</v>
      </c>
      <c r="Q9" s="12">
        <v>0</v>
      </c>
      <c r="R9" s="13">
        <v>0</v>
      </c>
      <c r="S9" s="13">
        <v>0</v>
      </c>
      <c r="T9" s="13" t="s">
        <v>107</v>
      </c>
    </row>
    <row r="10" spans="1:22">
      <c r="A10" s="13" t="s">
        <v>364</v>
      </c>
      <c r="B10" s="13" t="s">
        <v>1</v>
      </c>
      <c r="C10" s="13" t="s">
        <v>32</v>
      </c>
      <c r="D10" s="13" t="s">
        <v>38</v>
      </c>
      <c r="E10" s="13" t="s">
        <v>38</v>
      </c>
      <c r="F10" s="13">
        <v>4.2500000000000003E-2</v>
      </c>
      <c r="G10" s="13">
        <v>5.3156500000000002E-2</v>
      </c>
      <c r="H10" s="13">
        <v>5.62058E-2</v>
      </c>
      <c r="I10" s="13">
        <v>5.80489E-2</v>
      </c>
      <c r="J10" s="13">
        <v>6.6416500000000003E-2</v>
      </c>
      <c r="K10" s="13">
        <v>7.8444600000000003E-2</v>
      </c>
      <c r="L10" s="13">
        <v>8.8567699999999999E-2</v>
      </c>
      <c r="M10" s="13">
        <v>9.6233600000000002E-2</v>
      </c>
      <c r="N10" s="13">
        <v>9.9450300000000005E-2</v>
      </c>
      <c r="O10" s="13">
        <v>9.8610000000000003E-2</v>
      </c>
      <c r="P10" s="13">
        <v>9.5712599999999995E-2</v>
      </c>
      <c r="Q10" s="13">
        <v>0</v>
      </c>
      <c r="R10" s="13">
        <v>0</v>
      </c>
      <c r="S10" s="13">
        <v>0</v>
      </c>
      <c r="T10" s="13" t="s">
        <v>107</v>
      </c>
    </row>
    <row r="11" spans="1:22">
      <c r="A11" s="13" t="s">
        <v>364</v>
      </c>
      <c r="B11" s="13" t="s">
        <v>1</v>
      </c>
      <c r="C11" s="13" t="s">
        <v>32</v>
      </c>
      <c r="D11" s="13" t="s">
        <v>38</v>
      </c>
      <c r="E11" s="13" t="s">
        <v>81</v>
      </c>
      <c r="F11" s="13">
        <v>4.2500000000000003E-2</v>
      </c>
      <c r="G11" s="13">
        <v>5.3156500000000002E-2</v>
      </c>
      <c r="H11" s="13">
        <v>5.62058E-2</v>
      </c>
      <c r="I11" s="13">
        <v>5.80489E-2</v>
      </c>
      <c r="J11" s="13">
        <v>0.63102400000000003</v>
      </c>
      <c r="K11" s="13">
        <v>7.85859E-2</v>
      </c>
      <c r="L11" s="13">
        <v>8.8616100000000003E-2</v>
      </c>
      <c r="M11" s="13">
        <v>9.61698E-2</v>
      </c>
      <c r="N11" s="13">
        <v>9.9243300000000007E-2</v>
      </c>
      <c r="O11" s="13">
        <v>9.8215200000000003E-2</v>
      </c>
      <c r="P11" s="13">
        <v>9.5133400000000007E-2</v>
      </c>
      <c r="Q11" s="13">
        <v>0</v>
      </c>
      <c r="R11" s="13">
        <v>0</v>
      </c>
      <c r="S11" s="13">
        <v>0</v>
      </c>
      <c r="T11" s="13" t="s">
        <v>107</v>
      </c>
    </row>
    <row r="14" spans="1:22">
      <c r="E14" s="13" t="s">
        <v>42</v>
      </c>
      <c r="F14" s="13">
        <v>1990</v>
      </c>
      <c r="G14" s="13">
        <v>2005</v>
      </c>
      <c r="H14" s="13">
        <v>2010</v>
      </c>
      <c r="I14" s="13">
        <v>2015</v>
      </c>
      <c r="J14" s="13">
        <v>2020</v>
      </c>
      <c r="K14" s="13">
        <v>2025</v>
      </c>
      <c r="L14" s="13">
        <v>2030</v>
      </c>
      <c r="M14" s="13">
        <v>2035</v>
      </c>
      <c r="N14" s="13">
        <v>2040</v>
      </c>
      <c r="O14" s="13">
        <v>2045</v>
      </c>
      <c r="P14" s="13">
        <v>2050</v>
      </c>
    </row>
    <row r="15" spans="1:22">
      <c r="E15" s="13" t="s">
        <v>346</v>
      </c>
      <c r="G15" s="13">
        <f>G3*$V$5*1000</f>
        <v>153.68704033934679</v>
      </c>
      <c r="H15" s="13">
        <f t="shared" ref="H15:P15" si="0">H3*$V$5*1000</f>
        <v>157.72832288243578</v>
      </c>
      <c r="I15" s="13">
        <f t="shared" si="0"/>
        <v>209.21079411172957</v>
      </c>
      <c r="J15" s="13">
        <f t="shared" si="0"/>
        <v>218.60347615854067</v>
      </c>
      <c r="K15" s="13">
        <f t="shared" si="0"/>
        <v>344.02295271946889</v>
      </c>
      <c r="L15" s="13">
        <f t="shared" si="0"/>
        <v>476.19170813493389</v>
      </c>
      <c r="M15" s="13">
        <f t="shared" si="0"/>
        <v>630.27087083361278</v>
      </c>
      <c r="N15" s="13">
        <f t="shared" si="0"/>
        <v>819.42690564013139</v>
      </c>
      <c r="O15" s="13">
        <f t="shared" si="0"/>
        <v>1066.3762296291329</v>
      </c>
      <c r="P15" s="13">
        <f t="shared" si="0"/>
        <v>1308.263418952451</v>
      </c>
    </row>
    <row r="16" spans="1:22">
      <c r="E16" s="13" t="s">
        <v>347</v>
      </c>
      <c r="G16" s="13">
        <f t="shared" ref="G16:P23" si="1">G4*$V$5*1000</f>
        <v>157.54858550734355</v>
      </c>
      <c r="H16" s="13">
        <f t="shared" si="1"/>
        <v>161.58986805043259</v>
      </c>
      <c r="I16" s="13">
        <f t="shared" si="1"/>
        <v>213.07233927972638</v>
      </c>
      <c r="J16" s="13">
        <f>AVERAGE(I16,K16)</f>
        <v>363.6869938635906</v>
      </c>
      <c r="K16" s="13">
        <f t="shared" si="1"/>
        <v>514.3016484474548</v>
      </c>
      <c r="L16" s="13">
        <f t="shared" si="1"/>
        <v>536.81445677687611</v>
      </c>
      <c r="M16" s="13">
        <f t="shared" si="1"/>
        <v>558.44964120447992</v>
      </c>
      <c r="N16" s="13">
        <f t="shared" si="1"/>
        <v>578.67360639796118</v>
      </c>
      <c r="O16" s="13">
        <f t="shared" si="1"/>
        <v>603.65780363490035</v>
      </c>
      <c r="P16" s="13">
        <f t="shared" si="1"/>
        <v>628.48051807390516</v>
      </c>
    </row>
    <row r="17" spans="5:16">
      <c r="E17" s="13" t="s">
        <v>355</v>
      </c>
      <c r="G17" s="13">
        <f t="shared" si="1"/>
        <v>161.64287653410233</v>
      </c>
      <c r="H17" s="13">
        <f t="shared" si="1"/>
        <v>169.10619019515792</v>
      </c>
      <c r="I17" s="13">
        <f t="shared" si="1"/>
        <v>170.02945053986988</v>
      </c>
      <c r="J17" s="13">
        <f t="shared" si="1"/>
        <v>250.83123003152036</v>
      </c>
      <c r="K17" s="13">
        <f t="shared" si="1"/>
        <v>366.90997988062503</v>
      </c>
      <c r="L17" s="13">
        <f t="shared" si="1"/>
        <v>482.25433404868892</v>
      </c>
      <c r="M17" s="13">
        <f t="shared" si="1"/>
        <v>611.34578901482132</v>
      </c>
      <c r="N17" s="13">
        <f t="shared" si="1"/>
        <v>759.78007477701021</v>
      </c>
      <c r="O17" s="13">
        <f t="shared" si="1"/>
        <v>954.69332237945139</v>
      </c>
      <c r="P17" s="13">
        <f t="shared" si="1"/>
        <v>1145.7520458051104</v>
      </c>
    </row>
    <row r="18" spans="5:16">
      <c r="E18" s="13" t="s">
        <v>35</v>
      </c>
      <c r="G18" s="13">
        <f t="shared" si="1"/>
        <v>275.34502085708533</v>
      </c>
      <c r="H18" s="13">
        <f t="shared" si="1"/>
        <v>283.50902944135203</v>
      </c>
      <c r="I18" s="13">
        <f t="shared" si="1"/>
        <v>288.67753212393535</v>
      </c>
      <c r="J18" s="13">
        <f t="shared" si="1"/>
        <v>259.90551012675206</v>
      </c>
      <c r="K18" s="13">
        <f t="shared" si="1"/>
        <v>278.91238649319297</v>
      </c>
      <c r="L18" s="13">
        <f t="shared" si="1"/>
        <v>307.72583233854198</v>
      </c>
      <c r="M18" s="13">
        <f t="shared" si="1"/>
        <v>342.60365934544967</v>
      </c>
      <c r="N18" s="13">
        <f t="shared" si="1"/>
        <v>479.69518275098915</v>
      </c>
      <c r="O18" s="13">
        <f t="shared" si="1"/>
        <v>687.56215914425593</v>
      </c>
      <c r="P18" s="13">
        <f t="shared" si="1"/>
        <v>901.82876902957548</v>
      </c>
    </row>
    <row r="19" spans="5:16">
      <c r="E19" s="13" t="s">
        <v>349</v>
      </c>
      <c r="G19" s="13">
        <f t="shared" si="1"/>
        <v>449.65236134397429</v>
      </c>
      <c r="H19" s="13">
        <f t="shared" si="1"/>
        <v>478.22077459593595</v>
      </c>
      <c r="I19" s="13">
        <f t="shared" si="1"/>
        <v>484.58179263630876</v>
      </c>
      <c r="J19" s="13">
        <f t="shared" si="1"/>
        <v>506.00634732747631</v>
      </c>
      <c r="K19" s="13">
        <f t="shared" si="1"/>
        <v>578.20319998658704</v>
      </c>
      <c r="L19" s="13">
        <f t="shared" si="1"/>
        <v>643.60373315002346</v>
      </c>
      <c r="M19" s="13">
        <f t="shared" si="1"/>
        <v>711.00173831399638</v>
      </c>
      <c r="N19" s="13">
        <f t="shared" si="1"/>
        <v>782.18054724699891</v>
      </c>
      <c r="O19" s="13">
        <f t="shared" si="1"/>
        <v>856.74698444101671</v>
      </c>
      <c r="P19" s="13">
        <f t="shared" si="1"/>
        <v>925.61237676882843</v>
      </c>
    </row>
    <row r="20" spans="5:16">
      <c r="E20" s="13" t="s">
        <v>350</v>
      </c>
      <c r="G20" s="13">
        <f t="shared" si="1"/>
        <v>466.50274025886927</v>
      </c>
      <c r="H20" s="13">
        <f t="shared" si="1"/>
        <v>495.07115351083098</v>
      </c>
      <c r="I20" s="13">
        <f t="shared" si="1"/>
        <v>501.08112199047684</v>
      </c>
      <c r="J20" s="13">
        <f>AVERAGE(I20,K20)</f>
        <v>575.55628629870557</v>
      </c>
      <c r="K20" s="13">
        <f t="shared" si="1"/>
        <v>650.03145060693441</v>
      </c>
      <c r="L20" s="13">
        <f t="shared" si="1"/>
        <v>678.5893323720743</v>
      </c>
      <c r="M20" s="13">
        <f t="shared" si="1"/>
        <v>700.78619609684119</v>
      </c>
      <c r="N20" s="13">
        <f t="shared" si="1"/>
        <v>715.2073120515056</v>
      </c>
      <c r="O20" s="13">
        <f t="shared" si="1"/>
        <v>714.614038293877</v>
      </c>
      <c r="P20" s="13">
        <f t="shared" si="1"/>
        <v>710.42952753001146</v>
      </c>
    </row>
    <row r="21" spans="5:16">
      <c r="E21" s="13" t="s">
        <v>358</v>
      </c>
      <c r="G21" s="13">
        <f t="shared" si="1"/>
        <v>411.99176446918386</v>
      </c>
      <c r="H21" s="13">
        <f t="shared" si="1"/>
        <v>421.68073234524849</v>
      </c>
      <c r="I21" s="13">
        <f t="shared" si="1"/>
        <v>416.05691838240227</v>
      </c>
      <c r="J21" s="13">
        <f t="shared" si="1"/>
        <v>766.99063275434241</v>
      </c>
      <c r="K21" s="13">
        <f t="shared" si="1"/>
        <v>895.01489705586494</v>
      </c>
      <c r="L21" s="13">
        <f t="shared" si="1"/>
        <v>984.9116685668298</v>
      </c>
      <c r="M21" s="13">
        <f t="shared" si="1"/>
        <v>1043.9125682382132</v>
      </c>
      <c r="N21" s="13">
        <f t="shared" si="1"/>
        <v>1039.5525326939842</v>
      </c>
      <c r="O21" s="13">
        <f t="shared" si="1"/>
        <v>1012.2970447991415</v>
      </c>
      <c r="P21" s="13">
        <f t="shared" si="1"/>
        <v>974.21518845147875</v>
      </c>
    </row>
    <row r="22" spans="5:16">
      <c r="E22" s="13" t="s">
        <v>351</v>
      </c>
      <c r="G22" s="13">
        <f t="shared" si="1"/>
        <v>186.60565974783719</v>
      </c>
      <c r="H22" s="13">
        <f t="shared" si="1"/>
        <v>197.31021400308495</v>
      </c>
      <c r="I22" s="13">
        <f t="shared" si="1"/>
        <v>203.78040845684396</v>
      </c>
      <c r="J22" s="13">
        <f t="shared" si="1"/>
        <v>233.15483150023476</v>
      </c>
      <c r="K22" s="13">
        <f t="shared" si="1"/>
        <v>275.37942371403665</v>
      </c>
      <c r="L22" s="13">
        <f t="shared" si="1"/>
        <v>310.91652179598958</v>
      </c>
      <c r="M22" s="13">
        <f t="shared" si="1"/>
        <v>337.82763007175907</v>
      </c>
      <c r="N22" s="13">
        <f t="shared" si="1"/>
        <v>349.11984129166387</v>
      </c>
      <c r="O22" s="13">
        <f t="shared" si="1"/>
        <v>346.16997183287509</v>
      </c>
      <c r="P22" s="13">
        <f t="shared" si="1"/>
        <v>335.99866186037156</v>
      </c>
    </row>
    <row r="23" spans="5:16">
      <c r="E23" s="13" t="s">
        <v>81</v>
      </c>
      <c r="G23" s="13">
        <f t="shared" si="1"/>
        <v>186.60565974783719</v>
      </c>
      <c r="H23" s="13">
        <f t="shared" si="1"/>
        <v>197.31021400308495</v>
      </c>
      <c r="I23" s="13">
        <f t="shared" si="1"/>
        <v>203.78040845684396</v>
      </c>
      <c r="J23" s="13">
        <f t="shared" si="1"/>
        <v>2215.206980081819</v>
      </c>
      <c r="K23" s="13">
        <f t="shared" si="1"/>
        <v>275.87545674334388</v>
      </c>
      <c r="L23" s="13">
        <f t="shared" si="1"/>
        <v>311.08642978338139</v>
      </c>
      <c r="M23" s="13">
        <f t="shared" si="1"/>
        <v>337.60366045201528</v>
      </c>
      <c r="N23" s="13">
        <f t="shared" si="1"/>
        <v>348.39316870095905</v>
      </c>
      <c r="O23" s="13">
        <f t="shared" si="1"/>
        <v>344.78402816712497</v>
      </c>
      <c r="P23" s="13">
        <f t="shared" si="1"/>
        <v>333.96538280464091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ADF19-1D32-47B5-8F7F-4BFF3D1C003B}">
  <sheetPr codeName="Sheet6"/>
  <dimension ref="A1:V23"/>
  <sheetViews>
    <sheetView topLeftCell="A15" zoomScale="70" zoomScaleNormal="70" workbookViewId="0">
      <selection activeCell="I17" sqref="I17:J17"/>
    </sheetView>
  </sheetViews>
  <sheetFormatPr defaultRowHeight="17.399999999999999"/>
  <cols>
    <col min="1" max="1" width="38.69921875" bestFit="1" customWidth="1"/>
    <col min="2" max="2" width="11.69921875" bestFit="1" customWidth="1"/>
    <col min="3" max="3" width="13" bestFit="1" customWidth="1"/>
    <col min="4" max="4" width="13.59765625" bestFit="1" customWidth="1"/>
    <col min="5" max="5" width="23.296875" bestFit="1" customWidth="1"/>
    <col min="6" max="6" width="22.796875" customWidth="1"/>
  </cols>
  <sheetData>
    <row r="1" spans="1:22">
      <c r="A1" s="1" t="s">
        <v>366</v>
      </c>
    </row>
    <row r="2" spans="1:22">
      <c r="A2" t="s">
        <v>8</v>
      </c>
      <c r="B2" t="s">
        <v>9</v>
      </c>
      <c r="C2" t="s">
        <v>39</v>
      </c>
      <c r="D2" t="s">
        <v>40</v>
      </c>
      <c r="E2" t="s">
        <v>42</v>
      </c>
      <c r="F2">
        <v>1990</v>
      </c>
      <c r="G2">
        <v>2005</v>
      </c>
      <c r="H2">
        <v>2010</v>
      </c>
      <c r="I2">
        <v>2015</v>
      </c>
      <c r="J2">
        <v>2020</v>
      </c>
      <c r="K2">
        <v>2025</v>
      </c>
      <c r="L2">
        <v>2030</v>
      </c>
      <c r="M2">
        <v>2035</v>
      </c>
      <c r="N2">
        <v>2040</v>
      </c>
      <c r="O2">
        <v>2045</v>
      </c>
      <c r="P2">
        <v>2050</v>
      </c>
    </row>
    <row r="3" spans="1:22">
      <c r="A3" t="s">
        <v>363</v>
      </c>
      <c r="B3" t="s">
        <v>1</v>
      </c>
      <c r="C3" t="s">
        <v>32</v>
      </c>
      <c r="D3" t="s">
        <v>33</v>
      </c>
      <c r="E3" t="s">
        <v>33</v>
      </c>
      <c r="F3">
        <v>4.6700899999999997E-2</v>
      </c>
      <c r="G3">
        <v>4.37793E-2</v>
      </c>
      <c r="H3">
        <v>4.4930499999999998E-2</v>
      </c>
      <c r="I3">
        <v>5.9595799999999997E-2</v>
      </c>
      <c r="J3">
        <v>6.2271399999999998E-2</v>
      </c>
      <c r="K3">
        <v>9.78107E-2</v>
      </c>
      <c r="L3">
        <v>0.13400899999999999</v>
      </c>
      <c r="M3">
        <v>0.175431</v>
      </c>
      <c r="N3">
        <v>0.228073</v>
      </c>
      <c r="O3">
        <v>0.29747000000000001</v>
      </c>
      <c r="P3">
        <v>0.371776</v>
      </c>
      <c r="Q3">
        <v>0</v>
      </c>
      <c r="R3">
        <v>0</v>
      </c>
      <c r="S3">
        <v>0</v>
      </c>
      <c r="T3" t="s">
        <v>107</v>
      </c>
      <c r="V3">
        <v>29.821999999999999</v>
      </c>
    </row>
    <row r="4" spans="1:22">
      <c r="A4" t="s">
        <v>363</v>
      </c>
      <c r="B4" t="s">
        <v>1</v>
      </c>
      <c r="C4" t="s">
        <v>32</v>
      </c>
      <c r="D4" t="s">
        <v>33</v>
      </c>
      <c r="E4" t="s">
        <v>79</v>
      </c>
      <c r="F4">
        <v>4.78009E-2</v>
      </c>
      <c r="G4">
        <v>4.4879299999999997E-2</v>
      </c>
      <c r="H4">
        <v>4.6030500000000002E-2</v>
      </c>
      <c r="I4">
        <v>6.0695800000000001E-2</v>
      </c>
      <c r="J4">
        <v>189.81</v>
      </c>
      <c r="K4">
        <v>0.14647199999999999</v>
      </c>
      <c r="L4">
        <v>0.15260899999999999</v>
      </c>
      <c r="M4">
        <v>0.158467</v>
      </c>
      <c r="N4">
        <v>0.16416600000000001</v>
      </c>
      <c r="O4">
        <v>0.17119799999999999</v>
      </c>
      <c r="P4">
        <v>0.17876500000000001</v>
      </c>
      <c r="Q4">
        <v>0</v>
      </c>
      <c r="R4">
        <v>0</v>
      </c>
      <c r="S4">
        <v>0</v>
      </c>
      <c r="T4" t="s">
        <v>107</v>
      </c>
      <c r="V4">
        <v>104.69</v>
      </c>
    </row>
    <row r="5" spans="1:22">
      <c r="A5" t="s">
        <v>363</v>
      </c>
      <c r="B5" t="s">
        <v>1</v>
      </c>
      <c r="C5" t="s">
        <v>32</v>
      </c>
      <c r="D5" t="s">
        <v>33</v>
      </c>
      <c r="E5" t="s">
        <v>34</v>
      </c>
      <c r="F5">
        <v>4.9068399999999998E-2</v>
      </c>
      <c r="G5">
        <v>4.6045599999999999E-2</v>
      </c>
      <c r="H5">
        <v>4.8171600000000002E-2</v>
      </c>
      <c r="I5">
        <v>4.8434600000000001E-2</v>
      </c>
      <c r="J5">
        <v>7.1451799999999996E-2</v>
      </c>
      <c r="K5">
        <v>0.104347</v>
      </c>
      <c r="L5">
        <v>0.135959</v>
      </c>
      <c r="M5">
        <v>0.170735</v>
      </c>
      <c r="N5">
        <v>0.21214</v>
      </c>
      <c r="O5">
        <v>0.266843</v>
      </c>
      <c r="P5">
        <v>0.32557700000000001</v>
      </c>
      <c r="Q5">
        <v>0</v>
      </c>
      <c r="R5">
        <v>0</v>
      </c>
      <c r="S5">
        <v>0</v>
      </c>
      <c r="T5" t="s">
        <v>107</v>
      </c>
      <c r="V5">
        <f>V4/V3</f>
        <v>3.5104956072698008</v>
      </c>
    </row>
    <row r="6" spans="1:22">
      <c r="A6" t="s">
        <v>363</v>
      </c>
      <c r="B6" t="s">
        <v>1</v>
      </c>
      <c r="C6" t="s">
        <v>32</v>
      </c>
      <c r="D6" t="s">
        <v>33</v>
      </c>
      <c r="E6" t="s">
        <v>35</v>
      </c>
      <c r="F6">
        <v>7.2400900000000004E-2</v>
      </c>
      <c r="G6">
        <v>7.8434799999999999E-2</v>
      </c>
      <c r="H6">
        <v>8.0760399999999996E-2</v>
      </c>
      <c r="I6">
        <v>8.2232700000000006E-2</v>
      </c>
      <c r="J6">
        <v>7.4036699999999997E-2</v>
      </c>
      <c r="K6">
        <v>7.9441800000000007E-2</v>
      </c>
      <c r="L6">
        <v>8.7562699999999993E-2</v>
      </c>
      <c r="M6">
        <v>9.5175300000000004E-2</v>
      </c>
      <c r="N6">
        <v>0.132354</v>
      </c>
      <c r="O6">
        <v>0.19026599999999999</v>
      </c>
      <c r="P6">
        <v>0.25559599999999999</v>
      </c>
      <c r="Q6">
        <v>0</v>
      </c>
      <c r="R6">
        <v>0</v>
      </c>
      <c r="S6">
        <v>0</v>
      </c>
      <c r="T6" t="s">
        <v>107</v>
      </c>
    </row>
    <row r="7" spans="1:22">
      <c r="A7" t="s">
        <v>363</v>
      </c>
      <c r="B7" t="s">
        <v>1</v>
      </c>
      <c r="C7" t="s">
        <v>32</v>
      </c>
      <c r="D7" t="s">
        <v>36</v>
      </c>
      <c r="E7" t="s">
        <v>36</v>
      </c>
      <c r="F7">
        <v>0.117372</v>
      </c>
      <c r="G7" s="12">
        <v>0.12808800000000001</v>
      </c>
      <c r="H7" s="12">
        <v>0.13622600000000001</v>
      </c>
      <c r="I7" s="12">
        <v>0.13803799999999999</v>
      </c>
      <c r="J7" s="12">
        <v>0.14414099999999999</v>
      </c>
      <c r="K7" s="12">
        <v>0.16461100000000001</v>
      </c>
      <c r="L7" s="12">
        <v>0.18244099999999999</v>
      </c>
      <c r="M7" s="12">
        <v>0.200735</v>
      </c>
      <c r="N7" s="12">
        <v>0.22081300000000001</v>
      </c>
      <c r="O7" s="12">
        <v>0.24182100000000001</v>
      </c>
      <c r="P7" s="12">
        <v>0.26331399999999999</v>
      </c>
      <c r="Q7" s="12">
        <v>0</v>
      </c>
      <c r="R7">
        <v>0</v>
      </c>
      <c r="S7">
        <v>0</v>
      </c>
      <c r="T7" t="s">
        <v>107</v>
      </c>
    </row>
    <row r="8" spans="1:22">
      <c r="A8" t="s">
        <v>363</v>
      </c>
      <c r="B8" t="s">
        <v>1</v>
      </c>
      <c r="C8" t="s">
        <v>32</v>
      </c>
      <c r="D8" t="s">
        <v>36</v>
      </c>
      <c r="E8" t="s">
        <v>80</v>
      </c>
      <c r="F8">
        <v>0.122172</v>
      </c>
      <c r="G8" s="12">
        <v>0.13288800000000001</v>
      </c>
      <c r="H8" s="12">
        <v>0.14102600000000001</v>
      </c>
      <c r="I8" s="12">
        <v>0.142738</v>
      </c>
      <c r="J8" s="12">
        <v>63.900599999999997</v>
      </c>
      <c r="K8" s="12">
        <v>0.18512500000000001</v>
      </c>
      <c r="L8" s="12">
        <v>0.192854</v>
      </c>
      <c r="M8" s="12">
        <v>0.19899900000000001</v>
      </c>
      <c r="N8" s="12">
        <v>0.20330500000000001</v>
      </c>
      <c r="O8" s="12">
        <v>0.20319300000000001</v>
      </c>
      <c r="P8" s="12">
        <v>0.20222899999999999</v>
      </c>
      <c r="Q8" s="12">
        <v>0</v>
      </c>
      <c r="R8">
        <v>0</v>
      </c>
      <c r="S8">
        <v>0</v>
      </c>
      <c r="T8" t="s">
        <v>107</v>
      </c>
    </row>
    <row r="9" spans="1:22">
      <c r="A9" t="s">
        <v>363</v>
      </c>
      <c r="B9" t="s">
        <v>1</v>
      </c>
      <c r="C9" t="s">
        <v>32</v>
      </c>
      <c r="D9" t="s">
        <v>36</v>
      </c>
      <c r="E9" t="s">
        <v>37</v>
      </c>
      <c r="F9">
        <v>0.107576</v>
      </c>
      <c r="G9" s="12">
        <v>0.11736000000000001</v>
      </c>
      <c r="H9" s="12">
        <v>0.12012</v>
      </c>
      <c r="I9" s="12">
        <v>0.118518</v>
      </c>
      <c r="J9" s="12">
        <v>0.21848500000000001</v>
      </c>
      <c r="K9" s="12">
        <v>0.25479499999999999</v>
      </c>
      <c r="L9" s="12">
        <v>0.27937200000000001</v>
      </c>
      <c r="M9" s="12">
        <v>0.295819</v>
      </c>
      <c r="N9" s="12">
        <v>0.29549500000000001</v>
      </c>
      <c r="O9" s="12">
        <v>0.28774</v>
      </c>
      <c r="P9" s="12">
        <v>0.27696799999999999</v>
      </c>
      <c r="Q9" s="12">
        <v>0</v>
      </c>
      <c r="R9">
        <v>0</v>
      </c>
      <c r="S9">
        <v>0</v>
      </c>
      <c r="T9" t="s">
        <v>107</v>
      </c>
    </row>
    <row r="10" spans="1:22">
      <c r="A10" t="s">
        <v>363</v>
      </c>
      <c r="B10" t="s">
        <v>1</v>
      </c>
      <c r="C10" t="s">
        <v>32</v>
      </c>
      <c r="D10" t="s">
        <v>38</v>
      </c>
      <c r="E10" t="s">
        <v>38</v>
      </c>
      <c r="F10">
        <v>4.2500000000000003E-2</v>
      </c>
      <c r="G10">
        <v>5.3156500000000002E-2</v>
      </c>
      <c r="H10">
        <v>5.62058E-2</v>
      </c>
      <c r="I10">
        <v>5.80489E-2</v>
      </c>
      <c r="J10">
        <v>6.6416500000000003E-2</v>
      </c>
      <c r="K10">
        <v>7.8401799999999994E-2</v>
      </c>
      <c r="L10">
        <v>8.8111300000000004E-2</v>
      </c>
      <c r="M10">
        <v>9.5605800000000005E-2</v>
      </c>
      <c r="N10">
        <v>9.9075800000000006E-2</v>
      </c>
      <c r="O10">
        <v>9.8397100000000001E-2</v>
      </c>
      <c r="P10">
        <v>9.5601800000000001E-2</v>
      </c>
      <c r="Q10">
        <v>0</v>
      </c>
      <c r="R10">
        <v>0</v>
      </c>
      <c r="S10">
        <v>0</v>
      </c>
      <c r="T10" t="s">
        <v>107</v>
      </c>
    </row>
    <row r="11" spans="1:22">
      <c r="A11" t="s">
        <v>363</v>
      </c>
      <c r="B11" t="s">
        <v>1</v>
      </c>
      <c r="C11" t="s">
        <v>32</v>
      </c>
      <c r="D11" t="s">
        <v>38</v>
      </c>
      <c r="E11" t="s">
        <v>81</v>
      </c>
      <c r="F11">
        <v>4.2500000000000003E-2</v>
      </c>
      <c r="G11">
        <v>5.3156500000000002E-2</v>
      </c>
      <c r="H11">
        <v>5.62058E-2</v>
      </c>
      <c r="I11">
        <v>5.80489E-2</v>
      </c>
      <c r="J11">
        <v>0.63102400000000003</v>
      </c>
      <c r="K11">
        <v>7.8543600000000005E-2</v>
      </c>
      <c r="L11">
        <v>8.8163699999999998E-2</v>
      </c>
      <c r="M11">
        <v>9.5552300000000007E-2</v>
      </c>
      <c r="N11">
        <v>9.8882700000000004E-2</v>
      </c>
      <c r="O11">
        <v>9.80187E-2</v>
      </c>
      <c r="P11">
        <v>9.5024499999999998E-2</v>
      </c>
      <c r="Q11">
        <v>0</v>
      </c>
      <c r="R11">
        <v>0</v>
      </c>
      <c r="S11">
        <v>0</v>
      </c>
      <c r="T11" t="s">
        <v>107</v>
      </c>
    </row>
    <row r="14" spans="1:22">
      <c r="E14" t="s">
        <v>345</v>
      </c>
      <c r="F14">
        <v>1990</v>
      </c>
      <c r="G14">
        <v>2005</v>
      </c>
      <c r="H14">
        <v>2010</v>
      </c>
      <c r="I14">
        <v>2015</v>
      </c>
      <c r="J14">
        <v>2020</v>
      </c>
      <c r="K14">
        <v>2025</v>
      </c>
      <c r="L14">
        <v>2030</v>
      </c>
      <c r="M14">
        <v>2035</v>
      </c>
      <c r="N14">
        <v>2040</v>
      </c>
      <c r="O14">
        <v>2045</v>
      </c>
      <c r="P14">
        <v>2050</v>
      </c>
    </row>
    <row r="15" spans="1:22">
      <c r="E15" t="s">
        <v>353</v>
      </c>
      <c r="G15">
        <f>G3*$V$5*1000</f>
        <v>153.68704033934679</v>
      </c>
      <c r="H15" s="13">
        <f t="shared" ref="H15:P15" si="0">H3*$V$5*1000</f>
        <v>157.72832288243578</v>
      </c>
      <c r="I15" s="13">
        <f t="shared" si="0"/>
        <v>209.21079411172957</v>
      </c>
      <c r="J15" s="13">
        <f t="shared" si="0"/>
        <v>218.60347615854067</v>
      </c>
      <c r="K15" s="13">
        <f t="shared" si="0"/>
        <v>343.36403269398431</v>
      </c>
      <c r="L15" s="13">
        <f t="shared" si="0"/>
        <v>470.43800583461871</v>
      </c>
      <c r="M15" s="13">
        <f t="shared" si="0"/>
        <v>615.84975487894849</v>
      </c>
      <c r="N15" s="13">
        <f t="shared" si="0"/>
        <v>800.64926463684526</v>
      </c>
      <c r="O15" s="13">
        <f t="shared" si="0"/>
        <v>1044.2671282945478</v>
      </c>
      <c r="P15" s="13">
        <f t="shared" si="0"/>
        <v>1305.1180148883375</v>
      </c>
    </row>
    <row r="16" spans="1:22">
      <c r="E16" t="s">
        <v>354</v>
      </c>
      <c r="G16" s="13">
        <f t="shared" ref="G16:P16" si="1">G4*$V$5*1000</f>
        <v>157.54858550734355</v>
      </c>
      <c r="H16" s="13">
        <f t="shared" si="1"/>
        <v>161.58986805043259</v>
      </c>
      <c r="I16" s="13"/>
      <c r="J16" s="13"/>
      <c r="K16" s="13">
        <f t="shared" si="1"/>
        <v>514.18931258802229</v>
      </c>
      <c r="L16" s="13">
        <f t="shared" si="1"/>
        <v>535.73322412983703</v>
      </c>
      <c r="M16" s="13">
        <f t="shared" si="1"/>
        <v>556.29770739722346</v>
      </c>
      <c r="N16" s="13">
        <f t="shared" si="1"/>
        <v>576.30402186305423</v>
      </c>
      <c r="O16" s="13">
        <f t="shared" si="1"/>
        <v>600.98982697337533</v>
      </c>
      <c r="P16" s="13">
        <f t="shared" si="1"/>
        <v>627.55374723358591</v>
      </c>
    </row>
    <row r="17" spans="5:16">
      <c r="E17" t="s">
        <v>355</v>
      </c>
      <c r="G17" s="13">
        <f t="shared" ref="G17:P17" si="2">G5*$V$5*1000</f>
        <v>161.64287653410233</v>
      </c>
      <c r="H17" s="13">
        <f t="shared" si="2"/>
        <v>169.10619019515792</v>
      </c>
      <c r="I17" s="13"/>
      <c r="J17" s="13"/>
      <c r="K17" s="13">
        <f t="shared" si="2"/>
        <v>366.30968513178192</v>
      </c>
      <c r="L17" s="13">
        <f t="shared" si="2"/>
        <v>477.28347226879487</v>
      </c>
      <c r="M17" s="13">
        <f t="shared" si="2"/>
        <v>599.36446750720938</v>
      </c>
      <c r="N17" s="13">
        <f t="shared" si="2"/>
        <v>744.71653812621548</v>
      </c>
      <c r="O17" s="13">
        <f t="shared" si="2"/>
        <v>936.75117933069544</v>
      </c>
      <c r="P17" s="13">
        <f t="shared" si="2"/>
        <v>1142.9366283280799</v>
      </c>
    </row>
    <row r="18" spans="5:16">
      <c r="E18" t="s">
        <v>35</v>
      </c>
      <c r="G18" s="13">
        <f t="shared" ref="G18:P18" si="3">G6*$V$5*1000</f>
        <v>275.34502085708533</v>
      </c>
      <c r="H18" s="13">
        <f t="shared" si="3"/>
        <v>283.50902944135203</v>
      </c>
      <c r="I18" s="13">
        <f t="shared" si="3"/>
        <v>288.67753212393535</v>
      </c>
      <c r="J18" s="13">
        <f t="shared" si="3"/>
        <v>259.90551012675206</v>
      </c>
      <c r="K18" s="13">
        <f t="shared" si="3"/>
        <v>278.88008993360609</v>
      </c>
      <c r="L18" s="13">
        <f t="shared" si="3"/>
        <v>307.38847371068334</v>
      </c>
      <c r="M18" s="13">
        <f t="shared" si="3"/>
        <v>334.11247257058545</v>
      </c>
      <c r="N18" s="13">
        <f t="shared" si="3"/>
        <v>464.62813560458721</v>
      </c>
      <c r="O18" s="13">
        <f t="shared" si="3"/>
        <v>667.92795721279583</v>
      </c>
      <c r="P18" s="13">
        <f t="shared" si="3"/>
        <v>897.26863523573195</v>
      </c>
    </row>
    <row r="19" spans="5:16">
      <c r="E19" t="s">
        <v>356</v>
      </c>
      <c r="G19" s="13">
        <f t="shared" ref="G19:P19" si="4">G7*$V$5*1000</f>
        <v>449.65236134397429</v>
      </c>
      <c r="H19" s="13">
        <f t="shared" si="4"/>
        <v>478.22077459593595</v>
      </c>
      <c r="I19" s="13">
        <f t="shared" si="4"/>
        <v>484.58179263630876</v>
      </c>
      <c r="J19" s="13">
        <f t="shared" si="4"/>
        <v>506.00634732747631</v>
      </c>
      <c r="K19" s="13">
        <f t="shared" si="4"/>
        <v>577.86619240828918</v>
      </c>
      <c r="L19" s="13">
        <f t="shared" si="4"/>
        <v>640.45832908590967</v>
      </c>
      <c r="M19" s="13">
        <f t="shared" si="4"/>
        <v>704.67933572530353</v>
      </c>
      <c r="N19" s="13">
        <f t="shared" si="4"/>
        <v>775.16306652806657</v>
      </c>
      <c r="O19" s="13">
        <f t="shared" si="4"/>
        <v>848.91155824559053</v>
      </c>
      <c r="P19" s="13">
        <f t="shared" si="4"/>
        <v>924.36264033264024</v>
      </c>
    </row>
    <row r="20" spans="5:16">
      <c r="E20" t="s">
        <v>357</v>
      </c>
      <c r="G20" s="13">
        <f t="shared" ref="G20:P20" si="5">G8*$V$5*1000</f>
        <v>466.50274025886927</v>
      </c>
      <c r="H20" s="13">
        <f t="shared" si="5"/>
        <v>495.07115351083098</v>
      </c>
      <c r="I20" s="13"/>
      <c r="J20" s="13"/>
      <c r="K20" s="13">
        <f t="shared" si="5"/>
        <v>649.88049929582189</v>
      </c>
      <c r="L20" s="13">
        <f t="shared" si="5"/>
        <v>677.0131198444102</v>
      </c>
      <c r="M20" s="13">
        <f t="shared" si="5"/>
        <v>698.58511535108312</v>
      </c>
      <c r="N20" s="13">
        <f t="shared" si="5"/>
        <v>713.7013094359869</v>
      </c>
      <c r="O20" s="13">
        <f t="shared" si="5"/>
        <v>713.30813392797268</v>
      </c>
      <c r="P20" s="13">
        <f t="shared" si="5"/>
        <v>709.9240161625645</v>
      </c>
    </row>
    <row r="21" spans="5:16">
      <c r="E21" t="s">
        <v>358</v>
      </c>
      <c r="G21" s="13">
        <f t="shared" ref="G21:P21" si="6">G9*$V$5*1000</f>
        <v>411.99176446918386</v>
      </c>
      <c r="H21" s="13">
        <f t="shared" si="6"/>
        <v>421.68073234524849</v>
      </c>
      <c r="I21" s="13"/>
      <c r="J21" s="13"/>
      <c r="K21" s="13">
        <f t="shared" si="6"/>
        <v>894.45672825430893</v>
      </c>
      <c r="L21" s="13">
        <f t="shared" si="6"/>
        <v>980.73417879417877</v>
      </c>
      <c r="M21" s="13">
        <f t="shared" si="6"/>
        <v>1038.4713000469453</v>
      </c>
      <c r="N21" s="13">
        <f t="shared" si="6"/>
        <v>1037.3338994701896</v>
      </c>
      <c r="O21" s="13">
        <f t="shared" si="6"/>
        <v>1010.1100060358126</v>
      </c>
      <c r="P21" s="13">
        <f t="shared" si="6"/>
        <v>972.29494735430205</v>
      </c>
    </row>
    <row r="22" spans="5:16">
      <c r="E22" t="s">
        <v>359</v>
      </c>
      <c r="G22" s="13">
        <f t="shared" ref="G22:P22" si="7">G10*$V$5*1000</f>
        <v>186.60565974783719</v>
      </c>
      <c r="H22" s="13">
        <f t="shared" si="7"/>
        <v>197.31021400308495</v>
      </c>
      <c r="I22" s="13">
        <f t="shared" si="7"/>
        <v>203.78040845684396</v>
      </c>
      <c r="J22" s="13">
        <f t="shared" si="7"/>
        <v>233.15483150023476</v>
      </c>
      <c r="K22" s="13">
        <f t="shared" si="7"/>
        <v>275.22917450204545</v>
      </c>
      <c r="L22" s="13">
        <f t="shared" si="7"/>
        <v>309.31433160083162</v>
      </c>
      <c r="M22" s="13">
        <f t="shared" si="7"/>
        <v>335.62374092951512</v>
      </c>
      <c r="N22" s="13">
        <f t="shared" si="7"/>
        <v>347.80516068674132</v>
      </c>
      <c r="O22" s="13">
        <f t="shared" si="7"/>
        <v>345.42258731808732</v>
      </c>
      <c r="P22" s="13">
        <f t="shared" si="7"/>
        <v>335.60969894708603</v>
      </c>
    </row>
    <row r="23" spans="5:16">
      <c r="E23" t="s">
        <v>81</v>
      </c>
      <c r="G23" s="13">
        <f t="shared" ref="G23:P23" si="8">G11*$V$5*1000</f>
        <v>186.60565974783719</v>
      </c>
      <c r="H23" s="13">
        <f t="shared" si="8"/>
        <v>197.31021400308495</v>
      </c>
      <c r="I23" s="13"/>
      <c r="J23" s="13"/>
      <c r="K23" s="13">
        <f t="shared" si="8"/>
        <v>275.72696277915639</v>
      </c>
      <c r="L23" s="13">
        <f t="shared" si="8"/>
        <v>309.49828157065252</v>
      </c>
      <c r="M23" s="13">
        <f t="shared" si="8"/>
        <v>335.43592941452619</v>
      </c>
      <c r="N23" s="13">
        <f t="shared" si="8"/>
        <v>347.12728398497757</v>
      </c>
      <c r="O23" s="13">
        <f t="shared" si="8"/>
        <v>344.09421578029639</v>
      </c>
      <c r="P23" s="13">
        <f t="shared" si="8"/>
        <v>333.58308983300918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0C78-23F8-41EC-83A6-F4F1F1B2A2E7}">
  <dimension ref="A1:W53"/>
  <sheetViews>
    <sheetView zoomScale="70" zoomScaleNormal="70" workbookViewId="0">
      <selection activeCell="A21" sqref="A21:O24"/>
    </sheetView>
  </sheetViews>
  <sheetFormatPr defaultColWidth="8.69921875" defaultRowHeight="17.399999999999999"/>
  <cols>
    <col min="1" max="16384" width="8.69921875" style="13"/>
  </cols>
  <sheetData>
    <row r="1" spans="1:14">
      <c r="A1" s="1" t="s">
        <v>280</v>
      </c>
    </row>
    <row r="2" spans="1:14">
      <c r="A2" s="13" t="s">
        <v>8</v>
      </c>
      <c r="B2" s="13" t="s">
        <v>9</v>
      </c>
      <c r="C2" s="13" t="s">
        <v>279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</row>
    <row r="3" spans="1:14">
      <c r="A3" s="13" t="s">
        <v>364</v>
      </c>
      <c r="B3" s="13" t="s">
        <v>1</v>
      </c>
      <c r="C3" s="13" t="s">
        <v>269</v>
      </c>
      <c r="D3" s="13">
        <v>2.1338342794403302</v>
      </c>
      <c r="E3" s="13">
        <v>4.3884047277570204</v>
      </c>
      <c r="F3" s="13">
        <v>4.48394025128494</v>
      </c>
      <c r="G3" s="13">
        <v>4.9203301032881503</v>
      </c>
      <c r="H3" s="13">
        <v>4.9131546121745897</v>
      </c>
      <c r="I3" s="13">
        <v>4.72308794305326</v>
      </c>
      <c r="J3" s="13">
        <v>4.4140654317499504</v>
      </c>
      <c r="K3" s="13">
        <v>4.0770646228304201</v>
      </c>
      <c r="L3" s="13">
        <v>3.6192791211020299</v>
      </c>
      <c r="M3" s="13">
        <v>3.0464989029584499</v>
      </c>
      <c r="N3" s="13">
        <v>2.54821890876477</v>
      </c>
    </row>
    <row r="4" spans="1:14">
      <c r="A4" s="13" t="s">
        <v>364</v>
      </c>
      <c r="B4" s="13" t="s">
        <v>1</v>
      </c>
      <c r="C4" s="13" t="s">
        <v>270</v>
      </c>
      <c r="D4" s="13">
        <v>0.11884136071069699</v>
      </c>
      <c r="E4" s="13">
        <v>1.17018211113493</v>
      </c>
      <c r="F4" s="13">
        <v>1.6524851354985</v>
      </c>
      <c r="G4" s="13">
        <v>1.70054171663122</v>
      </c>
      <c r="H4" s="13">
        <v>2.0099449002656402</v>
      </c>
      <c r="I4" s="13">
        <v>2.2169697482271702</v>
      </c>
      <c r="J4" s="13">
        <v>2.4521292708354898</v>
      </c>
      <c r="K4" s="13">
        <v>2.34533222715352</v>
      </c>
      <c r="L4" s="13">
        <v>1.8960609762056799</v>
      </c>
      <c r="M4" s="13">
        <v>1.33492214159425</v>
      </c>
      <c r="N4" s="13">
        <v>1.3700237591698701</v>
      </c>
    </row>
    <row r="5" spans="1:14">
      <c r="A5" s="13" t="s">
        <v>364</v>
      </c>
      <c r="B5" s="13" t="s">
        <v>1</v>
      </c>
      <c r="C5" s="13" t="s">
        <v>315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4">
        <v>7.7929278966259996E-5</v>
      </c>
      <c r="J5" s="13">
        <v>4.4521755596139502E-2</v>
      </c>
      <c r="K5" s="13">
        <v>0.13854328156027901</v>
      </c>
      <c r="L5" s="13">
        <v>0.30000337214880002</v>
      </c>
      <c r="M5" s="13">
        <v>0.520695283601189</v>
      </c>
      <c r="N5" s="13">
        <v>1.08123396042731</v>
      </c>
    </row>
    <row r="6" spans="1:14">
      <c r="A6" s="13" t="s">
        <v>364</v>
      </c>
      <c r="B6" s="13" t="s">
        <v>1</v>
      </c>
      <c r="C6" s="13" t="s">
        <v>271</v>
      </c>
      <c r="D6" s="13">
        <v>0</v>
      </c>
      <c r="E6" s="13">
        <v>0</v>
      </c>
      <c r="F6" s="13">
        <v>0</v>
      </c>
      <c r="G6" s="13">
        <v>0</v>
      </c>
      <c r="H6" s="13">
        <v>0.34944685398289499</v>
      </c>
      <c r="I6" s="13">
        <v>0.453096429460632</v>
      </c>
      <c r="J6" s="13">
        <v>0.64794762139510398</v>
      </c>
      <c r="K6" s="13">
        <v>0.81318158468490398</v>
      </c>
      <c r="L6" s="13">
        <v>0.64542426679695497</v>
      </c>
      <c r="M6" s="13">
        <v>0.325338826843524</v>
      </c>
      <c r="N6" s="13">
        <v>0.238460001762348</v>
      </c>
    </row>
    <row r="7" spans="1:14">
      <c r="A7" s="13" t="s">
        <v>364</v>
      </c>
      <c r="B7" s="13" t="s">
        <v>1</v>
      </c>
      <c r="C7" s="13" t="s">
        <v>316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4">
        <v>1.2802577524719601E-4</v>
      </c>
      <c r="J7" s="13">
        <v>4.7881705980567504E-3</v>
      </c>
      <c r="K7" s="13">
        <v>9.6000946211251298E-2</v>
      </c>
      <c r="L7" s="13">
        <v>0.41036972853540898</v>
      </c>
      <c r="M7" s="13">
        <v>0.86577017539852097</v>
      </c>
      <c r="N7" s="13">
        <v>1.0991699293047901</v>
      </c>
    </row>
    <row r="8" spans="1:14">
      <c r="A8" s="13" t="s">
        <v>364</v>
      </c>
      <c r="B8" s="13" t="s">
        <v>1</v>
      </c>
      <c r="C8" s="13" t="s">
        <v>272</v>
      </c>
      <c r="D8" s="13">
        <v>1.1133645802737899</v>
      </c>
      <c r="E8" s="13">
        <v>2.3061335997738199</v>
      </c>
      <c r="F8" s="13">
        <v>3.1609747646886199</v>
      </c>
      <c r="G8" s="13">
        <v>3.5104304109288602</v>
      </c>
      <c r="H8" s="13">
        <v>3.5059196760681002</v>
      </c>
      <c r="I8" s="13">
        <v>2.9905712219725999</v>
      </c>
      <c r="J8" s="13">
        <v>1.8896701312072299</v>
      </c>
      <c r="K8" s="13">
        <v>1.0592071235210601</v>
      </c>
      <c r="L8" s="13">
        <v>0.64333211893488396</v>
      </c>
      <c r="M8" s="13">
        <v>0.41789485424932399</v>
      </c>
      <c r="N8" s="13">
        <v>0.26920554674699998</v>
      </c>
    </row>
    <row r="9" spans="1:14">
      <c r="A9" s="13" t="s">
        <v>364</v>
      </c>
      <c r="B9" s="13" t="s">
        <v>1</v>
      </c>
      <c r="C9" s="13" t="s">
        <v>317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1.23417125059402E-3</v>
      </c>
      <c r="J9" s="13">
        <v>6.2554059082802604E-3</v>
      </c>
      <c r="K9" s="13">
        <v>1.7020098677085201E-2</v>
      </c>
      <c r="L9" s="13">
        <v>2.9625779551979099E-2</v>
      </c>
      <c r="M9" s="13">
        <v>4.0475538674151497E-2</v>
      </c>
      <c r="N9" s="13">
        <v>4.66451139340942E-2</v>
      </c>
    </row>
    <row r="10" spans="1:14">
      <c r="A10" s="13" t="s">
        <v>364</v>
      </c>
      <c r="B10" s="13" t="s">
        <v>1</v>
      </c>
      <c r="C10" s="13" t="s">
        <v>273</v>
      </c>
      <c r="D10" s="13">
        <v>6.5805544393041704E-2</v>
      </c>
      <c r="E10" s="14">
        <v>0.128400551421749</v>
      </c>
      <c r="F10" s="13">
        <v>0.19121971590765599</v>
      </c>
      <c r="G10" s="13">
        <v>0.28713689612514698</v>
      </c>
      <c r="H10" s="13">
        <v>0.386308260397981</v>
      </c>
      <c r="I10" s="13">
        <v>0.48814339537273399</v>
      </c>
      <c r="J10" s="13">
        <v>0.68054186468826305</v>
      </c>
      <c r="K10" s="13">
        <v>0.84408788228955101</v>
      </c>
      <c r="L10" s="13">
        <v>0.68703805122695705</v>
      </c>
      <c r="M10" s="13">
        <v>0.399138721170192</v>
      </c>
      <c r="N10" s="13">
        <v>0.325229745088495</v>
      </c>
    </row>
    <row r="11" spans="1:14">
      <c r="A11" s="13" t="s">
        <v>364</v>
      </c>
      <c r="B11" s="13" t="s">
        <v>1</v>
      </c>
      <c r="C11" s="13" t="s">
        <v>318</v>
      </c>
      <c r="D11" s="14">
        <v>0</v>
      </c>
      <c r="E11" s="14">
        <v>0</v>
      </c>
      <c r="F11" s="13">
        <v>0</v>
      </c>
      <c r="G11" s="13">
        <v>0</v>
      </c>
      <c r="H11" s="13">
        <v>0</v>
      </c>
      <c r="I11" s="14">
        <v>1.2769327858119101E-4</v>
      </c>
      <c r="J11" s="13">
        <v>4.7816312274216698E-3</v>
      </c>
      <c r="K11" s="13">
        <v>9.5919858322816298E-2</v>
      </c>
      <c r="L11" s="13">
        <v>0.410040245539396</v>
      </c>
      <c r="M11" s="13">
        <v>0.86523156509796595</v>
      </c>
      <c r="N11" s="13">
        <v>1.0986842899222999</v>
      </c>
    </row>
    <row r="12" spans="1:14">
      <c r="A12" s="13" t="s">
        <v>364</v>
      </c>
      <c r="B12" s="13" t="s">
        <v>1</v>
      </c>
      <c r="C12" s="13" t="s">
        <v>274</v>
      </c>
      <c r="D12" s="13">
        <v>0.201667962386923</v>
      </c>
      <c r="E12" s="13">
        <v>0.56154809548488804</v>
      </c>
      <c r="F12" s="13">
        <v>0.56315617724025502</v>
      </c>
      <c r="G12" s="13">
        <v>0.62173560623242197</v>
      </c>
      <c r="H12" s="13">
        <v>0.60787400344570697</v>
      </c>
      <c r="I12" s="13">
        <v>0.58998876348236895</v>
      </c>
      <c r="J12" s="13">
        <v>0.55923584242229496</v>
      </c>
      <c r="K12" s="13">
        <v>0.52551016940449902</v>
      </c>
      <c r="L12" s="13">
        <v>0.48464707018737802</v>
      </c>
      <c r="M12" s="13">
        <v>0.43908723806209199</v>
      </c>
      <c r="N12" s="13">
        <v>0.390517597941198</v>
      </c>
    </row>
    <row r="13" spans="1:14">
      <c r="A13" s="13" t="s">
        <v>364</v>
      </c>
      <c r="B13" s="13" t="s">
        <v>1</v>
      </c>
      <c r="C13" s="13" t="s">
        <v>275</v>
      </c>
      <c r="D13" s="13">
        <v>2.4254936588299199E-2</v>
      </c>
      <c r="E13" s="13">
        <v>1.4051800099878199E-2</v>
      </c>
      <c r="F13" s="13">
        <v>1.47008348922858E-2</v>
      </c>
      <c r="G13" s="13">
        <v>1.4095104245100701E-2</v>
      </c>
      <c r="H13" s="13">
        <v>1.1447987866311999E-2</v>
      </c>
      <c r="I13" s="13">
        <v>1.46917935961296E-2</v>
      </c>
      <c r="J13" s="13">
        <v>1.7901625587454E-2</v>
      </c>
      <c r="K13" s="13">
        <v>2.1006709650374999E-2</v>
      </c>
      <c r="L13" s="13">
        <v>2.3989859657026099E-2</v>
      </c>
      <c r="M13" s="13">
        <v>2.69986921541631E-2</v>
      </c>
      <c r="N13" s="13">
        <v>3.0013036565270601E-2</v>
      </c>
    </row>
    <row r="14" spans="1:14">
      <c r="A14" s="13" t="s">
        <v>364</v>
      </c>
      <c r="B14" s="13" t="s">
        <v>1</v>
      </c>
      <c r="C14" s="13" t="s">
        <v>276</v>
      </c>
      <c r="D14" s="13">
        <v>0</v>
      </c>
      <c r="E14" s="14">
        <v>4.9735495660104001E-4</v>
      </c>
      <c r="F14" s="13">
        <v>3.09629834270301E-3</v>
      </c>
      <c r="G14" s="13">
        <v>5.0640868883812199E-3</v>
      </c>
      <c r="H14" s="13">
        <v>2.01552593773619E-2</v>
      </c>
      <c r="I14" s="13">
        <v>7.9977375424057098E-2</v>
      </c>
      <c r="J14" s="13">
        <v>0.24961434745609401</v>
      </c>
      <c r="K14" s="13">
        <v>0.45348351310136797</v>
      </c>
      <c r="L14" s="13">
        <v>0.69240246550765505</v>
      </c>
      <c r="M14" s="13">
        <v>0.95704504204688501</v>
      </c>
      <c r="N14" s="13">
        <v>1.1939641436613599</v>
      </c>
    </row>
    <row r="15" spans="1:14">
      <c r="A15" s="13" t="s">
        <v>364</v>
      </c>
      <c r="B15" s="13" t="s">
        <v>1</v>
      </c>
      <c r="C15" s="13" t="s">
        <v>277</v>
      </c>
      <c r="D15" s="14">
        <v>3.81318624608805E-6</v>
      </c>
      <c r="E15" s="14">
        <v>5.7387110377040601E-5</v>
      </c>
      <c r="F15" s="13">
        <v>2.9257550144862598E-3</v>
      </c>
      <c r="G15" s="13">
        <v>1.4999830628544399E-2</v>
      </c>
      <c r="H15" s="13">
        <v>6.2225746057826499E-2</v>
      </c>
      <c r="I15" s="13">
        <v>0.177844919838935</v>
      </c>
      <c r="J15" s="13">
        <v>0.35902498946892603</v>
      </c>
      <c r="K15" s="13">
        <v>0.54165004820137996</v>
      </c>
      <c r="L15" s="13">
        <v>0.790103072014675</v>
      </c>
      <c r="M15" s="13">
        <v>1.10128686447109</v>
      </c>
      <c r="N15" s="13">
        <v>1.3985670729498301</v>
      </c>
    </row>
    <row r="16" spans="1:14">
      <c r="A16" s="13" t="s">
        <v>364</v>
      </c>
      <c r="B16" s="13" t="s">
        <v>1</v>
      </c>
      <c r="C16" s="13" t="s">
        <v>278</v>
      </c>
      <c r="D16" s="13">
        <v>0</v>
      </c>
      <c r="E16" s="13">
        <v>0</v>
      </c>
      <c r="F16" s="13">
        <v>0</v>
      </c>
      <c r="G16" s="13">
        <v>0</v>
      </c>
      <c r="H16" s="13">
        <v>2.4849100000000002</v>
      </c>
      <c r="I16" s="13">
        <v>8.0093300000000003</v>
      </c>
      <c r="J16" s="13">
        <v>13.98298</v>
      </c>
      <c r="K16" s="13">
        <v>16.050820000000002</v>
      </c>
      <c r="L16" s="13">
        <v>16.595749999999999</v>
      </c>
      <c r="M16" s="13">
        <v>17.95758</v>
      </c>
      <c r="N16" s="13">
        <v>19.88317</v>
      </c>
    </row>
    <row r="19" spans="1:15">
      <c r="A19" s="1" t="s">
        <v>319</v>
      </c>
    </row>
    <row r="20" spans="1:15">
      <c r="A20" s="13" t="s">
        <v>8</v>
      </c>
      <c r="B20" s="13" t="s">
        <v>9</v>
      </c>
      <c r="C20" s="13" t="s">
        <v>39</v>
      </c>
      <c r="D20" s="13" t="s">
        <v>10</v>
      </c>
      <c r="E20" s="13">
        <v>1990</v>
      </c>
      <c r="F20" s="13">
        <v>2005</v>
      </c>
      <c r="G20" s="13">
        <v>2010</v>
      </c>
      <c r="H20" s="13">
        <v>2015</v>
      </c>
      <c r="I20" s="13">
        <v>2020</v>
      </c>
      <c r="J20" s="13">
        <v>2025</v>
      </c>
      <c r="K20" s="13">
        <v>2030</v>
      </c>
      <c r="L20" s="13">
        <v>2035</v>
      </c>
      <c r="M20" s="13">
        <v>2040</v>
      </c>
      <c r="N20" s="13">
        <v>2045</v>
      </c>
      <c r="O20" s="13">
        <v>2050</v>
      </c>
    </row>
    <row r="21" spans="1:15">
      <c r="A21" s="13" t="s">
        <v>364</v>
      </c>
      <c r="B21" s="13" t="s">
        <v>1</v>
      </c>
      <c r="C21" s="13" t="s">
        <v>20</v>
      </c>
      <c r="D21" s="13" t="s">
        <v>4</v>
      </c>
      <c r="E21" s="13">
        <v>0</v>
      </c>
      <c r="F21" s="13">
        <v>0</v>
      </c>
      <c r="G21" s="13">
        <v>1.6953300000000001E-2</v>
      </c>
      <c r="H21" s="13">
        <v>2.3106700000000001E-2</v>
      </c>
      <c r="I21" s="13">
        <v>2.2199400000000001E-2</v>
      </c>
      <c r="J21" s="14">
        <v>7.8633800000000003E-4</v>
      </c>
      <c r="K21" s="14">
        <v>1.48166E-4</v>
      </c>
      <c r="L21" s="14">
        <v>3.7636599999999998E-5</v>
      </c>
      <c r="M21" s="14">
        <v>1.3675100000000001E-5</v>
      </c>
      <c r="N21" s="14">
        <v>5.1626000000000003E-6</v>
      </c>
      <c r="O21" s="14">
        <v>2.4885800000000001E-6</v>
      </c>
    </row>
    <row r="22" spans="1:15">
      <c r="A22" s="13" t="s">
        <v>364</v>
      </c>
      <c r="B22" s="13" t="s">
        <v>1</v>
      </c>
      <c r="C22" s="13" t="s">
        <v>20</v>
      </c>
      <c r="D22" s="13" t="s">
        <v>6</v>
      </c>
      <c r="E22" s="13">
        <v>0.23639399999999999</v>
      </c>
      <c r="F22" s="13">
        <v>1.18882</v>
      </c>
      <c r="G22" s="13">
        <v>1.5032799999999999</v>
      </c>
      <c r="H22" s="13">
        <v>1.8793899999999999</v>
      </c>
      <c r="I22" s="13">
        <v>1.8999299999999999</v>
      </c>
      <c r="J22" s="13">
        <v>1.9077200000000001</v>
      </c>
      <c r="K22" s="13">
        <v>1.88497</v>
      </c>
      <c r="L22" s="13">
        <v>1.8243499999999999</v>
      </c>
      <c r="M22" s="13">
        <v>1.7302599999999999</v>
      </c>
      <c r="N22" s="13">
        <v>1.6470899999999999</v>
      </c>
      <c r="O22" s="13">
        <v>1.5609200000000001</v>
      </c>
    </row>
    <row r="23" spans="1:15">
      <c r="A23" s="13" t="s">
        <v>364</v>
      </c>
      <c r="B23" s="13" t="s">
        <v>1</v>
      </c>
      <c r="C23" s="13" t="s">
        <v>21</v>
      </c>
      <c r="D23" s="13" t="s">
        <v>6</v>
      </c>
      <c r="E23" s="13">
        <v>3.2608900000000003E-2</v>
      </c>
      <c r="F23" s="13">
        <v>5.08599E-2</v>
      </c>
      <c r="G23" s="13">
        <v>5.3873799999999999E-2</v>
      </c>
      <c r="H23" s="13">
        <v>4.94367E-2</v>
      </c>
      <c r="I23" s="13">
        <v>5.1756900000000002E-2</v>
      </c>
      <c r="J23" s="13">
        <v>5.0977500000000002E-2</v>
      </c>
      <c r="K23" s="13">
        <v>5.0663300000000001E-2</v>
      </c>
      <c r="L23" s="13">
        <v>5.02832E-2</v>
      </c>
      <c r="M23" s="13">
        <v>4.8282600000000002E-2</v>
      </c>
      <c r="N23" s="13">
        <v>4.6129299999999998E-2</v>
      </c>
      <c r="O23" s="13">
        <v>4.4284900000000002E-2</v>
      </c>
    </row>
    <row r="24" spans="1:15">
      <c r="A24" s="13" t="s">
        <v>364</v>
      </c>
      <c r="B24" s="13" t="s">
        <v>1</v>
      </c>
      <c r="C24" s="13" t="s">
        <v>22</v>
      </c>
      <c r="D24" s="13" t="s">
        <v>6</v>
      </c>
      <c r="E24" s="13">
        <v>0</v>
      </c>
      <c r="F24" s="13">
        <v>3.1394999999999999E-2</v>
      </c>
      <c r="G24" s="13">
        <v>3.1520699999999999E-2</v>
      </c>
      <c r="H24" s="13">
        <v>2.9218299999999999E-2</v>
      </c>
      <c r="I24" s="13">
        <v>3.3638300000000003E-2</v>
      </c>
      <c r="J24" s="13">
        <v>3.4677699999999999E-2</v>
      </c>
      <c r="K24" s="13">
        <v>4.2918900000000003E-2</v>
      </c>
      <c r="L24" s="13">
        <v>6.74979E-2</v>
      </c>
      <c r="M24" s="13">
        <v>9.6563800000000005E-2</v>
      </c>
      <c r="N24" s="13">
        <v>0.115352</v>
      </c>
      <c r="O24" s="13">
        <v>0.12872800000000001</v>
      </c>
    </row>
    <row r="29" spans="1:15">
      <c r="D29" s="13">
        <v>2015</v>
      </c>
      <c r="E29" s="13">
        <v>2020</v>
      </c>
      <c r="F29" s="13">
        <v>2025</v>
      </c>
      <c r="G29" s="13">
        <v>2030</v>
      </c>
      <c r="H29" s="13">
        <v>2035</v>
      </c>
      <c r="I29" s="13">
        <v>2040</v>
      </c>
      <c r="J29" s="13">
        <v>2045</v>
      </c>
      <c r="K29" s="13">
        <v>2050</v>
      </c>
    </row>
    <row r="30" spans="1:15">
      <c r="C30" s="13" t="s">
        <v>320</v>
      </c>
      <c r="D30" s="13">
        <f>SUM(H22:H24)</f>
        <v>1.9580449999999998</v>
      </c>
      <c r="E30" s="13">
        <f t="shared" ref="E30:K30" si="0">SUM(I22:I24)</f>
        <v>1.9853251999999999</v>
      </c>
      <c r="F30" s="13">
        <f t="shared" si="0"/>
        <v>1.9933752</v>
      </c>
      <c r="G30" s="13">
        <f t="shared" si="0"/>
        <v>1.9785522000000002</v>
      </c>
      <c r="H30" s="13">
        <f t="shared" si="0"/>
        <v>1.9421310999999999</v>
      </c>
      <c r="I30" s="13">
        <f t="shared" si="0"/>
        <v>1.8751064</v>
      </c>
      <c r="J30" s="13">
        <f t="shared" si="0"/>
        <v>1.8085712999999999</v>
      </c>
      <c r="K30" s="13">
        <f t="shared" si="0"/>
        <v>1.7339329000000001</v>
      </c>
    </row>
    <row r="31" spans="1:15">
      <c r="B31" s="13" t="s">
        <v>269</v>
      </c>
      <c r="C31" s="13" t="s">
        <v>305</v>
      </c>
      <c r="D31" s="13">
        <f>SUMIF($C$3:$C$15,$B31,G$3:G$15)-D30</f>
        <v>2.9622851032881505</v>
      </c>
      <c r="E31" s="13">
        <f t="shared" ref="E31:K31" si="1">SUMIF($C$3:$C$15,$B31,H$3:H$15)-E30</f>
        <v>2.9278294121745896</v>
      </c>
      <c r="F31" s="13">
        <f t="shared" si="1"/>
        <v>2.7297127430532599</v>
      </c>
      <c r="G31" s="13">
        <f t="shared" si="1"/>
        <v>2.4355132317499502</v>
      </c>
      <c r="H31" s="13">
        <f t="shared" si="1"/>
        <v>2.13493352283042</v>
      </c>
      <c r="I31" s="13">
        <f t="shared" si="1"/>
        <v>1.7441727211020299</v>
      </c>
      <c r="J31" s="13">
        <f t="shared" si="1"/>
        <v>1.2379276029584501</v>
      </c>
      <c r="K31" s="13">
        <f t="shared" si="1"/>
        <v>0.81428600876476986</v>
      </c>
    </row>
    <row r="32" spans="1:15">
      <c r="B32" s="13" t="s">
        <v>270</v>
      </c>
      <c r="C32" s="13" t="s">
        <v>15</v>
      </c>
      <c r="D32" s="13">
        <f>SUMIF($C$3:$C$15,$B32,G$3:G$15)-D42</f>
        <v>1.70054171663122</v>
      </c>
      <c r="E32" s="13">
        <f t="shared" ref="E32:K32" si="2">SUMIF($C$3:$C$15,$B32,H$3:H$15)-E42</f>
        <v>2.0099449002656402</v>
      </c>
      <c r="F32" s="13">
        <f t="shared" si="2"/>
        <v>2.2169697482271702</v>
      </c>
      <c r="G32" s="13">
        <f t="shared" si="2"/>
        <v>2.4521292708354898</v>
      </c>
      <c r="H32" s="13">
        <f t="shared" si="2"/>
        <v>2.34533222715352</v>
      </c>
      <c r="I32" s="13">
        <f t="shared" si="2"/>
        <v>1.89605849965568</v>
      </c>
      <c r="J32" s="13">
        <f t="shared" si="2"/>
        <v>1.33395333925425</v>
      </c>
      <c r="K32" s="13">
        <f t="shared" si="2"/>
        <v>1.00990687604987</v>
      </c>
    </row>
    <row r="33" spans="1:23">
      <c r="B33" s="13" t="s">
        <v>315</v>
      </c>
      <c r="C33" s="13" t="s">
        <v>114</v>
      </c>
      <c r="D33" s="13">
        <f t="shared" ref="D33:K41" si="3">SUMIF($C$3:$C$15,$B33,G$3:G$15)</f>
        <v>0</v>
      </c>
      <c r="E33" s="13">
        <f t="shared" si="3"/>
        <v>0</v>
      </c>
      <c r="F33" s="13">
        <f t="shared" si="3"/>
        <v>7.7929278966259996E-5</v>
      </c>
      <c r="G33" s="13">
        <f t="shared" si="3"/>
        <v>4.4521755596139502E-2</v>
      </c>
      <c r="H33" s="13">
        <f t="shared" si="3"/>
        <v>0.13854328156027901</v>
      </c>
      <c r="I33" s="13">
        <f t="shared" si="3"/>
        <v>0.30000337214880002</v>
      </c>
      <c r="J33" s="13">
        <f t="shared" si="3"/>
        <v>0.520695283601189</v>
      </c>
      <c r="K33" s="13">
        <f t="shared" si="3"/>
        <v>1.08123396042731</v>
      </c>
      <c r="R33" s="36"/>
      <c r="S33" s="36"/>
      <c r="T33" s="36"/>
      <c r="U33" s="36"/>
      <c r="V33" s="36"/>
      <c r="W33" s="36"/>
    </row>
    <row r="34" spans="1:23">
      <c r="B34" s="13" t="s">
        <v>272</v>
      </c>
      <c r="C34" s="13" t="s">
        <v>14</v>
      </c>
      <c r="D34" s="13">
        <f t="shared" si="3"/>
        <v>3.5104304109288602</v>
      </c>
      <c r="E34" s="13">
        <f t="shared" si="3"/>
        <v>3.5059196760681002</v>
      </c>
      <c r="F34" s="13">
        <f t="shared" si="3"/>
        <v>2.9905712219725999</v>
      </c>
      <c r="G34" s="13">
        <f t="shared" si="3"/>
        <v>1.8896701312072299</v>
      </c>
      <c r="H34" s="13">
        <f t="shared" si="3"/>
        <v>1.0592071235210601</v>
      </c>
      <c r="I34" s="13">
        <f t="shared" si="3"/>
        <v>0.64333211893488396</v>
      </c>
      <c r="J34" s="13">
        <f t="shared" si="3"/>
        <v>0.41789485424932399</v>
      </c>
      <c r="K34" s="13">
        <f t="shared" si="3"/>
        <v>0.26920554674699998</v>
      </c>
    </row>
    <row r="35" spans="1:23">
      <c r="B35" s="13" t="s">
        <v>317</v>
      </c>
      <c r="C35" s="13" t="s">
        <v>115</v>
      </c>
      <c r="D35" s="13">
        <f t="shared" si="3"/>
        <v>0</v>
      </c>
      <c r="E35" s="13">
        <f t="shared" si="3"/>
        <v>0</v>
      </c>
      <c r="F35" s="13">
        <f t="shared" si="3"/>
        <v>1.23417125059402E-3</v>
      </c>
      <c r="G35" s="13">
        <f t="shared" si="3"/>
        <v>6.2554059082802604E-3</v>
      </c>
      <c r="H35" s="13">
        <f t="shared" si="3"/>
        <v>1.7020098677085201E-2</v>
      </c>
      <c r="I35" s="13">
        <f t="shared" si="3"/>
        <v>2.9625779551979099E-2</v>
      </c>
      <c r="J35" s="13">
        <f t="shared" si="3"/>
        <v>4.0475538674151497E-2</v>
      </c>
      <c r="K35" s="13">
        <f t="shared" si="3"/>
        <v>4.66451139340942E-2</v>
      </c>
    </row>
    <row r="36" spans="1:23">
      <c r="B36" s="13" t="s">
        <v>273</v>
      </c>
      <c r="C36" s="13" t="s">
        <v>13</v>
      </c>
      <c r="D36" s="13">
        <f t="shared" si="3"/>
        <v>0.28713689612514698</v>
      </c>
      <c r="E36" s="13">
        <f t="shared" si="3"/>
        <v>0.386308260397981</v>
      </c>
      <c r="F36" s="13">
        <f t="shared" si="3"/>
        <v>0.48814339537273399</v>
      </c>
      <c r="G36" s="13">
        <f t="shared" si="3"/>
        <v>0.68054186468826305</v>
      </c>
      <c r="H36" s="13">
        <f t="shared" si="3"/>
        <v>0.84408788228955101</v>
      </c>
      <c r="I36" s="13">
        <f t="shared" si="3"/>
        <v>0.68703805122695705</v>
      </c>
      <c r="J36" s="13">
        <f t="shared" si="3"/>
        <v>0.399138721170192</v>
      </c>
      <c r="K36" s="13">
        <f t="shared" si="3"/>
        <v>0.325229745088495</v>
      </c>
    </row>
    <row r="37" spans="1:23">
      <c r="B37" s="13" t="s">
        <v>318</v>
      </c>
      <c r="C37" s="13" t="s">
        <v>113</v>
      </c>
      <c r="D37" s="13">
        <f t="shared" si="3"/>
        <v>0</v>
      </c>
      <c r="E37" s="13">
        <f t="shared" si="3"/>
        <v>0</v>
      </c>
      <c r="F37" s="13">
        <f t="shared" si="3"/>
        <v>1.2769327858119101E-4</v>
      </c>
      <c r="G37" s="13">
        <f t="shared" si="3"/>
        <v>4.7816312274216698E-3</v>
      </c>
      <c r="H37" s="13">
        <f t="shared" si="3"/>
        <v>9.5919858322816298E-2</v>
      </c>
      <c r="I37" s="13">
        <f t="shared" si="3"/>
        <v>0.410040245539396</v>
      </c>
      <c r="J37" s="13">
        <f t="shared" si="3"/>
        <v>0.86523156509796595</v>
      </c>
      <c r="K37" s="13">
        <f t="shared" si="3"/>
        <v>1.0986842899222999</v>
      </c>
    </row>
    <row r="38" spans="1:23">
      <c r="B38" s="13" t="s">
        <v>274</v>
      </c>
      <c r="C38" s="13" t="s">
        <v>281</v>
      </c>
      <c r="D38" s="13">
        <f t="shared" si="3"/>
        <v>0.62173560623242197</v>
      </c>
      <c r="E38" s="13">
        <f t="shared" si="3"/>
        <v>0.60787400344570697</v>
      </c>
      <c r="F38" s="13">
        <f t="shared" si="3"/>
        <v>0.58998876348236895</v>
      </c>
      <c r="G38" s="13">
        <f t="shared" si="3"/>
        <v>0.55923584242229496</v>
      </c>
      <c r="H38" s="13">
        <f t="shared" si="3"/>
        <v>0.52551016940449902</v>
      </c>
      <c r="I38" s="13">
        <f t="shared" si="3"/>
        <v>0.48464707018737802</v>
      </c>
      <c r="J38" s="13">
        <f t="shared" si="3"/>
        <v>0.43908723806209199</v>
      </c>
      <c r="K38" s="13">
        <f t="shared" si="3"/>
        <v>0.390517597941198</v>
      </c>
    </row>
    <row r="39" spans="1:23">
      <c r="B39" s="13" t="s">
        <v>275</v>
      </c>
      <c r="C39" s="13" t="s">
        <v>284</v>
      </c>
      <c r="D39" s="13">
        <f t="shared" si="3"/>
        <v>1.4095104245100701E-2</v>
      </c>
      <c r="E39" s="13">
        <f t="shared" si="3"/>
        <v>1.1447987866311999E-2</v>
      </c>
      <c r="F39" s="13">
        <f t="shared" si="3"/>
        <v>1.46917935961296E-2</v>
      </c>
      <c r="G39" s="13">
        <f t="shared" si="3"/>
        <v>1.7901625587454E-2</v>
      </c>
      <c r="H39" s="13">
        <f t="shared" si="3"/>
        <v>2.1006709650374999E-2</v>
      </c>
      <c r="I39" s="13">
        <f t="shared" si="3"/>
        <v>2.3989859657026099E-2</v>
      </c>
      <c r="J39" s="13">
        <f t="shared" si="3"/>
        <v>2.69986921541631E-2</v>
      </c>
      <c r="K39" s="13">
        <f t="shared" si="3"/>
        <v>3.0013036565270601E-2</v>
      </c>
    </row>
    <row r="40" spans="1:23">
      <c r="B40" s="13" t="s">
        <v>276</v>
      </c>
      <c r="C40" s="13" t="s">
        <v>285</v>
      </c>
      <c r="D40" s="13">
        <f t="shared" si="3"/>
        <v>5.0640868883812199E-3</v>
      </c>
      <c r="E40" s="13">
        <f t="shared" si="3"/>
        <v>2.01552593773619E-2</v>
      </c>
      <c r="F40" s="13">
        <f t="shared" si="3"/>
        <v>7.9977375424057098E-2</v>
      </c>
      <c r="G40" s="13">
        <f t="shared" si="3"/>
        <v>0.24961434745609401</v>
      </c>
      <c r="H40" s="13">
        <f t="shared" si="3"/>
        <v>0.45348351310136797</v>
      </c>
      <c r="I40" s="13">
        <f t="shared" si="3"/>
        <v>0.69240246550765505</v>
      </c>
      <c r="J40" s="13">
        <f t="shared" si="3"/>
        <v>0.95704504204688501</v>
      </c>
      <c r="K40" s="13">
        <f t="shared" si="3"/>
        <v>1.1939641436613599</v>
      </c>
    </row>
    <row r="41" spans="1:23">
      <c r="B41" s="13" t="s">
        <v>277</v>
      </c>
      <c r="C41" s="13" t="s">
        <v>286</v>
      </c>
      <c r="D41" s="13">
        <f t="shared" si="3"/>
        <v>1.4999830628544399E-2</v>
      </c>
      <c r="E41" s="13">
        <f t="shared" si="3"/>
        <v>6.2225746057826499E-2</v>
      </c>
      <c r="F41" s="13">
        <f t="shared" si="3"/>
        <v>0.177844919838935</v>
      </c>
      <c r="G41" s="13">
        <f t="shared" si="3"/>
        <v>0.35902498946892603</v>
      </c>
      <c r="H41" s="13">
        <f t="shared" si="3"/>
        <v>0.54165004820137996</v>
      </c>
      <c r="I41" s="13">
        <f t="shared" si="3"/>
        <v>0.790103072014675</v>
      </c>
      <c r="J41" s="13">
        <f t="shared" si="3"/>
        <v>1.10128686447109</v>
      </c>
      <c r="K41" s="13">
        <f t="shared" si="3"/>
        <v>1.3985670729498301</v>
      </c>
    </row>
    <row r="42" spans="1:23">
      <c r="C42" s="13" t="s">
        <v>325</v>
      </c>
      <c r="D42" s="13">
        <f>G52</f>
        <v>0</v>
      </c>
      <c r="E42" s="13">
        <f t="shared" ref="E42:K42" si="4">H52</f>
        <v>0</v>
      </c>
      <c r="F42" s="13">
        <f t="shared" si="4"/>
        <v>0</v>
      </c>
      <c r="G42" s="13">
        <f t="shared" si="4"/>
        <v>0</v>
      </c>
      <c r="H42" s="13">
        <f t="shared" si="4"/>
        <v>0</v>
      </c>
      <c r="I42" s="13">
        <f t="shared" si="4"/>
        <v>2.47655E-6</v>
      </c>
      <c r="J42" s="13">
        <f t="shared" si="4"/>
        <v>9.6880234E-4</v>
      </c>
      <c r="K42" s="13">
        <f t="shared" si="4"/>
        <v>0.36011688312000001</v>
      </c>
    </row>
    <row r="45" spans="1:23">
      <c r="A45" s="1" t="s">
        <v>121</v>
      </c>
    </row>
    <row r="46" spans="1:23">
      <c r="A46" s="31" t="s">
        <v>8</v>
      </c>
      <c r="B46" s="13" t="s">
        <v>9</v>
      </c>
      <c r="C46" s="13" t="s">
        <v>10</v>
      </c>
      <c r="D46" s="13">
        <v>1990</v>
      </c>
      <c r="E46" s="13">
        <v>2005</v>
      </c>
      <c r="F46" s="13">
        <v>2010</v>
      </c>
      <c r="G46" s="13">
        <v>2015</v>
      </c>
      <c r="H46" s="13">
        <v>2020</v>
      </c>
      <c r="I46" s="13">
        <v>2025</v>
      </c>
      <c r="J46" s="13">
        <v>2030</v>
      </c>
      <c r="K46" s="13">
        <v>2035</v>
      </c>
      <c r="L46" s="13">
        <v>2040</v>
      </c>
      <c r="M46" s="13">
        <v>2045</v>
      </c>
      <c r="N46" s="13">
        <v>2050</v>
      </c>
      <c r="O46" s="13" t="s">
        <v>76</v>
      </c>
    </row>
    <row r="47" spans="1:23">
      <c r="A47" s="13" t="s">
        <v>337</v>
      </c>
      <c r="B47" s="13" t="s">
        <v>1</v>
      </c>
      <c r="C47" s="13" t="s">
        <v>57</v>
      </c>
      <c r="D47" s="13">
        <v>6.4985299999999996E-2</v>
      </c>
      <c r="E47" s="13">
        <v>0.12297479</v>
      </c>
      <c r="F47" s="13">
        <v>0.16385319999999901</v>
      </c>
      <c r="G47" s="13">
        <v>0.23484740000000001</v>
      </c>
      <c r="H47" s="13">
        <v>0.25816597899999899</v>
      </c>
      <c r="I47" s="13">
        <v>0.26914967049999999</v>
      </c>
      <c r="J47" s="13">
        <v>0.28701316579999903</v>
      </c>
      <c r="K47" s="13">
        <v>0.34830238939999902</v>
      </c>
      <c r="L47" s="13">
        <v>0.32228199611000002</v>
      </c>
      <c r="M47" s="13">
        <v>0.28380272251999999</v>
      </c>
      <c r="N47" s="13">
        <v>0.23906496513</v>
      </c>
      <c r="O47" s="13" t="s">
        <v>78</v>
      </c>
    </row>
    <row r="48" spans="1:23">
      <c r="A48" s="13" t="s">
        <v>337</v>
      </c>
      <c r="B48" s="13" t="s">
        <v>1</v>
      </c>
      <c r="C48" s="13" t="s">
        <v>58</v>
      </c>
      <c r="D48" s="13">
        <v>0.9393783</v>
      </c>
      <c r="E48" s="13">
        <v>0.86327980000000004</v>
      </c>
      <c r="F48" s="13">
        <v>1.0777254999999999</v>
      </c>
      <c r="G48" s="13">
        <v>1.3421124</v>
      </c>
      <c r="H48" s="13">
        <v>1.50039218</v>
      </c>
      <c r="I48" s="13">
        <v>1.39120763271</v>
      </c>
      <c r="J48" s="13">
        <v>1.1843942567899901</v>
      </c>
      <c r="K48" s="13">
        <v>0.86955564380999995</v>
      </c>
      <c r="L48" s="13">
        <v>0.57670362414999998</v>
      </c>
      <c r="M48" s="13">
        <v>0.368818163668999</v>
      </c>
      <c r="N48" s="13">
        <v>0.22779904660299899</v>
      </c>
      <c r="O48" s="13" t="s">
        <v>78</v>
      </c>
    </row>
    <row r="49" spans="1:15">
      <c r="A49" s="13" t="s">
        <v>337</v>
      </c>
      <c r="B49" s="13" t="s">
        <v>1</v>
      </c>
      <c r="C49" s="13" t="s">
        <v>59</v>
      </c>
      <c r="D49" s="13">
        <v>0.33981924468000002</v>
      </c>
      <c r="E49" s="13">
        <v>1.2785538596599999</v>
      </c>
      <c r="F49" s="13">
        <v>1.6178942949299999</v>
      </c>
      <c r="G49" s="13">
        <v>1.7799466531999999</v>
      </c>
      <c r="H49" s="13">
        <v>1.8398313606200001</v>
      </c>
      <c r="I49" s="13">
        <v>1.93403595561</v>
      </c>
      <c r="J49" s="13">
        <v>2.0315039780399999</v>
      </c>
      <c r="K49" s="13">
        <v>2.1327528770600002</v>
      </c>
      <c r="L49" s="13">
        <v>2.29956157776693</v>
      </c>
      <c r="M49" s="13">
        <v>2.5113291076990398</v>
      </c>
      <c r="N49" s="13">
        <v>2.7970742949321399</v>
      </c>
      <c r="O49" s="13" t="s">
        <v>78</v>
      </c>
    </row>
    <row r="50" spans="1:15">
      <c r="A50" s="13" t="s">
        <v>337</v>
      </c>
      <c r="B50" s="13" t="s">
        <v>1</v>
      </c>
      <c r="C50" s="13" t="s">
        <v>60</v>
      </c>
      <c r="D50" s="13">
        <v>2.95950348981E-2</v>
      </c>
      <c r="E50" s="13">
        <v>0.70970721789999902</v>
      </c>
      <c r="F50" s="13">
        <v>0.88725523735</v>
      </c>
      <c r="G50" s="13">
        <v>0.89976703438999905</v>
      </c>
      <c r="H50" s="13">
        <v>1.04751927808</v>
      </c>
      <c r="I50" s="13">
        <v>1.10814634970099</v>
      </c>
      <c r="J50" s="13">
        <v>1.16162889789699</v>
      </c>
      <c r="K50" s="13">
        <v>1.159464955956</v>
      </c>
      <c r="L50" s="13">
        <v>1.0612090903212901</v>
      </c>
      <c r="M50" s="13">
        <v>0.91766815632799903</v>
      </c>
      <c r="N50" s="13">
        <v>1.1056033300500001</v>
      </c>
      <c r="O50" s="13" t="s">
        <v>78</v>
      </c>
    </row>
    <row r="51" spans="1:15">
      <c r="A51" s="13" t="s">
        <v>337</v>
      </c>
      <c r="B51" s="13" t="s">
        <v>1</v>
      </c>
      <c r="C51" s="13" t="s">
        <v>65</v>
      </c>
      <c r="D51" s="13">
        <v>0</v>
      </c>
      <c r="E51" s="13">
        <v>0</v>
      </c>
      <c r="F51" s="13">
        <v>0</v>
      </c>
      <c r="G51" s="13">
        <v>0</v>
      </c>
      <c r="H51" s="13">
        <v>1.8397675099999899E-3</v>
      </c>
      <c r="I51" s="13">
        <v>3.3984506859999999E-2</v>
      </c>
      <c r="J51" s="13">
        <v>0.11495834658</v>
      </c>
      <c r="K51" s="13">
        <v>0.22596383989999999</v>
      </c>
      <c r="L51" s="13">
        <v>0.35468161366999901</v>
      </c>
      <c r="M51" s="13">
        <v>0.48124278512999902</v>
      </c>
      <c r="N51" s="13">
        <v>0.59262906834999995</v>
      </c>
      <c r="O51" s="13" t="s">
        <v>78</v>
      </c>
    </row>
    <row r="52" spans="1:15">
      <c r="A52" s="13" t="s">
        <v>337</v>
      </c>
      <c r="B52" s="13" t="s">
        <v>1</v>
      </c>
      <c r="C52" s="13" t="s">
        <v>190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4">
        <v>0</v>
      </c>
      <c r="J52" s="14">
        <v>0</v>
      </c>
      <c r="K52" s="14">
        <v>0</v>
      </c>
      <c r="L52" s="14">
        <v>2.47655E-6</v>
      </c>
      <c r="M52" s="14">
        <v>9.6880234E-4</v>
      </c>
      <c r="N52" s="13">
        <v>0.36011688312000001</v>
      </c>
      <c r="O52" s="13" t="s">
        <v>78</v>
      </c>
    </row>
    <row r="53" spans="1:15">
      <c r="A53" s="13" t="s">
        <v>337</v>
      </c>
      <c r="B53" s="13" t="s">
        <v>1</v>
      </c>
      <c r="C53" s="13" t="s">
        <v>19</v>
      </c>
      <c r="D53" s="13">
        <v>1.9055001466599899</v>
      </c>
      <c r="E53" s="13">
        <v>3.9546848334</v>
      </c>
      <c r="F53" s="13">
        <v>4.0586798100500001</v>
      </c>
      <c r="G53" s="13">
        <v>4.4023892890099896</v>
      </c>
      <c r="H53" s="13">
        <v>4.5080152339300001</v>
      </c>
      <c r="I53" s="13">
        <v>4.3327327651793999</v>
      </c>
      <c r="J53" s="13">
        <v>4.0494676400814997</v>
      </c>
      <c r="K53" s="13">
        <v>3.7518002040712002</v>
      </c>
      <c r="L53" s="13">
        <v>3.3911958577964998</v>
      </c>
      <c r="M53" s="13">
        <v>3.06499639075999</v>
      </c>
      <c r="N53" s="13">
        <v>2.7588058901251999</v>
      </c>
      <c r="O53" s="13" t="s">
        <v>78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0A166-46F7-48CD-9E7E-410485D5B37D}">
  <dimension ref="A1:AX87"/>
  <sheetViews>
    <sheetView topLeftCell="A19" zoomScale="55" zoomScaleNormal="55" workbookViewId="0">
      <selection activeCell="F48" sqref="F48:M48"/>
    </sheetView>
  </sheetViews>
  <sheetFormatPr defaultRowHeight="17.399999999999999"/>
  <cols>
    <col min="5" max="5" width="23.69921875" bestFit="1" customWidth="1"/>
  </cols>
  <sheetData>
    <row r="1" spans="1:35" s="62" customFormat="1">
      <c r="A1" s="62" t="s">
        <v>505</v>
      </c>
    </row>
    <row r="2" spans="1:35">
      <c r="A2" s="1" t="s">
        <v>304</v>
      </c>
    </row>
    <row r="3" spans="1:35">
      <c r="A3" t="s">
        <v>8</v>
      </c>
      <c r="B3" t="s">
        <v>9</v>
      </c>
      <c r="C3" t="s">
        <v>40</v>
      </c>
      <c r="D3" t="s">
        <v>41</v>
      </c>
      <c r="E3" t="s">
        <v>42</v>
      </c>
      <c r="F3">
        <v>1990</v>
      </c>
      <c r="G3">
        <v>2005</v>
      </c>
      <c r="H3">
        <v>2010</v>
      </c>
      <c r="I3">
        <v>2015</v>
      </c>
      <c r="J3">
        <v>2020</v>
      </c>
      <c r="K3" s="13">
        <v>2025</v>
      </c>
      <c r="L3" s="13">
        <v>2030</v>
      </c>
      <c r="M3" s="13">
        <v>2035</v>
      </c>
      <c r="N3" s="13">
        <v>2040</v>
      </c>
      <c r="O3" s="13">
        <v>2045</v>
      </c>
      <c r="P3" s="13">
        <v>2050</v>
      </c>
      <c r="Y3" s="13">
        <v>1990</v>
      </c>
      <c r="Z3" s="13">
        <v>2005</v>
      </c>
      <c r="AA3" s="13">
        <v>2010</v>
      </c>
      <c r="AB3" s="13">
        <v>2015</v>
      </c>
      <c r="AC3" s="13">
        <v>2020</v>
      </c>
      <c r="AD3" s="13">
        <v>2025</v>
      </c>
      <c r="AE3" s="13">
        <v>2030</v>
      </c>
      <c r="AF3" s="13">
        <v>2035</v>
      </c>
      <c r="AG3" s="13">
        <v>2040</v>
      </c>
      <c r="AH3" s="13">
        <v>2045</v>
      </c>
      <c r="AI3" s="13">
        <v>2050</v>
      </c>
    </row>
    <row r="4" spans="1:35">
      <c r="A4" s="13" t="s">
        <v>606</v>
      </c>
      <c r="B4" s="13" t="s">
        <v>1</v>
      </c>
      <c r="C4" s="13" t="s">
        <v>57</v>
      </c>
      <c r="D4" s="13" t="s">
        <v>59</v>
      </c>
      <c r="E4" s="13" t="s">
        <v>287</v>
      </c>
      <c r="F4" s="62">
        <v>0</v>
      </c>
      <c r="G4" s="62">
        <v>0</v>
      </c>
      <c r="H4" s="62">
        <v>0</v>
      </c>
      <c r="I4" s="62">
        <v>0</v>
      </c>
      <c r="J4" s="62">
        <v>0</v>
      </c>
      <c r="K4" s="62">
        <v>2.61021E-3</v>
      </c>
      <c r="L4" s="62">
        <v>4.7752599999999999E-3</v>
      </c>
      <c r="M4" s="62">
        <v>8.3040800000000001E-3</v>
      </c>
      <c r="N4" s="62">
        <v>1.2586999999999999E-2</v>
      </c>
      <c r="O4" s="62">
        <v>2.0522700000000001E-2</v>
      </c>
      <c r="P4" s="62">
        <v>2.7657600000000001E-2</v>
      </c>
      <c r="S4" t="s">
        <v>426</v>
      </c>
      <c r="T4" t="s">
        <v>1</v>
      </c>
      <c r="U4" t="s">
        <v>68</v>
      </c>
      <c r="V4" t="s">
        <v>57</v>
      </c>
      <c r="W4" t="s">
        <v>59</v>
      </c>
      <c r="X4" t="s">
        <v>69</v>
      </c>
      <c r="Y4">
        <v>0</v>
      </c>
      <c r="Z4" s="14">
        <v>4.2802299999999998E-4</v>
      </c>
      <c r="AA4" s="14">
        <v>8.2357600000000002E-4</v>
      </c>
      <c r="AB4" s="14">
        <v>8.4944299999999996E-4</v>
      </c>
      <c r="AC4">
        <v>1.022387E-3</v>
      </c>
      <c r="AD4">
        <v>1.246893E-3</v>
      </c>
      <c r="AE4">
        <v>1.4356E-3</v>
      </c>
      <c r="AF4">
        <v>1.72152E-3</v>
      </c>
      <c r="AG4">
        <v>2.0295636000000001E-3</v>
      </c>
      <c r="AH4">
        <v>2.1040654999999902E-3</v>
      </c>
      <c r="AI4">
        <v>2.03900684E-3</v>
      </c>
    </row>
    <row r="5" spans="1:35">
      <c r="A5" s="13" t="s">
        <v>606</v>
      </c>
      <c r="B5" s="13" t="s">
        <v>1</v>
      </c>
      <c r="C5" s="13" t="s">
        <v>57</v>
      </c>
      <c r="D5" s="13" t="s">
        <v>59</v>
      </c>
      <c r="E5" s="13" t="s">
        <v>288</v>
      </c>
      <c r="F5" s="62">
        <v>0</v>
      </c>
      <c r="G5" s="63">
        <v>1.62005E-4</v>
      </c>
      <c r="H5" s="62">
        <v>1.2455999999999999E-3</v>
      </c>
      <c r="I5" s="62">
        <v>8.3685600000000006E-3</v>
      </c>
      <c r="J5" s="62">
        <v>1.96116E-2</v>
      </c>
      <c r="K5" s="62">
        <v>2.8612700000000001E-2</v>
      </c>
      <c r="L5" s="62">
        <v>3.6789000000000002E-2</v>
      </c>
      <c r="M5" s="62">
        <v>4.7304300000000001E-2</v>
      </c>
      <c r="N5" s="62">
        <v>5.80788E-2</v>
      </c>
      <c r="O5" s="62">
        <v>7.6177499999999995E-2</v>
      </c>
      <c r="P5" s="62">
        <v>9.2174800000000001E-2</v>
      </c>
      <c r="S5" t="s">
        <v>426</v>
      </c>
      <c r="T5" t="s">
        <v>1</v>
      </c>
      <c r="U5" t="s">
        <v>68</v>
      </c>
      <c r="V5" t="s">
        <v>58</v>
      </c>
      <c r="W5" t="s">
        <v>59</v>
      </c>
      <c r="X5" t="s">
        <v>70</v>
      </c>
      <c r="Y5">
        <v>2.1196199999999998E-2</v>
      </c>
      <c r="Z5">
        <v>5.2950900000000002E-2</v>
      </c>
      <c r="AA5">
        <v>6.7626000000000006E-2</v>
      </c>
      <c r="AB5">
        <v>7.4225700000000006E-2</v>
      </c>
      <c r="AC5">
        <v>8.8166799999999906E-2</v>
      </c>
      <c r="AD5">
        <v>0.1062181</v>
      </c>
      <c r="AE5">
        <v>0.119649199999999</v>
      </c>
      <c r="AF5">
        <v>0.13833239999999999</v>
      </c>
      <c r="AG5">
        <v>0.16468530000000001</v>
      </c>
      <c r="AH5">
        <v>0.1753634</v>
      </c>
      <c r="AI5">
        <v>0.175947359</v>
      </c>
    </row>
    <row r="6" spans="1:35">
      <c r="A6" s="13" t="s">
        <v>606</v>
      </c>
      <c r="B6" s="13" t="s">
        <v>1</v>
      </c>
      <c r="C6" s="13" t="s">
        <v>58</v>
      </c>
      <c r="D6" s="13" t="s">
        <v>59</v>
      </c>
      <c r="E6" s="13" t="s">
        <v>289</v>
      </c>
      <c r="F6" s="62">
        <v>4.2373399999999999E-2</v>
      </c>
      <c r="G6" s="62">
        <v>0.48267300000000002</v>
      </c>
      <c r="H6" s="62">
        <v>0.72176600000000002</v>
      </c>
      <c r="I6" s="62">
        <v>0.77706699999999995</v>
      </c>
      <c r="J6" s="62">
        <v>0.80011200000000005</v>
      </c>
      <c r="K6" s="62">
        <v>0.87795900000000004</v>
      </c>
      <c r="L6" s="62">
        <v>0.78911900000000001</v>
      </c>
      <c r="M6" s="62">
        <v>0.68927400000000005</v>
      </c>
      <c r="N6" s="62">
        <v>0.58687</v>
      </c>
      <c r="O6" s="62">
        <v>0.28233599999999998</v>
      </c>
      <c r="P6" s="62">
        <v>0.130465</v>
      </c>
      <c r="S6" t="s">
        <v>426</v>
      </c>
      <c r="T6" t="s">
        <v>1</v>
      </c>
      <c r="U6" t="s">
        <v>68</v>
      </c>
      <c r="V6" t="s">
        <v>60</v>
      </c>
      <c r="W6" t="s">
        <v>59</v>
      </c>
      <c r="X6" t="s">
        <v>71</v>
      </c>
      <c r="Y6">
        <v>0</v>
      </c>
      <c r="Z6">
        <v>1.11745E-2</v>
      </c>
      <c r="AA6">
        <v>7.9107899999999991E-3</v>
      </c>
      <c r="AB6">
        <v>1.08273E-2</v>
      </c>
      <c r="AC6">
        <v>1.256057E-2</v>
      </c>
      <c r="AD6">
        <v>1.478318E-2</v>
      </c>
      <c r="AE6">
        <v>1.653433E-2</v>
      </c>
      <c r="AF6">
        <v>1.904401E-2</v>
      </c>
      <c r="AG6">
        <v>2.0624300999999901E-2</v>
      </c>
      <c r="AH6">
        <v>2.0933046999999899E-2</v>
      </c>
      <c r="AI6">
        <v>2.0102184400000001E-2</v>
      </c>
    </row>
    <row r="7" spans="1:35">
      <c r="A7" s="13" t="s">
        <v>606</v>
      </c>
      <c r="B7" s="13" t="s">
        <v>1</v>
      </c>
      <c r="C7" s="13" t="s">
        <v>60</v>
      </c>
      <c r="D7" s="13" t="s">
        <v>59</v>
      </c>
      <c r="E7" s="13" t="s">
        <v>290</v>
      </c>
      <c r="F7" s="62">
        <v>2.6982099999999998E-2</v>
      </c>
      <c r="G7" s="62">
        <v>0.20272799999999999</v>
      </c>
      <c r="H7" s="62">
        <v>0.264735</v>
      </c>
      <c r="I7" s="62">
        <v>0.429705</v>
      </c>
      <c r="J7" s="62">
        <v>0.515158</v>
      </c>
      <c r="K7" s="62">
        <v>0.60483500000000001</v>
      </c>
      <c r="L7" s="62">
        <v>0.70938199999999996</v>
      </c>
      <c r="M7" s="62">
        <v>0.83203499999999997</v>
      </c>
      <c r="N7" s="62">
        <v>0.92095400000000005</v>
      </c>
      <c r="O7" s="62">
        <v>1.15629</v>
      </c>
      <c r="P7" s="62">
        <v>1.3412500000000001</v>
      </c>
      <c r="S7" t="s">
        <v>426</v>
      </c>
      <c r="T7" t="s">
        <v>1</v>
      </c>
      <c r="U7" t="s">
        <v>68</v>
      </c>
      <c r="V7" t="s">
        <v>65</v>
      </c>
      <c r="W7" t="s">
        <v>59</v>
      </c>
      <c r="X7" t="s">
        <v>72</v>
      </c>
      <c r="Y7">
        <v>0</v>
      </c>
      <c r="Z7">
        <v>0</v>
      </c>
      <c r="AA7">
        <v>0</v>
      </c>
      <c r="AB7">
        <v>0</v>
      </c>
      <c r="AC7" s="14">
        <v>1.2447599999999999E-4</v>
      </c>
      <c r="AD7" s="14">
        <v>5.1195600000000004E-4</v>
      </c>
      <c r="AE7">
        <v>1.2810230000000001E-3</v>
      </c>
      <c r="AF7">
        <v>3.3440039999999998E-3</v>
      </c>
      <c r="AG7">
        <v>5.8365357999999997E-3</v>
      </c>
      <c r="AH7">
        <v>7.5733442999999998E-3</v>
      </c>
      <c r="AI7">
        <v>8.6006409300000003E-3</v>
      </c>
    </row>
    <row r="8" spans="1:35">
      <c r="A8" s="13" t="s">
        <v>606</v>
      </c>
      <c r="B8" s="13" t="s">
        <v>1</v>
      </c>
      <c r="C8" s="13" t="s">
        <v>60</v>
      </c>
      <c r="D8" s="13" t="s">
        <v>59</v>
      </c>
      <c r="E8" s="13" t="s">
        <v>291</v>
      </c>
      <c r="F8" s="62">
        <v>7.5933800000000003E-3</v>
      </c>
      <c r="G8" s="62">
        <v>1.0336700000000001E-2</v>
      </c>
      <c r="H8" s="62">
        <v>0.10074</v>
      </c>
      <c r="I8" s="62">
        <v>3.6182599999999999E-3</v>
      </c>
      <c r="J8" s="62">
        <v>3.5415099999999999E-3</v>
      </c>
      <c r="K8" s="62">
        <v>2.89945E-3</v>
      </c>
      <c r="L8" s="62">
        <v>3.0030299999999998E-3</v>
      </c>
      <c r="M8" s="62">
        <v>2.3672400000000001E-3</v>
      </c>
      <c r="N8" s="62">
        <v>1.62637E-3</v>
      </c>
      <c r="O8" s="63">
        <v>9.6636200000000002E-4</v>
      </c>
      <c r="P8" s="62">
        <v>0</v>
      </c>
      <c r="S8" t="s">
        <v>426</v>
      </c>
      <c r="T8" t="s">
        <v>1</v>
      </c>
      <c r="U8" t="s">
        <v>68</v>
      </c>
      <c r="V8" t="s">
        <v>19</v>
      </c>
      <c r="W8" t="s">
        <v>59</v>
      </c>
      <c r="X8" t="s">
        <v>73</v>
      </c>
      <c r="Y8">
        <v>0</v>
      </c>
      <c r="Z8">
        <v>1.7814E-2</v>
      </c>
      <c r="AA8">
        <v>1.42928E-2</v>
      </c>
      <c r="AB8">
        <v>6.9559899999999996E-3</v>
      </c>
      <c r="AC8">
        <v>7.8067099999999997E-3</v>
      </c>
      <c r="AD8">
        <v>8.8340799999999994E-3</v>
      </c>
      <c r="AE8">
        <v>9.5564369999999992E-3</v>
      </c>
      <c r="AF8">
        <v>1.0407636E-2</v>
      </c>
      <c r="AG8">
        <v>1.1339738E-2</v>
      </c>
      <c r="AH8">
        <v>1.1619340000000001E-2</v>
      </c>
      <c r="AI8">
        <v>1.16054296E-2</v>
      </c>
    </row>
    <row r="9" spans="1:35">
      <c r="A9" s="13" t="s">
        <v>606</v>
      </c>
      <c r="B9" s="13" t="s">
        <v>1</v>
      </c>
      <c r="C9" s="13" t="s">
        <v>282</v>
      </c>
      <c r="D9" s="13" t="s">
        <v>59</v>
      </c>
      <c r="E9" s="13" t="s">
        <v>282</v>
      </c>
      <c r="F9" s="62">
        <v>2.2899599999999999E-2</v>
      </c>
      <c r="G9" s="62">
        <v>1.32228E-2</v>
      </c>
      <c r="H9" s="62">
        <v>1.39644E-2</v>
      </c>
      <c r="I9" s="62">
        <v>1.3438800000000001E-2</v>
      </c>
      <c r="J9" s="62">
        <v>1.0840799999999999E-2</v>
      </c>
      <c r="K9" s="62">
        <v>1.3956E-2</v>
      </c>
      <c r="L9" s="62">
        <v>1.7071200000000002E-2</v>
      </c>
      <c r="M9" s="62">
        <v>2.01864E-2</v>
      </c>
      <c r="N9" s="62">
        <v>2.3301700000000002E-2</v>
      </c>
      <c r="O9" s="62">
        <v>2.64169E-2</v>
      </c>
      <c r="P9" s="62">
        <v>2.9532099999999999E-2</v>
      </c>
    </row>
    <row r="10" spans="1:35">
      <c r="A10" s="13" t="s">
        <v>606</v>
      </c>
      <c r="B10" s="13" t="s">
        <v>1</v>
      </c>
      <c r="C10" s="13" t="s">
        <v>292</v>
      </c>
      <c r="D10" s="13" t="s">
        <v>59</v>
      </c>
      <c r="E10" s="13" t="s">
        <v>293</v>
      </c>
      <c r="F10" s="62">
        <v>0</v>
      </c>
      <c r="G10" s="62">
        <v>0</v>
      </c>
      <c r="H10" s="62">
        <v>0</v>
      </c>
      <c r="I10" s="62">
        <v>0</v>
      </c>
      <c r="J10" s="62">
        <v>2.40515E-2</v>
      </c>
      <c r="K10" s="62">
        <v>6.64994E-2</v>
      </c>
      <c r="L10" s="62">
        <v>6.64994E-2</v>
      </c>
      <c r="M10" s="62">
        <v>6.64994E-2</v>
      </c>
      <c r="N10" s="62">
        <v>6.64994E-2</v>
      </c>
      <c r="O10" s="62">
        <v>6.64994E-2</v>
      </c>
      <c r="P10" s="62">
        <v>6.64994E-2</v>
      </c>
    </row>
    <row r="11" spans="1:35">
      <c r="A11" s="13" t="s">
        <v>606</v>
      </c>
      <c r="B11" s="13" t="s">
        <v>1</v>
      </c>
      <c r="C11" s="13" t="s">
        <v>292</v>
      </c>
      <c r="D11" s="13" t="s">
        <v>59</v>
      </c>
      <c r="E11" s="13" t="s">
        <v>294</v>
      </c>
      <c r="F11" s="62">
        <v>0.19039900000000001</v>
      </c>
      <c r="G11" s="62">
        <v>0.52841899999999997</v>
      </c>
      <c r="H11" s="62">
        <v>0.534945</v>
      </c>
      <c r="I11" s="62">
        <v>0.59278600000000004</v>
      </c>
      <c r="J11" s="62">
        <v>0.547817</v>
      </c>
      <c r="K11" s="62">
        <v>0.522123</v>
      </c>
      <c r="L11" s="62">
        <v>0.48464600000000002</v>
      </c>
      <c r="M11" s="62">
        <v>0.433361</v>
      </c>
      <c r="N11" s="62">
        <v>0.36898500000000001</v>
      </c>
      <c r="O11" s="62">
        <v>0.29639300000000002</v>
      </c>
      <c r="P11" s="62">
        <v>0.2238</v>
      </c>
    </row>
    <row r="12" spans="1:35">
      <c r="A12" s="13" t="s">
        <v>606</v>
      </c>
      <c r="B12" s="13" t="s">
        <v>1</v>
      </c>
      <c r="C12" s="13" t="s">
        <v>19</v>
      </c>
      <c r="D12" s="13" t="s">
        <v>59</v>
      </c>
      <c r="E12" s="13" t="s">
        <v>295</v>
      </c>
      <c r="F12" s="62">
        <v>6.7887400000000001E-2</v>
      </c>
      <c r="G12" s="62">
        <v>7.5749700000000003E-2</v>
      </c>
      <c r="H12" s="62">
        <v>5.3866700000000003E-2</v>
      </c>
      <c r="I12" s="62">
        <v>3.8082999999999999E-2</v>
      </c>
      <c r="J12" s="62">
        <v>9.0169900000000008E-3</v>
      </c>
      <c r="K12" s="62">
        <v>8.8082200000000003E-3</v>
      </c>
      <c r="L12" s="62">
        <v>1.0178100000000001E-2</v>
      </c>
      <c r="M12" s="62">
        <v>8.0171700000000005E-3</v>
      </c>
      <c r="N12" s="62">
        <v>7.3297800000000001E-3</v>
      </c>
      <c r="O12" s="62">
        <v>5.2442799999999996E-3</v>
      </c>
      <c r="P12" s="62">
        <v>3.6886100000000002E-3</v>
      </c>
      <c r="S12" t="s">
        <v>606</v>
      </c>
      <c r="T12" t="s">
        <v>1</v>
      </c>
      <c r="U12" t="s">
        <v>140</v>
      </c>
      <c r="V12" t="s">
        <v>297</v>
      </c>
      <c r="W12" t="s">
        <v>329</v>
      </c>
      <c r="X12" t="s">
        <v>535</v>
      </c>
      <c r="Y12">
        <v>0</v>
      </c>
      <c r="Z12">
        <v>0</v>
      </c>
      <c r="AA12">
        <v>0</v>
      </c>
      <c r="AB12">
        <v>0</v>
      </c>
      <c r="AC12" s="63">
        <v>4.1111900000000002E-5</v>
      </c>
      <c r="AD12" s="63">
        <v>3.89556E-4</v>
      </c>
      <c r="AE12">
        <v>1.3389400000000001E-3</v>
      </c>
      <c r="AF12">
        <v>3.9437099999999996E-3</v>
      </c>
      <c r="AG12">
        <v>1.04545E-2</v>
      </c>
      <c r="AH12">
        <v>1.7443400000000001E-2</v>
      </c>
      <c r="AI12">
        <v>2.7886999999999999E-2</v>
      </c>
    </row>
    <row r="13" spans="1:35">
      <c r="A13" s="13" t="s">
        <v>606</v>
      </c>
      <c r="B13" s="13" t="s">
        <v>1</v>
      </c>
      <c r="C13" s="13" t="s">
        <v>296</v>
      </c>
      <c r="D13" s="13" t="s">
        <v>264</v>
      </c>
      <c r="E13" s="13" t="s">
        <v>296</v>
      </c>
      <c r="F13" s="62">
        <v>0</v>
      </c>
      <c r="G13" s="62">
        <v>0</v>
      </c>
      <c r="H13" s="62">
        <v>0</v>
      </c>
      <c r="I13" s="62">
        <v>0</v>
      </c>
      <c r="J13" s="63">
        <v>1.14628E-4</v>
      </c>
      <c r="K13" s="63">
        <v>3.6088500000000003E-4</v>
      </c>
      <c r="L13" s="63">
        <v>8.7218099999999998E-4</v>
      </c>
      <c r="M13" s="63">
        <v>9.5757999999999998E-4</v>
      </c>
      <c r="N13" s="63">
        <v>1.08E-3</v>
      </c>
      <c r="O13" s="63">
        <v>8.2433599999999995E-4</v>
      </c>
      <c r="P13" s="63">
        <v>1.0857799999999999E-3</v>
      </c>
      <c r="S13" t="s">
        <v>606</v>
      </c>
      <c r="T13" t="s">
        <v>1</v>
      </c>
      <c r="U13" t="s">
        <v>140</v>
      </c>
      <c r="V13" t="s">
        <v>301</v>
      </c>
      <c r="W13" t="s">
        <v>329</v>
      </c>
      <c r="X13" t="s">
        <v>536</v>
      </c>
      <c r="Y13">
        <v>0</v>
      </c>
      <c r="Z13">
        <v>0</v>
      </c>
      <c r="AA13">
        <v>0</v>
      </c>
      <c r="AB13">
        <v>0</v>
      </c>
      <c r="AC13" s="63">
        <v>5.2411999999999999E-5</v>
      </c>
      <c r="AD13" s="63">
        <v>4.5742200000000003E-4</v>
      </c>
      <c r="AE13">
        <v>1.4596699999999999E-3</v>
      </c>
      <c r="AF13">
        <v>3.9495700000000003E-3</v>
      </c>
      <c r="AG13">
        <v>9.5875000000000005E-3</v>
      </c>
      <c r="AH13">
        <v>1.44435E-2</v>
      </c>
      <c r="AI13">
        <v>2.12988E-2</v>
      </c>
    </row>
    <row r="14" spans="1:35">
      <c r="A14" s="13" t="s">
        <v>606</v>
      </c>
      <c r="B14" s="13" t="s">
        <v>1</v>
      </c>
      <c r="C14" s="13" t="s">
        <v>297</v>
      </c>
      <c r="D14" s="13" t="s">
        <v>59</v>
      </c>
      <c r="E14" s="13" t="s">
        <v>298</v>
      </c>
      <c r="F14" s="62">
        <v>0</v>
      </c>
      <c r="G14" s="62">
        <v>0</v>
      </c>
      <c r="H14" s="62">
        <v>0</v>
      </c>
      <c r="I14" s="62">
        <v>0</v>
      </c>
      <c r="J14" s="63">
        <v>2.6010500000000001E-5</v>
      </c>
      <c r="K14" s="63">
        <v>1.8465300000000001E-4</v>
      </c>
      <c r="L14" s="63">
        <v>6.2370700000000004E-4</v>
      </c>
      <c r="M14" s="62">
        <v>2.07325E-3</v>
      </c>
      <c r="N14" s="62">
        <v>5.0372000000000004E-3</v>
      </c>
      <c r="O14" s="62">
        <v>1.35508E-2</v>
      </c>
      <c r="P14" s="62">
        <v>2.33534E-2</v>
      </c>
    </row>
    <row r="15" spans="1:35">
      <c r="A15" s="13" t="s">
        <v>606</v>
      </c>
      <c r="B15" s="13" t="s">
        <v>1</v>
      </c>
      <c r="C15" s="13" t="s">
        <v>297</v>
      </c>
      <c r="D15" s="13" t="s">
        <v>59</v>
      </c>
      <c r="E15" s="13" t="s">
        <v>299</v>
      </c>
      <c r="F15" s="63">
        <v>3.6001099999999999E-6</v>
      </c>
      <c r="G15" s="63">
        <v>5.4001500000000001E-5</v>
      </c>
      <c r="H15" s="62">
        <v>2.77919E-3</v>
      </c>
      <c r="I15" s="62">
        <v>1.4301400000000001E-2</v>
      </c>
      <c r="J15" s="62">
        <v>6.5312400000000007E-2</v>
      </c>
      <c r="K15" s="62">
        <v>0.12365420000000001</v>
      </c>
      <c r="L15" s="62">
        <v>0.1814318</v>
      </c>
      <c r="M15" s="62">
        <v>0.25842149999999903</v>
      </c>
      <c r="N15" s="62">
        <v>0.32909279999999902</v>
      </c>
      <c r="O15" s="62">
        <v>0.40526249999999903</v>
      </c>
      <c r="P15" s="62">
        <v>0.44203719999999902</v>
      </c>
    </row>
    <row r="16" spans="1:35">
      <c r="A16" s="13" t="s">
        <v>606</v>
      </c>
      <c r="B16" s="13" t="s">
        <v>1</v>
      </c>
      <c r="C16" s="13" t="s">
        <v>297</v>
      </c>
      <c r="D16" s="13" t="s">
        <v>59</v>
      </c>
      <c r="E16" s="13" t="s">
        <v>300</v>
      </c>
      <c r="F16" s="62">
        <v>0</v>
      </c>
      <c r="G16" s="62">
        <v>0</v>
      </c>
      <c r="H16" s="62">
        <v>0</v>
      </c>
      <c r="I16" s="62">
        <v>0</v>
      </c>
      <c r="J16" s="63">
        <v>2.28645E-4</v>
      </c>
      <c r="K16" s="63">
        <v>8.4045400000000003E-4</v>
      </c>
      <c r="L16" s="62">
        <v>2.030984E-3</v>
      </c>
      <c r="M16" s="62">
        <v>4.6610339999999997E-3</v>
      </c>
      <c r="N16" s="62">
        <v>9.38620399999999E-3</v>
      </c>
      <c r="O16" s="62">
        <v>2.34177039999999E-2</v>
      </c>
      <c r="P16" s="62">
        <v>4.0809858999999997E-2</v>
      </c>
    </row>
    <row r="17" spans="1:16">
      <c r="A17" s="13" t="s">
        <v>606</v>
      </c>
      <c r="B17" s="13" t="s">
        <v>1</v>
      </c>
      <c r="C17" s="13" t="s">
        <v>301</v>
      </c>
      <c r="D17" s="13" t="s">
        <v>59</v>
      </c>
      <c r="E17" s="13" t="s">
        <v>301</v>
      </c>
      <c r="F17" s="62">
        <v>0</v>
      </c>
      <c r="G17" s="63">
        <v>4.6801299999999998E-4</v>
      </c>
      <c r="H17" s="62">
        <v>2.9411900000000002E-3</v>
      </c>
      <c r="I17" s="62">
        <v>4.8282899999999998E-3</v>
      </c>
      <c r="J17" s="62">
        <v>3.2363389999999999E-2</v>
      </c>
      <c r="K17" s="62">
        <v>5.8233889999999899E-2</v>
      </c>
      <c r="L17" s="62">
        <v>8.0646289999999995E-2</v>
      </c>
      <c r="M17" s="62">
        <v>0.11208899</v>
      </c>
      <c r="N17" s="62">
        <v>0.14581438999999999</v>
      </c>
      <c r="O17" s="62">
        <v>0.1947844</v>
      </c>
      <c r="P17" s="62">
        <v>0.21128959999999999</v>
      </c>
    </row>
    <row r="18" spans="1:16">
      <c r="A18" s="13" t="s">
        <v>606</v>
      </c>
      <c r="B18" s="13" t="s">
        <v>1</v>
      </c>
      <c r="C18" s="13" t="s">
        <v>301</v>
      </c>
      <c r="D18" s="13" t="s">
        <v>59</v>
      </c>
      <c r="E18" s="13" t="s">
        <v>302</v>
      </c>
      <c r="F18" s="62">
        <v>0</v>
      </c>
      <c r="G18" s="62">
        <v>0</v>
      </c>
      <c r="H18" s="62">
        <v>0</v>
      </c>
      <c r="I18" s="62">
        <v>0</v>
      </c>
      <c r="J18" s="63">
        <v>2.5133099999999998E-4</v>
      </c>
      <c r="K18" s="63">
        <v>9.5382400000000003E-4</v>
      </c>
      <c r="L18" s="62">
        <v>2.3412839999999999E-3</v>
      </c>
      <c r="M18" s="62">
        <v>6.3481639999999999E-3</v>
      </c>
      <c r="N18" s="62">
        <v>1.5051373999999999E-2</v>
      </c>
      <c r="O18" s="62">
        <v>4.3275643000000003E-2</v>
      </c>
      <c r="P18" s="62">
        <v>9.177515E-2</v>
      </c>
    </row>
    <row r="19" spans="1:16" s="13" customFormat="1">
      <c r="A19" s="13" t="s">
        <v>606</v>
      </c>
      <c r="B19" s="13" t="s">
        <v>1</v>
      </c>
      <c r="C19" s="13" t="s">
        <v>301</v>
      </c>
      <c r="D19" s="13" t="s">
        <v>59</v>
      </c>
      <c r="E19" s="13" t="s">
        <v>303</v>
      </c>
      <c r="F19" s="62">
        <v>0</v>
      </c>
      <c r="G19" s="62">
        <v>0</v>
      </c>
      <c r="H19" s="62">
        <v>0</v>
      </c>
      <c r="I19" s="62">
        <v>0</v>
      </c>
      <c r="J19" s="63">
        <v>1.8225699999999999E-3</v>
      </c>
      <c r="K19" s="62">
        <v>5.0324799999999998E-3</v>
      </c>
      <c r="L19" s="62">
        <v>9.2396900000000001E-3</v>
      </c>
      <c r="M19" s="62">
        <v>1.5402010000000001E-2</v>
      </c>
      <c r="N19" s="62">
        <v>2.2281619999999999E-2</v>
      </c>
      <c r="O19" s="62">
        <v>3.4774619999999999E-2</v>
      </c>
      <c r="P19" s="62">
        <v>4.4541049999999999E-2</v>
      </c>
    </row>
    <row r="20" spans="1:16" s="13" customFormat="1">
      <c r="A20" s="1" t="s">
        <v>506</v>
      </c>
      <c r="E20" s="13" t="s">
        <v>69</v>
      </c>
      <c r="F20" s="62">
        <v>0</v>
      </c>
      <c r="G20" s="63">
        <v>4.2802299999999998E-4</v>
      </c>
      <c r="H20" s="63">
        <v>8.2357600000000002E-4</v>
      </c>
      <c r="I20" s="63">
        <v>8.4944299999999996E-4</v>
      </c>
      <c r="J20" s="63">
        <v>9.6613799999999996E-4</v>
      </c>
      <c r="K20" s="62">
        <v>1.1396729999999999E-3</v>
      </c>
      <c r="L20" s="62">
        <v>1.4385509999999999E-3</v>
      </c>
      <c r="M20" s="62">
        <v>2.0011959999999998E-3</v>
      </c>
      <c r="N20" s="62">
        <v>2.7537054000000001E-3</v>
      </c>
      <c r="O20" s="62">
        <v>3.0905602000000001E-3</v>
      </c>
      <c r="P20" s="62">
        <v>3.2277463899999998E-3</v>
      </c>
    </row>
    <row r="21" spans="1:16" s="13" customFormat="1">
      <c r="E21" s="13" t="s">
        <v>70</v>
      </c>
      <c r="F21" s="62">
        <v>2.1196199999999998E-2</v>
      </c>
      <c r="G21" s="62">
        <v>5.2950900000000002E-2</v>
      </c>
      <c r="H21" s="62">
        <v>6.7626000000000006E-2</v>
      </c>
      <c r="I21" s="62">
        <v>7.4225700000000006E-2</v>
      </c>
      <c r="J21" s="62">
        <v>7.7969789999999997E-2</v>
      </c>
      <c r="K21" s="62">
        <v>8.236193E-2</v>
      </c>
      <c r="L21" s="62">
        <v>8.5117460000000006E-2</v>
      </c>
      <c r="M21" s="62">
        <v>8.2896789999999998E-2</v>
      </c>
      <c r="N21" s="62">
        <v>8.4022150000000004E-2</v>
      </c>
      <c r="O21" s="62">
        <v>8.1901275999999995E-2</v>
      </c>
      <c r="P21" s="62">
        <v>7.7840167000000002E-2</v>
      </c>
    </row>
    <row r="22" spans="1:16" s="13" customFormat="1">
      <c r="E22" s="13" t="s">
        <v>71</v>
      </c>
      <c r="F22" s="62">
        <v>0</v>
      </c>
      <c r="G22" s="62">
        <v>1.11745E-2</v>
      </c>
      <c r="H22" s="62">
        <v>7.9107899999999991E-3</v>
      </c>
      <c r="I22" s="62">
        <v>1.08273E-2</v>
      </c>
      <c r="J22" s="62">
        <v>1.1851220000000001E-2</v>
      </c>
      <c r="K22" s="62">
        <v>1.305301E-2</v>
      </c>
      <c r="L22" s="62">
        <v>1.438905E-2</v>
      </c>
      <c r="M22" s="62">
        <v>1.5424758E-2</v>
      </c>
      <c r="N22" s="62">
        <v>1.5055674E-2</v>
      </c>
      <c r="O22" s="62">
        <v>1.3716211000000001E-2</v>
      </c>
      <c r="P22" s="62">
        <v>1.1581767099999999E-2</v>
      </c>
    </row>
    <row r="23" spans="1:16" s="13" customFormat="1">
      <c r="E23" s="13" t="s">
        <v>72</v>
      </c>
      <c r="F23" s="62">
        <v>0</v>
      </c>
      <c r="G23" s="62">
        <v>0</v>
      </c>
      <c r="H23" s="62">
        <v>0</v>
      </c>
      <c r="I23" s="62">
        <v>0</v>
      </c>
      <c r="J23" s="63">
        <v>5.2852200000000002E-5</v>
      </c>
      <c r="K23" s="63">
        <v>4.8996040000000003E-4</v>
      </c>
      <c r="L23" s="62">
        <v>2.7542555999999999E-3</v>
      </c>
      <c r="M23" s="62">
        <v>1.16574342E-2</v>
      </c>
      <c r="N23" s="62">
        <v>2.8665244999999999E-2</v>
      </c>
      <c r="O23" s="62">
        <v>4.5361381889999997E-2</v>
      </c>
      <c r="P23" s="62">
        <v>6.4382595730000006E-2</v>
      </c>
    </row>
    <row r="24" spans="1:16">
      <c r="E24" s="13" t="s">
        <v>73</v>
      </c>
      <c r="F24" s="62">
        <v>0</v>
      </c>
      <c r="G24" s="62">
        <v>1.7814E-2</v>
      </c>
      <c r="H24" s="62">
        <v>1.42928E-2</v>
      </c>
      <c r="I24" s="62">
        <v>6.9559899999999996E-3</v>
      </c>
      <c r="J24" s="62">
        <v>7.5939090000000002E-3</v>
      </c>
      <c r="K24" s="62">
        <v>8.4929389999999997E-3</v>
      </c>
      <c r="L24" s="62">
        <v>9.4570780000000007E-3</v>
      </c>
      <c r="M24" s="62">
        <v>1.0469368E-2</v>
      </c>
      <c r="N24" s="62">
        <v>1.1185413999999999E-2</v>
      </c>
      <c r="O24" s="62">
        <v>1.0835239E-2</v>
      </c>
      <c r="P24" s="62">
        <v>9.9460143999999997E-3</v>
      </c>
    </row>
    <row r="25" spans="1:16">
      <c r="E25" t="s">
        <v>507</v>
      </c>
      <c r="F25" s="13">
        <f>SUM(F4:F24)</f>
        <v>0.37933468010999999</v>
      </c>
      <c r="G25" s="13">
        <f>SUM(G4:G24)</f>
        <v>1.3961806424999998</v>
      </c>
      <c r="H25" s="13">
        <f>SUM(H4:H24)</f>
        <v>1.7876362459999999</v>
      </c>
      <c r="I25" s="13">
        <f>SUM(I4:I24)</f>
        <v>1.9750547430000003</v>
      </c>
      <c r="J25" s="13">
        <f t="shared" ref="J25:P25" si="0">SUM(J4:J24)</f>
        <v>2.1287022837</v>
      </c>
      <c r="K25" s="13">
        <f t="shared" si="0"/>
        <v>2.4231008784000001</v>
      </c>
      <c r="L25" s="13">
        <f t="shared" si="0"/>
        <v>2.5118053206000002</v>
      </c>
      <c r="M25" s="13">
        <f t="shared" si="0"/>
        <v>2.6297506641999995</v>
      </c>
      <c r="N25" s="13">
        <f t="shared" si="0"/>
        <v>2.7156578263999989</v>
      </c>
      <c r="O25" s="13">
        <f t="shared" si="0"/>
        <v>2.8016408130899988</v>
      </c>
      <c r="P25" s="13">
        <f t="shared" si="0"/>
        <v>2.9369378396199992</v>
      </c>
    </row>
    <row r="26" spans="1:16">
      <c r="H26" t="s">
        <v>508</v>
      </c>
      <c r="I26">
        <f>I25*277.778</f>
        <v>548.62675640105408</v>
      </c>
      <c r="J26" s="13">
        <f t="shared" ref="J26:P26" si="1">J25*277.778</f>
        <v>591.3066629616186</v>
      </c>
      <c r="K26" s="13">
        <f t="shared" si="1"/>
        <v>673.08411580019526</v>
      </c>
      <c r="L26" s="13">
        <f t="shared" si="1"/>
        <v>697.72425834562694</v>
      </c>
      <c r="M26" s="13">
        <f t="shared" si="1"/>
        <v>730.48688000014749</v>
      </c>
      <c r="N26" s="13">
        <f t="shared" si="1"/>
        <v>754.34999970173897</v>
      </c>
      <c r="O26" s="13">
        <f t="shared" si="1"/>
        <v>778.23418177851374</v>
      </c>
      <c r="P26" s="13">
        <f t="shared" si="1"/>
        <v>815.81671921396423</v>
      </c>
    </row>
    <row r="28" spans="1:16">
      <c r="E28" t="s">
        <v>510</v>
      </c>
      <c r="F28" s="13">
        <v>2015</v>
      </c>
      <c r="G28" s="13">
        <v>2020</v>
      </c>
      <c r="H28" s="13">
        <v>2025</v>
      </c>
      <c r="I28" s="13">
        <v>2030</v>
      </c>
      <c r="J28" s="13">
        <v>2035</v>
      </c>
      <c r="K28" s="13">
        <v>2040</v>
      </c>
      <c r="L28" s="13">
        <v>2045</v>
      </c>
      <c r="M28" s="13">
        <v>2050</v>
      </c>
    </row>
    <row r="29" spans="1:16" s="13" customFormat="1">
      <c r="E29" s="13" t="s">
        <v>473</v>
      </c>
      <c r="F29" s="13">
        <f>F31*E32</f>
        <v>528.18625409000003</v>
      </c>
      <c r="G29" s="13">
        <f>G31*E32</f>
        <v>552.26155198000004</v>
      </c>
    </row>
    <row r="30" spans="1:16" s="13" customFormat="1">
      <c r="E30" s="13" t="s">
        <v>474</v>
      </c>
      <c r="H30" s="13">
        <v>625.14550000000065</v>
      </c>
      <c r="I30" s="13">
        <v>684.56411111111197</v>
      </c>
      <c r="J30" s="13">
        <v>699.75822222222337</v>
      </c>
    </row>
    <row r="31" spans="1:16" s="13" customFormat="1">
      <c r="E31" s="13" t="s">
        <v>509</v>
      </c>
      <c r="F31" s="61">
        <v>45415.843000000001</v>
      </c>
      <c r="G31" s="13">
        <v>47485.946000000004</v>
      </c>
    </row>
    <row r="32" spans="1:16" s="13" customFormat="1">
      <c r="E32" s="13">
        <v>1.163E-2</v>
      </c>
    </row>
    <row r="33" spans="3:50" s="62" customFormat="1">
      <c r="AK33" s="62" t="s">
        <v>655</v>
      </c>
      <c r="AL33" s="62" t="s">
        <v>656</v>
      </c>
      <c r="AM33" s="62" t="s">
        <v>657</v>
      </c>
      <c r="AN33" s="62" t="s">
        <v>658</v>
      </c>
      <c r="AO33" s="62" t="s">
        <v>659</v>
      </c>
      <c r="AP33" s="62" t="s">
        <v>660</v>
      </c>
      <c r="AQ33" s="62" t="s">
        <v>661</v>
      </c>
      <c r="AR33" s="62" t="s">
        <v>662</v>
      </c>
      <c r="AS33" s="62" t="s">
        <v>663</v>
      </c>
      <c r="AT33" s="62" t="s">
        <v>664</v>
      </c>
      <c r="AU33" s="62" t="s">
        <v>665</v>
      </c>
      <c r="AV33" s="62" t="s">
        <v>666</v>
      </c>
      <c r="AW33" s="62" t="s">
        <v>667</v>
      </c>
      <c r="AX33" s="62" t="s">
        <v>668</v>
      </c>
    </row>
    <row r="34" spans="3:50">
      <c r="C34" t="s">
        <v>511</v>
      </c>
      <c r="D34" s="65" t="s">
        <v>307</v>
      </c>
      <c r="E34" s="66" t="s">
        <v>699</v>
      </c>
      <c r="F34" s="67">
        <f>SUMIF($E$4:$E$24,"*refined liquids*",I$4:I$24)*277.778</f>
        <v>12.51084056422</v>
      </c>
      <c r="G34" s="67">
        <f t="shared" ref="G34:M34" si="2">SUMIF($E$4:$E$24,"*refined liquids*",J$4:J$24)*277.778</f>
        <v>4.6141423024220005</v>
      </c>
      <c r="H34" s="67">
        <f t="shared" si="2"/>
        <v>4.8058813447020006</v>
      </c>
      <c r="I34" s="67">
        <f t="shared" si="2"/>
        <v>5.4542204744840008</v>
      </c>
      <c r="J34" s="67">
        <f t="shared" si="2"/>
        <v>5.1351535525640006</v>
      </c>
      <c r="K34" s="67">
        <f t="shared" si="2"/>
        <v>5.1431135589319998</v>
      </c>
      <c r="L34" s="67">
        <f t="shared" si="2"/>
        <v>4.4665366287820003</v>
      </c>
      <c r="M34" s="68">
        <f t="shared" si="2"/>
        <v>3.7873986965832001</v>
      </c>
      <c r="O34" s="105"/>
      <c r="P34" s="105"/>
      <c r="Q34" s="105"/>
      <c r="R34" s="105"/>
      <c r="S34" s="105"/>
      <c r="T34" s="105"/>
      <c r="AJ34">
        <v>2015</v>
      </c>
    </row>
    <row r="35" spans="3:50">
      <c r="D35" s="8" t="s">
        <v>308</v>
      </c>
      <c r="E35" s="45" t="s">
        <v>701</v>
      </c>
      <c r="F35" s="50">
        <f>SUMIF($E$4:$E$24,"*gas*",I$4:I$24)*277.778</f>
        <v>123.37525425568001</v>
      </c>
      <c r="G35" s="50">
        <f t="shared" ref="G35:M35" si="3">SUMIF($E$4:$E$24,"*gas*",J$4:J$24)*277.778</f>
        <v>147.37532067794004</v>
      </c>
      <c r="H35" s="50">
        <f t="shared" si="3"/>
        <v>172.44109906388005</v>
      </c>
      <c r="I35" s="50">
        <f t="shared" si="3"/>
        <v>201.88185039424002</v>
      </c>
      <c r="J35" s="50">
        <f t="shared" si="3"/>
        <v>236.063243850444</v>
      </c>
      <c r="K35" s="50">
        <f t="shared" si="3"/>
        <v>260.45466503023204</v>
      </c>
      <c r="L35" s="50">
        <f t="shared" si="3"/>
        <v>325.27041938279405</v>
      </c>
      <c r="M35" s="69">
        <f t="shared" si="3"/>
        <v>375.78690260150387</v>
      </c>
      <c r="AJ35">
        <v>2020</v>
      </c>
    </row>
    <row r="36" spans="3:50">
      <c r="D36" s="8"/>
      <c r="E36" s="45" t="s">
        <v>702</v>
      </c>
      <c r="F36" s="50"/>
      <c r="G36" s="50"/>
      <c r="H36" s="50"/>
      <c r="I36" s="50"/>
      <c r="J36" s="50"/>
      <c r="K36" s="50"/>
      <c r="L36" s="50"/>
      <c r="M36" s="69"/>
      <c r="AJ36" s="62">
        <v>2025</v>
      </c>
    </row>
    <row r="37" spans="3:50">
      <c r="D37" s="8" t="s">
        <v>309</v>
      </c>
      <c r="E37" s="45" t="s">
        <v>306</v>
      </c>
      <c r="F37" s="50"/>
      <c r="G37" s="50"/>
      <c r="H37" s="50"/>
      <c r="I37" s="50"/>
      <c r="J37" s="50"/>
      <c r="K37" s="50"/>
      <c r="L37" s="50"/>
      <c r="M37" s="69"/>
      <c r="AJ37" s="62">
        <v>2030</v>
      </c>
    </row>
    <row r="38" spans="3:50">
      <c r="D38" s="8" t="s">
        <v>310</v>
      </c>
      <c r="E38" s="45" t="s">
        <v>704</v>
      </c>
      <c r="F38" s="50">
        <f>SUMIF($E$4:$E$24,"*coal*",I$4:I$24)*277.778</f>
        <v>236.47038362059999</v>
      </c>
      <c r="G38" s="50">
        <f>SUMIF($E$4:$E$24,"*coal*",J$4:J$24)*277.778</f>
        <v>243.91180346262004</v>
      </c>
      <c r="H38" s="50">
        <f t="shared" ref="H38:M38" si="4">SUMIF($E$4:$E$24,"*coal*",K$4:K$24)*277.778</f>
        <v>266.75602729354006</v>
      </c>
      <c r="I38" s="50">
        <f t="shared" si="4"/>
        <v>242.84365538588003</v>
      </c>
      <c r="J38" s="50">
        <f t="shared" si="4"/>
        <v>214.49205770462004</v>
      </c>
      <c r="K38" s="50">
        <f t="shared" si="4"/>
        <v>186.35907964270001</v>
      </c>
      <c r="L38" s="50">
        <f t="shared" si="4"/>
        <v>101.177102052728</v>
      </c>
      <c r="M38" s="69">
        <f t="shared" si="4"/>
        <v>57.862592678926006</v>
      </c>
      <c r="AJ38" s="62">
        <v>2035</v>
      </c>
    </row>
    <row r="39" spans="3:50">
      <c r="D39" s="8"/>
      <c r="E39" s="45" t="s">
        <v>706</v>
      </c>
      <c r="F39" s="50"/>
      <c r="G39" s="50"/>
      <c r="H39" s="50"/>
      <c r="I39" s="50"/>
      <c r="J39" s="50"/>
      <c r="K39" s="50"/>
      <c r="L39" s="50"/>
      <c r="M39" s="69"/>
      <c r="AJ39" s="62">
        <v>2040</v>
      </c>
    </row>
    <row r="40" spans="3:50">
      <c r="D40" s="8" t="s">
        <v>311</v>
      </c>
      <c r="E40" s="45" t="s">
        <v>707</v>
      </c>
      <c r="F40" s="50">
        <f>SUM(I10:I11)*277.778</f>
        <v>164.66290950800001</v>
      </c>
      <c r="G40" s="50">
        <f t="shared" ref="G40:M40" si="5">SUM(J10:J11)*277.778</f>
        <v>158.852488193</v>
      </c>
      <c r="H40" s="50">
        <f t="shared" si="5"/>
        <v>163.50635302720002</v>
      </c>
      <c r="I40" s="50">
        <f t="shared" si="5"/>
        <v>153.09606692120002</v>
      </c>
      <c r="J40" s="50">
        <f t="shared" si="5"/>
        <v>138.8502221912</v>
      </c>
      <c r="K40" s="50">
        <f t="shared" si="5"/>
        <v>120.96798566320001</v>
      </c>
      <c r="L40" s="50">
        <f t="shared" si="5"/>
        <v>100.80352508720001</v>
      </c>
      <c r="M40" s="50">
        <f t="shared" si="5"/>
        <v>80.638786733200007</v>
      </c>
      <c r="AJ40" s="62">
        <v>2045</v>
      </c>
    </row>
    <row r="41" spans="3:50">
      <c r="D41" s="8" t="s">
        <v>312</v>
      </c>
      <c r="E41" s="45" t="s">
        <v>709</v>
      </c>
      <c r="F41" s="50">
        <f>SUMIF($E$4:$E$24,"*biomass*",I$4:I$24)*277.778</f>
        <v>2.5605584373340005</v>
      </c>
      <c r="G41" s="50">
        <f t="shared" ref="G41:M41" si="6">SUMIF($E$4:$E$24,"*biomass*",J$4:J$24)*277.778</f>
        <v>5.7160429061639997</v>
      </c>
      <c r="H41" s="50">
        <f t="shared" si="6"/>
        <v>8.9896135805740016</v>
      </c>
      <c r="I41" s="50">
        <f t="shared" si="6"/>
        <v>11.945234833958004</v>
      </c>
      <c r="J41" s="50">
        <f t="shared" si="6"/>
        <v>16.002672802128</v>
      </c>
      <c r="K41" s="50">
        <f t="shared" si="6"/>
        <v>20.394323371001203</v>
      </c>
      <c r="L41" s="50">
        <f t="shared" si="6"/>
        <v>27.7196777868356</v>
      </c>
      <c r="M41" s="69">
        <f t="shared" si="6"/>
        <v>34.183401343921425</v>
      </c>
      <c r="AJ41" s="62">
        <v>2050</v>
      </c>
    </row>
    <row r="42" spans="3:50">
      <c r="D42" s="8"/>
      <c r="E42" s="45" t="s">
        <v>710</v>
      </c>
      <c r="F42" s="50"/>
      <c r="G42" s="50"/>
      <c r="H42" s="50"/>
      <c r="I42" s="50"/>
      <c r="J42" s="50"/>
      <c r="K42" s="50"/>
      <c r="L42" s="50"/>
      <c r="M42" s="69"/>
    </row>
    <row r="43" spans="3:50">
      <c r="D43" s="8" t="s">
        <v>283</v>
      </c>
      <c r="E43" s="45" t="s">
        <v>711</v>
      </c>
      <c r="F43" s="50">
        <f>SUMIF($E$4:$E$24,"hydro",I$4:I$24)*277.778</f>
        <v>3.7330029864000003</v>
      </c>
      <c r="G43" s="50">
        <f t="shared" ref="G43:M43" si="7">SUMIF($E$4:$E$24,"hydro",J$4:J$24)*277.778</f>
        <v>3.0113357424</v>
      </c>
      <c r="H43" s="50">
        <f t="shared" si="7"/>
        <v>3.8766697680000002</v>
      </c>
      <c r="I43" s="50">
        <f t="shared" si="7"/>
        <v>4.7420037936000012</v>
      </c>
      <c r="J43" s="50">
        <f t="shared" si="7"/>
        <v>5.6073378192000005</v>
      </c>
      <c r="K43" s="50">
        <f t="shared" si="7"/>
        <v>6.4726996226000013</v>
      </c>
      <c r="L43" s="50">
        <f t="shared" si="7"/>
        <v>7.3380336482000006</v>
      </c>
      <c r="M43" s="50">
        <f t="shared" si="7"/>
        <v>8.2033676738000008</v>
      </c>
      <c r="O43" s="104"/>
      <c r="P43" s="104"/>
      <c r="Q43" s="104"/>
      <c r="R43" s="104"/>
      <c r="S43" s="104"/>
      <c r="T43" s="104"/>
      <c r="U43" s="104"/>
    </row>
    <row r="44" spans="3:50">
      <c r="D44" s="8"/>
      <c r="E44" s="45" t="s">
        <v>609</v>
      </c>
      <c r="F44" s="50">
        <f>SUMIF($E$4:$E$24,"*hydrogen*",I$4:I$24)*277.778</f>
        <v>0</v>
      </c>
      <c r="G44" s="50">
        <f t="shared" ref="G44:M44" si="8">SUMIF($E$4:$E$24,"*hydrogen*",J$4:J$24)*277.778</f>
        <v>1.4681178411600002E-2</v>
      </c>
      <c r="H44" s="50">
        <f t="shared" si="8"/>
        <v>0.13610021999120001</v>
      </c>
      <c r="I44" s="50">
        <f t="shared" si="8"/>
        <v>0.76507161205680008</v>
      </c>
      <c r="J44" s="50">
        <f t="shared" si="8"/>
        <v>3.2381787572076002</v>
      </c>
      <c r="K44" s="50">
        <f t="shared" si="8"/>
        <v>7.9625744256100006</v>
      </c>
      <c r="L44" s="50">
        <f t="shared" si="8"/>
        <v>12.600393938640419</v>
      </c>
      <c r="M44" s="69">
        <f t="shared" si="8"/>
        <v>17.884068676687942</v>
      </c>
    </row>
    <row r="45" spans="3:50">
      <c r="D45" s="8" t="s">
        <v>313</v>
      </c>
      <c r="E45" s="45" t="s">
        <v>713</v>
      </c>
      <c r="F45" s="50">
        <f>SUMIF($E$4:$E$24,"*pv*",I$4:I$24)*277.778+SUMIF($E$4:$E$24,"*CSP*",I$4:I$24)*277.778+AB12*277.778</f>
        <v>3.9726142892000005</v>
      </c>
      <c r="G45" s="50">
        <f t="shared" ref="G45:M45" si="9">SUMIF($E$4:$E$24,"*pv*",J$4:J$24)*277.778+SUMIF($E$4:$E$24,"*CSP*",J$4:J$24)*277.778+AC12*277.778</f>
        <v>18.256346660621205</v>
      </c>
      <c r="H45" s="50">
        <f t="shared" si="9"/>
        <v>34.841624539944007</v>
      </c>
      <c r="I45" s="50">
        <f t="shared" si="9"/>
        <v>51.749378066136011</v>
      </c>
      <c r="J45" s="50">
        <f t="shared" si="9"/>
        <v>75.015913901571736</v>
      </c>
      <c r="K45" s="50">
        <f t="shared" si="9"/>
        <v>98.625274455711747</v>
      </c>
      <c r="L45" s="50">
        <f t="shared" si="9"/>
        <v>127.91641899971972</v>
      </c>
      <c r="M45" s="50">
        <f t="shared" si="9"/>
        <v>148.65935198294176</v>
      </c>
      <c r="O45" s="104">
        <f>M45/G45</f>
        <v>8.1428861286688203</v>
      </c>
      <c r="P45" s="4"/>
      <c r="Q45" s="4"/>
      <c r="R45" s="4"/>
      <c r="S45" s="4"/>
      <c r="T45" s="4"/>
      <c r="U45" s="4"/>
    </row>
    <row r="46" spans="3:50">
      <c r="D46" s="8" t="s">
        <v>314</v>
      </c>
      <c r="E46" s="45" t="s">
        <v>714</v>
      </c>
      <c r="F46" s="50">
        <f>SUMIF($E$4:$E$24,"*wind*",I$4:I$24)*277.778+AB13*277.778</f>
        <v>1.3411927396200001</v>
      </c>
      <c r="G46" s="50">
        <f t="shared" ref="G46:M46" si="10">SUMIF($E$4:$E$24,"*wind*",J$4:J$24)*277.778+AC13*277.778</f>
        <v>9.5804807199340019</v>
      </c>
      <c r="H46" s="50">
        <f t="shared" si="10"/>
        <v>17.966018817247974</v>
      </c>
      <c r="I46" s="50">
        <f t="shared" si="10"/>
        <v>26.024169152652</v>
      </c>
      <c r="J46" s="50">
        <f t="shared" si="10"/>
        <v>38.27467895305201</v>
      </c>
      <c r="K46" s="50">
        <f t="shared" si="10"/>
        <v>53.537510607752004</v>
      </c>
      <c r="L46" s="50">
        <f t="shared" si="10"/>
        <v>79.799553561813994</v>
      </c>
      <c r="M46" s="50">
        <f t="shared" si="10"/>
        <v>102.4735819788</v>
      </c>
      <c r="O46" s="104">
        <f>M46/G46</f>
        <v>10.696079348668208</v>
      </c>
      <c r="P46" s="4"/>
      <c r="Q46" s="4"/>
      <c r="R46" s="4"/>
      <c r="S46" s="4"/>
      <c r="T46" s="4"/>
      <c r="U46" s="4"/>
    </row>
    <row r="47" spans="3:50" s="13" customFormat="1">
      <c r="D47" s="8"/>
      <c r="E47" s="45"/>
      <c r="F47" s="50"/>
      <c r="G47" s="50"/>
      <c r="H47" s="50"/>
      <c r="I47" s="50"/>
      <c r="J47" s="50"/>
      <c r="K47" s="50"/>
      <c r="L47" s="50"/>
      <c r="M47" s="69"/>
    </row>
    <row r="48" spans="3:50">
      <c r="D48" s="70"/>
      <c r="E48" s="71"/>
      <c r="F48" s="72">
        <f>SUM(F34:F46)</f>
        <v>548.62675640105408</v>
      </c>
      <c r="G48" s="72">
        <f t="shared" ref="G48:M48" si="11">SUM(G34:G46)</f>
        <v>591.33264184351287</v>
      </c>
      <c r="H48" s="72">
        <f t="shared" si="11"/>
        <v>673.31938765507937</v>
      </c>
      <c r="I48" s="72">
        <f t="shared" si="11"/>
        <v>698.50165063420684</v>
      </c>
      <c r="J48" s="72">
        <f t="shared" si="11"/>
        <v>732.67945953198739</v>
      </c>
      <c r="K48" s="72">
        <f t="shared" si="11"/>
        <v>759.91722637773887</v>
      </c>
      <c r="L48" s="72">
        <f t="shared" si="11"/>
        <v>787.09166108671388</v>
      </c>
      <c r="M48" s="72">
        <f t="shared" si="11"/>
        <v>829.47945236636417</v>
      </c>
    </row>
    <row r="49" spans="2:22" ht="18" thickBot="1"/>
    <row r="50" spans="2:22">
      <c r="B50" s="56" t="s">
        <v>427</v>
      </c>
      <c r="C50" s="42"/>
      <c r="D50" s="42"/>
      <c r="E50" s="42"/>
      <c r="F50" s="42">
        <v>2015</v>
      </c>
      <c r="G50" s="42">
        <v>2020</v>
      </c>
      <c r="H50" s="42">
        <v>2025</v>
      </c>
      <c r="I50" s="42">
        <v>2030</v>
      </c>
      <c r="J50" s="42">
        <v>2035</v>
      </c>
      <c r="K50" s="43">
        <v>2040</v>
      </c>
    </row>
    <row r="51" spans="2:22">
      <c r="B51" s="44" t="s">
        <v>420</v>
      </c>
      <c r="C51" s="45"/>
      <c r="D51" s="45"/>
      <c r="E51" s="45" t="s">
        <v>410</v>
      </c>
      <c r="F51" s="45">
        <v>31616</v>
      </c>
      <c r="G51" s="45">
        <v>2255</v>
      </c>
      <c r="H51" s="40">
        <f>AVERAGE(G51,I51)</f>
        <v>1627.5</v>
      </c>
      <c r="I51" s="40">
        <v>1000</v>
      </c>
      <c r="J51" s="40">
        <f>AVERAGE(I51,K51)</f>
        <v>1000</v>
      </c>
      <c r="K51" s="46">
        <v>1000</v>
      </c>
    </row>
    <row r="52" spans="2:22">
      <c r="B52" s="44" t="s">
        <v>428</v>
      </c>
      <c r="C52" s="45"/>
      <c r="D52" s="45"/>
      <c r="E52" s="45" t="s">
        <v>411</v>
      </c>
      <c r="F52" s="45">
        <v>100783</v>
      </c>
      <c r="G52" s="45">
        <v>145911</v>
      </c>
      <c r="H52" s="40">
        <f>AVERAGE(G52,I52)</f>
        <v>183455.5</v>
      </c>
      <c r="I52" s="40">
        <v>221000</v>
      </c>
      <c r="J52" s="40">
        <f>AVERAGE(I52,K52)</f>
        <v>235500</v>
      </c>
      <c r="K52" s="46">
        <v>250000</v>
      </c>
    </row>
    <row r="53" spans="2:22">
      <c r="B53" s="44" t="s">
        <v>425</v>
      </c>
      <c r="C53" s="45"/>
      <c r="D53" s="45"/>
      <c r="E53" s="45"/>
      <c r="F53" s="45"/>
      <c r="G53" s="45"/>
      <c r="H53" s="41"/>
      <c r="I53" s="41"/>
      <c r="J53" s="41"/>
      <c r="K53" s="47"/>
    </row>
    <row r="54" spans="2:22">
      <c r="B54" s="44"/>
      <c r="C54" s="45"/>
      <c r="D54" s="45"/>
      <c r="E54" s="45" t="s">
        <v>412</v>
      </c>
      <c r="F54" s="45"/>
      <c r="G54" s="45"/>
      <c r="H54" s="41"/>
      <c r="I54" s="41"/>
      <c r="J54" s="41"/>
      <c r="K54" s="47"/>
    </row>
    <row r="55" spans="2:22">
      <c r="B55" s="44"/>
      <c r="C55" s="45"/>
      <c r="D55" s="45"/>
      <c r="E55" s="45" t="s">
        <v>413</v>
      </c>
      <c r="F55" s="45">
        <v>204230</v>
      </c>
      <c r="G55" s="45">
        <v>196333</v>
      </c>
      <c r="H55" s="40">
        <f>AVERAGE(G55,I55)</f>
        <v>196166.5</v>
      </c>
      <c r="I55" s="40">
        <v>196000</v>
      </c>
      <c r="J55" s="40">
        <f>AVERAGE(I55,K55)</f>
        <v>168000</v>
      </c>
      <c r="K55" s="48">
        <v>140000</v>
      </c>
    </row>
    <row r="56" spans="2:22">
      <c r="B56" s="44"/>
      <c r="C56" s="45"/>
      <c r="D56" s="45"/>
      <c r="E56" s="45"/>
      <c r="F56" s="45"/>
      <c r="G56" s="45"/>
      <c r="H56" s="40"/>
      <c r="I56" s="40"/>
      <c r="J56" s="40"/>
      <c r="K56" s="47"/>
    </row>
    <row r="57" spans="2:22">
      <c r="B57" s="44"/>
      <c r="C57" s="45"/>
      <c r="D57" s="45"/>
      <c r="E57" s="45" t="s">
        <v>414</v>
      </c>
      <c r="F57" s="45">
        <v>164762</v>
      </c>
      <c r="G57" s="45">
        <v>160184</v>
      </c>
      <c r="H57" s="40">
        <f>AVERAGE(G57,I57)</f>
        <v>148592</v>
      </c>
      <c r="I57" s="40">
        <v>137000</v>
      </c>
      <c r="J57" s="40">
        <f>AVERAGE(I57,K57)</f>
        <v>127500</v>
      </c>
      <c r="K57" s="46">
        <v>118000</v>
      </c>
    </row>
    <row r="58" spans="2:22">
      <c r="B58" s="44" t="s">
        <v>421</v>
      </c>
      <c r="C58" s="45"/>
      <c r="D58" s="45"/>
      <c r="E58" s="45" t="s">
        <v>415</v>
      </c>
      <c r="F58" s="45">
        <v>5165</v>
      </c>
      <c r="G58" s="45">
        <v>9664</v>
      </c>
      <c r="H58" s="41">
        <v>4.7E-2</v>
      </c>
      <c r="I58" s="41">
        <v>4.8000000000000001E-2</v>
      </c>
      <c r="J58" s="41">
        <v>5.0999999999999997E-2</v>
      </c>
      <c r="K58" s="47"/>
    </row>
    <row r="59" spans="2:22">
      <c r="B59" s="44"/>
      <c r="C59" s="45"/>
      <c r="D59" s="45"/>
      <c r="E59" s="45"/>
      <c r="F59" s="45"/>
      <c r="G59" s="45"/>
      <c r="H59" s="41"/>
      <c r="I59" s="41"/>
      <c r="J59" s="41"/>
      <c r="K59" s="47"/>
    </row>
    <row r="60" spans="2:22">
      <c r="B60" s="44"/>
      <c r="C60" s="45"/>
      <c r="D60" s="45"/>
      <c r="E60" s="45" t="s">
        <v>416</v>
      </c>
      <c r="F60" s="45">
        <v>5796</v>
      </c>
      <c r="G60" s="45">
        <v>7148</v>
      </c>
      <c r="H60" s="41">
        <v>1.2999999999999999E-2</v>
      </c>
      <c r="I60" s="41">
        <v>1.2999999999999999E-2</v>
      </c>
      <c r="J60" s="41">
        <v>1.4E-2</v>
      </c>
      <c r="K60" s="47"/>
      <c r="R60" s="13"/>
      <c r="S60" s="13"/>
      <c r="T60" s="13"/>
      <c r="U60" s="13"/>
      <c r="V60" s="13"/>
    </row>
    <row r="61" spans="2:22">
      <c r="B61" s="44"/>
      <c r="C61" s="45"/>
      <c r="D61" s="45"/>
      <c r="E61" s="45" t="s">
        <v>417</v>
      </c>
      <c r="F61" s="45">
        <v>1071</v>
      </c>
      <c r="G61" s="45">
        <v>3485</v>
      </c>
      <c r="H61" s="41">
        <v>3.5000000000000003E-2</v>
      </c>
      <c r="I61" s="41">
        <v>5.8000000000000003E-2</v>
      </c>
      <c r="J61" s="41">
        <v>7.1999999999999995E-2</v>
      </c>
      <c r="K61" s="47"/>
      <c r="R61" s="13"/>
      <c r="S61" s="1"/>
      <c r="T61" s="1"/>
      <c r="U61" s="1"/>
      <c r="V61" s="1"/>
    </row>
    <row r="62" spans="2:22">
      <c r="B62" s="44"/>
      <c r="C62" s="45"/>
      <c r="D62" s="45"/>
      <c r="E62" s="45" t="s">
        <v>418</v>
      </c>
      <c r="F62" s="45">
        <v>3464</v>
      </c>
      <c r="G62" s="45">
        <v>16452</v>
      </c>
      <c r="H62" s="41">
        <v>0.14399999999999999</v>
      </c>
      <c r="I62" s="41">
        <v>0.16400000000000001</v>
      </c>
      <c r="J62" s="41">
        <v>0.21299999999999999</v>
      </c>
      <c r="K62" s="47"/>
      <c r="R62" s="13"/>
      <c r="S62" s="13"/>
      <c r="T62" s="13"/>
      <c r="U62" s="13"/>
      <c r="V62" s="13"/>
    </row>
    <row r="63" spans="2:22">
      <c r="B63" s="44"/>
      <c r="C63" s="45"/>
      <c r="D63" s="45"/>
      <c r="E63" s="45" t="s">
        <v>419</v>
      </c>
      <c r="F63" s="45">
        <v>1331</v>
      </c>
      <c r="G63" s="45">
        <v>3139</v>
      </c>
      <c r="H63" s="41">
        <v>6.7000000000000004E-2</v>
      </c>
      <c r="I63" s="41">
        <v>0.14399999999999999</v>
      </c>
      <c r="J63" s="41">
        <v>0.20699999999999999</v>
      </c>
      <c r="K63" s="47"/>
      <c r="R63" s="13"/>
      <c r="S63" s="13"/>
      <c r="T63" s="13"/>
      <c r="U63" s="13"/>
      <c r="V63" s="13"/>
    </row>
    <row r="64" spans="2:22">
      <c r="B64" s="44"/>
      <c r="C64" s="45"/>
      <c r="D64" s="45"/>
      <c r="E64" s="45" t="s">
        <v>422</v>
      </c>
      <c r="F64" s="45">
        <v>765</v>
      </c>
      <c r="G64" s="45">
        <v>2845</v>
      </c>
      <c r="H64" s="41">
        <v>2713</v>
      </c>
      <c r="I64" s="41">
        <v>3362</v>
      </c>
      <c r="J64" s="41">
        <v>5445</v>
      </c>
      <c r="K64" s="47"/>
      <c r="R64" s="13"/>
      <c r="S64" s="13"/>
      <c r="T64" s="13"/>
      <c r="U64" s="13"/>
      <c r="V64" s="13"/>
    </row>
    <row r="65" spans="2:22" s="13" customFormat="1">
      <c r="B65" s="44"/>
      <c r="C65" s="45"/>
      <c r="D65" s="45"/>
      <c r="E65" s="45" t="s">
        <v>424</v>
      </c>
      <c r="F65" s="45">
        <f>F67-F68</f>
        <v>9873</v>
      </c>
      <c r="G65" s="45">
        <f>G67-G68</f>
        <v>7591</v>
      </c>
      <c r="H65" s="45">
        <v>7591</v>
      </c>
      <c r="I65" s="45">
        <v>7591</v>
      </c>
      <c r="J65" s="45">
        <v>7591</v>
      </c>
      <c r="K65" s="47"/>
    </row>
    <row r="66" spans="2:22">
      <c r="B66" s="44"/>
      <c r="C66" s="45"/>
      <c r="D66" s="45"/>
      <c r="E66" s="49" t="s">
        <v>423</v>
      </c>
      <c r="F66" s="49">
        <f>SUM(F51:F65)-F65</f>
        <v>518983</v>
      </c>
      <c r="G66" s="49">
        <f>SUM(G51:G65)-G65</f>
        <v>547416</v>
      </c>
      <c r="H66" s="45"/>
      <c r="I66" s="45"/>
      <c r="J66" s="45"/>
      <c r="K66" s="47"/>
      <c r="R66" s="13"/>
      <c r="S66" s="13"/>
      <c r="T66" s="13"/>
      <c r="U66" s="13"/>
      <c r="V66" s="13"/>
    </row>
    <row r="67" spans="2:22">
      <c r="B67" s="44"/>
      <c r="C67" s="45"/>
      <c r="D67" s="45"/>
      <c r="E67" s="45" t="s">
        <v>423</v>
      </c>
      <c r="F67" s="45">
        <v>528091</v>
      </c>
      <c r="G67" s="45">
        <v>552162</v>
      </c>
      <c r="H67" s="45"/>
      <c r="I67" s="45"/>
      <c r="J67" s="45"/>
      <c r="K67" s="47"/>
      <c r="R67" s="13"/>
      <c r="S67" s="13"/>
      <c r="T67" s="13"/>
      <c r="U67" s="13"/>
      <c r="V67" s="13"/>
    </row>
    <row r="68" spans="2:22">
      <c r="B68" s="44"/>
      <c r="C68" s="45"/>
      <c r="D68" s="45"/>
      <c r="E68" s="45"/>
      <c r="F68" s="45">
        <f>SUM(F51:F63)</f>
        <v>518218</v>
      </c>
      <c r="G68" s="45">
        <f>SUM(G51:G63)</f>
        <v>544571</v>
      </c>
      <c r="H68" s="45"/>
      <c r="I68" s="45"/>
      <c r="J68" s="45"/>
      <c r="K68" s="47"/>
      <c r="R68" s="13"/>
      <c r="S68" s="13"/>
      <c r="T68" s="13"/>
      <c r="U68" s="13"/>
      <c r="V68" s="13"/>
    </row>
    <row r="69" spans="2:22">
      <c r="B69" s="44"/>
      <c r="C69" s="45"/>
      <c r="D69" s="45"/>
      <c r="E69" s="45"/>
      <c r="F69" s="45"/>
      <c r="G69" s="45"/>
      <c r="H69" s="45"/>
      <c r="I69" s="45"/>
      <c r="J69" s="45"/>
      <c r="K69" s="47"/>
    </row>
    <row r="70" spans="2:22">
      <c r="B70" s="44"/>
      <c r="C70" s="45"/>
      <c r="D70" s="45"/>
      <c r="E70" s="45"/>
      <c r="F70" s="45">
        <v>2015</v>
      </c>
      <c r="G70" s="45">
        <v>2020</v>
      </c>
      <c r="H70" s="45">
        <v>2025</v>
      </c>
      <c r="I70" s="45">
        <v>2030</v>
      </c>
      <c r="J70" s="45">
        <v>2035</v>
      </c>
      <c r="K70" s="47"/>
    </row>
    <row r="71" spans="2:22">
      <c r="B71" s="44"/>
      <c r="C71" s="45"/>
      <c r="D71" s="45"/>
      <c r="E71" s="45" t="s">
        <v>410</v>
      </c>
      <c r="F71" s="50">
        <f t="shared" ref="F71:J77" si="12">F51*0.001</f>
        <v>31.616</v>
      </c>
      <c r="G71" s="50">
        <f t="shared" si="12"/>
        <v>2.2549999999999999</v>
      </c>
      <c r="H71" s="50">
        <f t="shared" si="12"/>
        <v>1.6274999999999999</v>
      </c>
      <c r="I71" s="50">
        <f t="shared" si="12"/>
        <v>1</v>
      </c>
      <c r="J71" s="50">
        <f t="shared" si="12"/>
        <v>1</v>
      </c>
      <c r="K71" s="47"/>
    </row>
    <row r="72" spans="2:22">
      <c r="B72" s="44"/>
      <c r="C72" s="45"/>
      <c r="D72" s="45"/>
      <c r="E72" s="45" t="s">
        <v>411</v>
      </c>
      <c r="F72" s="50">
        <f t="shared" si="12"/>
        <v>100.783</v>
      </c>
      <c r="G72" s="50">
        <f t="shared" si="12"/>
        <v>145.911</v>
      </c>
      <c r="H72" s="50">
        <f t="shared" si="12"/>
        <v>183.4555</v>
      </c>
      <c r="I72" s="50">
        <f t="shared" si="12"/>
        <v>221</v>
      </c>
      <c r="J72" s="50">
        <f t="shared" si="12"/>
        <v>235.5</v>
      </c>
      <c r="K72" s="47"/>
    </row>
    <row r="73" spans="2:22">
      <c r="B73" s="44"/>
      <c r="C73" s="45"/>
      <c r="D73" s="45"/>
      <c r="E73" s="45"/>
      <c r="F73" s="50">
        <f t="shared" si="12"/>
        <v>0</v>
      </c>
      <c r="G73" s="50">
        <f t="shared" si="12"/>
        <v>0</v>
      </c>
      <c r="H73" s="50">
        <f t="shared" si="12"/>
        <v>0</v>
      </c>
      <c r="I73" s="50">
        <f t="shared" si="12"/>
        <v>0</v>
      </c>
      <c r="J73" s="50">
        <f t="shared" si="12"/>
        <v>0</v>
      </c>
      <c r="K73" s="47"/>
    </row>
    <row r="74" spans="2:22">
      <c r="B74" s="44"/>
      <c r="C74" s="45"/>
      <c r="D74" s="45"/>
      <c r="E74" s="45" t="s">
        <v>412</v>
      </c>
      <c r="F74" s="50">
        <f t="shared" si="12"/>
        <v>0</v>
      </c>
      <c r="G74" s="50">
        <f t="shared" si="12"/>
        <v>0</v>
      </c>
      <c r="H74" s="50">
        <f t="shared" si="12"/>
        <v>0</v>
      </c>
      <c r="I74" s="50">
        <f t="shared" si="12"/>
        <v>0</v>
      </c>
      <c r="J74" s="50">
        <f t="shared" si="12"/>
        <v>0</v>
      </c>
      <c r="K74" s="47"/>
    </row>
    <row r="75" spans="2:22">
      <c r="B75" s="44"/>
      <c r="C75" s="45"/>
      <c r="D75" s="45"/>
      <c r="E75" s="45" t="s">
        <v>413</v>
      </c>
      <c r="F75" s="50">
        <f t="shared" si="12"/>
        <v>204.23000000000002</v>
      </c>
      <c r="G75" s="50">
        <f t="shared" si="12"/>
        <v>196.333</v>
      </c>
      <c r="H75" s="50">
        <f t="shared" si="12"/>
        <v>196.16650000000001</v>
      </c>
      <c r="I75" s="50">
        <f t="shared" si="12"/>
        <v>196</v>
      </c>
      <c r="J75" s="50">
        <f t="shared" si="12"/>
        <v>168</v>
      </c>
      <c r="K75" s="47"/>
    </row>
    <row r="76" spans="2:22">
      <c r="B76" s="44"/>
      <c r="C76" s="45"/>
      <c r="D76" s="45"/>
      <c r="E76" s="45"/>
      <c r="F76" s="50">
        <f t="shared" si="12"/>
        <v>0</v>
      </c>
      <c r="G76" s="50">
        <f t="shared" si="12"/>
        <v>0</v>
      </c>
      <c r="H76" s="50">
        <f t="shared" si="12"/>
        <v>0</v>
      </c>
      <c r="I76" s="50">
        <f t="shared" si="12"/>
        <v>0</v>
      </c>
      <c r="J76" s="50">
        <f t="shared" si="12"/>
        <v>0</v>
      </c>
      <c r="K76" s="47"/>
    </row>
    <row r="77" spans="2:22">
      <c r="B77" s="44"/>
      <c r="C77" s="45"/>
      <c r="D77" s="45"/>
      <c r="E77" s="45" t="s">
        <v>414</v>
      </c>
      <c r="F77" s="50">
        <f t="shared" si="12"/>
        <v>164.762</v>
      </c>
      <c r="G77" s="50">
        <f t="shared" si="12"/>
        <v>160.184</v>
      </c>
      <c r="H77" s="50">
        <f t="shared" si="12"/>
        <v>148.59200000000001</v>
      </c>
      <c r="I77" s="50">
        <f t="shared" si="12"/>
        <v>137</v>
      </c>
      <c r="J77" s="50">
        <f t="shared" si="12"/>
        <v>127.5</v>
      </c>
      <c r="K77" s="47"/>
    </row>
    <row r="78" spans="2:22">
      <c r="B78" s="44"/>
      <c r="C78" s="45"/>
      <c r="D78" s="45"/>
      <c r="E78" s="45" t="s">
        <v>415</v>
      </c>
      <c r="F78" s="50">
        <f t="shared" ref="F78:G87" si="13">F58*0.001</f>
        <v>5.165</v>
      </c>
      <c r="G78" s="50">
        <f t="shared" si="13"/>
        <v>9.6639999999999997</v>
      </c>
      <c r="H78" s="50">
        <f t="shared" ref="H78:J83" si="14">H58*277.77777777778</f>
        <v>13.05555555555566</v>
      </c>
      <c r="I78" s="50">
        <f t="shared" si="14"/>
        <v>13.333333333333441</v>
      </c>
      <c r="J78" s="50">
        <f t="shared" si="14"/>
        <v>14.166666666666778</v>
      </c>
      <c r="K78" s="47"/>
    </row>
    <row r="79" spans="2:22">
      <c r="B79" s="44"/>
      <c r="C79" s="45"/>
      <c r="D79" s="45"/>
      <c r="E79" s="45"/>
      <c r="F79" s="50">
        <f t="shared" si="13"/>
        <v>0</v>
      </c>
      <c r="G79" s="50">
        <f t="shared" si="13"/>
        <v>0</v>
      </c>
      <c r="H79" s="50">
        <f t="shared" si="14"/>
        <v>0</v>
      </c>
      <c r="I79" s="50">
        <f t="shared" si="14"/>
        <v>0</v>
      </c>
      <c r="J79" s="50">
        <f t="shared" si="14"/>
        <v>0</v>
      </c>
      <c r="K79" s="47"/>
    </row>
    <row r="80" spans="2:22">
      <c r="B80" s="44"/>
      <c r="C80" s="45"/>
      <c r="D80" s="45"/>
      <c r="E80" s="45" t="s">
        <v>416</v>
      </c>
      <c r="F80" s="50">
        <f t="shared" si="13"/>
        <v>5.7960000000000003</v>
      </c>
      <c r="G80" s="50">
        <f t="shared" si="13"/>
        <v>7.1480000000000006</v>
      </c>
      <c r="H80" s="50">
        <f t="shared" si="14"/>
        <v>3.6111111111111396</v>
      </c>
      <c r="I80" s="50">
        <f t="shared" si="14"/>
        <v>3.6111111111111396</v>
      </c>
      <c r="J80" s="50">
        <f t="shared" si="14"/>
        <v>3.8888888888889199</v>
      </c>
      <c r="K80" s="47"/>
    </row>
    <row r="81" spans="2:11">
      <c r="B81" s="44"/>
      <c r="C81" s="45"/>
      <c r="D81" s="45"/>
      <c r="E81" s="45" t="s">
        <v>417</v>
      </c>
      <c r="F81" s="50">
        <f t="shared" si="13"/>
        <v>1.071</v>
      </c>
      <c r="G81" s="50">
        <f t="shared" si="13"/>
        <v>3.4849999999999999</v>
      </c>
      <c r="H81" s="50">
        <f t="shared" si="14"/>
        <v>9.7222222222223014</v>
      </c>
      <c r="I81" s="50">
        <f t="shared" si="14"/>
        <v>16.111111111111239</v>
      </c>
      <c r="J81" s="50">
        <f t="shared" si="14"/>
        <v>20.000000000000156</v>
      </c>
      <c r="K81" s="47"/>
    </row>
    <row r="82" spans="2:11">
      <c r="B82" s="44"/>
      <c r="C82" s="45"/>
      <c r="D82" s="45"/>
      <c r="E82" s="45" t="s">
        <v>418</v>
      </c>
      <c r="F82" s="50">
        <f t="shared" si="13"/>
        <v>3.464</v>
      </c>
      <c r="G82" s="50">
        <f t="shared" si="13"/>
        <v>16.452000000000002</v>
      </c>
      <c r="H82" s="50">
        <f t="shared" si="14"/>
        <v>40.000000000000313</v>
      </c>
      <c r="I82" s="50">
        <f t="shared" si="14"/>
        <v>45.55555555555592</v>
      </c>
      <c r="J82" s="50">
        <f t="shared" si="14"/>
        <v>59.166666666667133</v>
      </c>
      <c r="K82" s="47"/>
    </row>
    <row r="83" spans="2:11">
      <c r="B83" s="44"/>
      <c r="C83" s="45"/>
      <c r="D83" s="45"/>
      <c r="E83" s="45" t="s">
        <v>419</v>
      </c>
      <c r="F83" s="50">
        <f t="shared" si="13"/>
        <v>1.331</v>
      </c>
      <c r="G83" s="50">
        <f t="shared" si="13"/>
        <v>3.1390000000000002</v>
      </c>
      <c r="H83" s="50">
        <f t="shared" si="14"/>
        <v>18.61111111111126</v>
      </c>
      <c r="I83" s="50">
        <f t="shared" si="14"/>
        <v>40.000000000000313</v>
      </c>
      <c r="J83" s="50">
        <f t="shared" si="14"/>
        <v>57.500000000000455</v>
      </c>
      <c r="K83" s="47"/>
    </row>
    <row r="84" spans="2:11">
      <c r="B84" s="44"/>
      <c r="C84" s="45"/>
      <c r="D84" s="45"/>
      <c r="E84" s="45" t="s">
        <v>422</v>
      </c>
      <c r="F84" s="50">
        <f t="shared" si="13"/>
        <v>0.76500000000000001</v>
      </c>
      <c r="G84" s="50">
        <f t="shared" si="13"/>
        <v>2.8450000000000002</v>
      </c>
      <c r="H84" s="50">
        <f t="shared" ref="H84:J85" si="15">H64*0.001</f>
        <v>2.7130000000000001</v>
      </c>
      <c r="I84" s="50">
        <f t="shared" si="15"/>
        <v>3.3620000000000001</v>
      </c>
      <c r="J84" s="50">
        <f t="shared" si="15"/>
        <v>5.4450000000000003</v>
      </c>
      <c r="K84" s="47"/>
    </row>
    <row r="85" spans="2:11">
      <c r="B85" s="44"/>
      <c r="C85" s="45"/>
      <c r="D85" s="45"/>
      <c r="E85" s="45" t="s">
        <v>424</v>
      </c>
      <c r="F85" s="50">
        <f t="shared" si="13"/>
        <v>9.8729999999999993</v>
      </c>
      <c r="G85" s="50">
        <f t="shared" si="13"/>
        <v>7.5910000000000002</v>
      </c>
      <c r="H85" s="50">
        <f t="shared" si="15"/>
        <v>7.5910000000000002</v>
      </c>
      <c r="I85" s="50">
        <f t="shared" si="15"/>
        <v>7.5910000000000002</v>
      </c>
      <c r="J85" s="50">
        <f t="shared" si="15"/>
        <v>7.5910000000000002</v>
      </c>
      <c r="K85" s="47"/>
    </row>
    <row r="86" spans="2:11">
      <c r="B86" s="44"/>
      <c r="C86" s="45"/>
      <c r="D86" s="45"/>
      <c r="E86" s="49" t="s">
        <v>423</v>
      </c>
      <c r="F86" s="51">
        <f t="shared" si="13"/>
        <v>518.98300000000006</v>
      </c>
      <c r="G86" s="51">
        <f t="shared" si="13"/>
        <v>547.41600000000005</v>
      </c>
      <c r="H86" s="51">
        <f>SUM(H71:H85)-H85</f>
        <v>617.55450000000064</v>
      </c>
      <c r="I86" s="51">
        <f>SUM(I71:I85)-I85</f>
        <v>676.97311111111196</v>
      </c>
      <c r="J86" s="51">
        <f>SUM(J71:J85)-J85</f>
        <v>692.16722222222336</v>
      </c>
      <c r="K86" s="47"/>
    </row>
    <row r="87" spans="2:11" ht="18" thickBot="1">
      <c r="B87" s="52"/>
      <c r="C87" s="53"/>
      <c r="D87" s="53"/>
      <c r="E87" s="53" t="s">
        <v>423</v>
      </c>
      <c r="F87" s="54">
        <f t="shared" si="13"/>
        <v>528.09100000000001</v>
      </c>
      <c r="G87" s="54">
        <f t="shared" si="13"/>
        <v>552.16200000000003</v>
      </c>
      <c r="H87" s="54">
        <f>H86+H85</f>
        <v>625.14550000000065</v>
      </c>
      <c r="I87" s="54">
        <f>I86+I85</f>
        <v>684.56411111111197</v>
      </c>
      <c r="J87" s="54">
        <f>J86+J85</f>
        <v>699.75822222222337</v>
      </c>
      <c r="K87" s="5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4003C-138C-4C47-8F87-67DF326D43F4}">
  <dimension ref="A1:P44"/>
  <sheetViews>
    <sheetView zoomScale="70" zoomScaleNormal="70" workbookViewId="0">
      <selection activeCell="M42" sqref="M42:M43"/>
    </sheetView>
  </sheetViews>
  <sheetFormatPr defaultColWidth="8.69921875" defaultRowHeight="17.399999999999999"/>
  <cols>
    <col min="1" max="4" width="8.69921875" style="13"/>
    <col min="5" max="5" width="23.69921875" style="13" bestFit="1" customWidth="1"/>
    <col min="6" max="16384" width="8.69921875" style="13"/>
  </cols>
  <sheetData>
    <row r="1" spans="1:16">
      <c r="A1" s="1" t="s">
        <v>304</v>
      </c>
    </row>
    <row r="2" spans="1:16">
      <c r="A2" s="13" t="s">
        <v>8</v>
      </c>
      <c r="B2" s="13" t="s">
        <v>9</v>
      </c>
      <c r="C2" s="13" t="s">
        <v>40</v>
      </c>
      <c r="D2" s="13" t="s">
        <v>41</v>
      </c>
      <c r="E2" s="13" t="s">
        <v>42</v>
      </c>
      <c r="F2" s="13">
        <v>1990</v>
      </c>
      <c r="G2" s="13">
        <v>2005</v>
      </c>
      <c r="H2" s="13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16">
      <c r="A3" s="13" t="s">
        <v>364</v>
      </c>
      <c r="B3" s="13" t="s">
        <v>1</v>
      </c>
      <c r="C3" s="13" t="s">
        <v>57</v>
      </c>
      <c r="D3" s="13" t="s">
        <v>59</v>
      </c>
      <c r="E3" s="13" t="s">
        <v>321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14">
        <v>2.5984000000000001E-5</v>
      </c>
      <c r="L3" s="14">
        <v>6.6098199999999995E-4</v>
      </c>
      <c r="M3" s="13">
        <v>8.7214700000000003E-3</v>
      </c>
      <c r="N3" s="13">
        <v>3.7267799999999997E-2</v>
      </c>
      <c r="O3" s="13">
        <v>7.14833E-2</v>
      </c>
      <c r="P3" s="13">
        <v>9.1457499999999997E-2</v>
      </c>
    </row>
    <row r="4" spans="1:16">
      <c r="A4" s="13" t="s">
        <v>364</v>
      </c>
      <c r="B4" s="13" t="s">
        <v>1</v>
      </c>
      <c r="C4" s="13" t="s">
        <v>57</v>
      </c>
      <c r="D4" s="13" t="s">
        <v>59</v>
      </c>
      <c r="E4" s="13" t="s">
        <v>287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4.6305199999999999E-3</v>
      </c>
      <c r="L4" s="13">
        <v>1.8014800000000001E-2</v>
      </c>
      <c r="M4" s="13">
        <v>2.8677000000000001E-2</v>
      </c>
      <c r="N4" s="13">
        <v>1.2954200000000001E-2</v>
      </c>
      <c r="O4" s="14">
        <v>1.1540700000000001E-3</v>
      </c>
      <c r="P4" s="14">
        <v>1.33776E-4</v>
      </c>
    </row>
    <row r="5" spans="1:16">
      <c r="A5" s="13" t="s">
        <v>364</v>
      </c>
      <c r="B5" s="13" t="s">
        <v>1</v>
      </c>
      <c r="C5" s="13" t="s">
        <v>57</v>
      </c>
      <c r="D5" s="13" t="s">
        <v>59</v>
      </c>
      <c r="E5" s="13" t="s">
        <v>322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4">
        <v>8.8931699999999994E-6</v>
      </c>
      <c r="L5" s="14">
        <v>2.9435099999999999E-4</v>
      </c>
      <c r="M5" s="14">
        <v>5.9428299999999996E-3</v>
      </c>
      <c r="N5" s="13">
        <v>2.53052E-2</v>
      </c>
      <c r="O5" s="13">
        <v>4.0296800000000001E-2</v>
      </c>
      <c r="P5" s="13">
        <v>3.5770400000000001E-2</v>
      </c>
    </row>
    <row r="6" spans="1:16">
      <c r="A6" s="13" t="s">
        <v>364</v>
      </c>
      <c r="B6" s="13" t="s">
        <v>1</v>
      </c>
      <c r="C6" s="13" t="s">
        <v>57</v>
      </c>
      <c r="D6" s="13" t="s">
        <v>59</v>
      </c>
      <c r="E6" s="13" t="s">
        <v>288</v>
      </c>
      <c r="F6" s="13">
        <v>0</v>
      </c>
      <c r="G6" s="14">
        <v>1.62005E-4</v>
      </c>
      <c r="H6" s="13">
        <v>1.2455999999999999E-3</v>
      </c>
      <c r="I6" s="13">
        <v>8.3685600000000006E-3</v>
      </c>
      <c r="J6" s="13">
        <v>1.6740399999999999E-2</v>
      </c>
      <c r="K6" s="13">
        <v>3.0805800000000001E-2</v>
      </c>
      <c r="L6" s="13">
        <v>5.8194599999999999E-2</v>
      </c>
      <c r="M6" s="13">
        <v>7.4920700000000007E-2</v>
      </c>
      <c r="N6" s="13">
        <v>6.6280099999999995E-2</v>
      </c>
      <c r="O6" s="13">
        <v>8.3141399999999994E-3</v>
      </c>
      <c r="P6" s="14">
        <v>3.436E-4</v>
      </c>
    </row>
    <row r="7" spans="1:16">
      <c r="A7" s="13" t="s">
        <v>364</v>
      </c>
      <c r="B7" s="13" t="s">
        <v>1</v>
      </c>
      <c r="C7" s="13" t="s">
        <v>58</v>
      </c>
      <c r="D7" s="13" t="s">
        <v>59</v>
      </c>
      <c r="E7" s="13" t="s">
        <v>289</v>
      </c>
      <c r="F7" s="13">
        <v>4.2373399999999999E-2</v>
      </c>
      <c r="G7" s="13">
        <v>0.48267300000000002</v>
      </c>
      <c r="H7" s="13">
        <v>0.72176600000000002</v>
      </c>
      <c r="I7" s="13">
        <v>0.77706699999999995</v>
      </c>
      <c r="J7" s="13">
        <v>0.72011700000000001</v>
      </c>
      <c r="K7" s="13">
        <v>0.57433000000000001</v>
      </c>
      <c r="L7" s="13">
        <v>0.24799299999999999</v>
      </c>
      <c r="M7" s="13">
        <v>5.5364200000000002E-2</v>
      </c>
      <c r="N7" s="13">
        <v>7.6711399999999999E-3</v>
      </c>
      <c r="O7" s="14">
        <v>2.8540199999999998E-4</v>
      </c>
      <c r="P7" s="13">
        <v>0</v>
      </c>
    </row>
    <row r="8" spans="1:16">
      <c r="A8" s="13" t="s">
        <v>364</v>
      </c>
      <c r="B8" s="13" t="s">
        <v>1</v>
      </c>
      <c r="C8" s="13" t="s">
        <v>60</v>
      </c>
      <c r="D8" s="13" t="s">
        <v>59</v>
      </c>
      <c r="E8" s="13" t="s">
        <v>323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2.18794E-2</v>
      </c>
      <c r="M8" s="13">
        <v>6.3133099999999998E-2</v>
      </c>
      <c r="N8" s="13">
        <v>0.13364999999999999</v>
      </c>
      <c r="O8" s="13">
        <v>0.23852799999999999</v>
      </c>
      <c r="P8" s="13">
        <v>0.32224599999999998</v>
      </c>
    </row>
    <row r="9" spans="1:16">
      <c r="A9" s="13" t="s">
        <v>364</v>
      </c>
      <c r="B9" s="13" t="s">
        <v>1</v>
      </c>
      <c r="C9" s="13" t="s">
        <v>60</v>
      </c>
      <c r="D9" s="13" t="s">
        <v>59</v>
      </c>
      <c r="E9" s="13" t="s">
        <v>290</v>
      </c>
      <c r="F9" s="13">
        <v>2.6982099999999998E-2</v>
      </c>
      <c r="G9" s="13">
        <v>0.20272799999999999</v>
      </c>
      <c r="H9" s="13">
        <v>0.264735</v>
      </c>
      <c r="I9" s="13">
        <v>0.429705</v>
      </c>
      <c r="J9" s="13">
        <v>0.51513299999999995</v>
      </c>
      <c r="K9" s="13">
        <v>0.59279400000000004</v>
      </c>
      <c r="L9" s="13">
        <v>0.67504200000000003</v>
      </c>
      <c r="M9" s="13">
        <v>0.62252700000000005</v>
      </c>
      <c r="N9" s="13">
        <v>0.42480800000000002</v>
      </c>
      <c r="O9" s="13">
        <v>0.17349899999999999</v>
      </c>
      <c r="P9" s="13">
        <v>4.89618E-2</v>
      </c>
    </row>
    <row r="10" spans="1:16">
      <c r="A10" s="13" t="s">
        <v>364</v>
      </c>
      <c r="B10" s="13" t="s">
        <v>1</v>
      </c>
      <c r="C10" s="13" t="s">
        <v>60</v>
      </c>
      <c r="D10" s="13" t="s">
        <v>59</v>
      </c>
      <c r="E10" s="13" t="s">
        <v>291</v>
      </c>
      <c r="F10" s="13">
        <v>7.5933800000000003E-3</v>
      </c>
      <c r="G10" s="13">
        <v>1.0336700000000001E-2</v>
      </c>
      <c r="H10" s="13">
        <v>0.10074</v>
      </c>
      <c r="I10" s="13">
        <v>3.6182599999999999E-3</v>
      </c>
      <c r="J10" s="13">
        <v>3.6776600000000001E-3</v>
      </c>
      <c r="K10" s="13">
        <v>2.47416E-3</v>
      </c>
      <c r="L10" s="13">
        <v>1.8106000000000001E-3</v>
      </c>
      <c r="M10" s="14">
        <v>8.9726900000000002E-4</v>
      </c>
      <c r="N10" s="14">
        <v>2.3142599999999999E-4</v>
      </c>
      <c r="O10" s="14">
        <v>3.4574599999999999E-5</v>
      </c>
      <c r="P10" s="13">
        <v>0</v>
      </c>
    </row>
    <row r="11" spans="1:16">
      <c r="A11" s="13" t="s">
        <v>364</v>
      </c>
      <c r="B11" s="13" t="s">
        <v>1</v>
      </c>
      <c r="C11" s="13" t="s">
        <v>282</v>
      </c>
      <c r="D11" s="13" t="s">
        <v>59</v>
      </c>
      <c r="E11" s="13" t="s">
        <v>282</v>
      </c>
      <c r="F11" s="13">
        <v>2.2899599999999999E-2</v>
      </c>
      <c r="G11" s="13">
        <v>1.32228E-2</v>
      </c>
      <c r="H11" s="13">
        <v>1.39644E-2</v>
      </c>
      <c r="I11" s="13">
        <v>1.3438800000000001E-2</v>
      </c>
      <c r="J11" s="13">
        <v>1.0840799999999999E-2</v>
      </c>
      <c r="K11" s="13">
        <v>1.3956E-2</v>
      </c>
      <c r="L11" s="13">
        <v>1.7071200000000002E-2</v>
      </c>
      <c r="M11" s="13">
        <v>2.01864E-2</v>
      </c>
      <c r="N11" s="13">
        <v>2.3301700000000002E-2</v>
      </c>
      <c r="O11" s="13">
        <v>2.64169E-2</v>
      </c>
      <c r="P11" s="13">
        <v>2.9532099999999999E-2</v>
      </c>
    </row>
    <row r="12" spans="1:16">
      <c r="A12" s="13" t="s">
        <v>364</v>
      </c>
      <c r="B12" s="13" t="s">
        <v>1</v>
      </c>
      <c r="C12" s="13" t="s">
        <v>292</v>
      </c>
      <c r="D12" s="13" t="s">
        <v>59</v>
      </c>
      <c r="E12" s="13" t="s">
        <v>293</v>
      </c>
      <c r="F12" s="13">
        <v>0</v>
      </c>
      <c r="G12" s="13">
        <v>0</v>
      </c>
      <c r="H12" s="13">
        <v>0</v>
      </c>
      <c r="I12" s="13">
        <v>0</v>
      </c>
      <c r="J12" s="13">
        <v>2.7735699999999999E-2</v>
      </c>
      <c r="K12" s="13">
        <v>3.5804799999999998E-2</v>
      </c>
      <c r="L12" s="13">
        <v>3.5804799999999998E-2</v>
      </c>
      <c r="M12" s="13">
        <v>3.5804799999999998E-2</v>
      </c>
      <c r="N12" s="13">
        <v>3.5804799999999998E-2</v>
      </c>
      <c r="O12" s="13">
        <v>3.5804799999999998E-2</v>
      </c>
      <c r="P12" s="13">
        <v>3.5804799999999998E-2</v>
      </c>
    </row>
    <row r="13" spans="1:16">
      <c r="A13" s="13" t="s">
        <v>364</v>
      </c>
      <c r="B13" s="13" t="s">
        <v>1</v>
      </c>
      <c r="C13" s="13" t="s">
        <v>292</v>
      </c>
      <c r="D13" s="13" t="s">
        <v>59</v>
      </c>
      <c r="E13" s="13" t="s">
        <v>294</v>
      </c>
      <c r="F13" s="13">
        <v>0.19039900000000001</v>
      </c>
      <c r="G13" s="13">
        <v>0.52841899999999997</v>
      </c>
      <c r="H13" s="13">
        <v>0.534945</v>
      </c>
      <c r="I13" s="13">
        <v>0.59278600000000004</v>
      </c>
      <c r="J13" s="13">
        <v>0.54781800000000003</v>
      </c>
      <c r="K13" s="13">
        <v>0.52212400000000003</v>
      </c>
      <c r="L13" s="13">
        <v>0.48464699999999999</v>
      </c>
      <c r="M13" s="13">
        <v>0.433361</v>
      </c>
      <c r="N13" s="13">
        <v>0.36898500000000001</v>
      </c>
      <c r="O13" s="13">
        <v>0.29639300000000002</v>
      </c>
      <c r="P13" s="13">
        <v>0.223801</v>
      </c>
    </row>
    <row r="14" spans="1:16">
      <c r="A14" s="13" t="s">
        <v>364</v>
      </c>
      <c r="B14" s="13" t="s">
        <v>1</v>
      </c>
      <c r="C14" s="13" t="s">
        <v>19</v>
      </c>
      <c r="D14" s="13" t="s">
        <v>59</v>
      </c>
      <c r="E14" s="13" t="s">
        <v>295</v>
      </c>
      <c r="F14" s="13">
        <v>6.7887400000000001E-2</v>
      </c>
      <c r="G14" s="13">
        <v>7.5749700000000003E-2</v>
      </c>
      <c r="H14" s="13">
        <v>5.3866700000000003E-2</v>
      </c>
      <c r="I14" s="13">
        <v>3.8082999999999999E-2</v>
      </c>
      <c r="J14" s="13">
        <v>9.0502499999999993E-3</v>
      </c>
      <c r="K14" s="13">
        <v>9.6406200000000008E-3</v>
      </c>
      <c r="L14" s="13">
        <v>9.2503299999999993E-3</v>
      </c>
      <c r="M14" s="13">
        <v>6.8120100000000003E-3</v>
      </c>
      <c r="N14" s="13">
        <v>2.6103400000000001E-3</v>
      </c>
      <c r="O14" s="14">
        <v>5.8771500000000005E-4</v>
      </c>
      <c r="P14" s="14">
        <v>1.2228400000000001E-4</v>
      </c>
    </row>
    <row r="15" spans="1:16">
      <c r="A15" s="13" t="s">
        <v>364</v>
      </c>
      <c r="B15" s="13" t="s">
        <v>1</v>
      </c>
      <c r="C15" s="13" t="s">
        <v>296</v>
      </c>
      <c r="D15" s="13" t="s">
        <v>264</v>
      </c>
      <c r="E15" s="13" t="s">
        <v>296</v>
      </c>
      <c r="F15" s="13">
        <v>0</v>
      </c>
      <c r="G15" s="13">
        <v>0</v>
      </c>
      <c r="H15" s="13">
        <v>0</v>
      </c>
      <c r="I15" s="13">
        <v>0</v>
      </c>
      <c r="J15" s="14">
        <v>1.30133E-4</v>
      </c>
      <c r="K15" s="14">
        <v>9.9339000000000003E-4</v>
      </c>
      <c r="L15" s="14">
        <v>1.1003300000000001E-3</v>
      </c>
      <c r="M15" s="13">
        <v>1.6302599999999999E-3</v>
      </c>
      <c r="N15" s="13">
        <v>2.4172999999999998E-3</v>
      </c>
      <c r="O15" s="13">
        <v>2.9413299999999998E-3</v>
      </c>
      <c r="P15" s="13">
        <v>3.5727100000000002E-3</v>
      </c>
    </row>
    <row r="16" spans="1:16">
      <c r="A16" s="13" t="s">
        <v>364</v>
      </c>
      <c r="B16" s="13" t="s">
        <v>1</v>
      </c>
      <c r="C16" s="13" t="s">
        <v>297</v>
      </c>
      <c r="D16" s="13" t="s">
        <v>59</v>
      </c>
      <c r="E16" s="13" t="s">
        <v>298</v>
      </c>
      <c r="F16" s="13">
        <v>0</v>
      </c>
      <c r="G16" s="13">
        <v>0</v>
      </c>
      <c r="H16" s="13">
        <v>0</v>
      </c>
      <c r="I16" s="13">
        <v>0</v>
      </c>
      <c r="J16" s="14">
        <v>2.2418100000000001E-5</v>
      </c>
      <c r="K16" s="14">
        <v>4.0913599999999999E-4</v>
      </c>
      <c r="L16" s="13">
        <v>5.9866700000000004E-3</v>
      </c>
      <c r="M16" s="13">
        <v>2.6064400000000001E-2</v>
      </c>
      <c r="N16" s="13">
        <v>7.1125599999999997E-2</v>
      </c>
      <c r="O16" s="13">
        <v>0.13900299999999999</v>
      </c>
      <c r="P16" s="13">
        <v>0.20361199999999999</v>
      </c>
    </row>
    <row r="17" spans="1:16">
      <c r="A17" s="13" t="s">
        <v>364</v>
      </c>
      <c r="B17" s="13" t="s">
        <v>1</v>
      </c>
      <c r="C17" s="13" t="s">
        <v>297</v>
      </c>
      <c r="D17" s="13" t="s">
        <v>59</v>
      </c>
      <c r="E17" s="13" t="s">
        <v>299</v>
      </c>
      <c r="F17" s="14">
        <v>3.6001099999999999E-6</v>
      </c>
      <c r="G17" s="14">
        <v>5.4001500000000001E-5</v>
      </c>
      <c r="H17" s="13">
        <v>2.77919E-3</v>
      </c>
      <c r="I17" s="13">
        <v>1.4301400000000001E-2</v>
      </c>
      <c r="J17" s="13">
        <v>5.8551199999999998E-2</v>
      </c>
      <c r="K17" s="13">
        <v>0.16456219999999999</v>
      </c>
      <c r="L17" s="13">
        <v>0.3097492</v>
      </c>
      <c r="M17" s="13">
        <v>0.40888530000000001</v>
      </c>
      <c r="N17" s="13">
        <v>0.49863420000000003</v>
      </c>
      <c r="O17" s="13">
        <v>0.57052879999999995</v>
      </c>
      <c r="P17" s="13">
        <v>0.60831670000000004</v>
      </c>
    </row>
    <row r="18" spans="1:16">
      <c r="A18" s="13" t="s">
        <v>364</v>
      </c>
      <c r="B18" s="13" t="s">
        <v>1</v>
      </c>
      <c r="C18" s="13" t="s">
        <v>297</v>
      </c>
      <c r="D18" s="13" t="s">
        <v>59</v>
      </c>
      <c r="E18" s="13" t="s">
        <v>300</v>
      </c>
      <c r="F18" s="13">
        <v>0</v>
      </c>
      <c r="G18" s="13">
        <v>0</v>
      </c>
      <c r="H18" s="13">
        <v>0</v>
      </c>
      <c r="I18" s="13">
        <v>0</v>
      </c>
      <c r="J18" s="14">
        <v>1.9722699999999999E-4</v>
      </c>
      <c r="K18" s="13">
        <v>1.6864769999999901E-3</v>
      </c>
      <c r="L18" s="13">
        <v>1.6773877E-2</v>
      </c>
      <c r="M18" s="13">
        <v>5.3066576999999997E-2</v>
      </c>
      <c r="N18" s="13">
        <v>0.124394677</v>
      </c>
      <c r="O18" s="13">
        <v>0.235258677</v>
      </c>
      <c r="P18" s="13">
        <v>0.34977645000000002</v>
      </c>
    </row>
    <row r="19" spans="1:16">
      <c r="A19" s="13" t="s">
        <v>364</v>
      </c>
      <c r="B19" s="13" t="s">
        <v>1</v>
      </c>
      <c r="C19" s="13" t="s">
        <v>301</v>
      </c>
      <c r="D19" s="13" t="s">
        <v>59</v>
      </c>
      <c r="E19" s="13" t="s">
        <v>301</v>
      </c>
      <c r="F19" s="13">
        <v>0</v>
      </c>
      <c r="G19" s="14">
        <v>4.6801299999999998E-4</v>
      </c>
      <c r="H19" s="13">
        <v>2.9411900000000002E-3</v>
      </c>
      <c r="I19" s="13">
        <v>4.8282899999999998E-3</v>
      </c>
      <c r="J19" s="13">
        <v>1.8043690000000001E-2</v>
      </c>
      <c r="K19" s="13">
        <v>6.6024489999999894E-2</v>
      </c>
      <c r="L19" s="13">
        <v>0.18402349000000001</v>
      </c>
      <c r="M19" s="13">
        <v>0.29572849000000001</v>
      </c>
      <c r="N19" s="13">
        <v>0.38633078999999998</v>
      </c>
      <c r="O19" s="13">
        <v>0.44689569999999901</v>
      </c>
      <c r="P19" s="13">
        <v>0.47366239999999998</v>
      </c>
    </row>
    <row r="20" spans="1:16">
      <c r="A20" s="13" t="s">
        <v>364</v>
      </c>
      <c r="B20" s="13" t="s">
        <v>1</v>
      </c>
      <c r="C20" s="13" t="s">
        <v>301</v>
      </c>
      <c r="D20" s="13" t="s">
        <v>59</v>
      </c>
      <c r="E20" s="13" t="s">
        <v>302</v>
      </c>
      <c r="F20" s="13">
        <v>0</v>
      </c>
      <c r="G20" s="13">
        <v>0</v>
      </c>
      <c r="H20" s="13">
        <v>0</v>
      </c>
      <c r="I20" s="13">
        <v>0</v>
      </c>
      <c r="J20" s="14">
        <v>1.21118E-4</v>
      </c>
      <c r="K20" s="13">
        <v>1.4235279999999901E-3</v>
      </c>
      <c r="L20" s="13">
        <v>9.7304580000000009E-3</v>
      </c>
      <c r="M20" s="13">
        <v>3.1196158000000002E-2</v>
      </c>
      <c r="N20" s="13">
        <v>7.7467458000000003E-2</v>
      </c>
      <c r="O20" s="13">
        <v>0.15604783999999999</v>
      </c>
      <c r="P20" s="13">
        <v>0.25796543</v>
      </c>
    </row>
    <row r="21" spans="1:16">
      <c r="A21" s="13" t="s">
        <v>364</v>
      </c>
      <c r="B21" s="13" t="s">
        <v>1</v>
      </c>
      <c r="C21" s="13" t="s">
        <v>301</v>
      </c>
      <c r="D21" s="13" t="s">
        <v>59</v>
      </c>
      <c r="E21" s="13" t="s">
        <v>303</v>
      </c>
      <c r="F21" s="13">
        <v>0</v>
      </c>
      <c r="G21" s="13">
        <v>0</v>
      </c>
      <c r="H21" s="13">
        <v>0</v>
      </c>
      <c r="I21" s="13">
        <v>0</v>
      </c>
      <c r="J21" s="14">
        <v>8.81079E-4</v>
      </c>
      <c r="K21" s="13">
        <v>7.0060890000000001E-3</v>
      </c>
      <c r="L21" s="13">
        <v>3.5841688999999899E-2</v>
      </c>
      <c r="M21" s="13">
        <v>8.3667488999999998E-2</v>
      </c>
      <c r="N21" s="13">
        <v>0.16049428900000001</v>
      </c>
      <c r="O21" s="13">
        <v>0.26149828899999999</v>
      </c>
      <c r="P21" s="13">
        <v>0.34911711000000001</v>
      </c>
    </row>
    <row r="22" spans="1:16">
      <c r="J22" s="14"/>
    </row>
    <row r="23" spans="1:16">
      <c r="J23" s="14"/>
    </row>
    <row r="24" spans="1:16">
      <c r="J24" s="14"/>
    </row>
    <row r="25" spans="1:16">
      <c r="J25" s="14"/>
    </row>
    <row r="26" spans="1:16">
      <c r="J26" s="14"/>
    </row>
    <row r="27" spans="1:16">
      <c r="J27" s="14"/>
    </row>
    <row r="28" spans="1:16">
      <c r="J28" s="14"/>
    </row>
    <row r="29" spans="1:16">
      <c r="J29" s="14"/>
    </row>
    <row r="30" spans="1:16">
      <c r="F30" s="13">
        <v>2015</v>
      </c>
      <c r="G30" s="13">
        <v>2020</v>
      </c>
      <c r="H30" s="13">
        <v>2025</v>
      </c>
      <c r="I30" s="13">
        <v>2030</v>
      </c>
      <c r="J30" s="13">
        <v>2035</v>
      </c>
      <c r="K30" s="13">
        <v>2040</v>
      </c>
      <c r="L30" s="13">
        <v>2045</v>
      </c>
      <c r="M30" s="13">
        <v>2050</v>
      </c>
    </row>
    <row r="31" spans="1:16">
      <c r="D31" s="13" t="s">
        <v>307</v>
      </c>
      <c r="E31" s="13" t="s">
        <v>305</v>
      </c>
      <c r="F31" s="13">
        <f>SUMIF($E$3:$E$21,"*refined liquids*",I$3:I$21)*277.778</f>
        <v>10.578619574000001</v>
      </c>
      <c r="G31" s="13">
        <f t="shared" ref="G31:M31" si="0">SUMIF($E$3:$E$21,"*refined liquids*",J$3:J$21)*277.778</f>
        <v>2.5139603445000001</v>
      </c>
      <c r="H31" s="13">
        <f t="shared" si="0"/>
        <v>2.6779521423600006</v>
      </c>
      <c r="I31" s="13">
        <f t="shared" si="0"/>
        <v>2.5695381667400001</v>
      </c>
      <c r="J31" s="13">
        <f t="shared" si="0"/>
        <v>1.8922265137800003</v>
      </c>
      <c r="K31" s="13">
        <f t="shared" si="0"/>
        <v>0.72509502452000008</v>
      </c>
      <c r="L31" s="13">
        <f t="shared" si="0"/>
        <v>0.16325429727000002</v>
      </c>
      <c r="M31" s="13">
        <f t="shared" si="0"/>
        <v>3.3967804952000004E-2</v>
      </c>
    </row>
    <row r="32" spans="1:16">
      <c r="D32" s="13" t="s">
        <v>308</v>
      </c>
      <c r="E32" s="13" t="s">
        <v>15</v>
      </c>
      <c r="F32" s="13">
        <f>(SUMIF($E$3:$E$21,"*gas*",I$3:I$21)*277.778-F33)</f>
        <v>120.36766851628001</v>
      </c>
      <c r="G32" s="13">
        <f t="shared" ref="G32:L32" si="1">(SUMIF($E$3:$E$21,"*gas*",J$3:J$21)*277.778-G33)</f>
        <v>144.11418751348</v>
      </c>
      <c r="H32" s="13">
        <f t="shared" si="1"/>
        <v>165.35239894848002</v>
      </c>
      <c r="I32" s="13">
        <f t="shared" si="1"/>
        <v>188.0147615228</v>
      </c>
      <c r="J32" s="13">
        <f t="shared" si="1"/>
        <v>173.17354659428202</v>
      </c>
      <c r="K32" s="13">
        <f t="shared" si="1"/>
        <v>118.06660167542802</v>
      </c>
      <c r="L32" s="13">
        <f t="shared" si="1"/>
        <v>48.20380928523879</v>
      </c>
      <c r="M32" s="13">
        <f>(SUMIF($E$3:$E$21,"*gas*",P$3:P$21)*277.778-M33)</f>
        <v>13.600510880399995</v>
      </c>
    </row>
    <row r="33" spans="4:13">
      <c r="E33" s="13" t="s">
        <v>114</v>
      </c>
      <c r="F33" s="13">
        <f>I8*277.778</f>
        <v>0</v>
      </c>
      <c r="G33" s="13">
        <f t="shared" ref="G33:M33" si="2">J8*277.778</f>
        <v>0</v>
      </c>
      <c r="H33" s="13">
        <f t="shared" si="2"/>
        <v>0</v>
      </c>
      <c r="I33" s="13">
        <f t="shared" si="2"/>
        <v>6.0776159732000004</v>
      </c>
      <c r="J33" s="13">
        <f t="shared" si="2"/>
        <v>17.536986251800002</v>
      </c>
      <c r="K33" s="13">
        <f t="shared" si="2"/>
        <v>37.125029699999999</v>
      </c>
      <c r="L33" s="13">
        <f t="shared" si="2"/>
        <v>66.257830784000006</v>
      </c>
      <c r="M33" s="13">
        <f t="shared" si="2"/>
        <v>89.512849388000006</v>
      </c>
    </row>
    <row r="34" spans="4:13">
      <c r="D34" s="13" t="s">
        <v>309</v>
      </c>
      <c r="E34" s="13" t="s">
        <v>306</v>
      </c>
      <c r="F34" s="13">
        <f>SUMIF($E$3:$E$21,"*cogen*",I$3:I$21)</f>
        <v>0</v>
      </c>
      <c r="G34" s="13">
        <f t="shared" ref="G34:M34" si="3">SUMIF($E$3:$E$21,"*cogen*",J$3:J$21)</f>
        <v>0</v>
      </c>
      <c r="H34" s="13">
        <f t="shared" si="3"/>
        <v>0</v>
      </c>
      <c r="I34" s="13">
        <f t="shared" si="3"/>
        <v>0</v>
      </c>
      <c r="J34" s="13">
        <f t="shared" si="3"/>
        <v>0</v>
      </c>
      <c r="K34" s="13">
        <f t="shared" si="3"/>
        <v>0</v>
      </c>
      <c r="L34" s="13">
        <f t="shared" si="3"/>
        <v>0</v>
      </c>
      <c r="M34" s="13">
        <f t="shared" si="3"/>
        <v>0</v>
      </c>
    </row>
    <row r="35" spans="4:13">
      <c r="D35" s="13" t="s">
        <v>310</v>
      </c>
      <c r="E35" s="13" t="s">
        <v>14</v>
      </c>
      <c r="F35" s="13">
        <f>SUMIF($E$3:$E$21,"*coal*",I$3:I$21)*277.778</f>
        <v>215.852117126</v>
      </c>
      <c r="G35" s="13">
        <f t="shared" ref="G35:M35" si="4">SUMIF($E$3:$E$21,"*coal*",J$3:J$21)*277.778</f>
        <v>200.03266002600003</v>
      </c>
      <c r="H35" s="13">
        <f t="shared" si="4"/>
        <v>159.53623874000002</v>
      </c>
      <c r="I35" s="13">
        <f t="shared" si="4"/>
        <v>68.886999553999999</v>
      </c>
      <c r="J35" s="13">
        <f t="shared" si="4"/>
        <v>15.378956747600002</v>
      </c>
      <c r="K35" s="13">
        <f t="shared" si="4"/>
        <v>2.1308739269200001</v>
      </c>
      <c r="L35" s="13">
        <f t="shared" si="4"/>
        <v>7.9278396756E-2</v>
      </c>
      <c r="M35" s="13">
        <f t="shared" si="4"/>
        <v>0</v>
      </c>
    </row>
    <row r="36" spans="4:13">
      <c r="E36" s="13" t="s">
        <v>115</v>
      </c>
    </row>
    <row r="37" spans="4:13">
      <c r="D37" s="13" t="s">
        <v>311</v>
      </c>
      <c r="E37" s="13" t="s">
        <v>281</v>
      </c>
      <c r="F37" s="13">
        <f>SUMIF($E$3:$E$21,"*gen*",I$3:I$21)*277.778</f>
        <v>164.66290950800001</v>
      </c>
      <c r="G37" s="13">
        <f t="shared" ref="G37:M37" si="5">SUMIF($E$3:$E$21,"*gen*",J$3:J$21)*277.778</f>
        <v>159.87615567860001</v>
      </c>
      <c r="H37" s="13">
        <f t="shared" si="5"/>
        <v>154.98034620640001</v>
      </c>
      <c r="I37" s="13">
        <f t="shared" si="5"/>
        <v>144.57006010040001</v>
      </c>
      <c r="J37" s="13">
        <f t="shared" si="5"/>
        <v>130.3239375924</v>
      </c>
      <c r="K37" s="13">
        <f t="shared" si="5"/>
        <v>112.44170106440001</v>
      </c>
      <c r="L37" s="13">
        <f t="shared" si="5"/>
        <v>92.277240488399997</v>
      </c>
      <c r="M37" s="13">
        <f t="shared" si="5"/>
        <v>72.112779912400001</v>
      </c>
    </row>
    <row r="38" spans="4:13">
      <c r="D38" s="13" t="s">
        <v>312</v>
      </c>
      <c r="E38" s="13" t="s">
        <v>13</v>
      </c>
      <c r="F38" s="13">
        <f>(SUMIF($E$3:$E$21,"*biomass*",I$3:I$21)*277.778-F39)</f>
        <v>2.3246018596800004</v>
      </c>
      <c r="G38" s="13">
        <f t="shared" ref="G38:M38" si="6">(SUMIF($E$3:$E$21,"*biomass*",J$3:J$21)*277.778-G39)</f>
        <v>4.6501148311999998</v>
      </c>
      <c r="H38" s="13">
        <f t="shared" si="6"/>
        <v>9.8434300969600024</v>
      </c>
      <c r="I38" s="13">
        <f t="shared" si="6"/>
        <v>21.169294713199999</v>
      </c>
      <c r="J38" s="13">
        <f t="shared" si="6"/>
        <v>28.777161910600004</v>
      </c>
      <c r="K38" s="13">
        <f t="shared" si="6"/>
        <v>22.009545385399992</v>
      </c>
      <c r="L38" s="13">
        <f t="shared" si="6"/>
        <v>2.6300604373800027</v>
      </c>
      <c r="M38" s="13">
        <f t="shared" si="6"/>
        <v>0.13260455052800069</v>
      </c>
    </row>
    <row r="39" spans="4:13">
      <c r="E39" s="13" t="s">
        <v>113</v>
      </c>
      <c r="F39" s="13">
        <f>SUM(I3,I5)*277.778</f>
        <v>0</v>
      </c>
      <c r="G39" s="13">
        <f t="shared" ref="G39:M39" si="7">SUM(J3,J5)*277.778</f>
        <v>0</v>
      </c>
      <c r="H39" s="13">
        <f t="shared" si="7"/>
        <v>9.6881105282599998E-3</v>
      </c>
      <c r="I39" s="13">
        <f t="shared" si="7"/>
        <v>0.26537049007399999</v>
      </c>
      <c r="J39" s="13">
        <f t="shared" si="7"/>
        <v>4.0734199254000005</v>
      </c>
      <c r="K39" s="13">
        <f t="shared" si="7"/>
        <v>17.381402794</v>
      </c>
      <c r="L39" s="13">
        <f t="shared" si="7"/>
        <v>31.050052617799999</v>
      </c>
      <c r="M39" s="13">
        <f t="shared" si="7"/>
        <v>35.341111606200002</v>
      </c>
    </row>
    <row r="40" spans="4:13">
      <c r="D40" s="13" t="s">
        <v>283</v>
      </c>
      <c r="E40" s="13" t="s">
        <v>284</v>
      </c>
      <c r="F40" s="13">
        <f>SUMIF($E$3:$E$21,"*hydro*",I$3:I$21)*277.778</f>
        <v>3.7330029864000003</v>
      </c>
      <c r="G40" s="13">
        <f t="shared" ref="G40:M40" si="8">SUMIF($E$3:$E$21,"*hydro*",J$3:J$21)*277.778</f>
        <v>3.0113357424</v>
      </c>
      <c r="H40" s="13">
        <f t="shared" si="8"/>
        <v>3.8766697680000002</v>
      </c>
      <c r="I40" s="13">
        <f t="shared" si="8"/>
        <v>4.7420037936000012</v>
      </c>
      <c r="J40" s="13">
        <f t="shared" si="8"/>
        <v>5.6073378192000005</v>
      </c>
      <c r="K40" s="13">
        <f t="shared" si="8"/>
        <v>6.4726996226000013</v>
      </c>
      <c r="L40" s="13">
        <f t="shared" si="8"/>
        <v>7.3380336482000006</v>
      </c>
      <c r="M40" s="13">
        <f t="shared" si="8"/>
        <v>8.2033676738000008</v>
      </c>
    </row>
    <row r="41" spans="4:13">
      <c r="E41" s="13" t="s">
        <v>12</v>
      </c>
    </row>
    <row r="42" spans="4:13">
      <c r="D42" s="13" t="s">
        <v>313</v>
      </c>
      <c r="E42" s="13" t="s">
        <v>286</v>
      </c>
      <c r="F42" s="13">
        <f>SUMIF($E$3:$E$21,"*PV*",I$3:I$21)*277.778+SUMIF($E$3:$E$18,"*CSP*",I$3:I$18)*277.778</f>
        <v>3.9726142892000005</v>
      </c>
      <c r="G42" s="13">
        <f t="shared" ref="G42:M42" si="9">SUMIF($E$3:$E$21,"*PV*",J$3:J$21)*277.778+SUMIF($E$3:$E$18,"*CSP*",J$3:J$18)*277.778</f>
        <v>16.361395894661797</v>
      </c>
      <c r="H42" s="13">
        <f t="shared" si="9"/>
        <v>46.569815866934</v>
      </c>
      <c r="I42" s="13">
        <f t="shared" si="9"/>
        <v>92.669539968906008</v>
      </c>
      <c r="J42" s="13">
        <f t="shared" si="9"/>
        <v>136.01303575478602</v>
      </c>
      <c r="K42" s="13">
        <f t="shared" si="9"/>
        <v>193.492315071506</v>
      </c>
      <c r="L42" s="13">
        <f t="shared" si="9"/>
        <v>263.25904588484599</v>
      </c>
      <c r="M42" s="13">
        <f t="shared" si="9"/>
        <v>323.68855339508008</v>
      </c>
    </row>
    <row r="43" spans="4:13">
      <c r="D43" s="13" t="s">
        <v>314</v>
      </c>
      <c r="E43" s="13" t="s">
        <v>285</v>
      </c>
      <c r="F43" s="13">
        <f>SUMIF($E$3:$E$21,"*wind*",I$3:I$21)*277.778</f>
        <v>1.3411927396200001</v>
      </c>
      <c r="G43" s="13">
        <f t="shared" ref="G43:L43" si="10">SUMIF($E$3:$E$21,"*wind*",J$3:J$21)*277.778</f>
        <v>5.2905283990860008</v>
      </c>
      <c r="H43" s="13">
        <f t="shared" si="10"/>
        <v>20.681712934245969</v>
      </c>
      <c r="I43" s="13">
        <f t="shared" si="10"/>
        <v>63.776616854585981</v>
      </c>
      <c r="J43" s="13">
        <f t="shared" si="10"/>
        <v>114.053462631586</v>
      </c>
      <c r="K43" s="13">
        <f t="shared" si="10"/>
        <v>173.41473234278601</v>
      </c>
      <c r="L43" s="13">
        <f t="shared" si="10"/>
        <v>240.12292237596171</v>
      </c>
      <c r="M43" s="13">
        <f>SUMIF($E$3:$E$21,"*wind*",P$3:P$21)*277.778</f>
        <v>300.20716794332003</v>
      </c>
    </row>
    <row r="44" spans="4:13">
      <c r="M44" s="13">
        <f>SUM(M31:M43)</f>
        <v>842.83291315468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BB3EF-5E9F-4DF6-B51B-09FC0D288AD4}">
  <dimension ref="A1:AR56"/>
  <sheetViews>
    <sheetView topLeftCell="A19" zoomScale="55" zoomScaleNormal="55" workbookViewId="0">
      <selection activeCell="M51" sqref="M51"/>
    </sheetView>
  </sheetViews>
  <sheetFormatPr defaultColWidth="8.69921875" defaultRowHeight="17.399999999999999"/>
  <cols>
    <col min="1" max="4" width="8.69921875" style="13"/>
    <col min="5" max="5" width="23.69921875" style="13" bestFit="1" customWidth="1"/>
    <col min="6" max="6" width="10.09765625" style="13" bestFit="1" customWidth="1"/>
    <col min="7" max="12" width="8.69921875" style="13"/>
    <col min="13" max="13" width="11.09765625" style="13" customWidth="1"/>
    <col min="14" max="14" width="10.09765625" style="13" bestFit="1" customWidth="1"/>
    <col min="15" max="32" width="8.69921875" style="13"/>
    <col min="33" max="33" width="18" style="13" customWidth="1"/>
    <col min="34" max="16384" width="8.69921875" style="13"/>
  </cols>
  <sheetData>
    <row r="1" spans="1:44">
      <c r="A1" s="1" t="s">
        <v>304</v>
      </c>
    </row>
    <row r="2" spans="1:44">
      <c r="A2" s="13" t="s">
        <v>8</v>
      </c>
      <c r="B2" s="13" t="s">
        <v>9</v>
      </c>
      <c r="C2" s="13" t="s">
        <v>40</v>
      </c>
      <c r="D2" s="13" t="s">
        <v>41</v>
      </c>
      <c r="E2" s="13" t="s">
        <v>42</v>
      </c>
      <c r="F2" s="13">
        <v>1990</v>
      </c>
      <c r="G2" s="13">
        <v>2005</v>
      </c>
      <c r="H2" s="13">
        <v>2010</v>
      </c>
      <c r="I2" s="13">
        <v>2015</v>
      </c>
      <c r="J2" s="13">
        <v>2020</v>
      </c>
      <c r="K2" s="13">
        <v>2025</v>
      </c>
      <c r="L2" s="13">
        <v>2030</v>
      </c>
      <c r="M2" s="13">
        <v>2035</v>
      </c>
      <c r="N2" s="13">
        <v>2040</v>
      </c>
      <c r="O2" s="13">
        <v>2045</v>
      </c>
      <c r="P2" s="13">
        <v>2050</v>
      </c>
    </row>
    <row r="3" spans="1:44">
      <c r="A3" s="13" t="s">
        <v>607</v>
      </c>
      <c r="B3" s="13" t="s">
        <v>1</v>
      </c>
      <c r="C3" s="13" t="s">
        <v>57</v>
      </c>
      <c r="D3" s="13" t="s">
        <v>59</v>
      </c>
      <c r="E3" s="13" t="s">
        <v>321</v>
      </c>
      <c r="F3" s="62">
        <v>0</v>
      </c>
      <c r="G3" s="62">
        <v>0</v>
      </c>
      <c r="H3" s="62">
        <v>0</v>
      </c>
      <c r="I3" s="62">
        <v>0</v>
      </c>
      <c r="J3" s="62">
        <v>0</v>
      </c>
      <c r="K3" s="63">
        <v>1.20667E-4</v>
      </c>
      <c r="L3" s="63">
        <v>1.19626E-3</v>
      </c>
      <c r="M3" s="62">
        <v>1.0694199999999999E-2</v>
      </c>
      <c r="N3" s="62">
        <v>3.7074500000000003E-2</v>
      </c>
      <c r="O3" s="62">
        <v>6.4409900000000006E-2</v>
      </c>
      <c r="P3" s="62">
        <v>7.1805599999999997E-2</v>
      </c>
      <c r="AB3" s="13" t="s">
        <v>432</v>
      </c>
      <c r="AC3" s="13" t="s">
        <v>1</v>
      </c>
      <c r="AD3" s="13" t="s">
        <v>68</v>
      </c>
      <c r="AE3" s="13" t="s">
        <v>57</v>
      </c>
      <c r="AF3" s="13" t="s">
        <v>59</v>
      </c>
      <c r="AG3" s="13" t="s">
        <v>69</v>
      </c>
      <c r="AH3" s="13">
        <v>0</v>
      </c>
      <c r="AI3" s="14">
        <v>4.2802299999999998E-4</v>
      </c>
      <c r="AJ3" s="14">
        <v>8.2357600000000002E-4</v>
      </c>
      <c r="AK3" s="14">
        <v>8.4944299999999996E-4</v>
      </c>
      <c r="AL3" s="13">
        <v>1.034821E-3</v>
      </c>
      <c r="AM3" s="13">
        <v>1.153542E-3</v>
      </c>
      <c r="AN3" s="13">
        <v>2.1083109999999999E-3</v>
      </c>
      <c r="AO3" s="13">
        <v>4.7190360000000002E-3</v>
      </c>
      <c r="AP3" s="13">
        <v>5.0539063E-3</v>
      </c>
      <c r="AQ3" s="13">
        <v>4.655897E-3</v>
      </c>
      <c r="AR3" s="13">
        <v>3.7246067699999901E-3</v>
      </c>
    </row>
    <row r="4" spans="1:44">
      <c r="A4" s="13" t="s">
        <v>607</v>
      </c>
      <c r="B4" s="13" t="s">
        <v>1</v>
      </c>
      <c r="C4" s="13" t="s">
        <v>57</v>
      </c>
      <c r="D4" s="13" t="s">
        <v>59</v>
      </c>
      <c r="E4" s="13" t="s">
        <v>287</v>
      </c>
      <c r="F4" s="62">
        <v>0</v>
      </c>
      <c r="G4" s="63">
        <v>0</v>
      </c>
      <c r="H4" s="62">
        <v>0</v>
      </c>
      <c r="I4" s="62">
        <v>0</v>
      </c>
      <c r="J4" s="62">
        <v>0</v>
      </c>
      <c r="K4" s="62">
        <v>7.9571199999999998E-3</v>
      </c>
      <c r="L4" s="62">
        <v>2.0089599999999999E-2</v>
      </c>
      <c r="M4" s="62">
        <v>2.4351100000000001E-2</v>
      </c>
      <c r="N4" s="62">
        <v>8.5860399999999996E-3</v>
      </c>
      <c r="O4" s="63">
        <v>9.776819999999999E-4</v>
      </c>
      <c r="P4" s="63">
        <v>2.3525599999999999E-6</v>
      </c>
      <c r="Q4" s="14"/>
      <c r="AB4" s="13" t="s">
        <v>432</v>
      </c>
      <c r="AC4" s="13" t="s">
        <v>1</v>
      </c>
      <c r="AD4" s="13" t="s">
        <v>68</v>
      </c>
      <c r="AE4" s="13" t="s">
        <v>58</v>
      </c>
      <c r="AF4" s="13" t="s">
        <v>59</v>
      </c>
      <c r="AG4" s="13" t="s">
        <v>70</v>
      </c>
      <c r="AH4" s="13">
        <v>2.1196199999999998E-2</v>
      </c>
      <c r="AI4" s="13">
        <v>5.2950900000000002E-2</v>
      </c>
      <c r="AJ4" s="13">
        <v>6.7626000000000006E-2</v>
      </c>
      <c r="AK4" s="13">
        <v>7.4225700000000006E-2</v>
      </c>
      <c r="AL4" s="13">
        <v>9.0411599999999995E-2</v>
      </c>
      <c r="AM4" s="13">
        <v>8.9419579999999999E-2</v>
      </c>
      <c r="AN4" s="13">
        <v>8.2779969999999994E-2</v>
      </c>
      <c r="AO4" s="13">
        <v>6.112095E-2</v>
      </c>
      <c r="AP4" s="13">
        <v>3.3845109999999998E-2</v>
      </c>
      <c r="AQ4" s="13">
        <v>1.7451905999999899E-2</v>
      </c>
      <c r="AR4" s="13">
        <v>9.5359749999999899E-3</v>
      </c>
    </row>
    <row r="5" spans="1:44">
      <c r="A5" s="13" t="s">
        <v>607</v>
      </c>
      <c r="B5" s="13" t="s">
        <v>1</v>
      </c>
      <c r="C5" s="13" t="s">
        <v>57</v>
      </c>
      <c r="D5" s="13" t="s">
        <v>59</v>
      </c>
      <c r="E5" s="13" t="s">
        <v>322</v>
      </c>
      <c r="F5" s="62">
        <v>0</v>
      </c>
      <c r="G5" s="62">
        <v>0</v>
      </c>
      <c r="H5" s="62">
        <v>0</v>
      </c>
      <c r="I5" s="62">
        <v>0</v>
      </c>
      <c r="J5" s="62">
        <v>0</v>
      </c>
      <c r="K5" s="63">
        <v>4.9108599999999999E-5</v>
      </c>
      <c r="L5" s="63">
        <v>5.6296500000000001E-4</v>
      </c>
      <c r="M5" s="62">
        <v>6.4268399999999996E-3</v>
      </c>
      <c r="N5" s="62">
        <v>2.1737300000000001E-2</v>
      </c>
      <c r="O5" s="62">
        <v>3.39589E-2</v>
      </c>
      <c r="P5" s="62">
        <v>2.0878500000000001E-2</v>
      </c>
      <c r="AB5" s="13" t="s">
        <v>432</v>
      </c>
      <c r="AC5" s="13" t="s">
        <v>1</v>
      </c>
      <c r="AD5" s="13" t="s">
        <v>68</v>
      </c>
      <c r="AE5" s="13" t="s">
        <v>60</v>
      </c>
      <c r="AF5" s="13" t="s">
        <v>59</v>
      </c>
      <c r="AG5" s="13" t="s">
        <v>71</v>
      </c>
      <c r="AH5" s="13">
        <v>0</v>
      </c>
      <c r="AI5" s="13">
        <v>1.11745E-2</v>
      </c>
      <c r="AJ5" s="13">
        <v>7.9107899999999991E-3</v>
      </c>
      <c r="AK5" s="13">
        <v>1.08273E-2</v>
      </c>
      <c r="AL5" s="13">
        <v>1.279396E-2</v>
      </c>
      <c r="AM5" s="13">
        <v>1.3134164E-2</v>
      </c>
      <c r="AN5" s="13">
        <v>1.5195256000000001E-2</v>
      </c>
      <c r="AO5" s="13">
        <v>1.7902492999999998E-2</v>
      </c>
      <c r="AP5" s="13">
        <v>1.7440542E-2</v>
      </c>
      <c r="AQ5" s="13">
        <v>1.55189949999999E-2</v>
      </c>
      <c r="AR5" s="13">
        <v>1.2846654900000001E-2</v>
      </c>
    </row>
    <row r="6" spans="1:44">
      <c r="A6" s="13" t="s">
        <v>607</v>
      </c>
      <c r="B6" s="13" t="s">
        <v>1</v>
      </c>
      <c r="C6" s="13" t="s">
        <v>57</v>
      </c>
      <c r="D6" s="13" t="s">
        <v>59</v>
      </c>
      <c r="E6" s="13" t="s">
        <v>288</v>
      </c>
      <c r="F6" s="62">
        <v>0</v>
      </c>
      <c r="G6" s="63">
        <v>1.62005E-4</v>
      </c>
      <c r="H6" s="62">
        <v>1.2455999999999999E-3</v>
      </c>
      <c r="I6" s="62">
        <v>8.3685600000000006E-3</v>
      </c>
      <c r="J6" s="62">
        <v>1.9051700000000001E-2</v>
      </c>
      <c r="K6" s="62">
        <v>4.1768800000000002E-2</v>
      </c>
      <c r="L6" s="62">
        <v>6.5228099999999997E-2</v>
      </c>
      <c r="M6" s="62">
        <v>7.3125999999999997E-2</v>
      </c>
      <c r="N6" s="62">
        <v>5.7268800000000002E-2</v>
      </c>
      <c r="O6" s="63">
        <v>6.9348600000000002E-3</v>
      </c>
      <c r="P6" s="63">
        <v>1.2034E-6</v>
      </c>
      <c r="Q6" s="14"/>
      <c r="AB6" s="13" t="s">
        <v>432</v>
      </c>
      <c r="AC6" s="13" t="s">
        <v>1</v>
      </c>
      <c r="AD6" s="13" t="s">
        <v>68</v>
      </c>
      <c r="AE6" s="13" t="s">
        <v>65</v>
      </c>
      <c r="AF6" s="13" t="s">
        <v>59</v>
      </c>
      <c r="AG6" s="13" t="s">
        <v>72</v>
      </c>
      <c r="AH6" s="13">
        <v>0</v>
      </c>
      <c r="AI6" s="13">
        <v>0</v>
      </c>
      <c r="AJ6" s="13">
        <v>0</v>
      </c>
      <c r="AK6" s="13">
        <v>0</v>
      </c>
      <c r="AL6" s="14">
        <v>1.4203499999999999E-4</v>
      </c>
      <c r="AM6" s="14">
        <v>2.30197999999999E-4</v>
      </c>
      <c r="AN6" s="13">
        <v>1.0086794999999999E-3</v>
      </c>
      <c r="AO6" s="13">
        <v>4.1324624000000001E-3</v>
      </c>
      <c r="AP6" s="13">
        <v>1.17513596E-2</v>
      </c>
      <c r="AQ6" s="13">
        <v>1.9827881299999999E-2</v>
      </c>
      <c r="AR6" s="13">
        <v>2.7831249379999999E-2</v>
      </c>
    </row>
    <row r="7" spans="1:44">
      <c r="A7" s="13" t="s">
        <v>607</v>
      </c>
      <c r="B7" s="13" t="s">
        <v>1</v>
      </c>
      <c r="C7" s="13" t="s">
        <v>58</v>
      </c>
      <c r="D7" s="13" t="s">
        <v>59</v>
      </c>
      <c r="E7" s="13" t="s">
        <v>289</v>
      </c>
      <c r="F7" s="62">
        <v>4.2373399999999999E-2</v>
      </c>
      <c r="G7" s="62">
        <v>0.48267300000000002</v>
      </c>
      <c r="H7" s="62">
        <v>0.72176600000000002</v>
      </c>
      <c r="I7" s="62">
        <v>0.77706699999999995</v>
      </c>
      <c r="J7" s="62">
        <v>0.80636799999999997</v>
      </c>
      <c r="K7" s="62">
        <v>0.46593200000000001</v>
      </c>
      <c r="L7" s="62">
        <v>0.19057299999999999</v>
      </c>
      <c r="M7" s="62">
        <v>4.5472400000000003E-2</v>
      </c>
      <c r="N7" s="63">
        <v>7.8264500000000004E-3</v>
      </c>
      <c r="O7" s="63">
        <v>5.8805299999999995E-4</v>
      </c>
      <c r="P7" s="63">
        <v>5.1599799999999996E-7</v>
      </c>
      <c r="AB7" s="13" t="s">
        <v>432</v>
      </c>
      <c r="AC7" s="13" t="s">
        <v>1</v>
      </c>
      <c r="AD7" s="13" t="s">
        <v>68</v>
      </c>
      <c r="AE7" s="13" t="s">
        <v>19</v>
      </c>
      <c r="AF7" s="13" t="s">
        <v>59</v>
      </c>
      <c r="AG7" s="13" t="s">
        <v>73</v>
      </c>
      <c r="AH7" s="13">
        <v>0</v>
      </c>
      <c r="AI7" s="13">
        <v>1.7814E-2</v>
      </c>
      <c r="AJ7" s="13">
        <v>1.42928E-2</v>
      </c>
      <c r="AK7" s="13">
        <v>6.9559899999999996E-3</v>
      </c>
      <c r="AL7" s="13">
        <v>7.8912900000000005E-3</v>
      </c>
      <c r="AM7" s="13">
        <v>8.0473839999999994E-3</v>
      </c>
      <c r="AN7" s="13">
        <v>9.0514210000000005E-3</v>
      </c>
      <c r="AO7" s="13">
        <v>1.10518429999999E-2</v>
      </c>
      <c r="AP7" s="13">
        <v>1.1706941E-2</v>
      </c>
      <c r="AQ7" s="13">
        <v>1.0796897E-2</v>
      </c>
      <c r="AR7" s="13">
        <v>8.7798100999999899E-3</v>
      </c>
    </row>
    <row r="8" spans="1:44">
      <c r="A8" s="13" t="s">
        <v>607</v>
      </c>
      <c r="B8" s="13" t="s">
        <v>1</v>
      </c>
      <c r="C8" s="13" t="s">
        <v>60</v>
      </c>
      <c r="D8" s="13" t="s">
        <v>59</v>
      </c>
      <c r="E8" s="13" t="s">
        <v>323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2.7428299999999999E-2</v>
      </c>
      <c r="M8" s="62">
        <v>7.7063000000000006E-2</v>
      </c>
      <c r="N8" s="62">
        <v>0.156967</v>
      </c>
      <c r="O8" s="62">
        <v>0.245481</v>
      </c>
      <c r="P8" s="62">
        <v>0.28971599999999997</v>
      </c>
    </row>
    <row r="9" spans="1:44">
      <c r="A9" s="13" t="s">
        <v>607</v>
      </c>
      <c r="B9" s="13" t="s">
        <v>1</v>
      </c>
      <c r="C9" s="13" t="s">
        <v>60</v>
      </c>
      <c r="D9" s="13" t="s">
        <v>59</v>
      </c>
      <c r="E9" s="13" t="s">
        <v>290</v>
      </c>
      <c r="F9" s="62">
        <v>2.6982099999999998E-2</v>
      </c>
      <c r="G9" s="62">
        <v>0.20272799999999999</v>
      </c>
      <c r="H9" s="62">
        <v>0.264735</v>
      </c>
      <c r="I9" s="62">
        <v>0.429705</v>
      </c>
      <c r="J9" s="62">
        <v>0.515872</v>
      </c>
      <c r="K9" s="62">
        <v>0.58421699999999999</v>
      </c>
      <c r="L9" s="62">
        <v>0.65796299999999996</v>
      </c>
      <c r="M9" s="62">
        <v>0.59778600000000004</v>
      </c>
      <c r="N9" s="62">
        <v>0.39851300000000001</v>
      </c>
      <c r="O9" s="62">
        <v>0.15987499999999999</v>
      </c>
      <c r="P9" s="62">
        <v>3.2113699999999998E-3</v>
      </c>
    </row>
    <row r="10" spans="1:44">
      <c r="A10" s="13" t="s">
        <v>607</v>
      </c>
      <c r="B10" s="13" t="s">
        <v>1</v>
      </c>
      <c r="C10" s="13" t="s">
        <v>60</v>
      </c>
      <c r="D10" s="13" t="s">
        <v>59</v>
      </c>
      <c r="E10" s="13" t="s">
        <v>291</v>
      </c>
      <c r="F10" s="62">
        <v>7.5933800000000003E-3</v>
      </c>
      <c r="G10" s="62">
        <v>1.0336700000000001E-2</v>
      </c>
      <c r="H10" s="62">
        <v>0.10074</v>
      </c>
      <c r="I10" s="62">
        <v>3.6182599999999999E-3</v>
      </c>
      <c r="J10" s="62">
        <v>3.52871E-3</v>
      </c>
      <c r="K10" s="62">
        <v>2.0907399999999998E-3</v>
      </c>
      <c r="L10" s="62">
        <v>1.6312099999999999E-3</v>
      </c>
      <c r="M10" s="63">
        <v>7.9560399999999999E-4</v>
      </c>
      <c r="N10" s="63">
        <v>2.0707500000000001E-4</v>
      </c>
      <c r="O10" s="63">
        <v>3.3227199999999999E-5</v>
      </c>
      <c r="P10" s="62">
        <v>0</v>
      </c>
    </row>
    <row r="11" spans="1:44">
      <c r="A11" s="13" t="s">
        <v>607</v>
      </c>
      <c r="B11" s="13" t="s">
        <v>1</v>
      </c>
      <c r="C11" s="13" t="s">
        <v>282</v>
      </c>
      <c r="D11" s="13" t="s">
        <v>59</v>
      </c>
      <c r="E11" s="13" t="s">
        <v>282</v>
      </c>
      <c r="F11" s="62">
        <v>2.2899599999999999E-2</v>
      </c>
      <c r="G11" s="62">
        <v>1.32228E-2</v>
      </c>
      <c r="H11" s="62">
        <v>1.39644E-2</v>
      </c>
      <c r="I11" s="62">
        <v>1.3438800000000001E-2</v>
      </c>
      <c r="J11" s="62">
        <v>1.0840799999999999E-2</v>
      </c>
      <c r="K11" s="62">
        <v>1.3956E-2</v>
      </c>
      <c r="L11" s="62">
        <v>1.7071200000000002E-2</v>
      </c>
      <c r="M11" s="62">
        <v>2.01864E-2</v>
      </c>
      <c r="N11" s="62">
        <v>2.3301700000000002E-2</v>
      </c>
      <c r="O11" s="62">
        <v>2.64169E-2</v>
      </c>
      <c r="P11" s="62">
        <v>2.9532099999999999E-2</v>
      </c>
    </row>
    <row r="12" spans="1:44">
      <c r="A12" s="13" t="s">
        <v>607</v>
      </c>
      <c r="B12" s="13" t="s">
        <v>1</v>
      </c>
      <c r="C12" s="13" t="s">
        <v>292</v>
      </c>
      <c r="D12" s="13" t="s">
        <v>59</v>
      </c>
      <c r="E12" s="13" t="s">
        <v>293</v>
      </c>
      <c r="F12" s="62">
        <v>0</v>
      </c>
      <c r="G12" s="62">
        <v>0</v>
      </c>
      <c r="H12" s="62">
        <v>0</v>
      </c>
      <c r="I12" s="62">
        <v>0</v>
      </c>
      <c r="J12" s="63">
        <v>2.42461E-2</v>
      </c>
      <c r="K12" s="63">
        <v>0.16823099999999999</v>
      </c>
      <c r="L12" s="63">
        <v>0.16823099999999999</v>
      </c>
      <c r="M12" s="63">
        <v>0.16823099999999999</v>
      </c>
      <c r="N12" s="63">
        <v>0.16823099999999999</v>
      </c>
      <c r="O12" s="63">
        <v>0.16823099999999999</v>
      </c>
      <c r="P12" s="62">
        <v>0.16823099999999999</v>
      </c>
    </row>
    <row r="13" spans="1:44">
      <c r="A13" s="13" t="s">
        <v>607</v>
      </c>
      <c r="B13" s="13" t="s">
        <v>1</v>
      </c>
      <c r="C13" s="13" t="s">
        <v>292</v>
      </c>
      <c r="D13" s="13" t="s">
        <v>59</v>
      </c>
      <c r="E13" s="13" t="s">
        <v>294</v>
      </c>
      <c r="F13" s="62">
        <v>0.19039900000000001</v>
      </c>
      <c r="G13" s="62">
        <v>0.52841899999999997</v>
      </c>
      <c r="H13" s="62">
        <v>0.534945</v>
      </c>
      <c r="I13" s="62">
        <v>0.59278600000000004</v>
      </c>
      <c r="J13" s="63">
        <v>0.547817</v>
      </c>
      <c r="K13" s="63">
        <v>0.52212400000000003</v>
      </c>
      <c r="L13" s="63">
        <v>0.48464699999999999</v>
      </c>
      <c r="M13" s="62">
        <v>0.433361</v>
      </c>
      <c r="N13" s="62">
        <v>0.36898500000000001</v>
      </c>
      <c r="O13" s="62">
        <v>0.29639300000000002</v>
      </c>
      <c r="P13" s="62">
        <v>0.223801</v>
      </c>
    </row>
    <row r="14" spans="1:44">
      <c r="A14" s="13" t="s">
        <v>607</v>
      </c>
      <c r="B14" s="13" t="s">
        <v>1</v>
      </c>
      <c r="C14" s="13" t="s">
        <v>19</v>
      </c>
      <c r="D14" s="13" t="s">
        <v>59</v>
      </c>
      <c r="E14" s="13" t="s">
        <v>295</v>
      </c>
      <c r="F14" s="63">
        <v>6.7887400000000001E-2</v>
      </c>
      <c r="G14" s="63">
        <v>7.5749700000000003E-2</v>
      </c>
      <c r="H14" s="62">
        <v>5.3866700000000003E-2</v>
      </c>
      <c r="I14" s="62">
        <v>3.8082999999999999E-2</v>
      </c>
      <c r="J14" s="62">
        <v>8.7021900000000003E-3</v>
      </c>
      <c r="K14" s="62">
        <v>1.08985E-2</v>
      </c>
      <c r="L14" s="62">
        <v>9.7296299999999995E-3</v>
      </c>
      <c r="M14" s="62">
        <v>6.0370800000000002E-3</v>
      </c>
      <c r="N14" s="63">
        <v>2.31278E-3</v>
      </c>
      <c r="O14" s="63">
        <v>5.3197900000000002E-4</v>
      </c>
      <c r="P14" s="63">
        <v>8.3461699999999994E-6</v>
      </c>
      <c r="Q14" s="14"/>
    </row>
    <row r="15" spans="1:44">
      <c r="A15" s="13" t="s">
        <v>607</v>
      </c>
      <c r="B15" s="13" t="s">
        <v>1</v>
      </c>
      <c r="C15" s="13" t="s">
        <v>296</v>
      </c>
      <c r="D15" s="13" t="s">
        <v>264</v>
      </c>
      <c r="E15" s="13" t="s">
        <v>296</v>
      </c>
      <c r="F15" s="62">
        <v>0</v>
      </c>
      <c r="G15" s="62">
        <v>0</v>
      </c>
      <c r="H15" s="62">
        <v>0</v>
      </c>
      <c r="I15" s="62">
        <v>0</v>
      </c>
      <c r="J15" s="63">
        <v>1.10969E-4</v>
      </c>
      <c r="K15" s="63">
        <v>1.2028399999999999E-3</v>
      </c>
      <c r="L15" s="63">
        <v>1.2006199999999999E-3</v>
      </c>
      <c r="M15" s="62">
        <v>1.7388499999999999E-3</v>
      </c>
      <c r="N15" s="62">
        <v>2.3871299999999999E-3</v>
      </c>
      <c r="O15" s="62">
        <v>2.5988700000000001E-3</v>
      </c>
      <c r="P15" s="62">
        <v>1.7129199999999999E-3</v>
      </c>
    </row>
    <row r="16" spans="1:44">
      <c r="A16" s="13" t="s">
        <v>607</v>
      </c>
      <c r="B16" s="13" t="s">
        <v>1</v>
      </c>
      <c r="C16" s="13" t="s">
        <v>297</v>
      </c>
      <c r="D16" s="13" t="s">
        <v>59</v>
      </c>
      <c r="E16" s="13" t="s">
        <v>298</v>
      </c>
      <c r="F16" s="62">
        <v>0</v>
      </c>
      <c r="G16" s="63">
        <v>0</v>
      </c>
      <c r="H16" s="62">
        <v>0</v>
      </c>
      <c r="I16" s="62">
        <v>0</v>
      </c>
      <c r="J16" s="63">
        <v>2.62138E-5</v>
      </c>
      <c r="K16" s="63">
        <v>7.2128299999999997E-4</v>
      </c>
      <c r="L16" s="62">
        <v>6.6586900000000001E-3</v>
      </c>
      <c r="M16" s="62">
        <v>2.9228500000000001E-2</v>
      </c>
      <c r="N16" s="62">
        <v>8.4034899999999996E-2</v>
      </c>
      <c r="O16" s="62">
        <v>0.15607599999999999</v>
      </c>
      <c r="P16" s="62">
        <v>0.26436799999999999</v>
      </c>
    </row>
    <row r="17" spans="1:16">
      <c r="A17" s="13" t="s">
        <v>607</v>
      </c>
      <c r="B17" s="13" t="s">
        <v>1</v>
      </c>
      <c r="C17" s="13" t="s">
        <v>297</v>
      </c>
      <c r="D17" s="13" t="s">
        <v>59</v>
      </c>
      <c r="E17" s="13" t="s">
        <v>299</v>
      </c>
      <c r="F17" s="63">
        <v>3.6001099999999999E-6</v>
      </c>
      <c r="G17" s="63">
        <v>5.4001500000000001E-5</v>
      </c>
      <c r="H17" s="62">
        <v>2.77919E-3</v>
      </c>
      <c r="I17" s="62">
        <v>1.4301400000000001E-2</v>
      </c>
      <c r="J17" s="63">
        <v>6.5720000000000001E-2</v>
      </c>
      <c r="K17" s="63">
        <v>0.210923</v>
      </c>
      <c r="L17" s="62">
        <v>0.34332699999999999</v>
      </c>
      <c r="M17" s="62">
        <v>0.44886999999999999</v>
      </c>
      <c r="N17" s="62">
        <v>0.55317799999999995</v>
      </c>
      <c r="O17" s="62">
        <v>0.62532759999999998</v>
      </c>
      <c r="P17" s="62">
        <v>0.65157960000000004</v>
      </c>
    </row>
    <row r="18" spans="1:16">
      <c r="A18" s="13" t="s">
        <v>607</v>
      </c>
      <c r="B18" s="13" t="s">
        <v>1</v>
      </c>
      <c r="C18" s="13" t="s">
        <v>297</v>
      </c>
      <c r="D18" s="13" t="s">
        <v>59</v>
      </c>
      <c r="E18" s="13" t="s">
        <v>300</v>
      </c>
      <c r="F18" s="62">
        <v>0</v>
      </c>
      <c r="G18" s="62">
        <v>0</v>
      </c>
      <c r="H18" s="62">
        <v>0</v>
      </c>
      <c r="I18" s="62">
        <v>0</v>
      </c>
      <c r="J18" s="63">
        <v>2.3052500000000001E-4</v>
      </c>
      <c r="K18" s="62">
        <v>2.910335E-3</v>
      </c>
      <c r="L18" s="62">
        <v>1.9009435000000002E-2</v>
      </c>
      <c r="M18" s="62">
        <v>5.9931434999999998E-2</v>
      </c>
      <c r="N18" s="62">
        <v>0.14711723500000001</v>
      </c>
      <c r="O18" s="62">
        <v>0.26542923499999999</v>
      </c>
      <c r="P18" s="62">
        <v>0.45840070999999999</v>
      </c>
    </row>
    <row r="19" spans="1:16">
      <c r="A19" s="13" t="s">
        <v>607</v>
      </c>
      <c r="B19" s="13" t="s">
        <v>1</v>
      </c>
      <c r="C19" s="13" t="s">
        <v>301</v>
      </c>
      <c r="D19" s="13" t="s">
        <v>59</v>
      </c>
      <c r="E19" s="13" t="s">
        <v>301</v>
      </c>
      <c r="F19" s="62">
        <v>0</v>
      </c>
      <c r="G19" s="63">
        <v>4.6801299999999998E-4</v>
      </c>
      <c r="H19" s="62">
        <v>2.9411900000000002E-3</v>
      </c>
      <c r="I19" s="62">
        <v>4.8282899999999998E-3</v>
      </c>
      <c r="J19" s="62">
        <v>3.2580789999999998E-2</v>
      </c>
      <c r="K19" s="62">
        <v>0.11247789</v>
      </c>
      <c r="L19" s="62">
        <v>0.22309088999999999</v>
      </c>
      <c r="M19" s="62">
        <v>0.33021088999999998</v>
      </c>
      <c r="N19" s="62">
        <v>0.42130488999999999</v>
      </c>
      <c r="O19" s="62">
        <v>0.47311510000000001</v>
      </c>
      <c r="P19" s="62">
        <v>0.4810219</v>
      </c>
    </row>
    <row r="20" spans="1:16">
      <c r="A20" s="13" t="s">
        <v>607</v>
      </c>
      <c r="B20" s="13" t="s">
        <v>1</v>
      </c>
      <c r="C20" s="13" t="s">
        <v>301</v>
      </c>
      <c r="D20" s="13" t="s">
        <v>59</v>
      </c>
      <c r="E20" s="13" t="s">
        <v>302</v>
      </c>
      <c r="F20" s="62">
        <v>0</v>
      </c>
      <c r="G20" s="62">
        <v>0</v>
      </c>
      <c r="H20" s="62">
        <v>0</v>
      </c>
      <c r="I20" s="62">
        <v>0</v>
      </c>
      <c r="J20" s="63">
        <v>2.5333499999999999E-4</v>
      </c>
      <c r="K20" s="62">
        <v>2.5247949999999998E-3</v>
      </c>
      <c r="L20" s="62">
        <v>1.0837385E-2</v>
      </c>
      <c r="M20" s="62">
        <v>3.2258084999999999E-2</v>
      </c>
      <c r="N20" s="62">
        <v>7.9369385000000001E-2</v>
      </c>
      <c r="O20" s="62">
        <v>0.14748154999999999</v>
      </c>
      <c r="P20" s="62">
        <v>0.25026208999999999</v>
      </c>
    </row>
    <row r="21" spans="1:16">
      <c r="A21" s="13" t="s">
        <v>607</v>
      </c>
      <c r="B21" s="13" t="s">
        <v>1</v>
      </c>
      <c r="C21" s="13" t="s">
        <v>301</v>
      </c>
      <c r="D21" s="13" t="s">
        <v>59</v>
      </c>
      <c r="E21" s="13" t="s">
        <v>303</v>
      </c>
      <c r="F21" s="62">
        <v>0</v>
      </c>
      <c r="G21" s="62">
        <v>0</v>
      </c>
      <c r="H21" s="62">
        <v>0</v>
      </c>
      <c r="I21" s="62">
        <v>0</v>
      </c>
      <c r="J21" s="63">
        <v>1.83705E-3</v>
      </c>
      <c r="K21" s="62">
        <v>1.2724849999999999E-2</v>
      </c>
      <c r="L21" s="62">
        <v>4.215555E-2</v>
      </c>
      <c r="M21" s="62">
        <v>8.9969450000000006E-2</v>
      </c>
      <c r="N21" s="62">
        <v>0.16403855000000001</v>
      </c>
      <c r="O21" s="62">
        <v>0.24051715000000001</v>
      </c>
      <c r="P21" s="62">
        <v>0.33006809999999998</v>
      </c>
    </row>
    <row r="22" spans="1:16">
      <c r="A22" s="1" t="s">
        <v>506</v>
      </c>
      <c r="E22" s="13" t="s">
        <v>69</v>
      </c>
      <c r="F22" s="62">
        <v>0</v>
      </c>
      <c r="G22" s="63">
        <v>4.2802299999999998E-4</v>
      </c>
      <c r="H22" s="63">
        <v>8.2357600000000002E-4</v>
      </c>
      <c r="I22" s="63">
        <v>8.4944299999999996E-4</v>
      </c>
      <c r="J22" s="63">
        <v>9.5783800000000003E-4</v>
      </c>
      <c r="K22" s="62">
        <v>1.9339769999999999E-3</v>
      </c>
      <c r="L22" s="62">
        <v>3.6490639999999901E-3</v>
      </c>
      <c r="M22" s="62">
        <v>6.0360832000000003E-3</v>
      </c>
      <c r="N22" s="62">
        <v>6.3509524000000001E-3</v>
      </c>
      <c r="O22" s="62">
        <v>5.6300858999999998E-3</v>
      </c>
      <c r="P22" s="63">
        <v>1.2268874999999901E-3</v>
      </c>
    </row>
    <row r="23" spans="1:16">
      <c r="E23" s="13" t="s">
        <v>70</v>
      </c>
      <c r="F23" s="62">
        <v>2.1196199999999998E-2</v>
      </c>
      <c r="G23" s="62">
        <v>5.2950900000000002E-2</v>
      </c>
      <c r="H23" s="62">
        <v>6.7626000000000006E-2</v>
      </c>
      <c r="I23" s="62">
        <v>7.4225700000000006E-2</v>
      </c>
      <c r="J23" s="62">
        <v>7.7952709999999995E-2</v>
      </c>
      <c r="K23" s="62">
        <v>7.7241980000000002E-2</v>
      </c>
      <c r="L23" s="62">
        <v>6.8568900000000002E-2</v>
      </c>
      <c r="M23" s="62">
        <v>4.5736430000000002E-2</v>
      </c>
      <c r="N23" s="62">
        <v>2.0973199000000001E-2</v>
      </c>
      <c r="O23" s="62">
        <v>8.4867090000000003E-3</v>
      </c>
      <c r="P23" s="63">
        <v>5.0013100000000001E-4</v>
      </c>
    </row>
    <row r="24" spans="1:16">
      <c r="E24" s="13" t="s">
        <v>71</v>
      </c>
      <c r="F24" s="62">
        <v>0</v>
      </c>
      <c r="G24" s="62">
        <v>1.11745E-2</v>
      </c>
      <c r="H24" s="62">
        <v>7.9107899999999991E-3</v>
      </c>
      <c r="I24" s="62">
        <v>1.08273E-2</v>
      </c>
      <c r="J24" s="62">
        <v>1.1828740000000001E-2</v>
      </c>
      <c r="K24" s="62">
        <v>1.3925770000000001E-2</v>
      </c>
      <c r="L24" s="62">
        <v>1.577334E-2</v>
      </c>
      <c r="M24" s="62">
        <v>1.6841317000000001E-2</v>
      </c>
      <c r="N24" s="62">
        <v>1.4727983999999901E-2</v>
      </c>
      <c r="O24" s="62">
        <v>1.18458389999999E-2</v>
      </c>
      <c r="P24" s="62">
        <v>6.7663646999999898E-3</v>
      </c>
    </row>
    <row r="25" spans="1:16">
      <c r="E25" s="13" t="s">
        <v>72</v>
      </c>
      <c r="F25" s="62">
        <v>0</v>
      </c>
      <c r="G25" s="62">
        <v>0</v>
      </c>
      <c r="H25" s="62">
        <v>0</v>
      </c>
      <c r="I25" s="62">
        <v>0</v>
      </c>
      <c r="J25" s="63">
        <v>5.1505400000000003E-5</v>
      </c>
      <c r="K25" s="63">
        <v>7.0943860000000005E-4</v>
      </c>
      <c r="L25" s="62">
        <v>3.2760992999999999E-3</v>
      </c>
      <c r="M25" s="62">
        <v>1.65743377E-2</v>
      </c>
      <c r="N25" s="62">
        <v>5.7107604100000001E-2</v>
      </c>
      <c r="O25" s="62">
        <v>0.10528265233</v>
      </c>
      <c r="P25" s="62">
        <v>0.22575241253</v>
      </c>
    </row>
    <row r="26" spans="1:16">
      <c r="E26" s="13" t="s">
        <v>73</v>
      </c>
      <c r="F26" s="62">
        <v>0</v>
      </c>
      <c r="G26" s="62">
        <v>1.7814E-2</v>
      </c>
      <c r="H26" s="62">
        <v>1.42928E-2</v>
      </c>
      <c r="I26" s="62">
        <v>6.9559899999999996E-3</v>
      </c>
      <c r="J26" s="62">
        <v>7.5792280000000004E-3</v>
      </c>
      <c r="K26" s="62">
        <v>8.9469089999999994E-3</v>
      </c>
      <c r="L26" s="62">
        <v>1.0181269999999999E-2</v>
      </c>
      <c r="M26" s="62">
        <v>1.1428173E-2</v>
      </c>
      <c r="N26" s="62">
        <v>1.0913357E-2</v>
      </c>
      <c r="O26" s="62">
        <v>8.9306300000000002E-3</v>
      </c>
      <c r="P26" s="62">
        <v>1.48503543E-3</v>
      </c>
    </row>
    <row r="27" spans="1:16">
      <c r="E27" s="13" t="s">
        <v>507</v>
      </c>
      <c r="F27" s="13">
        <f>SUM(F3:F26)</f>
        <v>0.37933468010999999</v>
      </c>
      <c r="G27" s="13">
        <f t="shared" ref="G27:P27" si="0">SUM(G3:G26)</f>
        <v>1.3961806424999998</v>
      </c>
      <c r="H27" s="13">
        <f t="shared" si="0"/>
        <v>1.7876362459999999</v>
      </c>
      <c r="I27" s="13">
        <f t="shared" si="0"/>
        <v>1.9750547430000003</v>
      </c>
      <c r="J27" s="13">
        <f t="shared" si="0"/>
        <v>2.1355554041999998</v>
      </c>
      <c r="K27" s="13">
        <f t="shared" si="0"/>
        <v>2.2635880032000006</v>
      </c>
      <c r="L27" s="13">
        <f t="shared" si="0"/>
        <v>2.3920795082999997</v>
      </c>
      <c r="M27" s="13">
        <f t="shared" si="0"/>
        <v>2.5523541749000001</v>
      </c>
      <c r="N27" s="13">
        <f t="shared" si="0"/>
        <v>2.8125138315000004</v>
      </c>
      <c r="O27" s="13">
        <f t="shared" si="0"/>
        <v>3.0545529224300001</v>
      </c>
      <c r="P27" s="13">
        <f t="shared" si="0"/>
        <v>3.480332139288</v>
      </c>
    </row>
    <row r="28" spans="1:16">
      <c r="E28" s="13" t="s">
        <v>508</v>
      </c>
      <c r="F28" s="13">
        <f>F27*277.778</f>
        <v>105.37082877159558</v>
      </c>
      <c r="G28" s="13">
        <f t="shared" ref="G28:P28" si="1">G27*277.778</f>
        <v>387.82826651236496</v>
      </c>
      <c r="H28" s="13">
        <f t="shared" si="1"/>
        <v>496.56602114138803</v>
      </c>
      <c r="I28" s="13">
        <f t="shared" si="1"/>
        <v>548.62675640105408</v>
      </c>
      <c r="J28" s="13">
        <f t="shared" si="1"/>
        <v>593.21030906786757</v>
      </c>
      <c r="K28" s="13">
        <f t="shared" si="1"/>
        <v>628.77494835288985</v>
      </c>
      <c r="L28" s="13">
        <f t="shared" si="1"/>
        <v>664.46706165655735</v>
      </c>
      <c r="M28" s="13">
        <f t="shared" si="1"/>
        <v>708.98783799537227</v>
      </c>
      <c r="N28" s="13">
        <f t="shared" si="1"/>
        <v>781.2544670864072</v>
      </c>
      <c r="O28" s="13">
        <f t="shared" si="1"/>
        <v>848.48760168676063</v>
      </c>
      <c r="P28" s="13">
        <f t="shared" si="1"/>
        <v>966.75970098714208</v>
      </c>
    </row>
    <row r="30" spans="1:16">
      <c r="J30" s="14"/>
      <c r="K30" s="14"/>
      <c r="P30" s="13">
        <f>P28/J28</f>
        <v>1.6297081932143862</v>
      </c>
    </row>
    <row r="32" spans="1:16">
      <c r="J32" s="14"/>
    </row>
    <row r="33" spans="3:31">
      <c r="J33" s="14"/>
    </row>
    <row r="34" spans="3:31">
      <c r="J34" s="14"/>
    </row>
    <row r="35" spans="3:31">
      <c r="C35" s="13" t="s">
        <v>511</v>
      </c>
      <c r="D35" s="65"/>
      <c r="E35" s="66"/>
      <c r="F35" s="66">
        <v>2015</v>
      </c>
      <c r="G35" s="66">
        <v>2020</v>
      </c>
      <c r="H35" s="66">
        <v>2025</v>
      </c>
      <c r="I35" s="66">
        <v>2030</v>
      </c>
      <c r="J35" s="66">
        <v>2035</v>
      </c>
      <c r="K35" s="66">
        <v>2040</v>
      </c>
      <c r="L35" s="66">
        <v>2045</v>
      </c>
      <c r="M35" s="7">
        <v>2050</v>
      </c>
    </row>
    <row r="36" spans="3:31">
      <c r="D36" s="8"/>
      <c r="E36" s="45" t="s">
        <v>473</v>
      </c>
      <c r="F36" s="45">
        <v>528.18625409000003</v>
      </c>
      <c r="G36" s="45">
        <v>552.26155198000004</v>
      </c>
      <c r="H36" s="45"/>
      <c r="I36" s="45"/>
      <c r="J36" s="45"/>
      <c r="K36" s="45"/>
      <c r="L36" s="45"/>
      <c r="M36" s="9"/>
    </row>
    <row r="37" spans="3:31">
      <c r="D37" s="8"/>
      <c r="E37" s="45" t="s">
        <v>474</v>
      </c>
      <c r="F37" s="45"/>
      <c r="G37" s="45"/>
      <c r="H37" s="45">
        <v>625.14550000000065</v>
      </c>
      <c r="I37" s="45">
        <v>684.56411111111197</v>
      </c>
      <c r="J37" s="45">
        <v>699.75822222222337</v>
      </c>
      <c r="K37" s="45"/>
      <c r="L37" s="45"/>
      <c r="M37" s="9"/>
    </row>
    <row r="38" spans="3:31">
      <c r="D38" s="8" t="s">
        <v>307</v>
      </c>
      <c r="E38" s="66" t="s">
        <v>699</v>
      </c>
      <c r="F38" s="45">
        <f>SUMIF($E$3:$E$26,"*refined liquids*",I$3:I$26)*277.778</f>
        <v>12.51084056422</v>
      </c>
      <c r="G38" s="45">
        <f t="shared" ref="G38:M38" si="2">SUMIF($E$3:$E$26,"*refined liquids*",J$3:J$26)*277.778</f>
        <v>4.522619729204</v>
      </c>
      <c r="H38" s="45">
        <f t="shared" si="2"/>
        <v>5.5126180212020008</v>
      </c>
      <c r="I38" s="45">
        <f t="shared" si="2"/>
        <v>5.5308099801999999</v>
      </c>
      <c r="J38" s="45">
        <f t="shared" si="2"/>
        <v>4.8514630478340006</v>
      </c>
      <c r="K38" s="45">
        <f t="shared" si="2"/>
        <v>3.6739298835860006</v>
      </c>
      <c r="L38" s="45">
        <f t="shared" si="2"/>
        <v>2.6285046028020003</v>
      </c>
      <c r="M38" s="9">
        <f t="shared" si="2"/>
        <v>0.41482855408480002</v>
      </c>
      <c r="Z38" s="14"/>
    </row>
    <row r="39" spans="3:31">
      <c r="D39" s="8" t="s">
        <v>308</v>
      </c>
      <c r="E39" s="45" t="s">
        <v>701</v>
      </c>
      <c r="F39" s="45">
        <f>SUMIF($E$3:$E$26,"*gas*",I$3:I$26)*277.778-F40</f>
        <v>123.37525425568001</v>
      </c>
      <c r="G39" s="45">
        <f t="shared" ref="G39:M39" si="3">SUMIF($E$3:$E$26,"*gas*",J$3:J$26)*277.778-G40</f>
        <v>147.5638541621</v>
      </c>
      <c r="H39" s="45">
        <f t="shared" si="3"/>
        <v>166.73166394077998</v>
      </c>
      <c r="I39" s="45">
        <f t="shared" si="3"/>
        <v>187.60224730389999</v>
      </c>
      <c r="J39" s="45">
        <f t="shared" si="3"/>
        <v>170.95094814953802</v>
      </c>
      <c r="K39" s="45">
        <f t="shared" si="3"/>
        <v>114.84677493290195</v>
      </c>
      <c r="L39" s="45">
        <f t="shared" si="3"/>
        <v>47.709501000903572</v>
      </c>
      <c r="M39" s="9">
        <f t="shared" si="3"/>
        <v>2.7715951894965798</v>
      </c>
      <c r="AD39" s="14"/>
      <c r="AE39" s="14"/>
    </row>
    <row r="40" spans="3:31">
      <c r="D40" s="8"/>
      <c r="E40" s="45" t="s">
        <v>702</v>
      </c>
      <c r="F40" s="45">
        <f>I8*277.778</f>
        <v>0</v>
      </c>
      <c r="G40" s="45">
        <f t="shared" ref="G40:M40" si="4">J8*277.778</f>
        <v>0</v>
      </c>
      <c r="H40" s="45">
        <f t="shared" si="4"/>
        <v>0</v>
      </c>
      <c r="I40" s="45">
        <f t="shared" si="4"/>
        <v>7.6189783174000008</v>
      </c>
      <c r="J40" s="45">
        <f t="shared" si="4"/>
        <v>21.406406014000002</v>
      </c>
      <c r="K40" s="45">
        <f t="shared" si="4"/>
        <v>43.601979325999999</v>
      </c>
      <c r="L40" s="45">
        <f t="shared" si="4"/>
        <v>68.189221218</v>
      </c>
      <c r="M40" s="9">
        <f t="shared" si="4"/>
        <v>80.476731048000005</v>
      </c>
      <c r="Z40" s="14"/>
    </row>
    <row r="41" spans="3:31">
      <c r="D41" s="8" t="s">
        <v>309</v>
      </c>
      <c r="E41" s="45" t="s">
        <v>306</v>
      </c>
      <c r="F41" s="45"/>
      <c r="G41" s="45"/>
      <c r="H41" s="45"/>
      <c r="I41" s="45"/>
      <c r="J41" s="45"/>
      <c r="K41" s="45"/>
      <c r="L41" s="45"/>
      <c r="M41" s="9"/>
      <c r="V41" s="14"/>
      <c r="AE41" s="14"/>
    </row>
    <row r="42" spans="3:31">
      <c r="D42" s="8" t="s">
        <v>310</v>
      </c>
      <c r="E42" s="45" t="s">
        <v>704</v>
      </c>
      <c r="F42" s="45">
        <f t="shared" ref="F42:M42" si="5">SUMIF($E$3:$E$25,"*coal*",I$3:I$25)*277.778</f>
        <v>236.47038362059999</v>
      </c>
      <c r="G42" s="45">
        <f t="shared" si="5"/>
        <v>245.64483818238003</v>
      </c>
      <c r="H42" s="45">
        <f t="shared" si="5"/>
        <v>150.88178181644003</v>
      </c>
      <c r="I42" s="45">
        <f t="shared" si="5"/>
        <v>71.9839186982</v>
      </c>
      <c r="J42" s="45">
        <f t="shared" si="5"/>
        <v>25.335806379740003</v>
      </c>
      <c r="K42" s="45">
        <f t="shared" si="5"/>
        <v>7.9999088999220014</v>
      </c>
      <c r="L42" s="45">
        <f t="shared" si="5"/>
        <v>2.5207692388360003</v>
      </c>
      <c r="M42" s="9">
        <f t="shared" si="5"/>
        <v>0.13906872181044402</v>
      </c>
      <c r="AD42" s="14"/>
    </row>
    <row r="43" spans="3:31">
      <c r="D43" s="8"/>
      <c r="E43" s="45" t="s">
        <v>706</v>
      </c>
      <c r="F43" s="45"/>
      <c r="G43" s="45"/>
      <c r="H43" s="45"/>
      <c r="I43" s="45"/>
      <c r="J43" s="45"/>
      <c r="K43" s="45"/>
      <c r="L43" s="45"/>
      <c r="M43" s="9"/>
    </row>
    <row r="44" spans="3:31">
      <c r="D44" s="8" t="s">
        <v>311</v>
      </c>
      <c r="E44" s="45" t="s">
        <v>707</v>
      </c>
      <c r="F44" s="45">
        <f>SUMIF($E$3:$E$25,"*gen_II*",I$3:I$25)*277.778</f>
        <v>164.66290950800001</v>
      </c>
      <c r="G44" s="45">
        <f t="shared" ref="G44:M44" si="6">SUMIF($E$3:$E$25,"*gen_II*",J$3:J$25)*277.778</f>
        <v>158.90654379180003</v>
      </c>
      <c r="H44" s="45">
        <f t="shared" si="6"/>
        <v>191.76543119000002</v>
      </c>
      <c r="I44" s="45">
        <f t="shared" si="6"/>
        <v>181.35514508400001</v>
      </c>
      <c r="J44" s="45">
        <f t="shared" si="6"/>
        <v>167.10902257600003</v>
      </c>
      <c r="K44" s="45">
        <f t="shared" si="6"/>
        <v>149.22678604800001</v>
      </c>
      <c r="L44" s="45">
        <f t="shared" si="6"/>
        <v>129.06232547200003</v>
      </c>
      <c r="M44" s="9">
        <f t="shared" si="6"/>
        <v>108.897864896</v>
      </c>
    </row>
    <row r="45" spans="3:31">
      <c r="D45" s="8" t="s">
        <v>312</v>
      </c>
      <c r="E45" s="45" t="s">
        <v>709</v>
      </c>
      <c r="F45" s="45">
        <f>SUMIF($E$3:$E$25,"*biomass*",I$3:I$25)*277.778-F46</f>
        <v>2.5605584373340005</v>
      </c>
      <c r="G45" s="45">
        <f t="shared" ref="G45:M45" si="7">SUMIF($E$3:$E$25,"*biomass*",J$3:J$25)*277.778-G46</f>
        <v>5.5582094465640006</v>
      </c>
      <c r="H45" s="45">
        <f t="shared" si="7"/>
        <v>14.349982868866002</v>
      </c>
      <c r="I45" s="45">
        <f t="shared" si="7"/>
        <v>24.713009770391999</v>
      </c>
      <c r="J45" s="45">
        <f t="shared" si="7"/>
        <v>28.753685002929601</v>
      </c>
      <c r="K45" s="45">
        <f t="shared" si="7"/>
        <v>20.0571806012872</v>
      </c>
      <c r="L45" s="45">
        <f t="shared" si="7"/>
        <v>3.7618440928062</v>
      </c>
      <c r="M45" s="9">
        <f t="shared" si="7"/>
        <v>0.3417901234318812</v>
      </c>
      <c r="AB45" s="14"/>
      <c r="AC45" s="14"/>
      <c r="AD45" s="14"/>
    </row>
    <row r="46" spans="3:31">
      <c r="D46" s="8"/>
      <c r="E46" s="45" t="s">
        <v>710</v>
      </c>
      <c r="F46" s="45">
        <f>SUM(I3,I5)*277.778</f>
        <v>0</v>
      </c>
      <c r="G46" s="45">
        <f t="shared" ref="G46:M46" si="8">SUM(J3,J5)*277.778</f>
        <v>0</v>
      </c>
      <c r="H46" s="45">
        <f t="shared" si="8"/>
        <v>4.7159926616800005E-2</v>
      </c>
      <c r="I46" s="45">
        <f t="shared" si="8"/>
        <v>0.48867400205000006</v>
      </c>
      <c r="J46" s="45">
        <f t="shared" si="8"/>
        <v>4.7558482491199996</v>
      </c>
      <c r="K46" s="45">
        <f t="shared" si="8"/>
        <v>16.336624180400001</v>
      </c>
      <c r="L46" s="45">
        <f t="shared" si="8"/>
        <v>27.324688526400003</v>
      </c>
      <c r="M46" s="9">
        <f t="shared" si="8"/>
        <v>25.745603929799998</v>
      </c>
    </row>
    <row r="47" spans="3:31">
      <c r="D47" s="8" t="s">
        <v>283</v>
      </c>
      <c r="E47" s="45" t="s">
        <v>711</v>
      </c>
      <c r="F47" s="45">
        <f>SUMIF($E$3:$E$25,"hydro",I$3:I$25)*277.778</f>
        <v>3.7330029864000003</v>
      </c>
      <c r="G47" s="45">
        <f t="shared" ref="G47:M47" si="9">SUMIF($E$3:$E$25,"hydro",J$3:J$25)*277.778</f>
        <v>3.0113357424</v>
      </c>
      <c r="H47" s="45">
        <f t="shared" si="9"/>
        <v>3.8766697680000002</v>
      </c>
      <c r="I47" s="45">
        <f t="shared" si="9"/>
        <v>4.7420037936000012</v>
      </c>
      <c r="J47" s="45">
        <f t="shared" si="9"/>
        <v>5.6073378192000005</v>
      </c>
      <c r="K47" s="45">
        <f t="shared" si="9"/>
        <v>6.4726996226000013</v>
      </c>
      <c r="L47" s="45">
        <f t="shared" si="9"/>
        <v>7.3380336482000006</v>
      </c>
      <c r="M47" s="9">
        <f t="shared" si="9"/>
        <v>8.2033676738000008</v>
      </c>
    </row>
    <row r="48" spans="3:31">
      <c r="D48" s="8"/>
      <c r="E48" s="45" t="s">
        <v>609</v>
      </c>
      <c r="F48" s="45">
        <f>SUMIF($E$3:$E$25,"*hydrogen*",I$3:I$25)*277.778</f>
        <v>0</v>
      </c>
      <c r="G48" s="45">
        <f t="shared" ref="G48:M48" si="10">SUMIF($E$3:$E$25,"*hydrogen*",J$3:J$25)*277.778</f>
        <v>1.4307067001200002E-2</v>
      </c>
      <c r="H48" s="45">
        <f t="shared" si="10"/>
        <v>0.19706643543080002</v>
      </c>
      <c r="I48" s="45">
        <f t="shared" si="10"/>
        <v>0.91002831135540008</v>
      </c>
      <c r="J48" s="45">
        <f t="shared" si="10"/>
        <v>4.6039863776306005</v>
      </c>
      <c r="K48" s="45">
        <f t="shared" si="10"/>
        <v>15.863236051689801</v>
      </c>
      <c r="L48" s="45">
        <f t="shared" si="10"/>
        <v>29.245204598922744</v>
      </c>
      <c r="M48" s="9">
        <f t="shared" si="10"/>
        <v>62.709053647758346</v>
      </c>
    </row>
    <row r="49" spans="4:32">
      <c r="D49" s="8" t="s">
        <v>313</v>
      </c>
      <c r="E49" s="45" t="s">
        <v>713</v>
      </c>
      <c r="F49" s="74">
        <f>SUMIF($E$3:$E$25,"*PV*",I$3:I$25)*277.778+SUMIF($E$3:$E$25,"*CSP*",I$3:I$25)*277.778+Y53*277.778</f>
        <v>3.9726142892000005</v>
      </c>
      <c r="G49" s="74">
        <f t="shared" ref="G49:M49" si="11">SUMIF($E$3:$E$25,"*PV*",J$3:J$25)*277.778+SUMIF($E$3:$E$25,"*CSP*",J$3:J$25)*277.778+Z53*277.778</f>
        <v>18.372232781107801</v>
      </c>
      <c r="H49" s="74">
        <f t="shared" si="11"/>
        <v>60.305419910964005</v>
      </c>
      <c r="I49" s="74">
        <f t="shared" si="11"/>
        <v>105.58320252205</v>
      </c>
      <c r="J49" s="74">
        <f t="shared" si="11"/>
        <v>161.61431956913003</v>
      </c>
      <c r="K49" s="74">
        <f t="shared" si="11"/>
        <v>249.56499548517002</v>
      </c>
      <c r="L49" s="74">
        <f t="shared" si="11"/>
        <v>349.36408643549004</v>
      </c>
      <c r="M49" s="74">
        <f t="shared" si="11"/>
        <v>509.50797149494008</v>
      </c>
      <c r="N49" s="108">
        <f>M49/G49</f>
        <v>27.732501409347915</v>
      </c>
      <c r="O49" s="13">
        <v>1.6546763237400001E-2</v>
      </c>
      <c r="P49" s="13">
        <v>0.89425627096000004</v>
      </c>
      <c r="Q49" s="13">
        <v>4.9389206178</v>
      </c>
      <c r="R49" s="13">
        <v>16.412790908000002</v>
      </c>
      <c r="S49" s="13">
        <v>40.213643282000007</v>
      </c>
      <c r="T49" s="13">
        <v>79.01867432600001</v>
      </c>
      <c r="U49" s="13">
        <v>162.07318521400001</v>
      </c>
      <c r="AD49" s="14"/>
      <c r="AE49" s="14"/>
    </row>
    <row r="50" spans="4:32">
      <c r="D50" s="8" t="s">
        <v>314</v>
      </c>
      <c r="E50" s="45" t="s">
        <v>714</v>
      </c>
      <c r="F50" s="45">
        <f>SUMIF($E$3:$E$25,"*wind*",I$3:I$25)*277.778+Y54*277.778</f>
        <v>1.3411927396200001</v>
      </c>
      <c r="G50" s="45">
        <f t="shared" ref="G50:M50" si="12">SUMIF($E$3:$E$25,"*wind*",J$3:J$25)*277.778+Z54*277.778</f>
        <v>9.6493943583982009</v>
      </c>
      <c r="H50" s="45">
        <f t="shared" si="12"/>
        <v>35.889068989010006</v>
      </c>
      <c r="I50" s="45">
        <f t="shared" si="12"/>
        <v>79.271173139110005</v>
      </c>
      <c r="J50" s="45">
        <f t="shared" si="12"/>
        <v>134.96600380605</v>
      </c>
      <c r="K50" s="45">
        <f t="shared" si="12"/>
        <v>204.98522648804999</v>
      </c>
      <c r="L50" s="45">
        <f t="shared" si="12"/>
        <v>270.34654961040002</v>
      </c>
      <c r="M50" s="45">
        <f t="shared" si="12"/>
        <v>346.66863566801999</v>
      </c>
      <c r="N50" s="108">
        <f>M50/G50</f>
        <v>35.926465723343796</v>
      </c>
      <c r="O50" s="13">
        <v>2.12501003334E-2</v>
      </c>
      <c r="P50" s="13">
        <v>0.96648410652000005</v>
      </c>
      <c r="Q50" s="13">
        <v>4.5103647194000001</v>
      </c>
      <c r="R50" s="13">
        <v>12.5631489394</v>
      </c>
      <c r="S50" s="13">
        <v>25.039686698400001</v>
      </c>
      <c r="T50" s="13">
        <v>39.265309190000004</v>
      </c>
      <c r="U50" s="13">
        <v>59.071158368000006</v>
      </c>
      <c r="Y50" s="14"/>
      <c r="Z50" s="14"/>
      <c r="AA50" s="14"/>
    </row>
    <row r="51" spans="4:32">
      <c r="D51" s="70"/>
      <c r="E51" s="71"/>
      <c r="F51" s="73">
        <f t="shared" ref="F51:L51" si="13">SUM(F38:F50)</f>
        <v>548.62675640105408</v>
      </c>
      <c r="G51" s="73">
        <f t="shared" si="13"/>
        <v>593.24333526095529</v>
      </c>
      <c r="H51" s="73">
        <f t="shared" si="13"/>
        <v>629.55686286730963</v>
      </c>
      <c r="I51" s="73">
        <f t="shared" si="13"/>
        <v>669.79919092225748</v>
      </c>
      <c r="J51" s="73">
        <f t="shared" si="13"/>
        <v>729.95482699117224</v>
      </c>
      <c r="K51" s="73">
        <f t="shared" si="13"/>
        <v>832.6293415196069</v>
      </c>
      <c r="L51" s="73">
        <f t="shared" si="13"/>
        <v>937.49072844476063</v>
      </c>
      <c r="M51" s="73">
        <f>SUM(M38:M50)</f>
        <v>1145.8765109471422</v>
      </c>
      <c r="Y51" s="14"/>
      <c r="Z51" s="14"/>
    </row>
    <row r="52" spans="4:32">
      <c r="U52" s="14"/>
      <c r="V52" s="14"/>
    </row>
    <row r="53" spans="4:32">
      <c r="P53" s="13" t="s">
        <v>607</v>
      </c>
      <c r="Q53" s="13" t="s">
        <v>1</v>
      </c>
      <c r="R53" s="13" t="s">
        <v>140</v>
      </c>
      <c r="S53" s="13" t="s">
        <v>297</v>
      </c>
      <c r="T53" s="13" t="s">
        <v>329</v>
      </c>
      <c r="U53" s="13" t="s">
        <v>535</v>
      </c>
      <c r="V53" s="13">
        <v>0</v>
      </c>
      <c r="W53" s="13">
        <v>0</v>
      </c>
      <c r="X53" s="13">
        <v>0</v>
      </c>
      <c r="Y53" s="14">
        <v>0</v>
      </c>
      <c r="Z53" s="63">
        <v>5.2277300000000002E-5</v>
      </c>
      <c r="AA53" s="13">
        <v>1.3418799999999999E-3</v>
      </c>
      <c r="AB53" s="13">
        <v>9.9034799999999992E-3</v>
      </c>
      <c r="AC53" s="13">
        <v>4.2042299999999998E-2</v>
      </c>
      <c r="AD53" s="13">
        <v>0.111716</v>
      </c>
      <c r="AE53" s="13">
        <v>0.20827799999999999</v>
      </c>
      <c r="AF53" s="13">
        <v>0.45816600000000002</v>
      </c>
    </row>
    <row r="54" spans="4:32">
      <c r="P54" s="13" t="s">
        <v>607</v>
      </c>
      <c r="Q54" s="13" t="s">
        <v>1</v>
      </c>
      <c r="R54" s="13" t="s">
        <v>140</v>
      </c>
      <c r="S54" s="13" t="s">
        <v>301</v>
      </c>
      <c r="T54" s="13" t="s">
        <v>329</v>
      </c>
      <c r="U54" s="13" t="s">
        <v>536</v>
      </c>
      <c r="V54" s="14">
        <v>0</v>
      </c>
      <c r="W54" s="13">
        <v>0</v>
      </c>
      <c r="X54" s="13">
        <v>0</v>
      </c>
      <c r="Y54" s="13">
        <v>0</v>
      </c>
      <c r="Z54" s="63">
        <v>6.6616899999999996E-5</v>
      </c>
      <c r="AA54" s="13">
        <v>1.4730100000000001E-3</v>
      </c>
      <c r="AB54" s="13">
        <v>9.2921700000000006E-3</v>
      </c>
      <c r="AC54" s="13">
        <v>3.3438799999999998E-2</v>
      </c>
      <c r="AD54" s="13">
        <v>7.3233400000000004E-2</v>
      </c>
      <c r="AE54" s="13">
        <v>0.112133</v>
      </c>
      <c r="AF54" s="13">
        <v>0.18665399999999999</v>
      </c>
    </row>
    <row r="55" spans="4:32">
      <c r="Y55" s="14"/>
    </row>
    <row r="56" spans="4:32">
      <c r="Y56" s="1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C286F-A038-4A31-ADF6-4CE32A4745A7}">
  <dimension ref="B2:AK79"/>
  <sheetViews>
    <sheetView topLeftCell="D52" zoomScale="55" zoomScaleNormal="55" workbookViewId="0">
      <selection activeCell="V72" sqref="V72"/>
    </sheetView>
  </sheetViews>
  <sheetFormatPr defaultRowHeight="17.399999999999999"/>
  <cols>
    <col min="12" max="12" width="24.09765625" bestFit="1" customWidth="1"/>
    <col min="14" max="14" width="15.3984375" customWidth="1"/>
    <col min="32" max="32" width="24.09765625" bestFit="1" customWidth="1"/>
  </cols>
  <sheetData>
    <row r="2" spans="2:22">
      <c r="B2" t="s">
        <v>727</v>
      </c>
      <c r="N2" t="s">
        <v>728</v>
      </c>
    </row>
    <row r="3" spans="2:22">
      <c r="C3">
        <v>2015</v>
      </c>
      <c r="D3">
        <v>2020</v>
      </c>
      <c r="E3">
        <v>2025</v>
      </c>
      <c r="F3">
        <v>2030</v>
      </c>
      <c r="G3">
        <v>2035</v>
      </c>
      <c r="H3">
        <v>2040</v>
      </c>
      <c r="I3">
        <v>2045</v>
      </c>
      <c r="J3">
        <v>2050</v>
      </c>
      <c r="K3" t="s">
        <v>719</v>
      </c>
      <c r="O3">
        <v>2015</v>
      </c>
      <c r="P3">
        <v>2020</v>
      </c>
      <c r="Q3">
        <v>2025</v>
      </c>
      <c r="R3">
        <v>2030</v>
      </c>
      <c r="S3">
        <v>2035</v>
      </c>
      <c r="T3">
        <v>2040</v>
      </c>
      <c r="U3">
        <v>2045</v>
      </c>
      <c r="V3">
        <v>2050</v>
      </c>
    </row>
    <row r="4" spans="2:22">
      <c r="B4" t="s">
        <v>720</v>
      </c>
      <c r="C4">
        <v>0.28370590000000001</v>
      </c>
      <c r="D4">
        <v>0.265225399999999</v>
      </c>
      <c r="E4">
        <v>0.2498494</v>
      </c>
      <c r="F4">
        <v>0.22751148999999901</v>
      </c>
      <c r="G4">
        <v>0.18318287</v>
      </c>
      <c r="H4">
        <v>0.1419995</v>
      </c>
      <c r="I4">
        <v>7.7228259999999896E-2</v>
      </c>
      <c r="J4">
        <v>0</v>
      </c>
      <c r="K4" t="s">
        <v>541</v>
      </c>
      <c r="N4" t="s">
        <v>720</v>
      </c>
      <c r="O4">
        <v>0.28370590000000001</v>
      </c>
      <c r="P4">
        <v>0.26397199999999998</v>
      </c>
      <c r="Q4">
        <v>0.22406372999999999</v>
      </c>
      <c r="R4">
        <v>0.18712598</v>
      </c>
      <c r="S4">
        <v>0.13419935</v>
      </c>
      <c r="T4">
        <v>7.5966869999999895E-2</v>
      </c>
      <c r="U4">
        <v>2.6224580000000001E-2</v>
      </c>
      <c r="V4">
        <v>0</v>
      </c>
    </row>
    <row r="5" spans="2:22">
      <c r="B5" t="s">
        <v>622</v>
      </c>
      <c r="C5">
        <v>2.74183E-2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541</v>
      </c>
      <c r="N5" t="s">
        <v>622</v>
      </c>
      <c r="O5">
        <v>2.74183E-2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2:22">
      <c r="B6" t="s">
        <v>621</v>
      </c>
      <c r="C6">
        <v>0.49998670000000001</v>
      </c>
      <c r="D6">
        <v>0.48818089999999997</v>
      </c>
      <c r="E6">
        <v>0.54330319999999999</v>
      </c>
      <c r="F6">
        <v>0.5900919</v>
      </c>
      <c r="G6">
        <v>0.58835479999999996</v>
      </c>
      <c r="H6">
        <v>0.55858874999999997</v>
      </c>
      <c r="I6">
        <v>0.51833032000000001</v>
      </c>
      <c r="J6">
        <v>0.45042298999999902</v>
      </c>
      <c r="K6" t="s">
        <v>541</v>
      </c>
      <c r="N6" t="s">
        <v>621</v>
      </c>
      <c r="O6">
        <v>0.49998670000000001</v>
      </c>
      <c r="P6">
        <v>0.48749199999999998</v>
      </c>
      <c r="Q6">
        <v>0.49249769999999998</v>
      </c>
      <c r="R6">
        <v>0.49285949999999901</v>
      </c>
      <c r="S6">
        <v>0.44114815000000002</v>
      </c>
      <c r="T6">
        <v>0.33768131000000001</v>
      </c>
      <c r="U6">
        <v>0.22529601999999899</v>
      </c>
      <c r="V6">
        <v>5.3562440000000003E-2</v>
      </c>
    </row>
    <row r="7" spans="2:22">
      <c r="B7" t="s">
        <v>620</v>
      </c>
      <c r="C7">
        <v>7.0219599999999993E-2</v>
      </c>
      <c r="D7">
        <v>0.11644834</v>
      </c>
      <c r="E7">
        <v>0.11537049000000001</v>
      </c>
      <c r="F7">
        <v>0.118896109999999</v>
      </c>
      <c r="G7">
        <v>0.11791145</v>
      </c>
      <c r="H7">
        <v>0.11927161999999999</v>
      </c>
      <c r="I7">
        <v>0.11174215999999999</v>
      </c>
      <c r="J7">
        <v>0.10721463000000001</v>
      </c>
      <c r="K7" t="s">
        <v>541</v>
      </c>
      <c r="N7" t="s">
        <v>620</v>
      </c>
      <c r="O7">
        <v>7.0219599999999993E-2</v>
      </c>
      <c r="P7">
        <v>0.11090102</v>
      </c>
      <c r="Q7">
        <v>0.1333638</v>
      </c>
      <c r="R7">
        <v>0.10900367</v>
      </c>
      <c r="S7">
        <v>6.6913292999999999E-2</v>
      </c>
      <c r="T7">
        <v>2.6521343999999999E-2</v>
      </c>
      <c r="U7">
        <v>1.0001451E-2</v>
      </c>
      <c r="V7">
        <v>7.3355454999999995E-4</v>
      </c>
    </row>
    <row r="8" spans="2:22">
      <c r="B8" t="s">
        <v>524</v>
      </c>
      <c r="C8">
        <v>0.75474359999999996</v>
      </c>
      <c r="D8">
        <v>0.83137260000000002</v>
      </c>
      <c r="E8">
        <v>0.96313570000000004</v>
      </c>
      <c r="F8">
        <v>1.0041901</v>
      </c>
      <c r="G8">
        <v>1.0852744999999999</v>
      </c>
      <c r="H8">
        <v>1.1361972999999901</v>
      </c>
      <c r="I8">
        <v>1.1740822</v>
      </c>
      <c r="J8">
        <v>1.233063</v>
      </c>
      <c r="K8" t="s">
        <v>541</v>
      </c>
      <c r="N8" t="s">
        <v>524</v>
      </c>
      <c r="O8">
        <v>0.75474359999999996</v>
      </c>
      <c r="P8">
        <v>0.83575790000000005</v>
      </c>
      <c r="Q8">
        <v>0.84700430000000004</v>
      </c>
      <c r="R8">
        <v>0.89253179999999999</v>
      </c>
      <c r="S8">
        <v>0.96867130000000001</v>
      </c>
      <c r="T8">
        <v>1.0869740000000001</v>
      </c>
      <c r="U8">
        <v>1.1818633999999999</v>
      </c>
      <c r="V8">
        <v>1.3067738</v>
      </c>
    </row>
    <row r="10" spans="2:22">
      <c r="C10">
        <v>2015</v>
      </c>
      <c r="D10">
        <v>2020</v>
      </c>
      <c r="E10">
        <v>2025</v>
      </c>
      <c r="F10">
        <v>2030</v>
      </c>
      <c r="G10">
        <v>2035</v>
      </c>
      <c r="H10">
        <v>2040</v>
      </c>
      <c r="I10">
        <v>2045</v>
      </c>
      <c r="J10">
        <v>2050</v>
      </c>
      <c r="K10" t="s">
        <v>719</v>
      </c>
      <c r="O10">
        <v>2015</v>
      </c>
      <c r="P10">
        <v>2020</v>
      </c>
      <c r="Q10">
        <v>2025</v>
      </c>
      <c r="R10">
        <v>2030</v>
      </c>
      <c r="S10">
        <v>2035</v>
      </c>
      <c r="T10">
        <v>2040</v>
      </c>
      <c r="U10">
        <v>2045</v>
      </c>
      <c r="V10">
        <v>2050</v>
      </c>
    </row>
    <row r="11" spans="2:22">
      <c r="B11" t="s">
        <v>623</v>
      </c>
      <c r="C11">
        <v>1.5739946128978606</v>
      </c>
      <c r="D11">
        <v>1.6087086803380706</v>
      </c>
      <c r="E11">
        <v>1.5858778952023223</v>
      </c>
      <c r="F11">
        <v>1.4491304309785507</v>
      </c>
      <c r="G11">
        <v>1.318901907297078</v>
      </c>
      <c r="H11">
        <v>1.184827557330993</v>
      </c>
      <c r="I11">
        <v>1.071760470868766</v>
      </c>
      <c r="J11">
        <v>0.97592758967020221</v>
      </c>
      <c r="K11" t="s">
        <v>541</v>
      </c>
      <c r="N11" t="s">
        <v>623</v>
      </c>
      <c r="O11">
        <v>1.5739946128978606</v>
      </c>
      <c r="P11">
        <v>1.6019846350023563</v>
      </c>
      <c r="Q11">
        <v>1.45804170507817</v>
      </c>
      <c r="R11">
        <v>1.2302316355840088</v>
      </c>
      <c r="S11">
        <v>0.99682689505627686</v>
      </c>
      <c r="T11">
        <v>0.76425599730899685</v>
      </c>
      <c r="U11">
        <v>0.57559620245413412</v>
      </c>
      <c r="V11">
        <v>0.36701119217501382</v>
      </c>
    </row>
    <row r="12" spans="2:22">
      <c r="B12" t="s">
        <v>622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541</v>
      </c>
      <c r="N12" t="s">
        <v>622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2:22">
      <c r="B13" t="s">
        <v>621</v>
      </c>
      <c r="C13">
        <v>4.8721894000000002E-2</v>
      </c>
      <c r="D13">
        <v>6.7851706999999997E-2</v>
      </c>
      <c r="E13">
        <v>7.8846670999999993E-2</v>
      </c>
      <c r="F13">
        <v>8.5262935499999998E-2</v>
      </c>
      <c r="G13">
        <v>9.1281553400000007E-2</v>
      </c>
      <c r="H13">
        <v>0.103024052</v>
      </c>
      <c r="I13">
        <v>0.115474624</v>
      </c>
      <c r="J13">
        <v>0.13266827099999901</v>
      </c>
      <c r="K13" t="s">
        <v>541</v>
      </c>
      <c r="N13" t="s">
        <v>621</v>
      </c>
      <c r="O13">
        <v>4.8721894000000002E-2</v>
      </c>
      <c r="P13">
        <v>6.7300047000000002E-2</v>
      </c>
      <c r="Q13">
        <v>7.3576790999999905E-2</v>
      </c>
      <c r="R13">
        <v>7.2004783499999905E-2</v>
      </c>
      <c r="S13">
        <v>6.84742344E-2</v>
      </c>
      <c r="T13">
        <v>6.7133859000000004E-2</v>
      </c>
      <c r="U13">
        <v>6.3491097999999996E-2</v>
      </c>
      <c r="V13">
        <v>5.35113781E-2</v>
      </c>
    </row>
    <row r="14" spans="2:22">
      <c r="B14" t="s">
        <v>620</v>
      </c>
      <c r="C14">
        <v>7.3232271952741856E-3</v>
      </c>
      <c r="D14">
        <v>9.6749120165932206E-3</v>
      </c>
      <c r="E14">
        <v>1.2050834932797081E-2</v>
      </c>
      <c r="F14">
        <v>1.2323892363101016E-2</v>
      </c>
      <c r="G14">
        <v>1.4727620832898755E-2</v>
      </c>
      <c r="H14">
        <v>2.3560612324908425E-2</v>
      </c>
      <c r="I14">
        <v>3.948950781792103E-2</v>
      </c>
      <c r="J14">
        <v>5.6104522764253137E-2</v>
      </c>
      <c r="K14" t="s">
        <v>541</v>
      </c>
      <c r="N14" t="s">
        <v>620</v>
      </c>
      <c r="O14">
        <v>7.3232271952741856E-3</v>
      </c>
      <c r="P14">
        <v>9.4286073078797931E-3</v>
      </c>
      <c r="Q14">
        <v>1.0519127092084673E-2</v>
      </c>
      <c r="R14">
        <v>9.4233467370425667E-3</v>
      </c>
      <c r="S14">
        <v>1.3791733085197594E-2</v>
      </c>
      <c r="T14">
        <v>2.6151228027067295E-2</v>
      </c>
      <c r="U14">
        <v>5.026556236319938E-2</v>
      </c>
      <c r="V14">
        <v>6.8331069436099845E-2</v>
      </c>
    </row>
    <row r="15" spans="2:22">
      <c r="B15" t="s">
        <v>524</v>
      </c>
      <c r="C15">
        <v>7.9864199999999993E-3</v>
      </c>
      <c r="D15">
        <v>1.087344355E-2</v>
      </c>
      <c r="E15">
        <v>2.774524921E-2</v>
      </c>
      <c r="F15">
        <v>4.3666679729999998E-2</v>
      </c>
      <c r="G15">
        <v>5.6280346969999999E-2</v>
      </c>
      <c r="H15">
        <v>6.2609959879999996E-2</v>
      </c>
      <c r="I15">
        <v>6.4755173479999997E-2</v>
      </c>
      <c r="J15">
        <v>6.5067236516999999E-2</v>
      </c>
      <c r="K15" t="s">
        <v>541</v>
      </c>
      <c r="N15" t="s">
        <v>524</v>
      </c>
      <c r="O15">
        <v>7.9864199999999993E-3</v>
      </c>
      <c r="P15">
        <v>1.23283883999999E-2</v>
      </c>
      <c r="Q15">
        <v>4.2165750899999903E-2</v>
      </c>
      <c r="R15">
        <v>7.439725237E-2</v>
      </c>
      <c r="S15">
        <v>0.10268123182</v>
      </c>
      <c r="T15">
        <v>0.121971401199999</v>
      </c>
      <c r="U15">
        <v>0.13403615959000001</v>
      </c>
      <c r="V15">
        <v>0.14804438504</v>
      </c>
    </row>
    <row r="16" spans="2:22">
      <c r="B16" t="s">
        <v>619</v>
      </c>
      <c r="C16">
        <v>0</v>
      </c>
      <c r="D16">
        <v>3.7311720000000003E-4</v>
      </c>
      <c r="E16">
        <v>4.5479658700000002E-3</v>
      </c>
      <c r="F16">
        <v>1.303037281E-2</v>
      </c>
      <c r="G16">
        <v>2.409753115E-2</v>
      </c>
      <c r="H16">
        <v>3.7668685100000002E-2</v>
      </c>
      <c r="I16">
        <v>4.5427206649999899E-2</v>
      </c>
      <c r="J16">
        <v>5.0200330180000002E-2</v>
      </c>
      <c r="K16" t="s">
        <v>541</v>
      </c>
      <c r="N16" t="s">
        <v>619</v>
      </c>
      <c r="O16">
        <v>0</v>
      </c>
      <c r="P16">
        <v>7.7505399999999996E-4</v>
      </c>
      <c r="Q16">
        <v>1.11103508E-2</v>
      </c>
      <c r="R16">
        <v>3.1545453000000001E-2</v>
      </c>
      <c r="S16">
        <v>6.0471210499999997E-2</v>
      </c>
      <c r="T16">
        <v>9.7870686390000003E-2</v>
      </c>
      <c r="U16">
        <v>0.12467771128999899</v>
      </c>
      <c r="V16">
        <v>0.14900690700999999</v>
      </c>
    </row>
    <row r="18" spans="2:25">
      <c r="B18" t="s">
        <v>721</v>
      </c>
      <c r="C18">
        <v>2015</v>
      </c>
      <c r="D18">
        <v>2020</v>
      </c>
      <c r="E18">
        <v>2025</v>
      </c>
      <c r="F18">
        <v>2030</v>
      </c>
      <c r="G18">
        <v>2035</v>
      </c>
      <c r="H18">
        <v>2040</v>
      </c>
      <c r="I18">
        <v>2045</v>
      </c>
      <c r="J18">
        <v>2050</v>
      </c>
      <c r="N18" t="s">
        <v>721</v>
      </c>
      <c r="R18">
        <v>2015</v>
      </c>
      <c r="S18">
        <v>2020</v>
      </c>
      <c r="T18">
        <v>2025</v>
      </c>
      <c r="U18">
        <v>2030</v>
      </c>
      <c r="V18">
        <v>2035</v>
      </c>
      <c r="W18">
        <v>2040</v>
      </c>
      <c r="X18">
        <v>2045</v>
      </c>
      <c r="Y18">
        <v>2050</v>
      </c>
    </row>
    <row r="19" spans="2:25">
      <c r="B19" t="s">
        <v>619</v>
      </c>
      <c r="C19">
        <v>0</v>
      </c>
      <c r="D19">
        <v>1.0973632649999999E-3</v>
      </c>
      <c r="E19">
        <v>6.471352457099999E-3</v>
      </c>
      <c r="F19">
        <v>1.85282606042E-2</v>
      </c>
      <c r="G19">
        <v>5.2443404405899993E-2</v>
      </c>
      <c r="H19">
        <v>0.1054553967841</v>
      </c>
      <c r="I19">
        <v>0.15494520138019999</v>
      </c>
      <c r="J19">
        <v>0.20799971959122979</v>
      </c>
      <c r="N19" t="s">
        <v>619</v>
      </c>
      <c r="R19">
        <v>0</v>
      </c>
      <c r="S19">
        <v>1.089598119E-3</v>
      </c>
      <c r="T19">
        <v>5.9593097419999895E-3</v>
      </c>
      <c r="U19">
        <v>4.5028044048999988E-2</v>
      </c>
      <c r="V19">
        <v>0.14018031581699991</v>
      </c>
      <c r="W19">
        <v>0.290018157587</v>
      </c>
      <c r="X19">
        <v>0.46234413554000003</v>
      </c>
      <c r="Y19">
        <v>0.78533813396040009</v>
      </c>
    </row>
    <row r="20" spans="2:25">
      <c r="B20" t="s">
        <v>524</v>
      </c>
      <c r="C20">
        <v>0.99548382320000017</v>
      </c>
      <c r="D20">
        <v>1.0594386492799996</v>
      </c>
      <c r="E20">
        <v>1.1809540183499998</v>
      </c>
      <c r="F20">
        <v>1.2054159267400002</v>
      </c>
      <c r="G20">
        <v>1.2188123106599991</v>
      </c>
      <c r="H20">
        <v>1.2408604874699989</v>
      </c>
      <c r="I20">
        <v>1.2836595204399979</v>
      </c>
      <c r="J20">
        <v>1.3521601895699993</v>
      </c>
      <c r="N20" t="s">
        <v>524</v>
      </c>
      <c r="O20">
        <v>0.22515634319999997</v>
      </c>
      <c r="P20">
        <v>0.69010155344000002</v>
      </c>
      <c r="Q20">
        <v>0.86423672053</v>
      </c>
      <c r="R20">
        <v>0.99548382320000017</v>
      </c>
      <c r="S20">
        <v>1.0599791964399976</v>
      </c>
      <c r="T20">
        <v>1.13724583621</v>
      </c>
      <c r="U20">
        <v>1.17651025607</v>
      </c>
      <c r="V20">
        <v>1.2153986219199999</v>
      </c>
      <c r="W20">
        <v>1.3111656451099998</v>
      </c>
      <c r="X20">
        <v>1.4197522553899997</v>
      </c>
      <c r="Y20">
        <v>1.6401626822269999</v>
      </c>
    </row>
    <row r="21" spans="2:25">
      <c r="B21" t="s">
        <v>620</v>
      </c>
      <c r="C21">
        <v>0.16462779999999999</v>
      </c>
      <c r="D21">
        <v>0.17827355799999986</v>
      </c>
      <c r="E21">
        <v>0.20278247299999996</v>
      </c>
      <c r="F21">
        <v>0.21898496499999892</v>
      </c>
      <c r="G21">
        <v>0.237948566</v>
      </c>
      <c r="H21">
        <v>0.25810660499999999</v>
      </c>
      <c r="I21">
        <v>0.26928811299999988</v>
      </c>
      <c r="J21">
        <v>0.28084441439999996</v>
      </c>
      <c r="N21" t="s">
        <v>620</v>
      </c>
      <c r="R21">
        <v>0.16462779999999999</v>
      </c>
      <c r="S21">
        <v>0.177693509</v>
      </c>
      <c r="T21">
        <v>0.22116057599999989</v>
      </c>
      <c r="U21">
        <v>0.26059389099999897</v>
      </c>
      <c r="V21">
        <v>0.32366602899999997</v>
      </c>
      <c r="W21">
        <v>0.3500763791</v>
      </c>
      <c r="X21">
        <v>0.33849337239999988</v>
      </c>
      <c r="Y21">
        <v>0.18941178532999989</v>
      </c>
    </row>
    <row r="22" spans="2:25">
      <c r="B22" t="s">
        <v>621</v>
      </c>
      <c r="C22">
        <v>0.351054119</v>
      </c>
      <c r="D22">
        <v>0.37503883769999991</v>
      </c>
      <c r="E22">
        <v>0.42245675659999982</v>
      </c>
      <c r="F22">
        <v>0.44892933896999987</v>
      </c>
      <c r="G22">
        <v>0.45735282459999993</v>
      </c>
      <c r="H22">
        <v>0.44960898909999897</v>
      </c>
      <c r="I22">
        <v>0.45970136889999996</v>
      </c>
      <c r="J22">
        <v>0.48474711708999896</v>
      </c>
      <c r="N22" t="s">
        <v>724</v>
      </c>
      <c r="R22">
        <v>0</v>
      </c>
      <c r="S22">
        <v>0</v>
      </c>
      <c r="T22">
        <v>2.3283748740000002E-3</v>
      </c>
      <c r="U22">
        <v>8.6890063409999999E-3</v>
      </c>
      <c r="V22">
        <v>2.5350490386999901E-2</v>
      </c>
      <c r="W22">
        <v>5.0654994348100002E-2</v>
      </c>
      <c r="X22">
        <v>7.7514072386999894E-2</v>
      </c>
      <c r="Y22">
        <v>0.10315536319999999</v>
      </c>
    </row>
    <row r="23" spans="2:25">
      <c r="B23" t="s">
        <v>622</v>
      </c>
      <c r="C23">
        <v>1.3146941000000001</v>
      </c>
      <c r="D23">
        <v>1.3009410299999997</v>
      </c>
      <c r="E23">
        <v>1.422541563</v>
      </c>
      <c r="F23">
        <v>1.4164904219999981</v>
      </c>
      <c r="G23">
        <v>1.3561167170000001</v>
      </c>
      <c r="H23">
        <v>1.3013789390000001</v>
      </c>
      <c r="I23">
        <v>1.1974313574999997</v>
      </c>
      <c r="J23">
        <v>1.0392079328999988</v>
      </c>
      <c r="N23" t="s">
        <v>621</v>
      </c>
      <c r="R23">
        <v>0.351054119</v>
      </c>
      <c r="S23">
        <v>0.37487391349999988</v>
      </c>
      <c r="T23">
        <v>0.43504327843299995</v>
      </c>
      <c r="U23">
        <v>0.45945603829699994</v>
      </c>
      <c r="V23">
        <v>0.42981496813799897</v>
      </c>
      <c r="W23">
        <v>0.35572887133300002</v>
      </c>
      <c r="X23">
        <v>0.28735022754299999</v>
      </c>
      <c r="Y23">
        <v>0.19493178558999999</v>
      </c>
    </row>
    <row r="24" spans="2:25">
      <c r="B24" t="s">
        <v>722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N24" t="s">
        <v>725</v>
      </c>
      <c r="R24">
        <v>0</v>
      </c>
      <c r="S24">
        <v>0</v>
      </c>
      <c r="T24">
        <v>2.52513E-3</v>
      </c>
      <c r="U24">
        <v>1.0989835699999999E-2</v>
      </c>
      <c r="V24">
        <v>3.1981812300000002E-2</v>
      </c>
      <c r="W24">
        <v>5.6872647439999986E-2</v>
      </c>
      <c r="X24">
        <v>8.2828810350000004E-2</v>
      </c>
      <c r="Y24">
        <v>8.2824695840000004E-2</v>
      </c>
    </row>
    <row r="25" spans="2:25">
      <c r="B25" t="s">
        <v>623</v>
      </c>
      <c r="C25">
        <v>0.27855717000000046</v>
      </c>
      <c r="D25">
        <v>0.28297087692999945</v>
      </c>
      <c r="E25">
        <v>0.29419816906999996</v>
      </c>
      <c r="F25">
        <v>0.29885008092999943</v>
      </c>
      <c r="G25">
        <v>0.29242964171000008</v>
      </c>
      <c r="H25">
        <v>0.28245732336000051</v>
      </c>
      <c r="I25">
        <v>0.2704710127900003</v>
      </c>
      <c r="J25">
        <v>0.26078885726000012</v>
      </c>
      <c r="N25" t="s">
        <v>622</v>
      </c>
      <c r="R25">
        <v>1.3146941000000001</v>
      </c>
      <c r="S25">
        <v>1.3027586420000001</v>
      </c>
      <c r="T25">
        <v>1.1566351100000001</v>
      </c>
      <c r="U25">
        <v>0.88571382699999901</v>
      </c>
      <c r="V25">
        <v>0.55942455959999893</v>
      </c>
      <c r="W25">
        <v>0.32931710499999989</v>
      </c>
      <c r="X25">
        <v>0.17188393042999994</v>
      </c>
      <c r="Y25">
        <v>3.8538994999999882E-2</v>
      </c>
    </row>
    <row r="26" spans="2:25">
      <c r="B26" t="s">
        <v>723</v>
      </c>
      <c r="C26">
        <v>1.9580449999999998</v>
      </c>
      <c r="D26">
        <v>1.9850891000000002</v>
      </c>
      <c r="E26">
        <v>2.2530025999999999</v>
      </c>
      <c r="F26">
        <v>2.3825039000000001</v>
      </c>
      <c r="G26">
        <v>2.4897277999999998</v>
      </c>
      <c r="H26">
        <v>2.6092398999999999</v>
      </c>
      <c r="I26">
        <v>2.7351595999999998</v>
      </c>
      <c r="J26">
        <v>2.8673322000000003</v>
      </c>
      <c r="N26" t="s">
        <v>726</v>
      </c>
    </row>
    <row r="27" spans="2:25">
      <c r="N27" t="s">
        <v>623</v>
      </c>
      <c r="R27">
        <v>0.27855717000000046</v>
      </c>
      <c r="S27">
        <v>0.28249945948999922</v>
      </c>
      <c r="T27">
        <v>0.30293025682799923</v>
      </c>
      <c r="U27">
        <v>0.30610445802100017</v>
      </c>
      <c r="V27">
        <v>0.29518214984330049</v>
      </c>
      <c r="W27">
        <v>0.26661371757270036</v>
      </c>
      <c r="X27">
        <v>0.2288042209919996</v>
      </c>
      <c r="Y27">
        <v>0.1063319963938798</v>
      </c>
    </row>
    <row r="28" spans="2:25">
      <c r="N28" t="s">
        <v>723</v>
      </c>
      <c r="R28">
        <v>1.9580449999999998</v>
      </c>
      <c r="S28">
        <v>1.9839691000000002</v>
      </c>
      <c r="T28">
        <v>2.1160428000000002</v>
      </c>
      <c r="U28">
        <v>2.2433597000000001</v>
      </c>
      <c r="V28">
        <v>2.3406243999999998</v>
      </c>
      <c r="W28">
        <v>2.4542028999999999</v>
      </c>
      <c r="X28">
        <v>2.5899451</v>
      </c>
      <c r="Y28">
        <v>2.6995977000000004</v>
      </c>
    </row>
    <row r="29" spans="2:25">
      <c r="N29" t="s">
        <v>673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3.7171465460199997E-2</v>
      </c>
    </row>
    <row r="30" spans="2:25">
      <c r="C30">
        <f>C8+C15+C20</f>
        <v>1.7582138432000001</v>
      </c>
      <c r="D30" s="62">
        <f t="shared" ref="D30:J30" si="0">D8+D15+D20</f>
        <v>1.9016846928299995</v>
      </c>
      <c r="E30" s="62">
        <f t="shared" si="0"/>
        <v>2.1718349675599997</v>
      </c>
      <c r="F30" s="62">
        <f t="shared" si="0"/>
        <v>2.2532727064700002</v>
      </c>
      <c r="G30" s="62">
        <f t="shared" si="0"/>
        <v>2.3603671576299989</v>
      </c>
      <c r="H30" s="62">
        <f t="shared" si="0"/>
        <v>2.439667747349989</v>
      </c>
      <c r="I30" s="62">
        <f t="shared" si="0"/>
        <v>2.5224968939199979</v>
      </c>
      <c r="J30" s="62">
        <f t="shared" si="0"/>
        <v>2.6502904260869995</v>
      </c>
    </row>
    <row r="31" spans="2:25">
      <c r="C31">
        <f>C11+C4+C25</f>
        <v>2.136257682897861</v>
      </c>
      <c r="D31" s="62">
        <f t="shared" ref="D31:J31" si="1">D11+D4+D25</f>
        <v>2.1569049572680692</v>
      </c>
      <c r="E31" s="62">
        <f t="shared" si="1"/>
        <v>2.129925464272322</v>
      </c>
      <c r="F31" s="62">
        <f t="shared" si="1"/>
        <v>1.9754920019085491</v>
      </c>
      <c r="G31" s="62">
        <f t="shared" si="1"/>
        <v>1.7945144190070781</v>
      </c>
      <c r="H31" s="62">
        <f t="shared" si="1"/>
        <v>1.6092843806909936</v>
      </c>
      <c r="I31" s="62">
        <f t="shared" si="1"/>
        <v>1.4194597436587661</v>
      </c>
      <c r="J31" s="62">
        <f t="shared" si="1"/>
        <v>1.2367164469302023</v>
      </c>
    </row>
    <row r="32" spans="2:25">
      <c r="C32">
        <v>2015</v>
      </c>
      <c r="D32">
        <v>2020</v>
      </c>
      <c r="E32">
        <v>2025</v>
      </c>
      <c r="F32">
        <v>2030</v>
      </c>
      <c r="G32">
        <v>2035</v>
      </c>
      <c r="H32">
        <v>2040</v>
      </c>
      <c r="I32">
        <v>2045</v>
      </c>
      <c r="J32">
        <v>2050</v>
      </c>
      <c r="K32" t="s">
        <v>719</v>
      </c>
      <c r="O32">
        <v>2015</v>
      </c>
      <c r="P32">
        <v>2020</v>
      </c>
      <c r="Q32">
        <v>2025</v>
      </c>
      <c r="R32">
        <v>2030</v>
      </c>
      <c r="S32">
        <v>2035</v>
      </c>
      <c r="T32">
        <v>2040</v>
      </c>
      <c r="U32">
        <v>2045</v>
      </c>
      <c r="V32">
        <v>2050</v>
      </c>
      <c r="W32" t="s">
        <v>719</v>
      </c>
    </row>
    <row r="33" spans="2:37">
      <c r="B33" s="12" t="s">
        <v>715</v>
      </c>
      <c r="C33">
        <v>1.9580449999999998</v>
      </c>
      <c r="D33">
        <v>1.9850891000000002</v>
      </c>
      <c r="E33">
        <v>2.2530025999999999</v>
      </c>
      <c r="F33">
        <v>2.3825039000000001</v>
      </c>
      <c r="G33">
        <v>2.4897277999999998</v>
      </c>
      <c r="H33">
        <v>2.6092398999999999</v>
      </c>
      <c r="I33">
        <v>2.7351595999999998</v>
      </c>
      <c r="J33">
        <v>2.8673322000000003</v>
      </c>
      <c r="K33" t="s">
        <v>541</v>
      </c>
      <c r="N33" t="s">
        <v>715</v>
      </c>
      <c r="O33">
        <v>1.9580449999999998</v>
      </c>
      <c r="P33">
        <v>1.9839691000000002</v>
      </c>
      <c r="Q33">
        <v>2.1160428000000002</v>
      </c>
      <c r="R33">
        <v>2.2433597000000001</v>
      </c>
      <c r="S33">
        <v>2.3406243999999998</v>
      </c>
      <c r="T33">
        <v>2.4542028999999999</v>
      </c>
      <c r="U33">
        <v>2.5899451</v>
      </c>
      <c r="V33">
        <v>2.6995977000000004</v>
      </c>
    </row>
    <row r="34" spans="2:37">
      <c r="B34" t="s">
        <v>698</v>
      </c>
      <c r="C34">
        <f>C4+C11+C25</f>
        <v>2.136257682897861</v>
      </c>
      <c r="D34" s="62">
        <f t="shared" ref="D34:J34" si="2">D4+D11+D25</f>
        <v>2.1569049572680692</v>
      </c>
      <c r="E34" s="62">
        <f t="shared" si="2"/>
        <v>2.129925464272322</v>
      </c>
      <c r="F34" s="62">
        <f t="shared" si="2"/>
        <v>1.9754920019085491</v>
      </c>
      <c r="G34" s="62">
        <f t="shared" si="2"/>
        <v>1.7945144190070781</v>
      </c>
      <c r="H34" s="62">
        <f t="shared" si="2"/>
        <v>1.6092843806909936</v>
      </c>
      <c r="I34" s="62">
        <f t="shared" si="2"/>
        <v>1.4194597436587661</v>
      </c>
      <c r="J34" s="62">
        <f t="shared" si="2"/>
        <v>1.2367164469302023</v>
      </c>
      <c r="K34" t="s">
        <v>541</v>
      </c>
      <c r="N34" t="s">
        <v>698</v>
      </c>
      <c r="O34">
        <f>O4+O11+R27</f>
        <v>2.136257682897861</v>
      </c>
      <c r="P34" s="62">
        <f t="shared" ref="P34:V34" si="3">P4+P11+S27</f>
        <v>2.1484560944923556</v>
      </c>
      <c r="Q34" s="62">
        <f t="shared" si="3"/>
        <v>1.9850356919061691</v>
      </c>
      <c r="R34" s="62">
        <f t="shared" si="3"/>
        <v>1.723462073605009</v>
      </c>
      <c r="S34" s="62">
        <f t="shared" si="3"/>
        <v>1.4262083948995774</v>
      </c>
      <c r="T34" s="62">
        <f t="shared" si="3"/>
        <v>1.1068365848816972</v>
      </c>
      <c r="U34" s="62">
        <f t="shared" si="3"/>
        <v>0.83062500344613377</v>
      </c>
      <c r="V34" s="62">
        <f t="shared" si="3"/>
        <v>0.47334318856889362</v>
      </c>
      <c r="W34" t="s">
        <v>541</v>
      </c>
    </row>
    <row r="35" spans="2:37">
      <c r="B35" s="12" t="s">
        <v>703</v>
      </c>
      <c r="C35">
        <v>1.3421124</v>
      </c>
      <c r="D35">
        <v>1.3009410299999999</v>
      </c>
      <c r="E35">
        <v>1.422541563</v>
      </c>
      <c r="F35">
        <v>1.4164904219999901</v>
      </c>
      <c r="G35">
        <v>1.3561167169999899</v>
      </c>
      <c r="H35">
        <v>1.3013789389999999</v>
      </c>
      <c r="I35">
        <v>1.19743135749999</v>
      </c>
      <c r="J35">
        <v>1.0392079328999999</v>
      </c>
      <c r="K35" t="s">
        <v>541</v>
      </c>
      <c r="N35" t="s">
        <v>703</v>
      </c>
      <c r="O35">
        <f>O5+O12+R25</f>
        <v>1.3421124</v>
      </c>
      <c r="P35" s="62">
        <f t="shared" ref="P35:U35" si="4">P5+P12+S25</f>
        <v>1.3027586420000001</v>
      </c>
      <c r="Q35" s="62">
        <f t="shared" si="4"/>
        <v>1.1566351100000001</v>
      </c>
      <c r="R35" s="62">
        <f t="shared" si="4"/>
        <v>0.88571382699999901</v>
      </c>
      <c r="S35" s="62">
        <f t="shared" si="4"/>
        <v>0.55942455959999893</v>
      </c>
      <c r="T35" s="62">
        <f t="shared" si="4"/>
        <v>0.32931710499999989</v>
      </c>
      <c r="U35" s="62">
        <f t="shared" si="4"/>
        <v>0.17188393042999994</v>
      </c>
      <c r="V35">
        <v>0.12136369084</v>
      </c>
      <c r="W35" t="s">
        <v>541</v>
      </c>
    </row>
    <row r="36" spans="2:37">
      <c r="B36" s="12" t="s">
        <v>700</v>
      </c>
      <c r="C36">
        <v>0.89976663438999904</v>
      </c>
      <c r="D36">
        <v>0.93107849185999902</v>
      </c>
      <c r="E36">
        <v>1.0446169445</v>
      </c>
      <c r="F36">
        <v>1.12429652336999</v>
      </c>
      <c r="G36">
        <v>1.13700309339999</v>
      </c>
      <c r="H36">
        <v>1.1112362753</v>
      </c>
      <c r="I36">
        <v>1.09352186429999</v>
      </c>
      <c r="J36">
        <v>1.0678544588899901</v>
      </c>
      <c r="K36" t="s">
        <v>541</v>
      </c>
      <c r="N36" t="s">
        <v>705</v>
      </c>
      <c r="O36">
        <f>R24</f>
        <v>0</v>
      </c>
      <c r="P36" s="62">
        <f t="shared" ref="P36:V36" si="5">S24</f>
        <v>0</v>
      </c>
      <c r="Q36" s="62">
        <f t="shared" si="5"/>
        <v>2.52513E-3</v>
      </c>
      <c r="R36" s="62">
        <f t="shared" si="5"/>
        <v>1.0989835699999999E-2</v>
      </c>
      <c r="S36" s="62">
        <f t="shared" si="5"/>
        <v>3.1981812300000002E-2</v>
      </c>
      <c r="T36" s="62">
        <f t="shared" si="5"/>
        <v>5.6872647439999986E-2</v>
      </c>
      <c r="U36" s="62">
        <f t="shared" si="5"/>
        <v>8.2828810350000004E-2</v>
      </c>
      <c r="V36" s="62">
        <f t="shared" si="5"/>
        <v>8.2824695840000004E-2</v>
      </c>
    </row>
    <row r="37" spans="2:37">
      <c r="B37" t="s">
        <v>708</v>
      </c>
      <c r="C37">
        <f>C7+C14+C21</f>
        <v>0.24217062719527416</v>
      </c>
      <c r="D37" s="62">
        <f t="shared" ref="D37:J37" si="6">D7+D14+D21</f>
        <v>0.30439681001659308</v>
      </c>
      <c r="E37" s="62">
        <f t="shared" si="6"/>
        <v>0.33020379793279708</v>
      </c>
      <c r="F37" s="62">
        <f t="shared" si="6"/>
        <v>0.35020496736309892</v>
      </c>
      <c r="G37" s="62">
        <f t="shared" si="6"/>
        <v>0.37058763683289875</v>
      </c>
      <c r="H37" s="62">
        <f t="shared" si="6"/>
        <v>0.40093883732490843</v>
      </c>
      <c r="I37" s="62">
        <f t="shared" si="6"/>
        <v>0.42051978081792091</v>
      </c>
      <c r="J37" s="62">
        <f t="shared" si="6"/>
        <v>0.44416356716425309</v>
      </c>
      <c r="K37" t="s">
        <v>541</v>
      </c>
      <c r="N37" t="s">
        <v>700</v>
      </c>
      <c r="O37">
        <f>O6+O13+R23</f>
        <v>0.8997627130000001</v>
      </c>
      <c r="P37" s="62">
        <f t="shared" ref="P37:V37" si="7">P6+P13+S23</f>
        <v>0.92966596049999983</v>
      </c>
      <c r="Q37" s="62">
        <f t="shared" si="7"/>
        <v>1.0011177694329998</v>
      </c>
      <c r="R37" s="62">
        <f t="shared" si="7"/>
        <v>1.0243203217969989</v>
      </c>
      <c r="S37" s="62">
        <f t="shared" si="7"/>
        <v>0.93943735253799909</v>
      </c>
      <c r="T37" s="62">
        <f t="shared" si="7"/>
        <v>0.76054404033300005</v>
      </c>
      <c r="U37" s="62">
        <f t="shared" si="7"/>
        <v>0.576137345542999</v>
      </c>
      <c r="V37" s="62">
        <f t="shared" si="7"/>
        <v>0.30200560368999996</v>
      </c>
      <c r="W37" t="s">
        <v>541</v>
      </c>
    </row>
    <row r="38" spans="2:37">
      <c r="B38" t="s">
        <v>717</v>
      </c>
      <c r="C38">
        <f>C8+C15+C20</f>
        <v>1.7582138432000001</v>
      </c>
      <c r="D38" s="62">
        <f t="shared" ref="D38:J38" si="8">D8+D15+D20</f>
        <v>1.9016846928299995</v>
      </c>
      <c r="E38" s="62">
        <f t="shared" si="8"/>
        <v>2.1718349675599997</v>
      </c>
      <c r="F38" s="62">
        <f t="shared" si="8"/>
        <v>2.2532727064700002</v>
      </c>
      <c r="G38" s="62">
        <f t="shared" si="8"/>
        <v>2.3603671576299989</v>
      </c>
      <c r="H38" s="62">
        <f t="shared" si="8"/>
        <v>2.439667747349989</v>
      </c>
      <c r="I38" s="62">
        <f t="shared" si="8"/>
        <v>2.5224968939199979</v>
      </c>
      <c r="J38" s="62">
        <f t="shared" si="8"/>
        <v>2.6502904260869995</v>
      </c>
      <c r="K38" t="s">
        <v>541</v>
      </c>
      <c r="L38">
        <f>J38/D38</f>
        <v>1.3936539722276249</v>
      </c>
      <c r="N38" t="s">
        <v>708</v>
      </c>
      <c r="O38">
        <f>O7+O14+R21</f>
        <v>0.24217062719527416</v>
      </c>
      <c r="P38" s="62">
        <f t="shared" ref="P38:V38" si="9">P7+P14+S21</f>
        <v>0.2980231363078798</v>
      </c>
      <c r="Q38" s="62">
        <f t="shared" si="9"/>
        <v>0.36504350309208455</v>
      </c>
      <c r="R38" s="62">
        <f t="shared" si="9"/>
        <v>0.37902090773704156</v>
      </c>
      <c r="S38" s="62">
        <f t="shared" si="9"/>
        <v>0.40437105508519755</v>
      </c>
      <c r="T38" s="62">
        <f t="shared" si="9"/>
        <v>0.40274895112706732</v>
      </c>
      <c r="U38" s="62">
        <f t="shared" si="9"/>
        <v>0.39876038576319928</v>
      </c>
      <c r="V38" s="62">
        <f t="shared" si="9"/>
        <v>0.25847640931609972</v>
      </c>
      <c r="W38" t="s">
        <v>541</v>
      </c>
    </row>
    <row r="39" spans="2:37">
      <c r="B39" s="12" t="s">
        <v>712</v>
      </c>
      <c r="C39">
        <v>0</v>
      </c>
      <c r="D39">
        <v>1.47048046499999E-3</v>
      </c>
      <c r="E39">
        <v>1.1019318327099899E-2</v>
      </c>
      <c r="F39">
        <v>3.1558633414200003E-2</v>
      </c>
      <c r="G39">
        <v>7.6540935555899997E-2</v>
      </c>
      <c r="H39">
        <v>0.143124081884099</v>
      </c>
      <c r="I39">
        <v>0.20037240803020001</v>
      </c>
      <c r="J39">
        <v>0.25820004977123001</v>
      </c>
      <c r="K39" t="s">
        <v>541</v>
      </c>
      <c r="N39" t="s">
        <v>717</v>
      </c>
      <c r="O39">
        <f>O8+O15+R20</f>
        <v>1.7582138432000001</v>
      </c>
      <c r="P39" s="62">
        <f t="shared" ref="P39:V39" si="10">P8+P15+S20</f>
        <v>1.9080654848399976</v>
      </c>
      <c r="Q39" s="62">
        <f t="shared" si="10"/>
        <v>2.0264158871099998</v>
      </c>
      <c r="R39" s="62">
        <f t="shared" si="10"/>
        <v>2.1434393084400001</v>
      </c>
      <c r="S39" s="62">
        <f t="shared" si="10"/>
        <v>2.28675115374</v>
      </c>
      <c r="T39" s="62">
        <f t="shared" si="10"/>
        <v>2.5201110463099989</v>
      </c>
      <c r="U39" s="62">
        <f t="shared" si="10"/>
        <v>2.7356518149799998</v>
      </c>
      <c r="V39" s="62">
        <f t="shared" si="10"/>
        <v>3.0949808672670001</v>
      </c>
      <c r="W39" t="s">
        <v>541</v>
      </c>
      <c r="X39">
        <f>V39/P39</f>
        <v>1.6220517020287342</v>
      </c>
    </row>
    <row r="40" spans="2:37">
      <c r="N40" t="s">
        <v>712</v>
      </c>
      <c r="O40">
        <f>O16+R19</f>
        <v>0</v>
      </c>
      <c r="P40" s="62">
        <f t="shared" ref="P40:V40" si="11">P16+S19</f>
        <v>1.864652119E-3</v>
      </c>
      <c r="Q40" s="62">
        <f t="shared" si="11"/>
        <v>1.706966054199999E-2</v>
      </c>
      <c r="R40" s="62">
        <f t="shared" si="11"/>
        <v>7.6573497048999989E-2</v>
      </c>
      <c r="S40" s="62">
        <f t="shared" si="11"/>
        <v>0.2006515263169999</v>
      </c>
      <c r="T40" s="62">
        <f t="shared" si="11"/>
        <v>0.38788884397700002</v>
      </c>
      <c r="U40" s="62">
        <f t="shared" si="11"/>
        <v>0.58702184682999903</v>
      </c>
      <c r="V40" s="62">
        <f t="shared" si="11"/>
        <v>0.93434504097040005</v>
      </c>
      <c r="W40" t="s">
        <v>541</v>
      </c>
    </row>
    <row r="41" spans="2:37">
      <c r="B41" s="107"/>
      <c r="C41" s="107">
        <v>2015</v>
      </c>
      <c r="D41" s="107">
        <v>2020</v>
      </c>
      <c r="E41" s="107">
        <v>2025</v>
      </c>
      <c r="F41" s="107">
        <v>2030</v>
      </c>
      <c r="G41" s="107">
        <v>2035</v>
      </c>
      <c r="H41" s="107">
        <v>2040</v>
      </c>
      <c r="I41" s="107">
        <v>2045</v>
      </c>
      <c r="J41" s="107">
        <v>2050</v>
      </c>
      <c r="N41" t="s">
        <v>673</v>
      </c>
      <c r="O41">
        <f>R29</f>
        <v>0</v>
      </c>
      <c r="P41" s="62">
        <f t="shared" ref="P41:V41" si="12">S29</f>
        <v>0</v>
      </c>
      <c r="Q41" s="62">
        <f t="shared" si="12"/>
        <v>0</v>
      </c>
      <c r="R41" s="62">
        <f t="shared" si="12"/>
        <v>0</v>
      </c>
      <c r="S41" s="62">
        <f t="shared" si="12"/>
        <v>0</v>
      </c>
      <c r="T41" s="62">
        <f t="shared" si="12"/>
        <v>0</v>
      </c>
      <c r="U41" s="62">
        <f t="shared" si="12"/>
        <v>0</v>
      </c>
      <c r="V41" s="62">
        <f t="shared" si="12"/>
        <v>3.7171465460199997E-2</v>
      </c>
    </row>
    <row r="42" spans="2:37">
      <c r="B42" s="107" t="s">
        <v>580</v>
      </c>
      <c r="C42" s="111">
        <f>C38/SUM(C33:C39)</f>
        <v>0.21090384261540135</v>
      </c>
      <c r="D42" s="111">
        <f t="shared" ref="D42:J42" si="13">D38/SUM(D33:D39)</f>
        <v>0.22160113781026308</v>
      </c>
      <c r="E42" s="111">
        <f t="shared" si="13"/>
        <v>0.2319557208018625</v>
      </c>
      <c r="F42" s="111">
        <f t="shared" si="13"/>
        <v>0.23634523268677091</v>
      </c>
      <c r="G42" s="111">
        <f t="shared" si="13"/>
        <v>0.24626000895097139</v>
      </c>
      <c r="H42" s="111">
        <f t="shared" si="13"/>
        <v>0.2537390215737137</v>
      </c>
      <c r="I42" s="111">
        <f t="shared" si="13"/>
        <v>0.26306256990676807</v>
      </c>
      <c r="J42" s="111">
        <f t="shared" si="13"/>
        <v>0.27711789273728937</v>
      </c>
      <c r="L42" s="112">
        <f>J43/J42</f>
        <v>1.3775871530680872</v>
      </c>
      <c r="N42" t="s">
        <v>702</v>
      </c>
      <c r="O42">
        <f>R22</f>
        <v>0</v>
      </c>
      <c r="P42" s="62">
        <f t="shared" ref="P42:V42" si="14">S22</f>
        <v>0</v>
      </c>
      <c r="Q42" s="62">
        <f t="shared" si="14"/>
        <v>2.3283748740000002E-3</v>
      </c>
      <c r="R42" s="62">
        <f t="shared" si="14"/>
        <v>8.6890063409999999E-3</v>
      </c>
      <c r="S42" s="62">
        <f t="shared" si="14"/>
        <v>2.5350490386999901E-2</v>
      </c>
      <c r="T42" s="62">
        <f t="shared" si="14"/>
        <v>5.0654994348100002E-2</v>
      </c>
      <c r="U42" s="62">
        <f t="shared" si="14"/>
        <v>7.7514072386999894E-2</v>
      </c>
      <c r="V42" s="62">
        <f t="shared" si="14"/>
        <v>0.10315536319999999</v>
      </c>
      <c r="AD42">
        <v>2015</v>
      </c>
      <c r="AE42">
        <v>2020</v>
      </c>
      <c r="AF42">
        <v>2025</v>
      </c>
      <c r="AG42">
        <v>2030</v>
      </c>
      <c r="AH42">
        <v>2035</v>
      </c>
      <c r="AI42">
        <v>2040</v>
      </c>
      <c r="AJ42">
        <v>2045</v>
      </c>
      <c r="AK42">
        <v>2050</v>
      </c>
    </row>
    <row r="43" spans="2:37">
      <c r="B43" s="107" t="s">
        <v>579</v>
      </c>
      <c r="C43" s="111">
        <f>O39/SUM(O33:O42)</f>
        <v>0.21090394182130812</v>
      </c>
      <c r="D43" s="111">
        <v>0.222</v>
      </c>
      <c r="E43" s="111">
        <f t="shared" ref="E43:J43" si="15">Q39/SUM(Q33:Q42)</f>
        <v>0.23366765443953835</v>
      </c>
      <c r="F43" s="111">
        <f t="shared" si="15"/>
        <v>0.25230086886758885</v>
      </c>
      <c r="G43" s="111">
        <f t="shared" si="15"/>
        <v>0.27836964337436115</v>
      </c>
      <c r="H43" s="111">
        <f t="shared" si="15"/>
        <v>0.31231326452355768</v>
      </c>
      <c r="I43" s="111">
        <f t="shared" si="15"/>
        <v>0.33981697603497318</v>
      </c>
      <c r="J43" s="111">
        <f t="shared" si="15"/>
        <v>0.38175404892019005</v>
      </c>
      <c r="AC43" t="s">
        <v>737</v>
      </c>
      <c r="AD43">
        <v>0.21090384261540135</v>
      </c>
      <c r="AE43">
        <v>0.22160113781026308</v>
      </c>
      <c r="AF43">
        <v>0.2319557208018625</v>
      </c>
      <c r="AG43">
        <v>0.23634523268677091</v>
      </c>
      <c r="AH43">
        <v>0.24626000895097139</v>
      </c>
      <c r="AI43">
        <v>0.2537390215737137</v>
      </c>
      <c r="AJ43">
        <v>0.26306256990676807</v>
      </c>
      <c r="AK43">
        <v>0.27711789273728937</v>
      </c>
    </row>
    <row r="44" spans="2:37">
      <c r="AC44" t="s">
        <v>738</v>
      </c>
      <c r="AD44">
        <v>0.21090394182130812</v>
      </c>
      <c r="AE44">
        <v>0.222</v>
      </c>
      <c r="AF44">
        <v>0.23366765443953835</v>
      </c>
      <c r="AG44">
        <v>0.25230086886758885</v>
      </c>
      <c r="AH44">
        <v>0.27836964337436115</v>
      </c>
      <c r="AI44">
        <v>0.31231326452355768</v>
      </c>
      <c r="AJ44">
        <v>0.33981697603497318</v>
      </c>
      <c r="AK44">
        <v>0.38175404892019005</v>
      </c>
    </row>
    <row r="46" spans="2:37">
      <c r="AC46" s="62"/>
      <c r="AD46" s="62" t="s">
        <v>737</v>
      </c>
      <c r="AE46" s="62" t="s">
        <v>738</v>
      </c>
    </row>
    <row r="47" spans="2:37">
      <c r="B47" t="s">
        <v>64</v>
      </c>
      <c r="C47" t="s">
        <v>59</v>
      </c>
      <c r="G47">
        <v>4.1901800000000003E-2</v>
      </c>
      <c r="H47">
        <v>3.9326239999999998E-2</v>
      </c>
      <c r="I47">
        <v>4.0191610000000003E-2</v>
      </c>
      <c r="J47">
        <v>3.6625110000000002E-2</v>
      </c>
      <c r="K47">
        <v>3.359243E-2</v>
      </c>
      <c r="L47">
        <v>3.2094749999999998E-2</v>
      </c>
      <c r="M47">
        <v>3.0825410000000001E-2</v>
      </c>
      <c r="N47">
        <v>2.9881269999999901E-2</v>
      </c>
      <c r="AC47" s="62">
        <v>2015</v>
      </c>
      <c r="AD47" s="110">
        <v>0.21090384261540135</v>
      </c>
      <c r="AE47" s="110">
        <v>0.21090394182130812</v>
      </c>
    </row>
    <row r="48" spans="2:37">
      <c r="B48" t="s">
        <v>61</v>
      </c>
      <c r="C48" t="s">
        <v>59</v>
      </c>
      <c r="G48">
        <v>1.9656400000000001E-2</v>
      </c>
      <c r="H48">
        <v>2.0393643999999999E-2</v>
      </c>
      <c r="I48">
        <v>2.3707763999999999E-2</v>
      </c>
      <c r="J48">
        <v>2.4571488999999998E-2</v>
      </c>
      <c r="K48">
        <v>2.4714197E-2</v>
      </c>
      <c r="L48">
        <v>2.4835144999999999E-2</v>
      </c>
      <c r="M48">
        <v>2.5378276000000002E-2</v>
      </c>
      <c r="N48">
        <v>2.6144399200000001E-2</v>
      </c>
      <c r="AC48" s="62">
        <v>2020</v>
      </c>
      <c r="AD48" s="110">
        <v>0.22160113781026308</v>
      </c>
      <c r="AE48" s="110">
        <v>0.222</v>
      </c>
    </row>
    <row r="49" spans="2:36">
      <c r="B49" t="s">
        <v>56</v>
      </c>
      <c r="C49" t="s">
        <v>59</v>
      </c>
      <c r="G49">
        <v>0.17627200000000001</v>
      </c>
      <c r="H49">
        <v>0.1860851</v>
      </c>
      <c r="I49">
        <v>0.22395290000000001</v>
      </c>
      <c r="J49">
        <v>0.24429319999999999</v>
      </c>
      <c r="K49">
        <v>0.27028079999999999</v>
      </c>
      <c r="L49">
        <v>0.30377803999999903</v>
      </c>
      <c r="M49">
        <v>0.34101284999999998</v>
      </c>
      <c r="N49">
        <v>0.38396806</v>
      </c>
      <c r="AC49" s="62">
        <v>2025</v>
      </c>
      <c r="AD49" s="110">
        <v>0.2319557208018625</v>
      </c>
      <c r="AE49" s="110">
        <v>0.23366765443953835</v>
      </c>
    </row>
    <row r="50" spans="2:36">
      <c r="B50" t="s">
        <v>143</v>
      </c>
      <c r="C50" t="s">
        <v>59</v>
      </c>
      <c r="G50">
        <v>4.3011199999999999E-2</v>
      </c>
      <c r="H50">
        <v>4.3743299999999999E-2</v>
      </c>
      <c r="I50">
        <v>4.7688000000000001E-2</v>
      </c>
      <c r="J50">
        <v>4.8189099999999999E-2</v>
      </c>
      <c r="K50">
        <v>4.8597700000000001E-2</v>
      </c>
      <c r="L50">
        <v>4.7861800000000003E-2</v>
      </c>
      <c r="M50">
        <v>4.5816099999999998E-2</v>
      </c>
      <c r="N50">
        <v>4.3660299999999999E-2</v>
      </c>
      <c r="AC50" s="62">
        <v>2030</v>
      </c>
      <c r="AD50" s="110">
        <v>0.23634523268677091</v>
      </c>
      <c r="AE50" s="110">
        <v>0.25230086886758885</v>
      </c>
    </row>
    <row r="51" spans="2:36">
      <c r="B51" t="s">
        <v>144</v>
      </c>
      <c r="C51" t="s">
        <v>59</v>
      </c>
      <c r="G51">
        <v>3.2712400000000003E-2</v>
      </c>
      <c r="H51">
        <v>3.7810099999999999E-2</v>
      </c>
      <c r="I51">
        <v>4.4269299999999998E-2</v>
      </c>
      <c r="J51">
        <v>4.3857E-2</v>
      </c>
      <c r="K51">
        <v>4.8482900000000002E-2</v>
      </c>
      <c r="L51">
        <v>5.11596E-2</v>
      </c>
      <c r="M51">
        <v>5.3071300000000002E-2</v>
      </c>
      <c r="N51">
        <v>5.5985899999999998E-2</v>
      </c>
      <c r="AC51" s="62">
        <v>2035</v>
      </c>
      <c r="AD51" s="110">
        <v>0.24626000895097139</v>
      </c>
      <c r="AE51" s="110">
        <v>0.27836964337436115</v>
      </c>
    </row>
    <row r="52" spans="2:36">
      <c r="B52" t="s">
        <v>145</v>
      </c>
      <c r="C52" t="s">
        <v>59</v>
      </c>
      <c r="G52">
        <v>0.449625</v>
      </c>
      <c r="H52">
        <v>0.46132600000000001</v>
      </c>
      <c r="I52">
        <v>0.53083100000000005</v>
      </c>
      <c r="J52">
        <v>0.55476700000000001</v>
      </c>
      <c r="K52">
        <v>0.58751200000000003</v>
      </c>
      <c r="L52">
        <v>0.60107999999999995</v>
      </c>
      <c r="M52">
        <v>0.59949799999999998</v>
      </c>
      <c r="N52">
        <v>0.595217</v>
      </c>
      <c r="AC52" s="62">
        <v>2040</v>
      </c>
      <c r="AD52" s="110">
        <v>0.2537390215737137</v>
      </c>
      <c r="AE52" s="110">
        <v>0.31231326452355768</v>
      </c>
    </row>
    <row r="53" spans="2:36">
      <c r="B53" t="s">
        <v>67</v>
      </c>
      <c r="C53" t="s">
        <v>59</v>
      </c>
      <c r="G53">
        <v>0</v>
      </c>
      <c r="H53" s="63">
        <v>1.0941400000000001E-4</v>
      </c>
      <c r="I53" s="63">
        <v>3.4415889999999999E-4</v>
      </c>
      <c r="J53" s="63">
        <v>5.7363170000000003E-4</v>
      </c>
      <c r="K53" s="63">
        <v>7.5795029999999996E-4</v>
      </c>
      <c r="L53" s="63">
        <v>7.9547839999999999E-4</v>
      </c>
      <c r="M53" s="63">
        <v>8.4225819999999999E-4</v>
      </c>
      <c r="N53" s="63">
        <v>8.9197229999999998E-4</v>
      </c>
      <c r="AC53" s="62">
        <v>2045</v>
      </c>
      <c r="AD53" s="110">
        <v>0.26306256990676807</v>
      </c>
      <c r="AE53" s="110">
        <v>0.33981697603497318</v>
      </c>
    </row>
    <row r="54" spans="2:36">
      <c r="B54" t="s">
        <v>146</v>
      </c>
      <c r="C54" t="s">
        <v>59</v>
      </c>
      <c r="D54" s="63"/>
      <c r="E54" s="63"/>
      <c r="F54" s="63"/>
      <c r="G54" s="63">
        <v>1.6632E-6</v>
      </c>
      <c r="H54" s="63">
        <v>3.1082799999999998E-6</v>
      </c>
      <c r="I54" s="63">
        <v>4.4884500000000002E-6</v>
      </c>
      <c r="J54" s="63">
        <v>5.1500400000000001E-6</v>
      </c>
      <c r="K54" s="63">
        <v>5.6894600000000001E-6</v>
      </c>
      <c r="L54" s="63">
        <v>6.3250700000000002E-6</v>
      </c>
      <c r="M54" s="63">
        <v>6.6612400000000001E-6</v>
      </c>
      <c r="N54" s="63">
        <v>6.8710699999999998E-6</v>
      </c>
      <c r="AC54" s="62">
        <v>2050</v>
      </c>
      <c r="AD54" s="110">
        <v>0.27711789273728937</v>
      </c>
      <c r="AE54" s="110">
        <v>0.38175404892019005</v>
      </c>
    </row>
    <row r="55" spans="2:36">
      <c r="B55" t="s">
        <v>465</v>
      </c>
      <c r="C55" t="s">
        <v>59</v>
      </c>
      <c r="G55">
        <v>7.5700000000000003E-2</v>
      </c>
      <c r="H55">
        <v>0.102162699999999</v>
      </c>
      <c r="I55">
        <v>0.12477530000000001</v>
      </c>
      <c r="J55">
        <v>0.13228692</v>
      </c>
      <c r="K55">
        <v>0.13758891000000001</v>
      </c>
      <c r="L55">
        <v>0.14443590000000001</v>
      </c>
      <c r="M55">
        <v>0.15145014000000001</v>
      </c>
      <c r="N55">
        <v>0.158830109999999</v>
      </c>
      <c r="AF55" s="59"/>
    </row>
    <row r="56" spans="2:36">
      <c r="B56" t="s">
        <v>564</v>
      </c>
      <c r="C56" t="s">
        <v>59</v>
      </c>
      <c r="G56">
        <v>9.2105599999999996E-3</v>
      </c>
      <c r="H56">
        <v>1.1199300000000001E-2</v>
      </c>
      <c r="I56">
        <v>1.2980800000000001E-2</v>
      </c>
      <c r="J56">
        <v>1.4124599999999999E-2</v>
      </c>
      <c r="K56">
        <v>1.50221E-2</v>
      </c>
      <c r="L56">
        <v>1.5684799999999999E-2</v>
      </c>
      <c r="M56">
        <v>1.5877100000000002E-2</v>
      </c>
      <c r="N56">
        <v>1.5925700000000001E-2</v>
      </c>
    </row>
    <row r="57" spans="2:36">
      <c r="B57" t="s">
        <v>565</v>
      </c>
      <c r="C57" t="s">
        <v>59</v>
      </c>
      <c r="D57" s="63"/>
      <c r="G57">
        <v>2.3036300000000001E-3</v>
      </c>
      <c r="H57">
        <v>2.4442000000000001E-3</v>
      </c>
      <c r="I57">
        <v>2.62451E-3</v>
      </c>
      <c r="J57">
        <v>2.72653E-3</v>
      </c>
      <c r="K57">
        <v>2.8106300000000002E-3</v>
      </c>
      <c r="L57">
        <v>2.8679199999999999E-3</v>
      </c>
      <c r="M57">
        <v>2.8507900000000002E-3</v>
      </c>
      <c r="N57">
        <v>2.8178999999999999E-3</v>
      </c>
    </row>
    <row r="58" spans="2:36">
      <c r="B58" t="s">
        <v>566</v>
      </c>
      <c r="C58" t="s">
        <v>59</v>
      </c>
      <c r="G58">
        <v>3.9978699999999997E-3</v>
      </c>
      <c r="H58">
        <v>4.2418400000000002E-3</v>
      </c>
      <c r="I58">
        <v>4.5547599999999997E-3</v>
      </c>
      <c r="J58">
        <v>4.7318000000000004E-3</v>
      </c>
      <c r="K58">
        <v>4.8777600000000001E-3</v>
      </c>
      <c r="L58">
        <v>4.9771900000000003E-3</v>
      </c>
      <c r="M58">
        <v>4.9474699999999998E-3</v>
      </c>
      <c r="N58">
        <v>4.8903799999999997E-3</v>
      </c>
    </row>
    <row r="59" spans="2:36">
      <c r="B59" t="s">
        <v>32</v>
      </c>
      <c r="C59" t="s">
        <v>59</v>
      </c>
      <c r="G59">
        <v>0.19544590000000001</v>
      </c>
      <c r="H59">
        <v>0.18453056000000001</v>
      </c>
      <c r="I59">
        <v>0.19757906</v>
      </c>
      <c r="J59">
        <v>0.19220533000000001</v>
      </c>
      <c r="K59">
        <v>0.18420979000000001</v>
      </c>
      <c r="L59">
        <v>0.18423875000000001</v>
      </c>
      <c r="M59">
        <v>0.19021018000000001</v>
      </c>
      <c r="N59">
        <v>0.20463289999999901</v>
      </c>
    </row>
    <row r="60" spans="2:36">
      <c r="B60" t="s">
        <v>567</v>
      </c>
      <c r="C60" t="s">
        <v>59</v>
      </c>
      <c r="D60" s="63"/>
      <c r="E60" s="63"/>
      <c r="F60" s="63"/>
      <c r="G60" s="63">
        <v>2.1160999999999999E-4</v>
      </c>
      <c r="H60" s="63">
        <v>2.1583999999999999E-4</v>
      </c>
      <c r="I60" s="63">
        <v>2.15088E-4</v>
      </c>
      <c r="J60" s="63">
        <v>2.1486399999999999E-4</v>
      </c>
      <c r="K60" s="63">
        <v>2.14174E-4</v>
      </c>
      <c r="L60" s="63">
        <v>2.1209199999999999E-4</v>
      </c>
      <c r="M60" s="63">
        <v>2.0837399999999999E-4</v>
      </c>
      <c r="N60" s="63">
        <v>2.02602E-4</v>
      </c>
    </row>
    <row r="61" spans="2:36">
      <c r="B61" t="s">
        <v>66</v>
      </c>
      <c r="C61" t="s">
        <v>59</v>
      </c>
      <c r="G61">
        <v>5.86039E-3</v>
      </c>
      <c r="H61">
        <v>5.1514029999999997E-3</v>
      </c>
      <c r="I61">
        <v>5.3415289999999898E-3</v>
      </c>
      <c r="J61">
        <v>4.872192E-3</v>
      </c>
      <c r="K61">
        <v>4.5324429000000001E-3</v>
      </c>
      <c r="L61">
        <v>4.3824010000000002E-3</v>
      </c>
      <c r="M61">
        <v>4.2516200000000002E-3</v>
      </c>
      <c r="N61">
        <v>4.1525279999999999E-3</v>
      </c>
      <c r="AA61" s="107"/>
      <c r="AB61" s="107">
        <v>2015</v>
      </c>
      <c r="AC61" s="107">
        <v>2020</v>
      </c>
      <c r="AD61" s="107">
        <v>2025</v>
      </c>
      <c r="AE61" s="107">
        <v>2030</v>
      </c>
      <c r="AF61" s="107">
        <v>2035</v>
      </c>
      <c r="AG61" s="107">
        <v>2040</v>
      </c>
      <c r="AH61" s="107">
        <v>2045</v>
      </c>
      <c r="AI61" s="107">
        <v>2050</v>
      </c>
      <c r="AJ61" s="107"/>
    </row>
    <row r="62" spans="2:36">
      <c r="B62" t="s">
        <v>729</v>
      </c>
      <c r="C62" t="s">
        <v>59</v>
      </c>
      <c r="G62">
        <v>7.7002900000000003E-3</v>
      </c>
      <c r="H62">
        <v>8.7225299999999992E-3</v>
      </c>
      <c r="I62">
        <v>9.4127700000000009E-3</v>
      </c>
      <c r="J62">
        <v>9.7426300000000004E-3</v>
      </c>
      <c r="K62">
        <v>9.9083799999999996E-3</v>
      </c>
      <c r="L62">
        <v>9.8676900000000001E-3</v>
      </c>
      <c r="M62">
        <v>9.6014499999999992E-3</v>
      </c>
      <c r="N62">
        <v>9.25635E-3</v>
      </c>
      <c r="AA62" s="107" t="s">
        <v>740</v>
      </c>
      <c r="AB62" s="113">
        <v>0</v>
      </c>
      <c r="AC62" s="113">
        <v>0</v>
      </c>
      <c r="AD62" s="113">
        <v>260.88900000000001</v>
      </c>
      <c r="AE62" s="113">
        <v>386.21699999999998</v>
      </c>
      <c r="AF62" s="113">
        <v>578.88699999999994</v>
      </c>
      <c r="AG62" s="113">
        <v>816.14200000000005</v>
      </c>
      <c r="AH62" s="113">
        <v>1119.6400000000001</v>
      </c>
      <c r="AI62" s="113">
        <v>2625.6</v>
      </c>
      <c r="AJ62" s="107" t="s">
        <v>741</v>
      </c>
    </row>
    <row r="63" spans="2:36">
      <c r="B63" t="s">
        <v>730</v>
      </c>
      <c r="C63" t="s">
        <v>59</v>
      </c>
      <c r="G63">
        <v>2.4565899999999998E-3</v>
      </c>
      <c r="H63">
        <v>2.4422300000000001E-3</v>
      </c>
      <c r="I63">
        <v>2.4486400000000002E-3</v>
      </c>
      <c r="J63">
        <v>2.42377E-3</v>
      </c>
      <c r="K63">
        <v>2.3918099999999999E-3</v>
      </c>
      <c r="L63">
        <v>2.3296699999999998E-3</v>
      </c>
      <c r="M63">
        <v>2.2273200000000001E-3</v>
      </c>
      <c r="N63">
        <v>2.1170199999999998E-3</v>
      </c>
    </row>
    <row r="64" spans="2:36">
      <c r="B64" t="s">
        <v>731</v>
      </c>
      <c r="C64" t="s">
        <v>59</v>
      </c>
      <c r="G64">
        <v>5.9314099999999998E-3</v>
      </c>
      <c r="H64">
        <v>5.8967999999999998E-3</v>
      </c>
      <c r="I64">
        <v>5.9123300000000004E-3</v>
      </c>
      <c r="J64">
        <v>5.8523000000000004E-3</v>
      </c>
      <c r="K64">
        <v>5.7751599999999997E-3</v>
      </c>
      <c r="L64">
        <v>5.6251399999999998E-3</v>
      </c>
      <c r="M64">
        <v>5.3780399999999997E-3</v>
      </c>
      <c r="N64">
        <v>5.11174E-3</v>
      </c>
    </row>
    <row r="65" spans="2:26">
      <c r="B65" t="s">
        <v>732</v>
      </c>
      <c r="C65" t="s">
        <v>59</v>
      </c>
      <c r="G65">
        <v>5.6444199999999998E-3</v>
      </c>
      <c r="H65">
        <v>5.6114299999999997E-3</v>
      </c>
      <c r="I65">
        <v>5.6261599999999998E-3</v>
      </c>
      <c r="J65">
        <v>5.5690100000000001E-3</v>
      </c>
      <c r="K65">
        <v>5.4955799999999999E-3</v>
      </c>
      <c r="L65">
        <v>5.3527899999999996E-3</v>
      </c>
      <c r="M65">
        <v>5.1176399999999997E-3</v>
      </c>
      <c r="N65">
        <v>4.8642099999999999E-3</v>
      </c>
      <c r="R65">
        <v>2015</v>
      </c>
      <c r="S65">
        <v>2020</v>
      </c>
      <c r="T65">
        <v>2025</v>
      </c>
      <c r="U65">
        <v>2030</v>
      </c>
      <c r="V65">
        <v>2035</v>
      </c>
      <c r="W65">
        <v>2040</v>
      </c>
      <c r="X65">
        <v>2045</v>
      </c>
      <c r="Y65">
        <v>2050</v>
      </c>
    </row>
    <row r="66" spans="2:26">
      <c r="B66" t="s">
        <v>68</v>
      </c>
      <c r="C66" t="s">
        <v>59</v>
      </c>
      <c r="G66">
        <v>0.39972200000000002</v>
      </c>
      <c r="H66">
        <v>0.41558309999999998</v>
      </c>
      <c r="I66">
        <v>0.43721369999999998</v>
      </c>
      <c r="J66">
        <v>0.4342471</v>
      </c>
      <c r="K66">
        <v>0.421701099999999</v>
      </c>
      <c r="L66">
        <v>0.3981498</v>
      </c>
      <c r="M66">
        <v>0.38535509999999901</v>
      </c>
      <c r="N66">
        <v>0.38301595999999999</v>
      </c>
      <c r="Q66" t="s">
        <v>739</v>
      </c>
      <c r="R66">
        <v>0</v>
      </c>
      <c r="S66">
        <v>0</v>
      </c>
      <c r="T66" s="114">
        <v>260.88900000000001</v>
      </c>
      <c r="U66" s="114">
        <v>386.21699999999998</v>
      </c>
      <c r="V66" s="114">
        <v>578.88699999999994</v>
      </c>
      <c r="W66" s="114">
        <v>816.14200000000005</v>
      </c>
      <c r="X66" s="114">
        <v>1119.6400000000001</v>
      </c>
      <c r="Y66" s="114">
        <v>2625.6</v>
      </c>
      <c r="Z66" t="s">
        <v>741</v>
      </c>
    </row>
    <row r="67" spans="2:26">
      <c r="B67" t="s">
        <v>231</v>
      </c>
      <c r="C67" t="s">
        <v>59</v>
      </c>
      <c r="G67">
        <v>1.79227E-2</v>
      </c>
      <c r="H67">
        <v>1.8798200000000001E-2</v>
      </c>
      <c r="I67">
        <v>2.16124E-2</v>
      </c>
      <c r="J67">
        <v>2.2592999999999999E-2</v>
      </c>
      <c r="K67">
        <v>2.3438899999999999E-2</v>
      </c>
      <c r="L67">
        <v>2.3646899999999998E-2</v>
      </c>
      <c r="M67">
        <v>2.29508E-2</v>
      </c>
      <c r="N67">
        <v>2.2321799999999999E-2</v>
      </c>
    </row>
    <row r="68" spans="2:26">
      <c r="B68" t="s">
        <v>152</v>
      </c>
      <c r="C68" t="s">
        <v>59</v>
      </c>
      <c r="G68">
        <v>3.5845299999999997E-2</v>
      </c>
      <c r="H68">
        <v>8.0508999999999997E-2</v>
      </c>
      <c r="I68">
        <v>0.10248500000000001</v>
      </c>
      <c r="J68">
        <v>0.114403</v>
      </c>
      <c r="K68">
        <v>0.14269799999999999</v>
      </c>
      <c r="L68">
        <v>0.17105100000000001</v>
      </c>
      <c r="M68">
        <v>0.21141399999999999</v>
      </c>
      <c r="N68">
        <v>0.27320699999999998</v>
      </c>
    </row>
    <row r="69" spans="2:26">
      <c r="B69" t="s">
        <v>153</v>
      </c>
      <c r="C69" t="s">
        <v>59</v>
      </c>
      <c r="G69">
        <v>0.17562700000000001</v>
      </c>
      <c r="H69">
        <v>0.18918599999999999</v>
      </c>
      <c r="I69">
        <v>0.21625</v>
      </c>
      <c r="J69">
        <v>0.22038099999999999</v>
      </c>
      <c r="K69">
        <v>0.234545</v>
      </c>
      <c r="L69">
        <v>0.241398</v>
      </c>
      <c r="M69">
        <v>0.24133199999999999</v>
      </c>
      <c r="N69">
        <v>0.242671</v>
      </c>
    </row>
    <row r="70" spans="2:26">
      <c r="B70" t="s">
        <v>469</v>
      </c>
      <c r="C70" t="s">
        <v>59</v>
      </c>
      <c r="G70">
        <v>6.5199999999999994E-2</v>
      </c>
      <c r="H70">
        <v>8.7992200000000007E-2</v>
      </c>
      <c r="I70">
        <v>0.10746835</v>
      </c>
      <c r="J70">
        <v>0.11393801000000001</v>
      </c>
      <c r="K70">
        <v>0.118504336999999</v>
      </c>
      <c r="L70">
        <v>0.124401895999999</v>
      </c>
      <c r="M70">
        <v>0.13044329099999999</v>
      </c>
      <c r="N70">
        <v>0.136799537</v>
      </c>
    </row>
    <row r="71" spans="2:26">
      <c r="B71" t="s">
        <v>155</v>
      </c>
      <c r="C71" t="s">
        <v>59</v>
      </c>
      <c r="G71">
        <v>2.69206E-3</v>
      </c>
      <c r="H71">
        <v>2.7234899999999999E-3</v>
      </c>
      <c r="I71">
        <v>3.2186300000000001E-3</v>
      </c>
      <c r="J71">
        <v>3.5860100000000002E-3</v>
      </c>
      <c r="K71">
        <v>3.89954E-3</v>
      </c>
      <c r="L71">
        <v>3.99607E-3</v>
      </c>
      <c r="M71">
        <v>4.0215099999999998E-3</v>
      </c>
      <c r="N71">
        <v>4.0160700000000001E-3</v>
      </c>
    </row>
    <row r="72" spans="2:26">
      <c r="B72" t="s">
        <v>156</v>
      </c>
      <c r="C72" t="s">
        <v>59</v>
      </c>
      <c r="G72">
        <v>0</v>
      </c>
      <c r="H72" s="63">
        <v>4.2205499999999998E-6</v>
      </c>
      <c r="I72" s="63">
        <v>8.1364210000000003E-5</v>
      </c>
      <c r="J72" s="63">
        <v>2.8248873000000002E-4</v>
      </c>
      <c r="K72" s="63">
        <v>7.8445396999999998E-4</v>
      </c>
      <c r="L72">
        <v>1.41207388E-3</v>
      </c>
      <c r="M72">
        <v>2.0041654799999998E-3</v>
      </c>
      <c r="N72">
        <v>2.459350517E-3</v>
      </c>
    </row>
    <row r="73" spans="2:26">
      <c r="B73" t="s">
        <v>157</v>
      </c>
      <c r="C73" t="s">
        <v>59</v>
      </c>
      <c r="G73">
        <v>5.2943599999999997E-3</v>
      </c>
      <c r="H73">
        <v>5.4335299999999998E-3</v>
      </c>
      <c r="I73">
        <v>5.5736599999999898E-3</v>
      </c>
      <c r="J73">
        <v>5.5709899999999996E-3</v>
      </c>
      <c r="K73">
        <v>5.54742E-3</v>
      </c>
      <c r="L73">
        <v>5.4435100000000004E-3</v>
      </c>
      <c r="M73">
        <v>5.2538099999999898E-3</v>
      </c>
      <c r="N73">
        <v>5.0250799999999899E-3</v>
      </c>
    </row>
    <row r="74" spans="2:26">
      <c r="B74" t="s">
        <v>158</v>
      </c>
      <c r="C74" t="s">
        <v>59</v>
      </c>
      <c r="G74">
        <v>0</v>
      </c>
      <c r="H74" s="63">
        <v>5.2522300000000001E-4</v>
      </c>
      <c r="I74">
        <v>3.7587599999999999E-3</v>
      </c>
      <c r="J74">
        <v>6.5041500000000002E-3</v>
      </c>
      <c r="K74">
        <v>8.9259200000000004E-3</v>
      </c>
      <c r="L74">
        <v>8.7477800000000001E-3</v>
      </c>
      <c r="M74">
        <v>8.6114999999999994E-3</v>
      </c>
      <c r="N74">
        <v>8.2711499999999997E-3</v>
      </c>
    </row>
    <row r="75" spans="2:26">
      <c r="B75" t="s">
        <v>159</v>
      </c>
      <c r="C75" t="s">
        <v>59</v>
      </c>
      <c r="G75">
        <v>0</v>
      </c>
      <c r="H75">
        <v>1.17537E-3</v>
      </c>
      <c r="I75">
        <v>6.3041900000000003E-3</v>
      </c>
      <c r="J75">
        <v>8.81791E-3</v>
      </c>
      <c r="K75">
        <v>1.04502E-2</v>
      </c>
      <c r="L75">
        <v>1.0484500000000001E-2</v>
      </c>
      <c r="M75">
        <v>1.0310700000000001E-2</v>
      </c>
      <c r="N75">
        <v>1.0155000000000001E-2</v>
      </c>
    </row>
    <row r="76" spans="2:26">
      <c r="B76" t="s">
        <v>160</v>
      </c>
      <c r="C76" t="s">
        <v>59</v>
      </c>
      <c r="G76">
        <v>0</v>
      </c>
      <c r="H76">
        <v>1.01161E-3</v>
      </c>
      <c r="I76">
        <v>8.8086450000000004E-3</v>
      </c>
      <c r="J76">
        <v>1.8905130999999999E-2</v>
      </c>
      <c r="K76">
        <v>2.6672813E-2</v>
      </c>
      <c r="L76">
        <v>3.2526026E-2</v>
      </c>
      <c r="M76">
        <v>3.4553488E-2</v>
      </c>
      <c r="N76">
        <v>3.5140586000000001E-2</v>
      </c>
    </row>
    <row r="77" spans="2:26">
      <c r="G77">
        <f>SUM(G47:G76)</f>
        <v>1.7799465532000001</v>
      </c>
    </row>
    <row r="78" spans="2:26">
      <c r="B78" t="s">
        <v>734</v>
      </c>
      <c r="C78" t="s">
        <v>525</v>
      </c>
      <c r="G78">
        <f>SUM(G50:G52,G67:G69)</f>
        <v>0.75474359999999996</v>
      </c>
      <c r="H78" s="62">
        <f t="shared" ref="H78:N78" si="16">SUM(H50:H52,H67:H69)</f>
        <v>0.83137260000000002</v>
      </c>
      <c r="I78" s="62">
        <f t="shared" si="16"/>
        <v>0.96313570000000004</v>
      </c>
      <c r="J78" s="62">
        <f t="shared" si="16"/>
        <v>1.0041901</v>
      </c>
      <c r="K78" s="62">
        <f t="shared" si="16"/>
        <v>1.0852745000000001</v>
      </c>
      <c r="L78" s="62">
        <f t="shared" si="16"/>
        <v>1.1361973000000001</v>
      </c>
      <c r="M78" s="62">
        <f t="shared" si="16"/>
        <v>1.1740822</v>
      </c>
      <c r="N78" s="62">
        <f t="shared" si="16"/>
        <v>1.233063</v>
      </c>
    </row>
    <row r="79" spans="2:26">
      <c r="B79" t="s">
        <v>734</v>
      </c>
      <c r="C79" t="s">
        <v>733</v>
      </c>
      <c r="G79">
        <f t="shared" ref="G79:N79" si="17">SUM(G71:G76)</f>
        <v>7.9864199999999993E-3</v>
      </c>
      <c r="H79" s="62">
        <f t="shared" si="17"/>
        <v>1.087344355E-2</v>
      </c>
      <c r="I79" s="62">
        <f t="shared" si="17"/>
        <v>2.7745249209999989E-2</v>
      </c>
      <c r="J79" s="62">
        <f t="shared" si="17"/>
        <v>4.3666679729999998E-2</v>
      </c>
      <c r="K79" s="62">
        <f t="shared" si="17"/>
        <v>5.6280346969999999E-2</v>
      </c>
      <c r="L79" s="62">
        <f t="shared" si="17"/>
        <v>6.2609959879999996E-2</v>
      </c>
      <c r="M79" s="62">
        <f t="shared" si="17"/>
        <v>6.4755173479999983E-2</v>
      </c>
      <c r="N79" s="62">
        <f t="shared" si="17"/>
        <v>6.5067236516999999E-2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E462-E78B-4B5F-B568-39208F7728FB}">
  <dimension ref="A1:AT263"/>
  <sheetViews>
    <sheetView tabSelected="1" topLeftCell="A96" zoomScale="50" zoomScaleNormal="50" workbookViewId="0">
      <selection activeCell="Q138" sqref="K138:Q138"/>
    </sheetView>
  </sheetViews>
  <sheetFormatPr defaultRowHeight="17.399999999999999"/>
  <cols>
    <col min="3" max="3" width="22.5" customWidth="1"/>
    <col min="4" max="4" width="25.296875" customWidth="1"/>
    <col min="5" max="5" width="38.3984375" customWidth="1"/>
    <col min="6" max="6" width="20.69921875" bestFit="1" customWidth="1"/>
    <col min="7" max="8" width="14.3984375" bestFit="1" customWidth="1"/>
    <col min="9" max="11" width="13.8984375" bestFit="1" customWidth="1"/>
    <col min="12" max="14" width="8.8984375" bestFit="1" customWidth="1"/>
    <col min="15" max="15" width="9.5" bestFit="1" customWidth="1"/>
    <col min="17" max="17" width="10.09765625" bestFit="1" customWidth="1"/>
    <col min="19" max="19" width="10.09765625" bestFit="1" customWidth="1"/>
    <col min="27" max="27" width="8.8984375" bestFit="1" customWidth="1"/>
    <col min="28" max="28" width="10.19921875" bestFit="1" customWidth="1"/>
    <col min="29" max="33" width="11.19921875" bestFit="1" customWidth="1"/>
    <col min="34" max="34" width="9.59765625" bestFit="1" customWidth="1"/>
    <col min="35" max="35" width="11.19921875" bestFit="1" customWidth="1"/>
    <col min="36" max="36" width="8.8984375" bestFit="1" customWidth="1"/>
    <col min="39" max="45" width="8.8984375" bestFit="1" customWidth="1"/>
  </cols>
  <sheetData>
    <row r="1" spans="1:46">
      <c r="A1" s="1" t="s">
        <v>121</v>
      </c>
      <c r="Z1" s="1" t="s">
        <v>514</v>
      </c>
    </row>
    <row r="2" spans="1:46" s="13" customFormat="1">
      <c r="A2" s="31" t="s">
        <v>8</v>
      </c>
      <c r="B2" s="13" t="s">
        <v>9</v>
      </c>
      <c r="C2" s="13" t="s">
        <v>10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O2" s="13" t="s">
        <v>76</v>
      </c>
      <c r="Z2"/>
      <c r="AA2" s="13" t="s">
        <v>484</v>
      </c>
      <c r="AB2" s="13">
        <v>2015</v>
      </c>
      <c r="AC2" s="13">
        <v>2020</v>
      </c>
      <c r="AD2" s="13">
        <v>2025</v>
      </c>
      <c r="AE2" s="13">
        <v>2030</v>
      </c>
      <c r="AF2" s="13">
        <v>2035</v>
      </c>
      <c r="AG2" s="13">
        <v>2040</v>
      </c>
      <c r="AH2" s="13">
        <v>2045</v>
      </c>
      <c r="AI2" s="13">
        <v>2050</v>
      </c>
      <c r="AK2" s="13" t="s">
        <v>525</v>
      </c>
      <c r="AL2" s="13" t="s">
        <v>524</v>
      </c>
      <c r="AM2" s="13">
        <v>0.75474359999999996</v>
      </c>
      <c r="AN2" s="13">
        <v>0.76147909999999996</v>
      </c>
      <c r="AO2" s="13">
        <v>0.87810779999999999</v>
      </c>
      <c r="AP2" s="13">
        <v>0.91069999999999995</v>
      </c>
      <c r="AQ2" s="13">
        <v>0.97231040000000002</v>
      </c>
      <c r="AR2" s="13">
        <v>1.0023228</v>
      </c>
      <c r="AS2" s="13">
        <v>1.0079753999999901</v>
      </c>
      <c r="AT2" s="13">
        <v>1.0168237</v>
      </c>
    </row>
    <row r="3" spans="1:46">
      <c r="A3" t="s">
        <v>606</v>
      </c>
      <c r="B3" t="s">
        <v>1</v>
      </c>
      <c r="C3" t="s">
        <v>57</v>
      </c>
      <c r="D3" s="62">
        <v>6.4985299999999996E-2</v>
      </c>
      <c r="E3" s="62">
        <v>0.12297479</v>
      </c>
      <c r="F3" s="62">
        <v>0.16385319999999901</v>
      </c>
      <c r="G3" s="62">
        <v>0.23484740000000001</v>
      </c>
      <c r="H3" s="62">
        <v>0.29472189799999998</v>
      </c>
      <c r="I3" s="62">
        <v>0.31815296300000001</v>
      </c>
      <c r="J3" s="62">
        <v>0.33788107499999898</v>
      </c>
      <c r="K3" s="62">
        <v>0.355860015999999</v>
      </c>
      <c r="L3" s="62">
        <v>0.37737822500000001</v>
      </c>
      <c r="M3" s="62">
        <v>0.38103027299999898</v>
      </c>
      <c r="N3" s="62">
        <v>0.3880590444</v>
      </c>
      <c r="O3" t="s">
        <v>78</v>
      </c>
      <c r="Z3" t="s">
        <v>78</v>
      </c>
      <c r="AA3" s="13" t="s">
        <v>476</v>
      </c>
      <c r="AB3" s="63">
        <f>D42+D69+J139+'CurPol_industry_final_energ (2)'!D80</f>
        <v>1.7582138432000001</v>
      </c>
      <c r="AC3" s="63">
        <f>E42+E69+K139+'CurPol_industry_final_energ (2)'!E80</f>
        <v>1.901842046234794</v>
      </c>
      <c r="AD3" s="63">
        <f>F42+F69+L139+'CurPol_industry_final_energ (2)'!F80</f>
        <v>2.1731736798274013</v>
      </c>
      <c r="AE3" s="63">
        <f>G42+G69+M139+'CurPol_industry_final_energ (2)'!G80</f>
        <v>2.2570023271357544</v>
      </c>
      <c r="AF3" s="63">
        <f>H42+H69+N139+'CurPol_industry_final_energ (2)'!H80</f>
        <v>2.3693235554170906</v>
      </c>
      <c r="AG3" s="63">
        <f>I42+I69+O139+'CurPol_industry_final_energ (2)'!I80</f>
        <v>2.4587763986800217</v>
      </c>
      <c r="AH3" s="63">
        <f>J42+J69+P139+'CurPol_industry_final_energ (2)'!J80</f>
        <v>2.5504702059860729</v>
      </c>
      <c r="AI3" s="63">
        <f>K42+K69+Q139+'CurPol_industry_final_energ (2)'!K80</f>
        <v>2.6901427597092491</v>
      </c>
      <c r="AK3" t="s">
        <v>526</v>
      </c>
      <c r="AL3" s="8" t="s">
        <v>524</v>
      </c>
      <c r="AM3" s="45">
        <v>7.9864199999999993E-3</v>
      </c>
      <c r="AN3" s="45">
        <v>1.087302435E-2</v>
      </c>
      <c r="AO3" s="45">
        <v>2.7745096640000001E-2</v>
      </c>
      <c r="AP3" s="45">
        <v>4.3671674780000003E-2</v>
      </c>
      <c r="AQ3" s="45">
        <v>5.6291741639999997E-2</v>
      </c>
      <c r="AR3" s="45">
        <v>6.2624131279999995E-2</v>
      </c>
      <c r="AS3" s="45">
        <v>6.476382721E-2</v>
      </c>
      <c r="AT3" s="45">
        <v>6.5077526772999994E-2</v>
      </c>
    </row>
    <row r="4" spans="1:46">
      <c r="A4" t="s">
        <v>606</v>
      </c>
      <c r="B4" t="s">
        <v>1</v>
      </c>
      <c r="C4" t="s">
        <v>58</v>
      </c>
      <c r="D4" s="62">
        <v>0.9393783</v>
      </c>
      <c r="E4" s="62">
        <v>0.86327980000000004</v>
      </c>
      <c r="F4" s="62">
        <v>1.0777254999999999</v>
      </c>
      <c r="G4" s="62">
        <v>1.3421124</v>
      </c>
      <c r="H4" s="62">
        <v>1.3009410299999999</v>
      </c>
      <c r="I4" s="62">
        <v>1.422541563</v>
      </c>
      <c r="J4" s="62">
        <v>1.4164904219999901</v>
      </c>
      <c r="K4" s="62">
        <v>1.3561167169999899</v>
      </c>
      <c r="L4" s="62">
        <v>1.3013789389999999</v>
      </c>
      <c r="M4" s="62">
        <v>1.19743135749999</v>
      </c>
      <c r="N4" s="62">
        <v>1.0392079328999999</v>
      </c>
      <c r="O4" s="13" t="s">
        <v>78</v>
      </c>
      <c r="Z4" t="s">
        <v>78</v>
      </c>
      <c r="AA4" s="13" t="s">
        <v>473</v>
      </c>
      <c r="AB4" s="13">
        <v>1.7414706966840001</v>
      </c>
      <c r="AC4" s="13">
        <v>1.8337009602600001</v>
      </c>
      <c r="AG4" s="13"/>
      <c r="AH4" s="13"/>
      <c r="AI4" s="13"/>
      <c r="AK4" t="s">
        <v>527</v>
      </c>
      <c r="AL4" t="s">
        <v>524</v>
      </c>
      <c r="AM4">
        <v>0.9797585900000001</v>
      </c>
      <c r="AN4">
        <v>1.0338013420000001</v>
      </c>
      <c r="AO4">
        <v>1.1746905747999987</v>
      </c>
      <c r="AP4">
        <v>1.1997719969999996</v>
      </c>
      <c r="AQ4">
        <v>1.2122899546999981</v>
      </c>
      <c r="AR4">
        <v>1.2387189905999998</v>
      </c>
      <c r="AS4">
        <v>1.2985974637000004</v>
      </c>
      <c r="AT4">
        <v>1.3910537504</v>
      </c>
    </row>
    <row r="5" spans="1:46">
      <c r="A5" t="s">
        <v>606</v>
      </c>
      <c r="B5" t="s">
        <v>1</v>
      </c>
      <c r="C5" t="s">
        <v>59</v>
      </c>
      <c r="D5" s="62">
        <v>0.33981924468000002</v>
      </c>
      <c r="E5" s="62">
        <v>1.27855365965999</v>
      </c>
      <c r="F5" s="62">
        <v>1.6178948949299901</v>
      </c>
      <c r="G5" s="62">
        <v>1.7799465532000001</v>
      </c>
      <c r="H5" s="62">
        <v>1.92435768282999</v>
      </c>
      <c r="I5" s="62">
        <v>2.1952348675599902</v>
      </c>
      <c r="J5" s="62">
        <v>2.2768604164699902</v>
      </c>
      <c r="K5" s="62">
        <v>2.3839380876299998</v>
      </c>
      <c r="L5" s="62">
        <v>2.4628430373499901</v>
      </c>
      <c r="M5" s="62">
        <v>2.54482134391999</v>
      </c>
      <c r="N5" s="62">
        <v>2.6716397460869898</v>
      </c>
      <c r="O5" s="13" t="s">
        <v>78</v>
      </c>
      <c r="Z5" s="13" t="s">
        <v>78</v>
      </c>
      <c r="AA5" s="13" t="s">
        <v>474</v>
      </c>
      <c r="AB5" s="13"/>
      <c r="AC5" s="13"/>
      <c r="AD5" s="13">
        <v>2.0305979999999999</v>
      </c>
      <c r="AE5" s="13">
        <v>2.260872</v>
      </c>
      <c r="AF5" s="13">
        <v>2.365542</v>
      </c>
      <c r="AG5" s="13"/>
      <c r="AH5" s="13"/>
      <c r="AI5" s="13"/>
      <c r="AK5" t="s">
        <v>528</v>
      </c>
      <c r="AM5">
        <f>SUM(AM2:AM4)</f>
        <v>1.7424886100000001</v>
      </c>
      <c r="AN5" s="62">
        <f t="shared" ref="AN5:AT5" si="0">SUM(AN2:AN4)</f>
        <v>1.8061534663500001</v>
      </c>
      <c r="AO5" s="62">
        <f t="shared" si="0"/>
        <v>2.0805434714399986</v>
      </c>
      <c r="AP5" s="62">
        <f t="shared" si="0"/>
        <v>2.1541436717799995</v>
      </c>
      <c r="AQ5" s="62">
        <f t="shared" si="0"/>
        <v>2.2408920963399979</v>
      </c>
      <c r="AR5" s="62">
        <f t="shared" si="0"/>
        <v>2.3036659218799995</v>
      </c>
      <c r="AS5" s="62">
        <f t="shared" si="0"/>
        <v>2.3713366909099904</v>
      </c>
      <c r="AT5" s="62">
        <f t="shared" si="0"/>
        <v>2.4729549771729999</v>
      </c>
    </row>
    <row r="6" spans="1:46">
      <c r="A6" t="s">
        <v>606</v>
      </c>
      <c r="B6" t="s">
        <v>1</v>
      </c>
      <c r="C6" t="s">
        <v>60</v>
      </c>
      <c r="D6" s="62">
        <v>2.95950348981E-2</v>
      </c>
      <c r="E6" s="62">
        <v>0.709707477899999</v>
      </c>
      <c r="F6" s="62">
        <v>0.88725565735</v>
      </c>
      <c r="G6" s="62">
        <v>0.89976663438999904</v>
      </c>
      <c r="H6" s="62">
        <v>0.93107849185999902</v>
      </c>
      <c r="I6" s="62">
        <v>1.0446169445</v>
      </c>
      <c r="J6" s="62">
        <v>1.12429652336999</v>
      </c>
      <c r="K6" s="62">
        <v>1.13700309339999</v>
      </c>
      <c r="L6" s="62">
        <v>1.1112362753</v>
      </c>
      <c r="M6" s="62">
        <v>1.09352186429999</v>
      </c>
      <c r="N6" s="62">
        <v>1.0678544588899901</v>
      </c>
      <c r="O6" s="13" t="s">
        <v>78</v>
      </c>
      <c r="Z6" s="13" t="s">
        <v>508</v>
      </c>
      <c r="AA6" s="13">
        <v>277.777777777778</v>
      </c>
      <c r="AB6" s="13"/>
      <c r="AC6" s="27"/>
      <c r="AD6" s="27"/>
      <c r="AE6" s="27"/>
      <c r="AF6" s="27"/>
      <c r="AG6" s="13"/>
      <c r="AH6" s="13"/>
      <c r="AI6" s="13"/>
    </row>
    <row r="7" spans="1:46">
      <c r="A7" t="s">
        <v>606</v>
      </c>
      <c r="B7" t="s">
        <v>1</v>
      </c>
      <c r="C7" t="s">
        <v>65</v>
      </c>
      <c r="D7" s="62">
        <v>0</v>
      </c>
      <c r="E7" s="62">
        <v>0</v>
      </c>
      <c r="F7" s="62">
        <v>0</v>
      </c>
      <c r="G7" s="62">
        <v>0</v>
      </c>
      <c r="H7" s="62">
        <v>1.47048046499999E-3</v>
      </c>
      <c r="I7" s="62">
        <v>1.1019318327099899E-2</v>
      </c>
      <c r="J7" s="62">
        <v>3.1558633414200003E-2</v>
      </c>
      <c r="K7" s="62">
        <v>7.6540935555899997E-2</v>
      </c>
      <c r="L7" s="62">
        <v>0.143124081884099</v>
      </c>
      <c r="M7" s="62">
        <v>0.20037240803020001</v>
      </c>
      <c r="N7" s="62">
        <v>0.25820004977123001</v>
      </c>
      <c r="O7" s="13" t="s">
        <v>78</v>
      </c>
      <c r="Z7" s="65"/>
      <c r="AA7" s="66"/>
      <c r="AB7" s="66">
        <v>2015</v>
      </c>
      <c r="AC7" s="66">
        <v>2020</v>
      </c>
      <c r="AD7" s="66">
        <v>2025</v>
      </c>
      <c r="AE7" s="66">
        <v>2030</v>
      </c>
      <c r="AF7" s="66">
        <v>2035</v>
      </c>
      <c r="AG7" s="66">
        <v>2040</v>
      </c>
      <c r="AH7" s="66">
        <v>2045</v>
      </c>
      <c r="AI7" s="7">
        <v>2050</v>
      </c>
    </row>
    <row r="8" spans="1:46">
      <c r="A8" t="s">
        <v>606</v>
      </c>
      <c r="B8" t="s">
        <v>1</v>
      </c>
      <c r="C8" t="s">
        <v>19</v>
      </c>
      <c r="D8" s="62">
        <v>1.9055001466599899</v>
      </c>
      <c r="E8" s="62">
        <v>3.9546847334000002</v>
      </c>
      <c r="F8" s="62">
        <v>4.0586797100499998</v>
      </c>
      <c r="G8" s="62">
        <v>4.4023892890099896</v>
      </c>
      <c r="H8" s="62">
        <v>4.4661874488800004</v>
      </c>
      <c r="I8" s="62">
        <v>4.7299379779899997</v>
      </c>
      <c r="J8" s="62">
        <v>4.7146711427399897</v>
      </c>
      <c r="K8" s="62">
        <v>4.6491229343100002</v>
      </c>
      <c r="L8" s="62">
        <v>4.5951891411599997</v>
      </c>
      <c r="M8" s="62">
        <v>4.54273594798999</v>
      </c>
      <c r="N8" s="62">
        <v>4.5056122096599998</v>
      </c>
      <c r="O8" s="13" t="s">
        <v>78</v>
      </c>
      <c r="Z8" s="8" t="s">
        <v>515</v>
      </c>
      <c r="AA8" s="45" t="s">
        <v>476</v>
      </c>
      <c r="AB8" s="50">
        <f t="shared" ref="AB8:AI8" si="1">AB3*$AA$6</f>
        <v>488.39273422222266</v>
      </c>
      <c r="AC8" s="50">
        <f t="shared" si="1"/>
        <v>528.28945728744316</v>
      </c>
      <c r="AD8" s="50">
        <f t="shared" si="1"/>
        <v>603.65935550761196</v>
      </c>
      <c r="AE8" s="50">
        <f t="shared" si="1"/>
        <v>626.94509087104336</v>
      </c>
      <c r="AF8" s="50">
        <f t="shared" si="1"/>
        <v>658.14543206030351</v>
      </c>
      <c r="AG8" s="50">
        <f t="shared" si="1"/>
        <v>682.99344407778437</v>
      </c>
      <c r="AH8" s="50">
        <f t="shared" si="1"/>
        <v>708.46394610724303</v>
      </c>
      <c r="AI8" s="69">
        <f t="shared" si="1"/>
        <v>747.26187769701426</v>
      </c>
      <c r="AK8">
        <v>488.39273422222266</v>
      </c>
      <c r="AL8">
        <v>528.28945728744316</v>
      </c>
      <c r="AM8">
        <v>603.65935550761196</v>
      </c>
      <c r="AN8">
        <v>626.94509087104336</v>
      </c>
      <c r="AO8">
        <v>658.14543206030351</v>
      </c>
      <c r="AP8">
        <v>682.99344407778437</v>
      </c>
      <c r="AQ8">
        <v>708.46394610724303</v>
      </c>
      <c r="AR8">
        <v>747.26187769701426</v>
      </c>
    </row>
    <row r="9" spans="1:46">
      <c r="Z9" s="8" t="s">
        <v>515</v>
      </c>
      <c r="AA9" s="45" t="s">
        <v>473</v>
      </c>
      <c r="AB9" s="50">
        <f>AB4*$AA$6</f>
        <v>483.74186019000041</v>
      </c>
      <c r="AC9" s="50">
        <f>AC4*$AA$6</f>
        <v>509.36137785000045</v>
      </c>
      <c r="AD9" s="50"/>
      <c r="AE9" s="50"/>
      <c r="AF9" s="50"/>
      <c r="AG9" s="50"/>
      <c r="AH9" s="50"/>
      <c r="AI9" s="69"/>
      <c r="AK9" s="27">
        <v>488.39273422222266</v>
      </c>
    </row>
    <row r="10" spans="1:46" s="13" customFormat="1">
      <c r="A10" s="13" t="s">
        <v>511</v>
      </c>
      <c r="B10" s="65"/>
      <c r="C10" s="66"/>
      <c r="D10" s="66">
        <v>2015</v>
      </c>
      <c r="E10" s="66">
        <v>2020</v>
      </c>
      <c r="F10" s="66">
        <v>2025</v>
      </c>
      <c r="G10" s="66">
        <v>2030</v>
      </c>
      <c r="H10" s="66">
        <v>2035</v>
      </c>
      <c r="I10" s="66">
        <v>2040</v>
      </c>
      <c r="J10" s="66">
        <v>2045</v>
      </c>
      <c r="K10" s="66">
        <v>2050</v>
      </c>
      <c r="L10" s="7" t="s">
        <v>76</v>
      </c>
      <c r="M10" s="60"/>
      <c r="O10" s="60"/>
      <c r="P10" s="60"/>
      <c r="Q10" s="60"/>
      <c r="R10" s="60"/>
      <c r="S10" s="60"/>
      <c r="T10" s="60"/>
      <c r="U10" s="60"/>
      <c r="V10" s="60"/>
      <c r="Z10" s="70" t="s">
        <v>515</v>
      </c>
      <c r="AA10" s="71" t="s">
        <v>474</v>
      </c>
      <c r="AB10" s="72"/>
      <c r="AC10" s="72"/>
      <c r="AD10" s="72">
        <f>AD5*$AA$6</f>
        <v>564.0550000000004</v>
      </c>
      <c r="AE10" s="72">
        <f>AE5*$AA$6</f>
        <v>628.02000000000055</v>
      </c>
      <c r="AF10" s="72">
        <f>AF5*$AA$6</f>
        <v>657.09500000000048</v>
      </c>
      <c r="AG10" s="72"/>
      <c r="AH10" s="72"/>
      <c r="AI10" s="73"/>
      <c r="AK10" s="27">
        <v>528.28945728744316</v>
      </c>
    </row>
    <row r="11" spans="1:46" s="13" customFormat="1">
      <c r="B11" s="8"/>
      <c r="C11" s="45" t="s">
        <v>716</v>
      </c>
      <c r="D11" s="45">
        <f>SUM(H23:H25)</f>
        <v>1.9580449999999998</v>
      </c>
      <c r="E11" s="45">
        <f t="shared" ref="E11:K11" si="2">SUM(I23:I25)</f>
        <v>1.9850891000000002</v>
      </c>
      <c r="F11" s="45">
        <f t="shared" si="2"/>
        <v>2.2530025999999999</v>
      </c>
      <c r="G11" s="45">
        <f t="shared" si="2"/>
        <v>2.3825039000000001</v>
      </c>
      <c r="H11" s="45">
        <f t="shared" si="2"/>
        <v>2.4897277999999998</v>
      </c>
      <c r="I11" s="45">
        <f t="shared" si="2"/>
        <v>2.6092398999999999</v>
      </c>
      <c r="J11" s="45">
        <f t="shared" si="2"/>
        <v>2.7351595999999998</v>
      </c>
      <c r="K11" s="45">
        <f t="shared" si="2"/>
        <v>2.8673322000000003</v>
      </c>
      <c r="L11" s="9" t="s">
        <v>78</v>
      </c>
      <c r="N11" s="60"/>
      <c r="P11" s="60"/>
      <c r="Q11" s="60"/>
      <c r="R11" s="60"/>
      <c r="S11" s="60"/>
      <c r="T11" s="60"/>
      <c r="U11" s="60"/>
      <c r="V11" s="60"/>
      <c r="AK11" s="27">
        <v>603.65935550761196</v>
      </c>
    </row>
    <row r="12" spans="1:46">
      <c r="B12" s="8" t="s">
        <v>19</v>
      </c>
      <c r="C12" s="45" t="s">
        <v>699</v>
      </c>
      <c r="D12" s="45">
        <f>SUMIF($C$3:$C$8,$B12,G$3:G$8)-D11</f>
        <v>2.4443442890099898</v>
      </c>
      <c r="E12" s="45">
        <f t="shared" ref="E12:K12" si="3">SUMIF($C$3:$C$8,$B12,H$3:H$8)-E11</f>
        <v>2.4810983488800002</v>
      </c>
      <c r="F12" s="45">
        <f t="shared" si="3"/>
        <v>2.4769353779899999</v>
      </c>
      <c r="G12" s="45">
        <f t="shared" si="3"/>
        <v>2.3321672427399895</v>
      </c>
      <c r="H12" s="45">
        <f t="shared" si="3"/>
        <v>2.1593951343100004</v>
      </c>
      <c r="I12" s="45">
        <f t="shared" si="3"/>
        <v>1.9859492411599997</v>
      </c>
      <c r="J12" s="45">
        <f t="shared" si="3"/>
        <v>1.8075763479899902</v>
      </c>
      <c r="K12" s="45">
        <f t="shared" si="3"/>
        <v>1.6382800096599994</v>
      </c>
      <c r="L12" s="9" t="s">
        <v>78</v>
      </c>
      <c r="M12" s="13"/>
      <c r="N12" s="60"/>
      <c r="O12" s="60"/>
      <c r="P12" s="60"/>
      <c r="Q12" s="60"/>
      <c r="R12" s="60"/>
      <c r="S12" s="60"/>
      <c r="T12" s="60"/>
      <c r="U12" s="60"/>
      <c r="V12" s="60"/>
      <c r="AK12" s="27">
        <v>626.94509087104336</v>
      </c>
    </row>
    <row r="13" spans="1:46">
      <c r="B13" s="8" t="s">
        <v>58</v>
      </c>
      <c r="C13" s="45" t="s">
        <v>704</v>
      </c>
      <c r="D13" s="45">
        <f t="shared" ref="D13:K17" si="4">SUMIF($C$3:$C$8,$B13,G$3:G$8)</f>
        <v>1.3421124</v>
      </c>
      <c r="E13" s="45">
        <f t="shared" si="4"/>
        <v>1.3009410299999999</v>
      </c>
      <c r="F13" s="45">
        <f t="shared" si="4"/>
        <v>1.422541563</v>
      </c>
      <c r="G13" s="45">
        <f t="shared" si="4"/>
        <v>1.4164904219999901</v>
      </c>
      <c r="H13" s="45">
        <f t="shared" si="4"/>
        <v>1.3561167169999899</v>
      </c>
      <c r="I13" s="45">
        <f t="shared" si="4"/>
        <v>1.3013789389999999</v>
      </c>
      <c r="J13" s="45">
        <f t="shared" si="4"/>
        <v>1.19743135749999</v>
      </c>
      <c r="K13" s="45">
        <f t="shared" si="4"/>
        <v>1.0392079328999999</v>
      </c>
      <c r="L13" s="9" t="s">
        <v>78</v>
      </c>
      <c r="N13" s="60"/>
      <c r="O13" s="60"/>
      <c r="P13" s="60"/>
      <c r="Q13" s="60"/>
      <c r="R13" s="60"/>
      <c r="S13" s="60"/>
      <c r="T13" s="60"/>
      <c r="U13" s="60"/>
      <c r="V13" s="60"/>
      <c r="AK13" s="27">
        <v>658.14543206030351</v>
      </c>
    </row>
    <row r="14" spans="1:46" s="13" customFormat="1">
      <c r="B14" s="8" t="s">
        <v>60</v>
      </c>
      <c r="C14" s="45" t="s">
        <v>701</v>
      </c>
      <c r="D14" s="45">
        <f t="shared" si="4"/>
        <v>0.89976663438999904</v>
      </c>
      <c r="E14" s="45">
        <f t="shared" si="4"/>
        <v>0.93107849185999902</v>
      </c>
      <c r="F14" s="45">
        <f t="shared" si="4"/>
        <v>1.0446169445</v>
      </c>
      <c r="G14" s="45">
        <f t="shared" si="4"/>
        <v>1.12429652336999</v>
      </c>
      <c r="H14" s="45">
        <f t="shared" si="4"/>
        <v>1.13700309339999</v>
      </c>
      <c r="I14" s="45">
        <f t="shared" si="4"/>
        <v>1.1112362753</v>
      </c>
      <c r="J14" s="45">
        <f t="shared" si="4"/>
        <v>1.09352186429999</v>
      </c>
      <c r="K14" s="45">
        <f t="shared" si="4"/>
        <v>1.0678544588899901</v>
      </c>
      <c r="L14" s="9" t="s">
        <v>78</v>
      </c>
      <c r="N14" s="60"/>
      <c r="O14" s="60"/>
      <c r="P14" s="60"/>
      <c r="Q14" s="60"/>
      <c r="R14" s="60"/>
      <c r="S14" s="60"/>
      <c r="T14" s="60"/>
      <c r="U14" s="60"/>
      <c r="V14" s="60"/>
      <c r="AK14" s="27">
        <v>682.99344407778437</v>
      </c>
    </row>
    <row r="15" spans="1:46" s="13" customFormat="1">
      <c r="B15" s="8" t="s">
        <v>57</v>
      </c>
      <c r="C15" s="45" t="s">
        <v>709</v>
      </c>
      <c r="D15" s="45">
        <f t="shared" si="4"/>
        <v>0.23484740000000001</v>
      </c>
      <c r="E15" s="45">
        <f t="shared" si="4"/>
        <v>0.29472189799999998</v>
      </c>
      <c r="F15" s="45">
        <f t="shared" si="4"/>
        <v>0.31815296300000001</v>
      </c>
      <c r="G15" s="45">
        <f t="shared" si="4"/>
        <v>0.33788107499999898</v>
      </c>
      <c r="H15" s="45">
        <f t="shared" si="4"/>
        <v>0.355860015999999</v>
      </c>
      <c r="I15" s="45">
        <f t="shared" si="4"/>
        <v>0.37737822500000001</v>
      </c>
      <c r="J15" s="45">
        <f t="shared" si="4"/>
        <v>0.38103027299999898</v>
      </c>
      <c r="K15" s="45">
        <f t="shared" si="4"/>
        <v>0.3880590444</v>
      </c>
      <c r="L15" s="9" t="s">
        <v>78</v>
      </c>
      <c r="N15" s="60"/>
      <c r="O15" s="60"/>
      <c r="P15" s="60"/>
      <c r="Q15" s="60"/>
      <c r="R15" s="60"/>
      <c r="S15" s="60"/>
      <c r="T15" s="60"/>
      <c r="U15" s="60"/>
      <c r="V15" s="60"/>
      <c r="AK15" s="27">
        <v>708.46394610724303</v>
      </c>
    </row>
    <row r="16" spans="1:46" s="13" customFormat="1">
      <c r="B16" s="8" t="s">
        <v>59</v>
      </c>
      <c r="C16" s="45" t="s">
        <v>718</v>
      </c>
      <c r="D16" s="45">
        <f>SUMIF($C$3:$C$8,$B16,G$3:G$8)</f>
        <v>1.7799465532000001</v>
      </c>
      <c r="E16" s="45">
        <f t="shared" si="4"/>
        <v>1.92435768282999</v>
      </c>
      <c r="F16" s="45">
        <f t="shared" si="4"/>
        <v>2.1952348675599902</v>
      </c>
      <c r="G16" s="45">
        <f t="shared" si="4"/>
        <v>2.2768604164699902</v>
      </c>
      <c r="H16" s="45">
        <f t="shared" si="4"/>
        <v>2.3839380876299998</v>
      </c>
      <c r="I16" s="45">
        <f t="shared" si="4"/>
        <v>2.4628430373499901</v>
      </c>
      <c r="J16" s="45">
        <f t="shared" si="4"/>
        <v>2.54482134391999</v>
      </c>
      <c r="K16" s="45">
        <f t="shared" si="4"/>
        <v>2.6716397460869898</v>
      </c>
      <c r="L16" s="9" t="s">
        <v>78</v>
      </c>
      <c r="N16" s="60"/>
      <c r="O16" s="60"/>
      <c r="P16" s="60"/>
      <c r="Q16" s="60"/>
      <c r="R16" s="60"/>
      <c r="S16" s="60"/>
      <c r="T16" s="60"/>
      <c r="U16" s="60"/>
      <c r="V16" s="60"/>
      <c r="AK16" s="27">
        <v>747.26187769701426</v>
      </c>
    </row>
    <row r="17" spans="1:43" s="13" customFormat="1">
      <c r="B17" s="70" t="s">
        <v>65</v>
      </c>
      <c r="C17" s="71" t="s">
        <v>609</v>
      </c>
      <c r="D17" s="71">
        <f t="shared" si="4"/>
        <v>0</v>
      </c>
      <c r="E17" s="71">
        <f t="shared" si="4"/>
        <v>1.47048046499999E-3</v>
      </c>
      <c r="F17" s="71">
        <f t="shared" si="4"/>
        <v>1.1019318327099899E-2</v>
      </c>
      <c r="G17" s="71">
        <f t="shared" si="4"/>
        <v>3.1558633414200003E-2</v>
      </c>
      <c r="H17" s="71">
        <f t="shared" si="4"/>
        <v>7.6540935555899997E-2</v>
      </c>
      <c r="I17" s="71">
        <f t="shared" si="4"/>
        <v>0.143124081884099</v>
      </c>
      <c r="J17" s="71">
        <f t="shared" si="4"/>
        <v>0.20037240803020001</v>
      </c>
      <c r="K17" s="71">
        <f t="shared" si="4"/>
        <v>0.25820004977123001</v>
      </c>
      <c r="L17" s="10" t="s">
        <v>78</v>
      </c>
      <c r="N17" s="60"/>
      <c r="O17" s="60"/>
      <c r="P17" s="60"/>
      <c r="Q17" s="60"/>
      <c r="R17" s="60"/>
      <c r="S17" s="60"/>
      <c r="T17" s="60"/>
      <c r="U17" s="60"/>
      <c r="V17" s="60"/>
    </row>
    <row r="18" spans="1:43" s="13" customFormat="1"/>
    <row r="19" spans="1:43" s="13" customFormat="1"/>
    <row r="20" spans="1:43" s="13" customFormat="1"/>
    <row r="21" spans="1:43" s="13" customFormat="1">
      <c r="A21" s="1" t="s">
        <v>464</v>
      </c>
      <c r="E21" s="13">
        <v>1990</v>
      </c>
      <c r="F21" s="13">
        <v>2005</v>
      </c>
      <c r="G21" s="13">
        <v>2010</v>
      </c>
      <c r="H21" s="13">
        <v>2015</v>
      </c>
      <c r="I21" s="13">
        <v>2020</v>
      </c>
      <c r="J21" s="13">
        <v>2025</v>
      </c>
      <c r="K21" s="13">
        <v>2030</v>
      </c>
      <c r="L21" s="13">
        <v>2035</v>
      </c>
      <c r="M21" s="13">
        <v>2040</v>
      </c>
      <c r="N21" s="13">
        <v>2045</v>
      </c>
      <c r="O21" s="13">
        <v>2050</v>
      </c>
    </row>
    <row r="22" spans="1:43" s="13" customFormat="1">
      <c r="A22" s="13" t="s">
        <v>606</v>
      </c>
      <c r="B22" s="13" t="s">
        <v>1</v>
      </c>
      <c r="C22" s="13" t="s">
        <v>20</v>
      </c>
      <c r="D22" s="13" t="s">
        <v>4</v>
      </c>
      <c r="E22" s="62">
        <v>0</v>
      </c>
      <c r="F22" s="62">
        <v>0</v>
      </c>
      <c r="G22" s="62">
        <v>1.6953300000000001E-2</v>
      </c>
      <c r="H22" s="62">
        <v>2.3106700000000001E-2</v>
      </c>
      <c r="I22" s="62">
        <v>1.8826900000000001E-2</v>
      </c>
      <c r="J22" s="62">
        <v>1.99977E-2</v>
      </c>
      <c r="K22" s="62">
        <v>1.9488100000000001E-2</v>
      </c>
      <c r="L22" s="62">
        <v>2.0002900000000001E-2</v>
      </c>
      <c r="M22" s="62">
        <v>2.1653599999999999E-2</v>
      </c>
      <c r="N22" s="62">
        <v>2.3451300000000001E-2</v>
      </c>
      <c r="O22" s="62">
        <v>2.3886899999999999E-2</v>
      </c>
    </row>
    <row r="23" spans="1:43" s="13" customFormat="1">
      <c r="A23" s="13" t="s">
        <v>606</v>
      </c>
      <c r="B23" s="13" t="s">
        <v>1</v>
      </c>
      <c r="C23" s="13" t="s">
        <v>20</v>
      </c>
      <c r="D23" s="13" t="s">
        <v>6</v>
      </c>
      <c r="E23" s="62">
        <v>0.23639399999999999</v>
      </c>
      <c r="F23" s="62">
        <v>1.18882</v>
      </c>
      <c r="G23" s="62">
        <v>1.5032799999999999</v>
      </c>
      <c r="H23" s="62">
        <v>1.8793899999999999</v>
      </c>
      <c r="I23" s="62">
        <v>1.89863</v>
      </c>
      <c r="J23" s="62">
        <v>2.1570999999999998</v>
      </c>
      <c r="K23" s="62">
        <v>2.2750400000000002</v>
      </c>
      <c r="L23" s="62">
        <v>2.3559000000000001</v>
      </c>
      <c r="M23" s="62">
        <v>2.4420299999999999</v>
      </c>
      <c r="N23" s="62">
        <v>2.5479500000000002</v>
      </c>
      <c r="O23" s="62">
        <v>2.6657500000000001</v>
      </c>
    </row>
    <row r="24" spans="1:43" s="13" customFormat="1">
      <c r="A24" s="13" t="s">
        <v>606</v>
      </c>
      <c r="B24" s="13" t="s">
        <v>1</v>
      </c>
      <c r="C24" s="13" t="s">
        <v>21</v>
      </c>
      <c r="D24" s="13" t="s">
        <v>6</v>
      </c>
      <c r="E24" s="62">
        <v>3.2608900000000003E-2</v>
      </c>
      <c r="F24" s="62">
        <v>5.08599E-2</v>
      </c>
      <c r="G24" s="62">
        <v>5.3873799999999999E-2</v>
      </c>
      <c r="H24" s="62">
        <v>4.94367E-2</v>
      </c>
      <c r="I24" s="62">
        <v>5.4238799999999997E-2</v>
      </c>
      <c r="J24" s="62">
        <v>5.7499799999999997E-2</v>
      </c>
      <c r="K24" s="62">
        <v>5.8557600000000001E-2</v>
      </c>
      <c r="L24" s="62">
        <v>5.9224600000000002E-2</v>
      </c>
      <c r="M24" s="62">
        <v>6.0279899999999997E-2</v>
      </c>
      <c r="N24" s="62">
        <v>6.1346600000000001E-2</v>
      </c>
      <c r="O24" s="62">
        <v>6.2424199999999999E-2</v>
      </c>
    </row>
    <row r="25" spans="1:43" s="13" customFormat="1">
      <c r="A25" s="13" t="s">
        <v>606</v>
      </c>
      <c r="B25" s="13" t="s">
        <v>1</v>
      </c>
      <c r="C25" s="13" t="s">
        <v>22</v>
      </c>
      <c r="D25" s="13" t="s">
        <v>6</v>
      </c>
      <c r="E25" s="62">
        <v>0</v>
      </c>
      <c r="F25" s="62">
        <v>3.1394999999999999E-2</v>
      </c>
      <c r="G25" s="62">
        <v>3.1520600000000003E-2</v>
      </c>
      <c r="H25" s="62">
        <v>2.9218299999999999E-2</v>
      </c>
      <c r="I25" s="62">
        <v>3.22203E-2</v>
      </c>
      <c r="J25" s="62">
        <v>3.8402800000000001E-2</v>
      </c>
      <c r="K25" s="62">
        <v>4.89063E-2</v>
      </c>
      <c r="L25" s="62">
        <v>7.4603199999999995E-2</v>
      </c>
      <c r="M25" s="62">
        <v>0.10693</v>
      </c>
      <c r="N25" s="62">
        <v>0.125863</v>
      </c>
      <c r="O25" s="62">
        <v>0.139158</v>
      </c>
    </row>
    <row r="26" spans="1:43" s="13" customFormat="1"/>
    <row r="27" spans="1:43" s="13" customFormat="1"/>
    <row r="28" spans="1:43" s="13" customFormat="1"/>
    <row r="29" spans="1:43">
      <c r="A29" s="1" t="s">
        <v>265</v>
      </c>
    </row>
    <row r="30" spans="1:43">
      <c r="A30" s="31" t="s">
        <v>8</v>
      </c>
      <c r="B30" s="13" t="s">
        <v>9</v>
      </c>
      <c r="C30" s="13" t="s">
        <v>10</v>
      </c>
      <c r="D30" s="13">
        <v>1990</v>
      </c>
      <c r="E30" s="13">
        <v>2005</v>
      </c>
      <c r="F30" s="13">
        <v>2010</v>
      </c>
      <c r="G30" s="13">
        <v>2015</v>
      </c>
      <c r="H30" s="13">
        <v>2020</v>
      </c>
      <c r="I30" s="13">
        <v>2025</v>
      </c>
      <c r="J30" s="13">
        <v>2030</v>
      </c>
      <c r="K30" s="13">
        <v>2035</v>
      </c>
      <c r="L30" s="13">
        <v>2040</v>
      </c>
      <c r="M30" s="13">
        <v>2045</v>
      </c>
      <c r="N30" s="13">
        <v>2050</v>
      </c>
      <c r="O30" s="13" t="s">
        <v>76</v>
      </c>
    </row>
    <row r="31" spans="1:43">
      <c r="A31" s="27" t="s">
        <v>606</v>
      </c>
      <c r="B31" s="13" t="s">
        <v>1</v>
      </c>
      <c r="C31" s="13" t="s">
        <v>3</v>
      </c>
      <c r="D31" s="62">
        <v>1.83765E-2</v>
      </c>
      <c r="E31" s="27">
        <v>1.53047999999999E-2</v>
      </c>
      <c r="F31" s="27">
        <v>3.02900999999999E-2</v>
      </c>
      <c r="G31" s="27">
        <v>7.0219599999999993E-2</v>
      </c>
      <c r="H31" s="27">
        <v>0.11644834</v>
      </c>
      <c r="I31" s="62">
        <v>0.11537049000000001</v>
      </c>
      <c r="J31" s="62">
        <v>0.118896109999999</v>
      </c>
      <c r="K31" s="62">
        <v>0.11791145</v>
      </c>
      <c r="L31" s="62">
        <v>0.11927161999999999</v>
      </c>
      <c r="M31" s="62">
        <v>0.11174215999999999</v>
      </c>
      <c r="N31" s="62">
        <v>0.10721463000000001</v>
      </c>
      <c r="O31" s="13" t="s">
        <v>78</v>
      </c>
    </row>
    <row r="32" spans="1:43">
      <c r="A32" s="13" t="s">
        <v>606</v>
      </c>
      <c r="B32" s="13" t="s">
        <v>1</v>
      </c>
      <c r="C32" s="13" t="s">
        <v>4</v>
      </c>
      <c r="D32" s="62">
        <v>0.36271720000000002</v>
      </c>
      <c r="E32" s="27">
        <v>3.9934399999999898E-2</v>
      </c>
      <c r="F32" s="27">
        <v>3.5790299999999997E-2</v>
      </c>
      <c r="G32" s="27">
        <v>2.74183E-2</v>
      </c>
      <c r="H32" s="27">
        <v>0</v>
      </c>
      <c r="I32" s="62">
        <v>0</v>
      </c>
      <c r="J32" s="62">
        <v>0</v>
      </c>
      <c r="K32" s="62">
        <v>0</v>
      </c>
      <c r="L32" s="62">
        <v>0</v>
      </c>
      <c r="M32" s="62">
        <v>0</v>
      </c>
      <c r="N32" s="62">
        <v>0</v>
      </c>
      <c r="O32" s="13" t="s">
        <v>78</v>
      </c>
      <c r="AL32" t="s">
        <v>478</v>
      </c>
      <c r="AM32">
        <v>4.9494999999999996</v>
      </c>
      <c r="AN32">
        <f t="shared" ref="AN32:AN37" si="5">AM32*1.5</f>
        <v>7.4242499999999989</v>
      </c>
      <c r="AO32">
        <v>7.4242499999999998</v>
      </c>
      <c r="AP32">
        <f t="shared" ref="AP32:AP37" si="6">AM32*1.3</f>
        <v>6.4343499999999993</v>
      </c>
      <c r="AQ32">
        <v>6.4343500000000002</v>
      </c>
    </row>
    <row r="33" spans="1:43">
      <c r="A33" s="13" t="s">
        <v>606</v>
      </c>
      <c r="B33" s="13" t="s">
        <v>1</v>
      </c>
      <c r="C33" s="13" t="s">
        <v>162</v>
      </c>
      <c r="D33" s="62">
        <v>2.5408903E-2</v>
      </c>
      <c r="E33" s="27">
        <v>0.4829408</v>
      </c>
      <c r="F33" s="27">
        <v>0.52749249999999903</v>
      </c>
      <c r="G33" s="27">
        <v>0.49998670000000001</v>
      </c>
      <c r="H33" s="27">
        <v>0.48818089999999997</v>
      </c>
      <c r="I33" s="62">
        <v>0.54330319999999999</v>
      </c>
      <c r="J33" s="62">
        <v>0.5900919</v>
      </c>
      <c r="K33" s="62">
        <v>0.58835479999999996</v>
      </c>
      <c r="L33" s="62">
        <v>0.55858874999999997</v>
      </c>
      <c r="M33" s="62">
        <v>0.51833032000000001</v>
      </c>
      <c r="N33" s="62">
        <v>0.45042298999999902</v>
      </c>
      <c r="O33" s="13" t="s">
        <v>78</v>
      </c>
      <c r="AL33" t="s">
        <v>479</v>
      </c>
      <c r="AM33">
        <v>1.5357000000000001</v>
      </c>
      <c r="AN33" s="13">
        <f t="shared" si="5"/>
        <v>2.30355</v>
      </c>
      <c r="AO33">
        <v>2.30355</v>
      </c>
      <c r="AP33" s="13">
        <f t="shared" si="6"/>
        <v>1.9964100000000002</v>
      </c>
      <c r="AQ33">
        <v>1.9964100000000002</v>
      </c>
    </row>
    <row r="34" spans="1:43">
      <c r="A34" s="13" t="s">
        <v>606</v>
      </c>
      <c r="B34" s="13" t="s">
        <v>1</v>
      </c>
      <c r="C34" s="13" t="s">
        <v>264</v>
      </c>
      <c r="D34" s="62">
        <v>0.10959012</v>
      </c>
      <c r="E34" s="27">
        <v>0.56461530000000004</v>
      </c>
      <c r="F34" s="27">
        <v>0.73043009999999997</v>
      </c>
      <c r="G34" s="27">
        <v>0.75474359999999996</v>
      </c>
      <c r="H34" s="27">
        <v>0.83137260000000002</v>
      </c>
      <c r="I34" s="62">
        <v>0.96313570000000004</v>
      </c>
      <c r="J34" s="62">
        <v>1.0041901</v>
      </c>
      <c r="K34" s="62">
        <v>1.0852744999999999</v>
      </c>
      <c r="L34" s="62">
        <v>1.1361972999999901</v>
      </c>
      <c r="M34" s="62">
        <v>1.1740822</v>
      </c>
      <c r="N34" s="62">
        <v>1.233063</v>
      </c>
      <c r="O34" s="13" t="s">
        <v>78</v>
      </c>
      <c r="AL34" t="s">
        <v>480</v>
      </c>
      <c r="AM34">
        <v>3.0853000000000002</v>
      </c>
      <c r="AN34" s="13">
        <f t="shared" si="5"/>
        <v>4.6279500000000002</v>
      </c>
      <c r="AO34">
        <v>4.6279500000000002</v>
      </c>
      <c r="AP34" s="13">
        <f t="shared" si="6"/>
        <v>4.0108900000000007</v>
      </c>
      <c r="AQ34">
        <v>4.0108900000000007</v>
      </c>
    </row>
    <row r="35" spans="1:43">
      <c r="A35" s="13" t="s">
        <v>606</v>
      </c>
      <c r="B35" s="13" t="s">
        <v>1</v>
      </c>
      <c r="C35" s="13" t="s">
        <v>164</v>
      </c>
      <c r="D35" s="62">
        <v>0.420189799999999</v>
      </c>
      <c r="E35" s="27">
        <v>0.4400598</v>
      </c>
      <c r="F35" s="27">
        <v>0.31840200000000002</v>
      </c>
      <c r="G35" s="27">
        <v>0.28370590000000001</v>
      </c>
      <c r="H35" s="27">
        <v>0.265225399999999</v>
      </c>
      <c r="I35" s="62">
        <v>0.2498494</v>
      </c>
      <c r="J35" s="62">
        <v>0.22751148999999901</v>
      </c>
      <c r="K35" s="62">
        <v>0.18318287</v>
      </c>
      <c r="L35" s="62">
        <v>0.1419995</v>
      </c>
      <c r="M35" s="62">
        <v>7.7228259999999896E-2</v>
      </c>
      <c r="N35" s="62">
        <v>0</v>
      </c>
      <c r="O35" s="13" t="s">
        <v>78</v>
      </c>
      <c r="AL35" t="s">
        <v>481</v>
      </c>
      <c r="AM35">
        <v>11.2422</v>
      </c>
      <c r="AN35" s="13">
        <f t="shared" si="5"/>
        <v>16.863300000000002</v>
      </c>
      <c r="AO35">
        <v>16.863299999999999</v>
      </c>
      <c r="AP35" s="13">
        <f t="shared" si="6"/>
        <v>14.61486</v>
      </c>
      <c r="AQ35">
        <v>14.61486</v>
      </c>
    </row>
    <row r="36" spans="1:43">
      <c r="C36" t="s">
        <v>429</v>
      </c>
      <c r="D36">
        <f>SUM(D31:D35)</f>
        <v>0.93628252299999892</v>
      </c>
      <c r="E36" s="27">
        <f>SUM(E31:E35)</f>
        <v>1.5428550999999999</v>
      </c>
      <c r="F36" s="27">
        <f>SUM(F31:F35)</f>
        <v>1.642404999999999</v>
      </c>
      <c r="G36" s="27">
        <f>SUM(G31:G35)</f>
        <v>1.6360740999999999</v>
      </c>
      <c r="H36" s="27">
        <f>SUM(H31:H35)</f>
        <v>1.7012272399999988</v>
      </c>
      <c r="I36" s="27">
        <f>1.736/1.816</f>
        <v>0.95594713656387664</v>
      </c>
      <c r="O36" s="13"/>
      <c r="AL36" t="s">
        <v>482</v>
      </c>
      <c r="AM36">
        <v>1.3738999999999999</v>
      </c>
      <c r="AN36">
        <f t="shared" si="5"/>
        <v>2.0608499999999998</v>
      </c>
      <c r="AO36">
        <v>2.0608499999999998</v>
      </c>
      <c r="AP36" s="13">
        <f t="shared" si="6"/>
        <v>1.7860699999999998</v>
      </c>
      <c r="AQ36">
        <v>1.7860699999999998</v>
      </c>
    </row>
    <row r="37" spans="1:43">
      <c r="A37" t="s">
        <v>511</v>
      </c>
      <c r="B37" s="65"/>
      <c r="C37" s="66"/>
      <c r="D37" s="66">
        <v>2015</v>
      </c>
      <c r="E37" s="66">
        <v>2020</v>
      </c>
      <c r="F37" s="66">
        <v>2025</v>
      </c>
      <c r="G37" s="66">
        <v>2030</v>
      </c>
      <c r="H37" s="66">
        <v>2035</v>
      </c>
      <c r="I37" s="66">
        <v>2040</v>
      </c>
      <c r="J37" s="66">
        <v>2045</v>
      </c>
      <c r="K37" s="66">
        <v>2050</v>
      </c>
      <c r="L37" s="7" t="s">
        <v>76</v>
      </c>
      <c r="AL37" t="s">
        <v>483</v>
      </c>
      <c r="AM37">
        <v>3.0015000000000001</v>
      </c>
      <c r="AN37">
        <f t="shared" si="5"/>
        <v>4.5022500000000001</v>
      </c>
      <c r="AO37">
        <v>4.5022500000000001</v>
      </c>
      <c r="AP37" s="13">
        <f t="shared" si="6"/>
        <v>3.9019500000000003</v>
      </c>
      <c r="AQ37">
        <v>3.9019500000000003</v>
      </c>
    </row>
    <row r="38" spans="1:43">
      <c r="B38" s="8" t="s">
        <v>164</v>
      </c>
      <c r="C38" s="45" t="s">
        <v>266</v>
      </c>
      <c r="D38" s="45">
        <f>SUMIF($C$31:$C$35,$B38,G$31:G$35)</f>
        <v>0.28370590000000001</v>
      </c>
      <c r="E38" s="45">
        <f t="shared" ref="E38:K38" si="7">SUMIF($C$31:$C$35,$B38,H$31:H$35)</f>
        <v>0.265225399999999</v>
      </c>
      <c r="F38" s="45">
        <f t="shared" si="7"/>
        <v>0.2498494</v>
      </c>
      <c r="G38" s="45">
        <f t="shared" si="7"/>
        <v>0.22751148999999901</v>
      </c>
      <c r="H38" s="45">
        <f t="shared" si="7"/>
        <v>0.18318287</v>
      </c>
      <c r="I38" s="45">
        <f t="shared" si="7"/>
        <v>0.1419995</v>
      </c>
      <c r="J38" s="45">
        <f t="shared" si="7"/>
        <v>7.7228259999999896E-2</v>
      </c>
      <c r="K38" s="45">
        <f t="shared" si="7"/>
        <v>0</v>
      </c>
      <c r="L38" s="9" t="s">
        <v>78</v>
      </c>
      <c r="AN38" s="13">
        <f t="shared" ref="AN38:AN46" si="8">AM38*1.5</f>
        <v>0</v>
      </c>
    </row>
    <row r="39" spans="1:43">
      <c r="B39" s="8" t="s">
        <v>4</v>
      </c>
      <c r="C39" s="45" t="s">
        <v>14</v>
      </c>
      <c r="D39" s="45">
        <f>SUMIF($C$31:$C$35,$B39,G$31:G$35)</f>
        <v>2.74183E-2</v>
      </c>
      <c r="E39" s="45">
        <f t="shared" ref="E39:K42" si="9">SUMIF($C$31:$C$35,$B39,H$31:H$35)</f>
        <v>0</v>
      </c>
      <c r="F39" s="45">
        <f t="shared" si="9"/>
        <v>0</v>
      </c>
      <c r="G39" s="45">
        <f t="shared" si="9"/>
        <v>0</v>
      </c>
      <c r="H39" s="45">
        <f t="shared" si="9"/>
        <v>0</v>
      </c>
      <c r="I39" s="45">
        <f t="shared" si="9"/>
        <v>0</v>
      </c>
      <c r="J39" s="45">
        <f t="shared" si="9"/>
        <v>0</v>
      </c>
      <c r="K39" s="45">
        <f t="shared" si="9"/>
        <v>0</v>
      </c>
      <c r="L39" s="9" t="s">
        <v>78</v>
      </c>
      <c r="AL39" t="s">
        <v>479</v>
      </c>
      <c r="AM39">
        <v>1.7064999999999999</v>
      </c>
      <c r="AN39" s="13">
        <f t="shared" si="8"/>
        <v>2.5597499999999997</v>
      </c>
      <c r="AO39">
        <v>2.5597500000000002</v>
      </c>
    </row>
    <row r="40" spans="1:43">
      <c r="B40" s="8" t="s">
        <v>162</v>
      </c>
      <c r="C40" s="45" t="s">
        <v>15</v>
      </c>
      <c r="D40" s="45">
        <f>SUMIF($C$31:$C$35,$B40,G$31:G$35)</f>
        <v>0.49998670000000001</v>
      </c>
      <c r="E40" s="45">
        <f t="shared" si="9"/>
        <v>0.48818089999999997</v>
      </c>
      <c r="F40" s="45">
        <f t="shared" si="9"/>
        <v>0.54330319999999999</v>
      </c>
      <c r="G40" s="45">
        <f t="shared" si="9"/>
        <v>0.5900919</v>
      </c>
      <c r="H40" s="45">
        <f t="shared" si="9"/>
        <v>0.58835479999999996</v>
      </c>
      <c r="I40" s="45">
        <f t="shared" si="9"/>
        <v>0.55858874999999997</v>
      </c>
      <c r="J40" s="45">
        <f t="shared" si="9"/>
        <v>0.51833032000000001</v>
      </c>
      <c r="K40" s="45">
        <f t="shared" si="9"/>
        <v>0.45042298999999902</v>
      </c>
      <c r="L40" s="9" t="s">
        <v>78</v>
      </c>
      <c r="AL40" s="13" t="s">
        <v>480</v>
      </c>
      <c r="AM40">
        <v>3.3424</v>
      </c>
      <c r="AN40" s="13">
        <f t="shared" si="8"/>
        <v>5.0136000000000003</v>
      </c>
      <c r="AO40">
        <v>5.0136000000000003</v>
      </c>
    </row>
    <row r="41" spans="1:43">
      <c r="B41" s="8" t="s">
        <v>3</v>
      </c>
      <c r="C41" s="45" t="s">
        <v>13</v>
      </c>
      <c r="D41" s="45">
        <f>SUMIF($C$31:$C$35,$B41,G$31:G$35)</f>
        <v>7.0219599999999993E-2</v>
      </c>
      <c r="E41" s="45">
        <f t="shared" si="9"/>
        <v>0.11644834</v>
      </c>
      <c r="F41" s="45">
        <f t="shared" si="9"/>
        <v>0.11537049000000001</v>
      </c>
      <c r="G41" s="45">
        <f t="shared" si="9"/>
        <v>0.118896109999999</v>
      </c>
      <c r="H41" s="45">
        <f t="shared" si="9"/>
        <v>0.11791145</v>
      </c>
      <c r="I41" s="45">
        <f t="shared" si="9"/>
        <v>0.11927161999999999</v>
      </c>
      <c r="J41" s="45">
        <f t="shared" si="9"/>
        <v>0.11174215999999999</v>
      </c>
      <c r="K41" s="45">
        <f t="shared" si="9"/>
        <v>0.10721463000000001</v>
      </c>
      <c r="L41" s="9" t="s">
        <v>78</v>
      </c>
      <c r="AL41" s="13" t="s">
        <v>482</v>
      </c>
      <c r="AM41">
        <v>1.8423</v>
      </c>
      <c r="AN41" s="13">
        <f t="shared" si="8"/>
        <v>2.7634500000000002</v>
      </c>
      <c r="AO41">
        <v>2.7634500000000002</v>
      </c>
    </row>
    <row r="42" spans="1:43">
      <c r="B42" s="70" t="s">
        <v>264</v>
      </c>
      <c r="C42" s="71" t="s">
        <v>17</v>
      </c>
      <c r="D42" s="71">
        <f>SUMIF($C$31:$C$35,$B42,G$31:G$35)</f>
        <v>0.75474359999999996</v>
      </c>
      <c r="E42" s="71">
        <f>SUMIF($C$31:$C$35,$B42,H$31:H$35)</f>
        <v>0.83137260000000002</v>
      </c>
      <c r="F42" s="71">
        <f t="shared" si="9"/>
        <v>0.96313570000000004</v>
      </c>
      <c r="G42" s="71">
        <f t="shared" si="9"/>
        <v>1.0041901</v>
      </c>
      <c r="H42" s="71">
        <f t="shared" si="9"/>
        <v>1.0852744999999999</v>
      </c>
      <c r="I42" s="71">
        <f t="shared" si="9"/>
        <v>1.1361972999999901</v>
      </c>
      <c r="J42" s="71">
        <f t="shared" si="9"/>
        <v>1.1740822</v>
      </c>
      <c r="K42" s="71">
        <f t="shared" si="9"/>
        <v>1.233063</v>
      </c>
      <c r="L42" s="10" t="s">
        <v>78</v>
      </c>
      <c r="AL42" s="13" t="s">
        <v>483</v>
      </c>
      <c r="AM42">
        <v>3.3424</v>
      </c>
      <c r="AN42" s="13">
        <f t="shared" si="8"/>
        <v>5.0136000000000003</v>
      </c>
      <c r="AO42" s="13">
        <v>5.0136000000000003</v>
      </c>
    </row>
    <row r="43" spans="1:43" s="62" customFormat="1">
      <c r="B43" s="45"/>
      <c r="C43" s="62" t="s">
        <v>473</v>
      </c>
      <c r="D43" s="62">
        <v>1.6757704415092409</v>
      </c>
      <c r="E43" s="62">
        <v>1.8156029609886777</v>
      </c>
      <c r="L43" s="45"/>
    </row>
    <row r="44" spans="1:43" s="62" customFormat="1">
      <c r="B44" s="45"/>
      <c r="C44" s="62" t="s">
        <v>474</v>
      </c>
      <c r="F44" s="62">
        <v>1.9259280000000003</v>
      </c>
      <c r="G44" s="62">
        <v>2.0096639999999999</v>
      </c>
      <c r="H44" s="62">
        <v>2.0515319999999999</v>
      </c>
      <c r="I44" s="62">
        <v>2.0933999999999999</v>
      </c>
      <c r="J44" s="62">
        <v>2.0724659999999999</v>
      </c>
      <c r="K44" s="62">
        <v>2.0515319999999999</v>
      </c>
      <c r="L44" s="45"/>
    </row>
    <row r="45" spans="1:43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AN45" s="13">
        <f t="shared" si="8"/>
        <v>0</v>
      </c>
    </row>
    <row r="46" spans="1:43">
      <c r="B46" s="35" t="s">
        <v>512</v>
      </c>
      <c r="C46" s="65"/>
      <c r="D46" s="66">
        <v>2015</v>
      </c>
      <c r="E46" s="66">
        <v>2020</v>
      </c>
      <c r="F46" s="66">
        <v>2025</v>
      </c>
      <c r="G46" s="66">
        <v>2030</v>
      </c>
      <c r="H46" s="66">
        <v>2035</v>
      </c>
      <c r="I46" s="66">
        <v>2040</v>
      </c>
      <c r="J46" s="66">
        <v>2045</v>
      </c>
      <c r="K46" s="7">
        <v>2050</v>
      </c>
      <c r="L46" t="s">
        <v>475</v>
      </c>
      <c r="M46">
        <v>277.77777777777698</v>
      </c>
      <c r="AN46" s="13">
        <f t="shared" si="8"/>
        <v>0</v>
      </c>
    </row>
    <row r="47" spans="1:43">
      <c r="C47" s="8" t="s">
        <v>476</v>
      </c>
      <c r="D47" s="45">
        <f>D42*$M$46</f>
        <v>209.65099999999939</v>
      </c>
      <c r="E47" s="45">
        <f t="shared" ref="E47:K47" si="10">E42*$M$46</f>
        <v>230.93683333333266</v>
      </c>
      <c r="F47" s="45">
        <f t="shared" si="10"/>
        <v>267.53769444444367</v>
      </c>
      <c r="G47" s="45">
        <f t="shared" si="10"/>
        <v>278.94169444444361</v>
      </c>
      <c r="H47" s="45">
        <f t="shared" si="10"/>
        <v>301.46513888888802</v>
      </c>
      <c r="I47" s="45">
        <f t="shared" si="10"/>
        <v>315.61036111110747</v>
      </c>
      <c r="J47" s="45">
        <f t="shared" si="10"/>
        <v>326.1339444444435</v>
      </c>
      <c r="K47" s="9">
        <f t="shared" si="10"/>
        <v>342.51749999999902</v>
      </c>
    </row>
    <row r="48" spans="1:43">
      <c r="C48" s="8" t="s">
        <v>473</v>
      </c>
      <c r="D48" s="45">
        <v>215.84400772001726</v>
      </c>
      <c r="E48" s="45">
        <v>237.46560821001901</v>
      </c>
      <c r="F48" s="45"/>
      <c r="G48" s="45"/>
      <c r="H48" s="45"/>
      <c r="I48" s="45"/>
      <c r="J48" s="45"/>
      <c r="K48" s="9"/>
    </row>
    <row r="49" spans="1:45">
      <c r="C49" s="70" t="s">
        <v>474</v>
      </c>
      <c r="D49" s="71"/>
      <c r="E49" s="71"/>
      <c r="F49" s="71">
        <v>255.86000000002048</v>
      </c>
      <c r="G49" s="71">
        <v>279.12000000002229</v>
      </c>
      <c r="H49" s="71">
        <v>290.75000000002325</v>
      </c>
      <c r="I49" s="71"/>
      <c r="J49" s="71"/>
      <c r="K49" s="10"/>
    </row>
    <row r="50" spans="1:45">
      <c r="R50">
        <v>209.65099999999939</v>
      </c>
      <c r="S50">
        <v>230.93683333333266</v>
      </c>
      <c r="T50">
        <v>267.53769444444367</v>
      </c>
      <c r="U50">
        <v>278.94169444444361</v>
      </c>
      <c r="V50">
        <v>301.46513888888802</v>
      </c>
      <c r="W50">
        <v>315.61036111110747</v>
      </c>
      <c r="X50">
        <v>326.1339444444435</v>
      </c>
      <c r="Y50">
        <v>342.51749999999902</v>
      </c>
    </row>
    <row r="51" spans="1:45">
      <c r="C51" t="s">
        <v>513</v>
      </c>
      <c r="D51">
        <v>0.77703842779199994</v>
      </c>
      <c r="E51">
        <v>0.85487618955600009</v>
      </c>
      <c r="F51">
        <v>0.92109600000000003</v>
      </c>
      <c r="G51">
        <v>1.0048319999999999</v>
      </c>
      <c r="H51">
        <v>1.0467</v>
      </c>
      <c r="R51" s="27">
        <v>209.65099999999939</v>
      </c>
    </row>
    <row r="52" spans="1:45">
      <c r="C52" t="s">
        <v>508</v>
      </c>
      <c r="D52">
        <f>D51*$M$46</f>
        <v>215.84400771999935</v>
      </c>
      <c r="E52" s="60">
        <f>E51*$M$46</f>
        <v>237.46560820999935</v>
      </c>
      <c r="F52" s="60">
        <f>F51*$M$46</f>
        <v>255.85999999999927</v>
      </c>
      <c r="G52" s="60">
        <f>G51*$M$46</f>
        <v>279.11999999999915</v>
      </c>
      <c r="H52" s="60">
        <f>H51*$M$46</f>
        <v>290.74999999999915</v>
      </c>
      <c r="R52" s="27">
        <v>230.93683333333266</v>
      </c>
    </row>
    <row r="53" spans="1:45">
      <c r="R53" s="27">
        <v>267.53769444444367</v>
      </c>
    </row>
    <row r="54" spans="1:45" s="62" customFormat="1">
      <c r="R54" s="27">
        <v>278.94169444444361</v>
      </c>
    </row>
    <row r="55" spans="1:45">
      <c r="E55" s="57">
        <f>E56+SUM(E58:E61)</f>
        <v>1.1868632108999897</v>
      </c>
      <c r="F55" s="57">
        <f>F56+SUM(F58:F61)</f>
        <v>1.2011992069999999</v>
      </c>
      <c r="G55" s="57">
        <f>G56+SUM(G58:G61)</f>
        <v>1.322655744</v>
      </c>
      <c r="H55" s="57">
        <f>H56+SUM(H58:H61)</f>
        <v>1.3785898077500001</v>
      </c>
      <c r="R55" s="27">
        <v>301.46513888888802</v>
      </c>
    </row>
    <row r="56" spans="1:45">
      <c r="A56" s="1" t="s">
        <v>431</v>
      </c>
      <c r="E56" s="57">
        <f>E62-SUM(J89:J90)</f>
        <v>1.1639895999999899</v>
      </c>
      <c r="F56" s="57">
        <f>F62-SUM(K89:K90)</f>
        <v>1.15050673</v>
      </c>
      <c r="G56" s="57">
        <f>G62-SUM(L89:L90)</f>
        <v>1.26594743</v>
      </c>
      <c r="H56" s="57">
        <f>H62-SUM(M89:M90)</f>
        <v>1.29949154</v>
      </c>
      <c r="R56" s="27">
        <v>315.61036111110747</v>
      </c>
    </row>
    <row r="57" spans="1:45">
      <c r="A57" s="31" t="s">
        <v>8</v>
      </c>
      <c r="B57" s="13" t="s">
        <v>9</v>
      </c>
      <c r="C57" s="13" t="s">
        <v>10</v>
      </c>
      <c r="D57" s="13">
        <v>1990</v>
      </c>
      <c r="E57" s="13">
        <v>2005</v>
      </c>
      <c r="F57" s="13">
        <v>2010</v>
      </c>
      <c r="G57" s="13">
        <v>2015</v>
      </c>
      <c r="H57" s="13">
        <v>2020</v>
      </c>
      <c r="I57" s="13">
        <v>2025</v>
      </c>
      <c r="J57" s="13">
        <v>2030</v>
      </c>
      <c r="K57" s="13">
        <v>2035</v>
      </c>
      <c r="L57" s="13">
        <v>2040</v>
      </c>
      <c r="M57" s="13">
        <v>2045</v>
      </c>
      <c r="N57" s="13">
        <v>2050</v>
      </c>
      <c r="O57" s="13" t="s">
        <v>76</v>
      </c>
      <c r="R57" s="27">
        <v>326.1339444444435</v>
      </c>
      <c r="AA57" s="1" t="s">
        <v>516</v>
      </c>
    </row>
    <row r="58" spans="1:45">
      <c r="A58" s="13" t="s">
        <v>606</v>
      </c>
      <c r="B58" s="13" t="s">
        <v>1</v>
      </c>
      <c r="C58" s="13" t="s">
        <v>2</v>
      </c>
      <c r="D58" s="62">
        <v>0</v>
      </c>
      <c r="E58" s="27">
        <v>0</v>
      </c>
      <c r="F58" s="27">
        <v>0</v>
      </c>
      <c r="G58" s="27">
        <v>0</v>
      </c>
      <c r="H58" s="27">
        <v>3.7311720000000003E-4</v>
      </c>
      <c r="I58" s="62">
        <v>4.5479658700000002E-3</v>
      </c>
      <c r="J58" s="62">
        <v>1.303037281E-2</v>
      </c>
      <c r="K58" s="62">
        <v>2.409753115E-2</v>
      </c>
      <c r="L58" s="62">
        <v>3.7668685100000002E-2</v>
      </c>
      <c r="M58" s="62">
        <v>4.5427206649999899E-2</v>
      </c>
      <c r="N58" s="62">
        <v>5.0200330180000002E-2</v>
      </c>
      <c r="O58" s="13" t="s">
        <v>78</v>
      </c>
      <c r="R58" s="27">
        <v>342.51749999999902</v>
      </c>
      <c r="AA58" s="65"/>
      <c r="AB58" s="66" t="s">
        <v>484</v>
      </c>
      <c r="AC58" s="66">
        <v>2015</v>
      </c>
      <c r="AD58" s="66">
        <v>2020</v>
      </c>
      <c r="AE58" s="66">
        <v>2025</v>
      </c>
      <c r="AF58" s="66">
        <v>2030</v>
      </c>
      <c r="AG58" s="66">
        <v>2035</v>
      </c>
      <c r="AH58" s="66">
        <v>2040</v>
      </c>
      <c r="AI58" s="66">
        <v>2045</v>
      </c>
      <c r="AJ58" s="7">
        <v>2050</v>
      </c>
      <c r="AL58" s="66">
        <v>2015</v>
      </c>
      <c r="AM58" s="66">
        <v>2020</v>
      </c>
      <c r="AN58" s="66">
        <v>2025</v>
      </c>
      <c r="AO58" s="66">
        <v>2030</v>
      </c>
      <c r="AP58" s="66">
        <v>2035</v>
      </c>
      <c r="AQ58" s="66">
        <v>2040</v>
      </c>
      <c r="AR58" s="66">
        <v>2045</v>
      </c>
      <c r="AS58" s="7">
        <v>2050</v>
      </c>
    </row>
    <row r="59" spans="1:45">
      <c r="A59" s="13" t="s">
        <v>606</v>
      </c>
      <c r="B59" s="13" t="s">
        <v>1</v>
      </c>
      <c r="C59" s="13" t="s">
        <v>4</v>
      </c>
      <c r="D59" s="62">
        <v>0</v>
      </c>
      <c r="E59" s="27">
        <v>0</v>
      </c>
      <c r="F59" s="27">
        <v>0</v>
      </c>
      <c r="G59" s="27">
        <v>0</v>
      </c>
      <c r="H59" s="27">
        <v>0</v>
      </c>
      <c r="I59" s="62">
        <v>0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13" t="s">
        <v>78</v>
      </c>
      <c r="AA59" s="8" t="s">
        <v>515</v>
      </c>
      <c r="AB59" s="45" t="s">
        <v>476</v>
      </c>
      <c r="AC59" s="45">
        <f>D69*$AB$62</f>
        <v>2.2184500000000016</v>
      </c>
      <c r="AD59" s="45">
        <f>E69*$AB$62</f>
        <v>3.0204009861111136</v>
      </c>
      <c r="AE59" s="45">
        <f>F69*$AB$62</f>
        <v>7.7070136694444509</v>
      </c>
      <c r="AF59" s="45">
        <f t="shared" ref="AF59:AJ59" si="11">G69*$AB$62</f>
        <v>12.129633258333342</v>
      </c>
      <c r="AG59" s="45">
        <f t="shared" si="11"/>
        <v>15.633429713888901</v>
      </c>
      <c r="AH59" s="45">
        <f t="shared" si="11"/>
        <v>17.391655522222234</v>
      </c>
      <c r="AI59" s="45">
        <f t="shared" si="11"/>
        <v>17.987548188888901</v>
      </c>
      <c r="AJ59" s="45">
        <f t="shared" si="11"/>
        <v>18.074232365833346</v>
      </c>
      <c r="AK59" s="8" t="s">
        <v>573</v>
      </c>
      <c r="AL59" s="35">
        <f>I151*$AB$62</f>
        <v>2.2184500000000016</v>
      </c>
      <c r="AM59" s="35">
        <f t="shared" ref="AM59:AS59" si="12">J151*$AB$62</f>
        <v>2.592330555555558</v>
      </c>
      <c r="AN59" s="35">
        <f t="shared" si="12"/>
        <v>4.1934666666666693</v>
      </c>
      <c r="AO59" s="35">
        <f t="shared" si="12"/>
        <v>4.9930305555555599</v>
      </c>
      <c r="AP59" s="35">
        <f t="shared" si="12"/>
        <v>5.5269888888888934</v>
      </c>
      <c r="AQ59" s="35">
        <f t="shared" si="12"/>
        <v>5.5344666666666713</v>
      </c>
      <c r="AR59" s="35">
        <f t="shared" si="12"/>
        <v>5.4405611111111165</v>
      </c>
      <c r="AS59" s="35">
        <f t="shared" si="12"/>
        <v>5.3322638888888934</v>
      </c>
    </row>
    <row r="60" spans="1:45">
      <c r="A60" s="13" t="s">
        <v>606</v>
      </c>
      <c r="B60" s="13" t="s">
        <v>1</v>
      </c>
      <c r="C60" s="13" t="s">
        <v>162</v>
      </c>
      <c r="D60" s="62">
        <v>0</v>
      </c>
      <c r="E60" s="27">
        <v>1.35617708999999E-2</v>
      </c>
      <c r="F60" s="27">
        <v>4.2820006999999903E-2</v>
      </c>
      <c r="G60" s="27">
        <v>4.8721894000000002E-2</v>
      </c>
      <c r="H60" s="27">
        <v>6.7851706999999997E-2</v>
      </c>
      <c r="I60" s="62">
        <v>7.8846670999999993E-2</v>
      </c>
      <c r="J60" s="62">
        <v>8.5262935499999998E-2</v>
      </c>
      <c r="K60" s="62">
        <v>9.1281553400000007E-2</v>
      </c>
      <c r="L60" s="62">
        <v>0.103024052</v>
      </c>
      <c r="M60" s="62">
        <v>0.115474624</v>
      </c>
      <c r="N60" s="62">
        <v>0.13266827099999901</v>
      </c>
      <c r="O60" s="13" t="s">
        <v>78</v>
      </c>
      <c r="AA60" s="8" t="s">
        <v>515</v>
      </c>
      <c r="AB60" s="45" t="s">
        <v>473</v>
      </c>
      <c r="AC60" s="45">
        <f>AC64*$AB$62</f>
        <v>2.2170501600000021</v>
      </c>
      <c r="AD60" s="45">
        <f t="shared" ref="AD60:AG61" si="13">AD64*$AB$62</f>
        <v>3.1550445500000026</v>
      </c>
      <c r="AE60" s="45"/>
      <c r="AF60" s="45"/>
      <c r="AG60" s="45"/>
      <c r="AH60" s="45"/>
      <c r="AI60" s="45"/>
      <c r="AJ60" s="9"/>
      <c r="AK60" s="8" t="s">
        <v>572</v>
      </c>
      <c r="AL60" s="35">
        <f>I152*$AB$62</f>
        <v>0</v>
      </c>
      <c r="AM60" s="35">
        <f t="shared" ref="AM60" si="14">J152*$AB$62</f>
        <v>0.42807043055555588</v>
      </c>
      <c r="AN60" s="35">
        <f t="shared" ref="AN60" si="15">K152*$AB$62</f>
        <v>3.5135470027777806</v>
      </c>
      <c r="AO60" s="35">
        <f t="shared" ref="AO60" si="16">L152*$AB$62</f>
        <v>7.1366027027777834</v>
      </c>
      <c r="AP60" s="35">
        <f t="shared" ref="AP60" si="17">M152*$AB$62</f>
        <v>10.106440825000009</v>
      </c>
      <c r="AQ60" s="35">
        <f t="shared" ref="AQ60" si="18">N152*$AB$62</f>
        <v>11.857188855555565</v>
      </c>
      <c r="AR60" s="35">
        <f t="shared" ref="AR60" si="19">O152*$AB$62</f>
        <v>12.546987077777787</v>
      </c>
      <c r="AS60" s="35">
        <f t="shared" ref="AS60" si="20">P152*$AB$62</f>
        <v>12.741968476944454</v>
      </c>
    </row>
    <row r="61" spans="1:45">
      <c r="A61" s="13" t="s">
        <v>606</v>
      </c>
      <c r="B61" s="13" t="s">
        <v>1</v>
      </c>
      <c r="C61" s="13" t="s">
        <v>430</v>
      </c>
      <c r="D61" s="62">
        <v>3.6431479999999902E-3</v>
      </c>
      <c r="E61" s="27">
        <v>9.31184E-3</v>
      </c>
      <c r="F61" s="27">
        <v>7.8724699999999995E-3</v>
      </c>
      <c r="G61" s="27">
        <v>7.9864199999999993E-3</v>
      </c>
      <c r="H61" s="27">
        <v>1.087344355E-2</v>
      </c>
      <c r="I61" s="62">
        <v>2.774524921E-2</v>
      </c>
      <c r="J61" s="62">
        <v>4.3666679729999998E-2</v>
      </c>
      <c r="K61" s="62">
        <v>5.6280346969999999E-2</v>
      </c>
      <c r="L61" s="62">
        <v>6.2609959879999996E-2</v>
      </c>
      <c r="M61" s="62">
        <v>6.4755173479999997E-2</v>
      </c>
      <c r="N61" s="62">
        <v>6.5067236516999999E-2</v>
      </c>
      <c r="O61" s="13" t="s">
        <v>78</v>
      </c>
      <c r="AA61" s="70"/>
      <c r="AB61" s="71" t="s">
        <v>474</v>
      </c>
      <c r="AC61" s="71"/>
      <c r="AD61" s="71"/>
      <c r="AE61" s="71">
        <f t="shared" si="13"/>
        <v>5.8150000000000048</v>
      </c>
      <c r="AF61" s="71">
        <f t="shared" si="13"/>
        <v>11.63000000000001</v>
      </c>
      <c r="AG61" s="71">
        <f t="shared" si="13"/>
        <v>17.445000000000014</v>
      </c>
      <c r="AH61" s="71"/>
      <c r="AI61" s="71"/>
      <c r="AJ61" s="10"/>
    </row>
    <row r="62" spans="1:45">
      <c r="A62" s="13" t="s">
        <v>606</v>
      </c>
      <c r="B62" s="13" t="s">
        <v>1</v>
      </c>
      <c r="C62" s="13" t="s">
        <v>164</v>
      </c>
      <c r="D62" s="62">
        <v>0.68419311000000005</v>
      </c>
      <c r="E62" s="27">
        <v>1.7172285999999899</v>
      </c>
      <c r="F62" s="27">
        <v>1.72904273</v>
      </c>
      <c r="G62" s="27">
        <v>1.88207843</v>
      </c>
      <c r="H62" s="27">
        <v>1.93289654</v>
      </c>
      <c r="I62" s="62">
        <v>1.9328796699999999</v>
      </c>
      <c r="J62" s="62">
        <v>1.80579603</v>
      </c>
      <c r="K62" s="62">
        <v>1.68377182999999</v>
      </c>
      <c r="L62" s="62">
        <v>1.5614802400000001</v>
      </c>
      <c r="M62" s="62">
        <v>1.45986412</v>
      </c>
      <c r="N62" s="62">
        <v>1.3774773999999901</v>
      </c>
      <c r="O62" s="13" t="s">
        <v>78</v>
      </c>
      <c r="AB62" s="60">
        <v>277.777777777778</v>
      </c>
      <c r="AC62" s="60"/>
      <c r="AD62" s="27"/>
      <c r="AE62" s="27"/>
      <c r="AF62" s="27"/>
      <c r="AG62" s="27"/>
      <c r="AH62" s="60"/>
      <c r="AI62" s="60"/>
      <c r="AJ62" s="60"/>
      <c r="AL62">
        <v>0</v>
      </c>
      <c r="AM62">
        <v>0.42807043055555588</v>
      </c>
      <c r="AN62">
        <v>3.5135470027777806</v>
      </c>
      <c r="AO62">
        <v>7.1366027027777834</v>
      </c>
      <c r="AP62">
        <v>10.106440825000009</v>
      </c>
      <c r="AQ62">
        <v>11.857188855555565</v>
      </c>
      <c r="AR62">
        <v>12.546987077777787</v>
      </c>
      <c r="AS62">
        <v>12.741968476944454</v>
      </c>
    </row>
    <row r="63" spans="1:45">
      <c r="C63" t="s">
        <v>429</v>
      </c>
      <c r="D63">
        <f>SUM(D58:D62)</f>
        <v>0.68783625800000003</v>
      </c>
      <c r="E63" s="27">
        <f>SUM(E58:E62)</f>
        <v>1.7401022108999897</v>
      </c>
      <c r="F63" s="27">
        <f>SUM(F58:F62)</f>
        <v>1.7797352069999999</v>
      </c>
      <c r="G63" s="27">
        <f>SUM(G58:G62)</f>
        <v>1.938786744</v>
      </c>
      <c r="H63" s="27">
        <f>SUM(H58:H62)</f>
        <v>2.0119948077499998</v>
      </c>
      <c r="AA63" t="s">
        <v>78</v>
      </c>
      <c r="AB63" t="s">
        <v>476</v>
      </c>
      <c r="AC63">
        <v>7.9864199999999993E-3</v>
      </c>
      <c r="AD63">
        <v>1.103137549E-2</v>
      </c>
      <c r="AE63">
        <v>2.6983646409999999E-2</v>
      </c>
      <c r="AF63">
        <v>4.3607206669999898E-2</v>
      </c>
      <c r="AG63">
        <v>5.6565372589999899E-2</v>
      </c>
      <c r="AH63">
        <v>6.3323408949999896E-2</v>
      </c>
      <c r="AI63">
        <v>6.7072220000000002E-2</v>
      </c>
      <c r="AJ63">
        <v>6.8421786030000001E-2</v>
      </c>
      <c r="AL63" s="27">
        <v>2.2184500000000016</v>
      </c>
      <c r="AM63" s="27">
        <v>0</v>
      </c>
    </row>
    <row r="64" spans="1:45">
      <c r="C64" s="65"/>
      <c r="D64" s="66">
        <v>2015</v>
      </c>
      <c r="E64" s="66">
        <v>2020</v>
      </c>
      <c r="F64" s="66">
        <v>2025</v>
      </c>
      <c r="G64" s="66">
        <v>2030</v>
      </c>
      <c r="H64" s="66">
        <v>2035</v>
      </c>
      <c r="I64" s="66">
        <v>2040</v>
      </c>
      <c r="J64" s="66">
        <v>2045</v>
      </c>
      <c r="K64" s="66">
        <v>2050</v>
      </c>
      <c r="L64" s="7" t="s">
        <v>76</v>
      </c>
      <c r="AB64" s="62" t="s">
        <v>473</v>
      </c>
      <c r="AC64">
        <v>7.9813805760000009E-3</v>
      </c>
      <c r="AD64">
        <v>1.1358160380000001E-2</v>
      </c>
      <c r="AL64" s="27">
        <v>2.592330555555558</v>
      </c>
      <c r="AM64" s="27">
        <v>0.42807043055555588</v>
      </c>
    </row>
    <row r="65" spans="1:39">
      <c r="B65" s="13" t="s">
        <v>164</v>
      </c>
      <c r="C65" s="8" t="s">
        <v>305</v>
      </c>
      <c r="D65" s="45">
        <f>SUMIF($C$58:$C$62,$B65,G$58:G$62)-D68-J91</f>
        <v>1.5739946128978606</v>
      </c>
      <c r="E65" s="45">
        <f t="shared" ref="E65:J65" si="21">SUMIF($C$58:$C$62,$B65,H$58:H$62)-E68-K91</f>
        <v>1.6087086803380706</v>
      </c>
      <c r="F65" s="45">
        <f t="shared" si="21"/>
        <v>1.5858778952023223</v>
      </c>
      <c r="G65" s="45">
        <f t="shared" si="21"/>
        <v>1.4491304309785507</v>
      </c>
      <c r="H65" s="45">
        <f t="shared" si="21"/>
        <v>1.318901907297078</v>
      </c>
      <c r="I65" s="45">
        <f t="shared" si="21"/>
        <v>1.184827557330993</v>
      </c>
      <c r="J65" s="45">
        <f t="shared" si="21"/>
        <v>1.071760470868766</v>
      </c>
      <c r="K65" s="45">
        <f>SUMIF($C$58:$C$62,$B65,N$58:N$62)-K68-Q91</f>
        <v>0.97592758967020221</v>
      </c>
      <c r="L65" s="9" t="s">
        <v>78</v>
      </c>
      <c r="AB65" s="62" t="s">
        <v>474</v>
      </c>
      <c r="AE65">
        <v>2.0934000000000001E-2</v>
      </c>
      <c r="AF65">
        <v>4.1868000000000002E-2</v>
      </c>
      <c r="AG65">
        <v>6.2801999999999997E-2</v>
      </c>
      <c r="AL65" s="27">
        <v>4.1934666666666693</v>
      </c>
      <c r="AM65" s="27">
        <v>3.5135470027777806</v>
      </c>
    </row>
    <row r="66" spans="1:39">
      <c r="B66" s="13" t="s">
        <v>4</v>
      </c>
      <c r="C66" s="8" t="s">
        <v>14</v>
      </c>
      <c r="D66" s="45">
        <f t="shared" ref="D66:K67" si="22">SUMIF($C$58:$C$62,$B66,G$58:G$62)</f>
        <v>0</v>
      </c>
      <c r="E66" s="45">
        <f t="shared" si="22"/>
        <v>0</v>
      </c>
      <c r="F66" s="45">
        <f t="shared" si="22"/>
        <v>0</v>
      </c>
      <c r="G66" s="45">
        <f t="shared" si="22"/>
        <v>0</v>
      </c>
      <c r="H66" s="45">
        <f t="shared" si="22"/>
        <v>0</v>
      </c>
      <c r="I66" s="45">
        <f t="shared" si="22"/>
        <v>0</v>
      </c>
      <c r="J66" s="45">
        <f t="shared" si="22"/>
        <v>0</v>
      </c>
      <c r="K66" s="45">
        <f t="shared" si="22"/>
        <v>0</v>
      </c>
      <c r="L66" s="9" t="s">
        <v>78</v>
      </c>
      <c r="AL66" s="27">
        <v>4.9930305555555599</v>
      </c>
      <c r="AM66" s="27">
        <v>7.1366027027777834</v>
      </c>
    </row>
    <row r="67" spans="1:39">
      <c r="B67" s="13" t="s">
        <v>162</v>
      </c>
      <c r="C67" s="8" t="s">
        <v>15</v>
      </c>
      <c r="D67" s="45">
        <f t="shared" si="22"/>
        <v>4.8721894000000002E-2</v>
      </c>
      <c r="E67" s="45">
        <f t="shared" si="22"/>
        <v>6.7851706999999997E-2</v>
      </c>
      <c r="F67" s="45">
        <f t="shared" si="22"/>
        <v>7.8846670999999993E-2</v>
      </c>
      <c r="G67" s="45">
        <f t="shared" si="22"/>
        <v>8.5262935499999998E-2</v>
      </c>
      <c r="H67" s="45">
        <f t="shared" si="22"/>
        <v>9.1281553400000007E-2</v>
      </c>
      <c r="I67" s="45">
        <f t="shared" si="22"/>
        <v>0.103024052</v>
      </c>
      <c r="J67" s="45">
        <f t="shared" si="22"/>
        <v>0.115474624</v>
      </c>
      <c r="K67" s="45">
        <f t="shared" si="22"/>
        <v>0.13266827099999901</v>
      </c>
      <c r="L67" s="9" t="s">
        <v>78</v>
      </c>
      <c r="AL67" s="27">
        <v>5.5269888888888934</v>
      </c>
      <c r="AM67" s="27">
        <v>10.106440825000009</v>
      </c>
    </row>
    <row r="68" spans="1:39">
      <c r="B68" s="13" t="s">
        <v>3</v>
      </c>
      <c r="C68" s="8" t="s">
        <v>13</v>
      </c>
      <c r="D68" s="45">
        <f>G62*J85</f>
        <v>7.3232271952741856E-3</v>
      </c>
      <c r="E68" s="45">
        <f t="shared" ref="E68:K68" si="23">H62*K85</f>
        <v>9.6749120165932206E-3</v>
      </c>
      <c r="F68" s="45">
        <f t="shared" si="23"/>
        <v>1.2050834932797081E-2</v>
      </c>
      <c r="G68" s="45">
        <f t="shared" si="23"/>
        <v>1.2323892363101016E-2</v>
      </c>
      <c r="H68" s="45">
        <f t="shared" si="23"/>
        <v>1.4727620832898755E-2</v>
      </c>
      <c r="I68" s="45">
        <f t="shared" si="23"/>
        <v>2.3560612324908425E-2</v>
      </c>
      <c r="J68" s="45">
        <f t="shared" si="23"/>
        <v>3.948950781792103E-2</v>
      </c>
      <c r="K68" s="45">
        <f t="shared" si="23"/>
        <v>5.6104522764253137E-2</v>
      </c>
      <c r="L68" s="9" t="s">
        <v>78</v>
      </c>
      <c r="AC68">
        <v>36000</v>
      </c>
      <c r="AD68" t="s">
        <v>557</v>
      </c>
      <c r="AE68" t="s">
        <v>558</v>
      </c>
      <c r="AL68" s="27">
        <v>5.5344666666666713</v>
      </c>
      <c r="AM68" s="27">
        <v>11.857188855555565</v>
      </c>
    </row>
    <row r="69" spans="1:39">
      <c r="B69" s="13" t="s">
        <v>430</v>
      </c>
      <c r="C69" s="8" t="s">
        <v>17</v>
      </c>
      <c r="D69" s="45">
        <f t="shared" ref="D69:K70" si="24">SUMIF($C$58:$C$62,$B69,G$58:G$62)</f>
        <v>7.9864199999999993E-3</v>
      </c>
      <c r="E69" s="45">
        <f t="shared" si="24"/>
        <v>1.087344355E-2</v>
      </c>
      <c r="F69" s="45">
        <f t="shared" si="24"/>
        <v>2.774524921E-2</v>
      </c>
      <c r="G69" s="45">
        <f t="shared" si="24"/>
        <v>4.3666679729999998E-2</v>
      </c>
      <c r="H69" s="45">
        <f t="shared" si="24"/>
        <v>5.6280346969999999E-2</v>
      </c>
      <c r="I69" s="45">
        <f t="shared" si="24"/>
        <v>6.2609959879999996E-2</v>
      </c>
      <c r="J69" s="45">
        <f t="shared" si="24"/>
        <v>6.4755173479999997E-2</v>
      </c>
      <c r="K69" s="45">
        <f t="shared" si="24"/>
        <v>6.5067236516999999E-2</v>
      </c>
      <c r="L69" s="9" t="s">
        <v>78</v>
      </c>
      <c r="AL69" s="27">
        <v>5.4405611111111165</v>
      </c>
      <c r="AM69" s="27">
        <v>12.546987077777787</v>
      </c>
    </row>
    <row r="70" spans="1:39">
      <c r="B70" s="13" t="s">
        <v>2</v>
      </c>
      <c r="C70" s="70" t="s">
        <v>417</v>
      </c>
      <c r="D70" s="71">
        <f t="shared" si="24"/>
        <v>0</v>
      </c>
      <c r="E70" s="71">
        <f t="shared" si="24"/>
        <v>3.7311720000000003E-4</v>
      </c>
      <c r="F70" s="71">
        <f t="shared" si="24"/>
        <v>4.5479658700000002E-3</v>
      </c>
      <c r="G70" s="71">
        <f t="shared" si="24"/>
        <v>1.303037281E-2</v>
      </c>
      <c r="H70" s="71">
        <f t="shared" si="24"/>
        <v>2.409753115E-2</v>
      </c>
      <c r="I70" s="71">
        <f t="shared" si="24"/>
        <v>3.7668685100000002E-2</v>
      </c>
      <c r="J70" s="71">
        <f t="shared" si="24"/>
        <v>4.5427206649999899E-2</v>
      </c>
      <c r="K70" s="71">
        <f t="shared" si="24"/>
        <v>5.0200330180000002E-2</v>
      </c>
      <c r="L70" s="10" t="s">
        <v>78</v>
      </c>
      <c r="AL70" s="27">
        <v>5.3322638888888934</v>
      </c>
      <c r="AM70" s="27">
        <v>12.741968476944454</v>
      </c>
    </row>
    <row r="71" spans="1:39" s="62" customFormat="1">
      <c r="C71" s="62" t="s">
        <v>473</v>
      </c>
      <c r="D71" s="62">
        <v>1.5617831674393883</v>
      </c>
      <c r="E71" s="62">
        <v>1.5446775596612339</v>
      </c>
      <c r="L71" s="45"/>
    </row>
    <row r="72" spans="1:39" s="62" customFormat="1">
      <c r="C72" s="62" t="s">
        <v>474</v>
      </c>
      <c r="F72" s="62">
        <v>1.6328520000000002</v>
      </c>
      <c r="G72" s="62">
        <v>1.6328520000000002</v>
      </c>
      <c r="H72" s="62">
        <v>1.5281820000000002</v>
      </c>
      <c r="I72" s="62">
        <v>1.4235120000000001</v>
      </c>
      <c r="J72" s="62">
        <v>1.3607100000000001</v>
      </c>
      <c r="K72" s="62">
        <v>1.2979080000000001</v>
      </c>
      <c r="L72" s="45"/>
    </row>
    <row r="73" spans="1:39">
      <c r="C73" s="13" t="s">
        <v>429</v>
      </c>
      <c r="D73" s="13">
        <f>SUM(D65:D70)</f>
        <v>1.6380261540931347</v>
      </c>
      <c r="E73" s="13">
        <f>SUM(E65:E70)</f>
        <v>1.697481860104664</v>
      </c>
      <c r="F73" s="13">
        <f>SUM(F65:F70)</f>
        <v>1.7090686162151194</v>
      </c>
      <c r="G73" s="13">
        <f>SUM(G65:G70)</f>
        <v>1.6034143113816519</v>
      </c>
      <c r="H73" s="13">
        <f>SUM(H65:H70)</f>
        <v>1.5052889596499768</v>
      </c>
    </row>
    <row r="75" spans="1:39">
      <c r="A75" s="1" t="s">
        <v>433</v>
      </c>
    </row>
    <row r="76" spans="1:39">
      <c r="A76" t="s">
        <v>440</v>
      </c>
      <c r="B76" t="s">
        <v>441</v>
      </c>
      <c r="C76" t="s">
        <v>442</v>
      </c>
      <c r="D76" t="s">
        <v>443</v>
      </c>
      <c r="E76" t="s">
        <v>444</v>
      </c>
      <c r="F76" t="s">
        <v>445</v>
      </c>
      <c r="G76" s="13">
        <v>1990</v>
      </c>
      <c r="H76" s="13">
        <v>2005</v>
      </c>
      <c r="I76" s="13">
        <v>2010</v>
      </c>
      <c r="J76" s="13">
        <v>2015</v>
      </c>
      <c r="K76" s="13">
        <v>2020</v>
      </c>
      <c r="L76" s="13">
        <v>2025</v>
      </c>
      <c r="M76" s="13">
        <v>2030</v>
      </c>
      <c r="N76" s="13">
        <v>2035</v>
      </c>
      <c r="O76" s="13">
        <v>2040</v>
      </c>
      <c r="P76" s="13">
        <v>2045</v>
      </c>
      <c r="Q76" s="13">
        <v>2050</v>
      </c>
      <c r="R76" s="13" t="s">
        <v>76</v>
      </c>
    </row>
    <row r="77" spans="1:39">
      <c r="A77" s="13" t="s">
        <v>606</v>
      </c>
      <c r="B77" s="13" t="s">
        <v>1</v>
      </c>
      <c r="C77" s="13" t="s">
        <v>148</v>
      </c>
      <c r="D77" s="13" t="s">
        <v>389</v>
      </c>
      <c r="E77" s="13" t="s">
        <v>148</v>
      </c>
      <c r="F77" s="13" t="s">
        <v>434</v>
      </c>
      <c r="G77" s="62">
        <v>0</v>
      </c>
      <c r="H77" s="62">
        <v>0</v>
      </c>
      <c r="I77" s="62">
        <v>0</v>
      </c>
      <c r="J77" s="62">
        <v>0</v>
      </c>
      <c r="K77" s="63">
        <v>6.6299600000000001E-4</v>
      </c>
      <c r="L77" s="63">
        <v>1.2228180000000001E-3</v>
      </c>
      <c r="M77" s="63">
        <v>1.5176009999999999E-3</v>
      </c>
      <c r="N77" s="63">
        <v>2.3775179999999999E-3</v>
      </c>
      <c r="O77" s="62">
        <v>5.2601130000000003E-3</v>
      </c>
      <c r="P77" s="62">
        <v>1.1050193E-2</v>
      </c>
      <c r="Q77" s="62">
        <v>1.8001463999999998E-2</v>
      </c>
      <c r="R77" s="13" t="s">
        <v>78</v>
      </c>
    </row>
    <row r="78" spans="1:39">
      <c r="A78" s="13" t="s">
        <v>606</v>
      </c>
      <c r="B78" s="13" t="s">
        <v>1</v>
      </c>
      <c r="C78" s="13" t="s">
        <v>148</v>
      </c>
      <c r="D78" s="13" t="s">
        <v>389</v>
      </c>
      <c r="E78" s="13" t="s">
        <v>148</v>
      </c>
      <c r="F78" s="13" t="s">
        <v>435</v>
      </c>
      <c r="G78" s="62">
        <v>0</v>
      </c>
      <c r="H78" s="63">
        <v>4.6047900000000002E-4</v>
      </c>
      <c r="I78" s="62">
        <v>1.39387E-2</v>
      </c>
      <c r="J78" s="62">
        <v>1.7496399999999999E-2</v>
      </c>
      <c r="K78" s="62">
        <v>2.092136E-2</v>
      </c>
      <c r="L78" s="62">
        <v>2.293309E-2</v>
      </c>
      <c r="M78" s="62">
        <v>2.2893719999999999E-2</v>
      </c>
      <c r="N78" s="62">
        <v>2.3290140000000001E-2</v>
      </c>
      <c r="O78" s="62">
        <v>2.616953E-2</v>
      </c>
      <c r="P78" s="62">
        <v>3.044148E-2</v>
      </c>
      <c r="Q78" s="62">
        <v>3.412403E-2</v>
      </c>
      <c r="R78" s="13" t="s">
        <v>78</v>
      </c>
    </row>
    <row r="79" spans="1:39">
      <c r="A79" s="13" t="s">
        <v>606</v>
      </c>
      <c r="B79" s="13" t="s">
        <v>1</v>
      </c>
      <c r="C79" s="13" t="s">
        <v>148</v>
      </c>
      <c r="D79" s="13" t="s">
        <v>389</v>
      </c>
      <c r="E79" s="13" t="s">
        <v>148</v>
      </c>
      <c r="F79" s="13" t="s">
        <v>436</v>
      </c>
      <c r="G79" s="62">
        <v>0</v>
      </c>
      <c r="H79" s="62">
        <v>0</v>
      </c>
      <c r="I79" s="62">
        <v>0</v>
      </c>
      <c r="J79" s="62">
        <v>0</v>
      </c>
      <c r="K79" s="62">
        <v>0</v>
      </c>
      <c r="L79" s="63">
        <v>3.4114499999999999E-3</v>
      </c>
      <c r="M79" s="63">
        <v>5.0957399999999996E-3</v>
      </c>
      <c r="N79" s="63">
        <v>9.8361299999999898E-3</v>
      </c>
      <c r="O79" s="62">
        <v>2.5109139999999999E-2</v>
      </c>
      <c r="P79" s="62">
        <v>5.487334E-2</v>
      </c>
      <c r="Q79" s="62">
        <v>8.9877729999999906E-2</v>
      </c>
      <c r="R79" s="13" t="s">
        <v>78</v>
      </c>
    </row>
    <row r="80" spans="1:39">
      <c r="A80" s="13" t="s">
        <v>606</v>
      </c>
      <c r="B80" s="13" t="s">
        <v>1</v>
      </c>
      <c r="C80" s="13" t="s">
        <v>148</v>
      </c>
      <c r="D80" s="13" t="s">
        <v>389</v>
      </c>
      <c r="E80" s="13" t="s">
        <v>148</v>
      </c>
      <c r="F80" s="13" t="s">
        <v>437</v>
      </c>
      <c r="G80" s="62">
        <v>0</v>
      </c>
      <c r="H80" s="62">
        <v>0</v>
      </c>
      <c r="I80" s="62">
        <v>0</v>
      </c>
      <c r="J80" s="62">
        <v>0</v>
      </c>
      <c r="K80" s="63">
        <v>8.8233599999999995E-4</v>
      </c>
      <c r="L80" s="62">
        <v>2.0580059999999998E-3</v>
      </c>
      <c r="M80" s="63">
        <v>2.8407199999999902E-3</v>
      </c>
      <c r="N80" s="62">
        <v>5.3347300000000002E-3</v>
      </c>
      <c r="O80" s="62">
        <v>1.3070026E-2</v>
      </c>
      <c r="P80" s="62">
        <v>2.6867631999999999E-2</v>
      </c>
      <c r="Q80" s="62">
        <v>4.1881557999999999E-2</v>
      </c>
      <c r="R80" s="13" t="s">
        <v>78</v>
      </c>
    </row>
    <row r="81" spans="1:34">
      <c r="A81" s="13" t="s">
        <v>606</v>
      </c>
      <c r="B81" s="13" t="s">
        <v>1</v>
      </c>
      <c r="C81" s="13" t="s">
        <v>148</v>
      </c>
      <c r="D81" s="13" t="s">
        <v>394</v>
      </c>
      <c r="E81" s="13" t="s">
        <v>148</v>
      </c>
      <c r="F81" s="13" t="s">
        <v>394</v>
      </c>
      <c r="G81" s="62">
        <v>0</v>
      </c>
      <c r="H81" s="62">
        <v>0</v>
      </c>
      <c r="I81" s="62">
        <v>0</v>
      </c>
      <c r="J81" s="62">
        <v>0</v>
      </c>
      <c r="K81" s="62">
        <v>0</v>
      </c>
      <c r="L81" s="63">
        <v>1.39163E-3</v>
      </c>
      <c r="M81" s="63">
        <v>2.343609E-3</v>
      </c>
      <c r="N81" s="63">
        <v>5.4382909999999996E-3</v>
      </c>
      <c r="O81" s="62">
        <v>1.7591401999999999E-2</v>
      </c>
      <c r="P81" s="62">
        <v>4.5406339999999899E-2</v>
      </c>
      <c r="Q81" s="62">
        <v>8.2984573000000006E-2</v>
      </c>
      <c r="R81" s="13" t="s">
        <v>78</v>
      </c>
    </row>
    <row r="82" spans="1:34">
      <c r="A82" s="13" t="s">
        <v>606</v>
      </c>
      <c r="B82" s="13" t="s">
        <v>1</v>
      </c>
      <c r="C82" s="13" t="s">
        <v>148</v>
      </c>
      <c r="D82" s="13" t="s">
        <v>438</v>
      </c>
      <c r="E82" s="13" t="s">
        <v>148</v>
      </c>
      <c r="F82" s="13" t="s">
        <v>438</v>
      </c>
      <c r="G82" s="62">
        <v>0</v>
      </c>
      <c r="H82" s="62">
        <v>0</v>
      </c>
      <c r="I82" s="62">
        <v>0</v>
      </c>
      <c r="J82" s="62">
        <v>0</v>
      </c>
      <c r="K82" s="62">
        <v>0</v>
      </c>
      <c r="L82" s="63">
        <v>1.9298500000000001E-3</v>
      </c>
      <c r="M82" s="63">
        <v>3.31818E-3</v>
      </c>
      <c r="N82" s="63">
        <v>7.8563899999999996E-3</v>
      </c>
      <c r="O82" s="62">
        <v>2.144335E-2</v>
      </c>
      <c r="P82" s="62">
        <v>5.1997649999999999E-2</v>
      </c>
      <c r="Q82" s="62">
        <v>9.0761049999999996E-2</v>
      </c>
      <c r="R82" s="13" t="s">
        <v>78</v>
      </c>
    </row>
    <row r="83" spans="1:34">
      <c r="A83" s="13" t="s">
        <v>606</v>
      </c>
      <c r="B83" s="13" t="s">
        <v>1</v>
      </c>
      <c r="C83" s="13" t="s">
        <v>148</v>
      </c>
      <c r="D83" s="13" t="s">
        <v>439</v>
      </c>
      <c r="E83" s="13" t="s">
        <v>148</v>
      </c>
      <c r="F83" s="13" t="s">
        <v>439</v>
      </c>
      <c r="G83" s="62">
        <v>2.0943399999999999</v>
      </c>
      <c r="H83" s="62">
        <v>4.1649099999999999</v>
      </c>
      <c r="I83" s="62">
        <v>4.1816199999999997</v>
      </c>
      <c r="J83" s="62">
        <v>4.4790999999999999</v>
      </c>
      <c r="K83" s="62">
        <v>4.4660279999999997</v>
      </c>
      <c r="L83" s="62">
        <v>4.7187789999999996</v>
      </c>
      <c r="M83" s="62">
        <v>4.7018479999999903</v>
      </c>
      <c r="N83" s="62">
        <v>4.6148318000000002</v>
      </c>
      <c r="O83" s="62">
        <v>4.5046822000000004</v>
      </c>
      <c r="P83" s="62">
        <v>4.3350777000000003</v>
      </c>
      <c r="Q83" s="62">
        <v>4.1571059999999997</v>
      </c>
      <c r="R83" s="13" t="s">
        <v>78</v>
      </c>
    </row>
    <row r="84" spans="1:34">
      <c r="F84" t="s">
        <v>429</v>
      </c>
      <c r="G84">
        <f>SUM(G77:G83)</f>
        <v>2.0943399999999999</v>
      </c>
      <c r="H84" s="13">
        <f t="shared" ref="H84:Q84" si="25">SUM(H77:H83)</f>
        <v>4.1653704789999999</v>
      </c>
      <c r="I84" s="13">
        <f t="shared" si="25"/>
        <v>4.1955586999999994</v>
      </c>
      <c r="J84" s="13">
        <f t="shared" si="25"/>
        <v>4.4965963999999996</v>
      </c>
      <c r="K84" s="13">
        <f t="shared" si="25"/>
        <v>4.4884946919999997</v>
      </c>
      <c r="L84" s="13">
        <f t="shared" si="25"/>
        <v>4.7517258439999992</v>
      </c>
      <c r="M84" s="13">
        <f t="shared" si="25"/>
        <v>4.7398575699999901</v>
      </c>
      <c r="N84" s="13">
        <f t="shared" si="25"/>
        <v>4.6689649989999999</v>
      </c>
      <c r="O84" s="13">
        <f t="shared" si="25"/>
        <v>4.6133257610000005</v>
      </c>
      <c r="P84" s="13">
        <f t="shared" si="25"/>
        <v>4.5557143350000002</v>
      </c>
      <c r="Q84" s="13">
        <f t="shared" si="25"/>
        <v>4.5147364049999998</v>
      </c>
    </row>
    <row r="85" spans="1:34">
      <c r="F85" t="s">
        <v>446</v>
      </c>
      <c r="G85">
        <f>SUM(G77:G80)/G84</f>
        <v>0</v>
      </c>
      <c r="H85" s="13">
        <f t="shared" ref="H85:Q85" si="26">SUM(H77:H80)/H84</f>
        <v>1.1054935024904421E-4</v>
      </c>
      <c r="I85" s="13">
        <f t="shared" si="26"/>
        <v>3.3222512176983728E-3</v>
      </c>
      <c r="J85" s="13">
        <f t="shared" si="26"/>
        <v>3.8910318924776084E-3</v>
      </c>
      <c r="K85" s="13">
        <f t="shared" si="26"/>
        <v>5.0053956931358674E-3</v>
      </c>
      <c r="L85" s="13">
        <f t="shared" si="26"/>
        <v>6.2346534654157135E-3</v>
      </c>
      <c r="M85" s="13">
        <f t="shared" si="26"/>
        <v>6.8246314414042736E-3</v>
      </c>
      <c r="N85" s="13">
        <f t="shared" si="26"/>
        <v>8.7468032012976739E-3</v>
      </c>
      <c r="O85" s="13">
        <f t="shared" si="26"/>
        <v>1.5088639434148987E-2</v>
      </c>
      <c r="P85" s="13">
        <f t="shared" si="26"/>
        <v>2.7050125608896414E-2</v>
      </c>
      <c r="Q85" s="13">
        <f t="shared" si="26"/>
        <v>4.0729904363043301E-2</v>
      </c>
    </row>
    <row r="87" spans="1:34">
      <c r="A87" s="1" t="s">
        <v>452</v>
      </c>
    </row>
    <row r="88" spans="1:34">
      <c r="A88" t="s">
        <v>440</v>
      </c>
      <c r="B88" t="s">
        <v>441</v>
      </c>
      <c r="C88" t="s">
        <v>442</v>
      </c>
      <c r="D88" t="s">
        <v>445</v>
      </c>
      <c r="E88" t="s">
        <v>450</v>
      </c>
      <c r="F88" t="s">
        <v>451</v>
      </c>
      <c r="G88" s="13">
        <v>1990</v>
      </c>
      <c r="H88" s="13">
        <v>2005</v>
      </c>
      <c r="I88" s="13">
        <v>2010</v>
      </c>
      <c r="J88" s="13">
        <v>2015</v>
      </c>
      <c r="K88" s="13">
        <v>2020</v>
      </c>
      <c r="L88" s="13">
        <v>2025</v>
      </c>
      <c r="M88" s="13">
        <v>2030</v>
      </c>
      <c r="N88" s="13">
        <v>2035</v>
      </c>
      <c r="O88" s="13">
        <v>2040</v>
      </c>
      <c r="P88" s="13">
        <v>2045</v>
      </c>
      <c r="Q88" s="13">
        <v>2050</v>
      </c>
      <c r="R88" s="13" t="s">
        <v>76</v>
      </c>
      <c r="AA88" t="s">
        <v>561</v>
      </c>
      <c r="AB88">
        <v>2020</v>
      </c>
      <c r="AC88">
        <v>2025</v>
      </c>
      <c r="AD88">
        <v>2030</v>
      </c>
      <c r="AE88" s="62">
        <v>2035</v>
      </c>
      <c r="AF88" s="62">
        <v>2040</v>
      </c>
      <c r="AG88" s="62">
        <v>2045</v>
      </c>
      <c r="AH88" s="62">
        <v>2050</v>
      </c>
    </row>
    <row r="89" spans="1:34">
      <c r="A89" s="13" t="s">
        <v>606</v>
      </c>
      <c r="B89" s="13" t="s">
        <v>1</v>
      </c>
      <c r="C89" s="13" t="s">
        <v>154</v>
      </c>
      <c r="D89" s="13" t="s">
        <v>447</v>
      </c>
      <c r="E89" s="13" t="s">
        <v>164</v>
      </c>
      <c r="F89" s="13" t="s">
        <v>448</v>
      </c>
      <c r="G89" s="62">
        <v>7.8068599999999997E-3</v>
      </c>
      <c r="H89" s="62">
        <v>0.14140800000000001</v>
      </c>
      <c r="I89" s="62">
        <v>0.16677700000000001</v>
      </c>
      <c r="J89" s="62">
        <v>0.215944</v>
      </c>
      <c r="K89" s="62">
        <v>0.22608</v>
      </c>
      <c r="L89" s="62">
        <v>0.24329799999999999</v>
      </c>
      <c r="M89" s="62">
        <v>0.24890399999999999</v>
      </c>
      <c r="N89" s="62">
        <v>0.25092399999999998</v>
      </c>
      <c r="O89" s="62">
        <v>0.25099300000000002</v>
      </c>
      <c r="P89" s="62">
        <v>0.24365500000000001</v>
      </c>
      <c r="Q89" s="62">
        <v>0.235814</v>
      </c>
      <c r="R89" s="13" t="s">
        <v>78</v>
      </c>
      <c r="AB89" s="84">
        <v>10906</v>
      </c>
      <c r="AC89">
        <v>200000</v>
      </c>
      <c r="AD89">
        <v>880000</v>
      </c>
      <c r="AH89">
        <v>5260000</v>
      </c>
    </row>
    <row r="90" spans="1:34">
      <c r="A90" s="13" t="s">
        <v>606</v>
      </c>
      <c r="B90" s="13" t="s">
        <v>1</v>
      </c>
      <c r="C90" s="13" t="s">
        <v>161</v>
      </c>
      <c r="D90" s="13" t="s">
        <v>447</v>
      </c>
      <c r="E90" s="13" t="s">
        <v>164</v>
      </c>
      <c r="F90" s="13" t="s">
        <v>449</v>
      </c>
      <c r="G90" s="62">
        <v>6.6034099999999998E-2</v>
      </c>
      <c r="H90" s="62">
        <v>0.41629699999999997</v>
      </c>
      <c r="I90" s="62">
        <v>0.35850700000000002</v>
      </c>
      <c r="J90" s="62">
        <v>0.33729500000000001</v>
      </c>
      <c r="K90" s="62">
        <v>0.35245599999999999</v>
      </c>
      <c r="L90" s="62">
        <v>0.37283300000000003</v>
      </c>
      <c r="M90" s="62">
        <v>0.38450099999999998</v>
      </c>
      <c r="N90" s="62">
        <v>0.39315099999999997</v>
      </c>
      <c r="O90" s="62">
        <v>0.39850799999999997</v>
      </c>
      <c r="P90" s="62">
        <v>0.39760899999999999</v>
      </c>
      <c r="Q90" s="62">
        <v>0.399621</v>
      </c>
      <c r="R90" s="13" t="s">
        <v>78</v>
      </c>
      <c r="AB90" t="s">
        <v>562</v>
      </c>
      <c r="AC90" s="62" t="s">
        <v>562</v>
      </c>
      <c r="AD90" t="s">
        <v>563</v>
      </c>
      <c r="AH90" s="62" t="s">
        <v>563</v>
      </c>
    </row>
    <row r="91" spans="1:34">
      <c r="A91" s="13" t="s">
        <v>453</v>
      </c>
      <c r="B91" s="13"/>
      <c r="C91" s="13">
        <v>0.54363591487018303</v>
      </c>
      <c r="G91">
        <f>SUM(G89:G90)*$C$91</f>
        <v>4.0142597844492589E-2</v>
      </c>
      <c r="H91" s="13">
        <f t="shared" ref="H91:Q91" si="27">SUM(H89:H90)*$C$91</f>
        <v>0.30318846790267545</v>
      </c>
      <c r="I91" s="13">
        <f t="shared" si="27"/>
        <v>0.28556324790666926</v>
      </c>
      <c r="J91" s="13">
        <f t="shared" si="27"/>
        <v>0.30076058990686522</v>
      </c>
      <c r="K91" s="13">
        <f t="shared" si="27"/>
        <v>0.31451294764533616</v>
      </c>
      <c r="L91" s="13">
        <f t="shared" si="27"/>
        <v>0.33495093986488073</v>
      </c>
      <c r="M91" s="13">
        <f t="shared" si="27"/>
        <v>0.34434170665834829</v>
      </c>
      <c r="N91" s="13">
        <f t="shared" si="27"/>
        <v>0.35014230187001311</v>
      </c>
      <c r="O91" s="13">
        <f t="shared" si="27"/>
        <v>0.35309207034409873</v>
      </c>
      <c r="P91" s="13">
        <f t="shared" si="27"/>
        <v>0.34861414131331309</v>
      </c>
      <c r="Q91" s="13">
        <f t="shared" si="27"/>
        <v>0.34544528756553472</v>
      </c>
    </row>
    <row r="95" spans="1:34">
      <c r="A95" s="1" t="s">
        <v>533</v>
      </c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</row>
    <row r="96" spans="1:34">
      <c r="A96" s="1" t="s">
        <v>534</v>
      </c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</row>
    <row r="97" spans="1:33">
      <c r="A97" s="1" t="s">
        <v>537</v>
      </c>
      <c r="B97" s="62"/>
      <c r="C97" s="62"/>
      <c r="D97" s="62"/>
      <c r="E97" s="62"/>
      <c r="F97" s="62"/>
      <c r="G97" s="62">
        <v>1990</v>
      </c>
      <c r="H97" s="62">
        <v>2005</v>
      </c>
      <c r="I97" s="62">
        <v>2010</v>
      </c>
      <c r="J97" s="62">
        <v>2015</v>
      </c>
      <c r="K97" s="62">
        <v>2020</v>
      </c>
      <c r="L97" s="62">
        <v>2025</v>
      </c>
      <c r="M97" s="62">
        <v>2030</v>
      </c>
      <c r="N97" s="62">
        <v>2035</v>
      </c>
      <c r="O97" s="62">
        <v>2040</v>
      </c>
      <c r="P97" s="62">
        <v>2045</v>
      </c>
      <c r="Q97" s="62">
        <v>2050</v>
      </c>
      <c r="R97" s="62"/>
    </row>
    <row r="98" spans="1:33">
      <c r="A98" s="62" t="s">
        <v>606</v>
      </c>
      <c r="B98" s="62" t="s">
        <v>1</v>
      </c>
      <c r="C98" s="62" t="s">
        <v>140</v>
      </c>
      <c r="D98" s="62" t="s">
        <v>59</v>
      </c>
      <c r="E98" s="62" t="s">
        <v>329</v>
      </c>
      <c r="F98" s="62" t="s">
        <v>5</v>
      </c>
      <c r="G98" s="62">
        <v>0</v>
      </c>
      <c r="H98" s="62">
        <v>0</v>
      </c>
      <c r="I98" s="62">
        <v>0</v>
      </c>
      <c r="J98" s="62">
        <v>0</v>
      </c>
      <c r="K98" s="63">
        <v>2.3149499999999999E-5</v>
      </c>
      <c r="L98" s="63">
        <v>1.8682599999999999E-4</v>
      </c>
      <c r="M98" s="63">
        <v>4.7868900000000002E-4</v>
      </c>
      <c r="N98" s="62">
        <v>1.25924E-3</v>
      </c>
      <c r="O98" s="62">
        <v>2.4834499999999999E-3</v>
      </c>
      <c r="P98" s="62">
        <v>3.5561500000000001E-3</v>
      </c>
      <c r="Q98" s="62">
        <v>4.8146500000000002E-3</v>
      </c>
      <c r="R98" s="62" t="s">
        <v>542</v>
      </c>
    </row>
    <row r="99" spans="1:33">
      <c r="A99" s="62" t="s">
        <v>606</v>
      </c>
      <c r="B99" s="62" t="s">
        <v>1</v>
      </c>
      <c r="C99" s="62" t="s">
        <v>140</v>
      </c>
      <c r="D99" s="62" t="s">
        <v>297</v>
      </c>
      <c r="E99" s="62" t="s">
        <v>329</v>
      </c>
      <c r="F99" s="62" t="s">
        <v>535</v>
      </c>
      <c r="G99" s="62">
        <v>0</v>
      </c>
      <c r="H99" s="62">
        <v>0</v>
      </c>
      <c r="I99" s="62">
        <v>0</v>
      </c>
      <c r="J99" s="62">
        <v>0</v>
      </c>
      <c r="K99" s="63">
        <v>4.1111900000000002E-5</v>
      </c>
      <c r="L99" s="63">
        <v>3.89556E-4</v>
      </c>
      <c r="M99" s="62">
        <v>1.3389400000000001E-3</v>
      </c>
      <c r="N99" s="62">
        <v>3.9437099999999996E-3</v>
      </c>
      <c r="O99" s="62">
        <v>1.04545E-2</v>
      </c>
      <c r="P99" s="62">
        <v>1.7443400000000001E-2</v>
      </c>
      <c r="Q99" s="62">
        <v>2.7886999999999999E-2</v>
      </c>
      <c r="R99" s="62"/>
    </row>
    <row r="100" spans="1:33">
      <c r="A100" s="62" t="s">
        <v>606</v>
      </c>
      <c r="B100" s="62" t="s">
        <v>1</v>
      </c>
      <c r="C100" s="62" t="s">
        <v>140</v>
      </c>
      <c r="D100" s="62" t="s">
        <v>301</v>
      </c>
      <c r="E100" s="62" t="s">
        <v>329</v>
      </c>
      <c r="F100" s="62" t="s">
        <v>536</v>
      </c>
      <c r="G100" s="62">
        <v>0</v>
      </c>
      <c r="H100" s="62">
        <v>0</v>
      </c>
      <c r="I100" s="62">
        <v>0</v>
      </c>
      <c r="J100" s="62">
        <v>0</v>
      </c>
      <c r="K100" s="63">
        <v>5.2411999999999999E-5</v>
      </c>
      <c r="L100" s="63">
        <v>4.5742200000000003E-4</v>
      </c>
      <c r="M100" s="62">
        <v>1.4596699999999999E-3</v>
      </c>
      <c r="N100" s="62">
        <v>3.9495700000000003E-3</v>
      </c>
      <c r="O100" s="62">
        <v>9.5875000000000005E-3</v>
      </c>
      <c r="P100" s="62">
        <v>1.44435E-2</v>
      </c>
      <c r="Q100" s="62">
        <v>2.12988E-2</v>
      </c>
      <c r="R100" s="62"/>
    </row>
    <row r="101" spans="1:33">
      <c r="A101" s="62" t="s">
        <v>606</v>
      </c>
      <c r="B101" s="62" t="s">
        <v>1</v>
      </c>
      <c r="C101" s="62" t="s">
        <v>141</v>
      </c>
      <c r="D101" s="62" t="s">
        <v>59</v>
      </c>
      <c r="E101" s="62" t="s">
        <v>329</v>
      </c>
      <c r="F101" s="62" t="s">
        <v>430</v>
      </c>
      <c r="G101" s="62">
        <v>0</v>
      </c>
      <c r="H101" s="62">
        <v>0</v>
      </c>
      <c r="I101" s="62">
        <v>0</v>
      </c>
      <c r="J101" s="62">
        <v>0</v>
      </c>
      <c r="K101" s="63">
        <v>5.18656E-5</v>
      </c>
      <c r="L101" s="63">
        <v>4.1900999999999999E-4</v>
      </c>
      <c r="M101" s="62">
        <v>1.1123299999999999E-3</v>
      </c>
      <c r="N101" s="62">
        <v>2.8914700000000002E-3</v>
      </c>
      <c r="O101" s="62">
        <v>6.0229200000000002E-3</v>
      </c>
      <c r="P101" s="62">
        <v>8.8307500000000001E-3</v>
      </c>
      <c r="Q101" s="62">
        <v>1.22662E-2</v>
      </c>
      <c r="R101" s="62"/>
    </row>
    <row r="102" spans="1:33">
      <c r="A102" s="62"/>
      <c r="B102" s="62"/>
      <c r="C102" s="62"/>
      <c r="D102" s="62"/>
      <c r="E102" s="62"/>
      <c r="F102" s="62" t="s">
        <v>538</v>
      </c>
      <c r="G102" s="62">
        <f>SUM(G98:G101)</f>
        <v>0</v>
      </c>
      <c r="H102" s="62">
        <f t="shared" ref="H102:Q102" si="28">SUM(H98:H101)</f>
        <v>0</v>
      </c>
      <c r="I102" s="62">
        <f t="shared" si="28"/>
        <v>0</v>
      </c>
      <c r="J102" s="62">
        <f t="shared" si="28"/>
        <v>0</v>
      </c>
      <c r="K102" s="62">
        <f t="shared" si="28"/>
        <v>1.6853899999999999E-4</v>
      </c>
      <c r="L102" s="62">
        <f t="shared" si="28"/>
        <v>1.452814E-3</v>
      </c>
      <c r="M102" s="62">
        <f t="shared" si="28"/>
        <v>4.3896289999999999E-3</v>
      </c>
      <c r="N102" s="62">
        <f t="shared" si="28"/>
        <v>1.2043990000000001E-2</v>
      </c>
      <c r="O102" s="62">
        <f t="shared" si="28"/>
        <v>2.8548370000000003E-2</v>
      </c>
      <c r="P102" s="62">
        <f t="shared" si="28"/>
        <v>4.4273800000000002E-2</v>
      </c>
      <c r="Q102" s="62">
        <f t="shared" si="28"/>
        <v>6.6266649999999996E-2</v>
      </c>
      <c r="R102" s="62"/>
    </row>
    <row r="103" spans="1:3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</row>
    <row r="104" spans="1:33">
      <c r="A104" s="1" t="s">
        <v>539</v>
      </c>
      <c r="B104" s="62"/>
      <c r="C104" s="62"/>
      <c r="D104" s="62"/>
      <c r="E104" s="62"/>
      <c r="G104" s="62">
        <v>1990</v>
      </c>
      <c r="H104" s="62">
        <v>2005</v>
      </c>
      <c r="I104" s="62">
        <v>2010</v>
      </c>
      <c r="J104" s="62">
        <v>2015</v>
      </c>
      <c r="K104" s="62">
        <v>2020</v>
      </c>
      <c r="L104" s="62">
        <v>2025</v>
      </c>
      <c r="M104" s="62">
        <v>2030</v>
      </c>
      <c r="N104" s="62">
        <v>2035</v>
      </c>
      <c r="O104" s="62">
        <v>2040</v>
      </c>
      <c r="P104" s="62">
        <v>2045</v>
      </c>
      <c r="Q104" s="62">
        <v>2050</v>
      </c>
      <c r="R104" s="62"/>
      <c r="AD104" s="63"/>
      <c r="AE104" s="63"/>
    </row>
    <row r="105" spans="1:33">
      <c r="A105" s="62" t="s">
        <v>587</v>
      </c>
      <c r="B105" s="62" t="s">
        <v>1</v>
      </c>
      <c r="C105" s="62" t="s">
        <v>140</v>
      </c>
      <c r="D105" s="62" t="s">
        <v>57</v>
      </c>
      <c r="E105" s="62" t="s">
        <v>326</v>
      </c>
      <c r="F105" s="62">
        <v>0</v>
      </c>
      <c r="G105">
        <v>0</v>
      </c>
      <c r="H105">
        <v>0</v>
      </c>
      <c r="I105" s="62">
        <v>0</v>
      </c>
      <c r="J105" s="62">
        <v>0</v>
      </c>
      <c r="K105" s="63">
        <v>1.15118E-4</v>
      </c>
      <c r="L105" s="63">
        <v>8.9940400000000002E-4</v>
      </c>
      <c r="M105" s="63">
        <v>2.6269800000000001E-3</v>
      </c>
      <c r="N105" s="62">
        <v>6.54186E-3</v>
      </c>
      <c r="O105" s="63">
        <v>1.38417E-2</v>
      </c>
      <c r="P105" s="63">
        <v>1.8275599999999999E-2</v>
      </c>
      <c r="Q105" s="63">
        <v>2.2898999999999999E-2</v>
      </c>
      <c r="R105" s="62" t="s">
        <v>542</v>
      </c>
      <c r="S105" t="s">
        <v>606</v>
      </c>
      <c r="T105" t="s">
        <v>1</v>
      </c>
      <c r="U105" t="s">
        <v>140</v>
      </c>
      <c r="V105" t="s">
        <v>57</v>
      </c>
      <c r="W105" t="s">
        <v>326</v>
      </c>
      <c r="X105">
        <v>0</v>
      </c>
      <c r="Y105">
        <v>0</v>
      </c>
      <c r="Z105" s="63">
        <v>1.15118E-4</v>
      </c>
      <c r="AA105" s="63">
        <v>8.9940400000000002E-4</v>
      </c>
      <c r="AB105" s="63">
        <v>2.6269800000000001E-3</v>
      </c>
      <c r="AC105">
        <v>6.54186E-3</v>
      </c>
      <c r="AD105" s="63">
        <v>1.38417E-2</v>
      </c>
      <c r="AE105" s="63">
        <v>1.8275599999999999E-2</v>
      </c>
      <c r="AF105" s="63">
        <v>2.2898999999999999E-2</v>
      </c>
      <c r="AG105" s="63"/>
    </row>
    <row r="106" spans="1:33">
      <c r="A106" s="62" t="s">
        <v>587</v>
      </c>
      <c r="B106" s="62" t="s">
        <v>1</v>
      </c>
      <c r="C106" s="62" t="s">
        <v>140</v>
      </c>
      <c r="D106" s="62" t="s">
        <v>59</v>
      </c>
      <c r="E106" s="62" t="s">
        <v>329</v>
      </c>
      <c r="F106" s="62">
        <v>0</v>
      </c>
      <c r="G106">
        <v>0</v>
      </c>
      <c r="H106">
        <v>0</v>
      </c>
      <c r="I106" s="63">
        <v>0</v>
      </c>
      <c r="J106" s="62">
        <v>0</v>
      </c>
      <c r="K106" s="63">
        <v>1.44684E-5</v>
      </c>
      <c r="L106" s="63">
        <v>1.1863500000000001E-4</v>
      </c>
      <c r="M106" s="63">
        <v>3.0875400000000001E-4</v>
      </c>
      <c r="N106" s="63">
        <v>8.2480499999999996E-4</v>
      </c>
      <c r="O106" s="63">
        <v>1.65149E-3</v>
      </c>
      <c r="P106" s="62">
        <v>2.4039500000000002E-3</v>
      </c>
      <c r="Q106" s="62">
        <v>3.30285E-3</v>
      </c>
      <c r="R106" s="62"/>
      <c r="S106" t="s">
        <v>606</v>
      </c>
      <c r="T106" t="s">
        <v>1</v>
      </c>
      <c r="U106" t="s">
        <v>140</v>
      </c>
      <c r="V106" t="s">
        <v>59</v>
      </c>
      <c r="W106" t="s">
        <v>329</v>
      </c>
      <c r="X106">
        <v>0</v>
      </c>
      <c r="Y106">
        <v>0</v>
      </c>
      <c r="Z106" s="63">
        <v>1.44684E-5</v>
      </c>
      <c r="AA106" s="63">
        <v>1.1863500000000001E-4</v>
      </c>
      <c r="AB106" s="63">
        <v>3.0875400000000001E-4</v>
      </c>
      <c r="AC106" s="63">
        <v>8.2480499999999996E-4</v>
      </c>
      <c r="AD106" s="63">
        <v>1.65149E-3</v>
      </c>
      <c r="AE106">
        <v>2.4039500000000002E-3</v>
      </c>
      <c r="AF106">
        <v>3.30285E-3</v>
      </c>
    </row>
    <row r="107" spans="1:33">
      <c r="A107" s="62" t="s">
        <v>587</v>
      </c>
      <c r="B107" s="62" t="s">
        <v>1</v>
      </c>
      <c r="C107" s="62" t="s">
        <v>140</v>
      </c>
      <c r="D107" s="62" t="s">
        <v>60</v>
      </c>
      <c r="E107" s="62" t="s">
        <v>330</v>
      </c>
      <c r="F107" s="62">
        <v>0</v>
      </c>
      <c r="G107">
        <v>0</v>
      </c>
      <c r="H107">
        <v>0</v>
      </c>
      <c r="I107" s="63">
        <v>0</v>
      </c>
      <c r="J107" s="63">
        <v>0</v>
      </c>
      <c r="K107" s="63">
        <v>7.0976199999999996E-4</v>
      </c>
      <c r="L107" s="63">
        <v>5.2495800000000002E-3</v>
      </c>
      <c r="M107" s="62">
        <v>1.50645E-2</v>
      </c>
      <c r="N107" s="62">
        <v>3.6239100000000003E-2</v>
      </c>
      <c r="O107" s="63">
        <v>6.1225700000000001E-2</v>
      </c>
      <c r="P107" s="63">
        <v>8.3929599999999993E-2</v>
      </c>
      <c r="Q107" s="62">
        <v>0.102883</v>
      </c>
      <c r="R107" s="62"/>
      <c r="S107" t="s">
        <v>606</v>
      </c>
      <c r="T107" t="s">
        <v>1</v>
      </c>
      <c r="U107" t="s">
        <v>140</v>
      </c>
      <c r="V107" t="s">
        <v>60</v>
      </c>
      <c r="W107" t="s">
        <v>330</v>
      </c>
      <c r="X107">
        <v>0</v>
      </c>
      <c r="Y107">
        <v>0</v>
      </c>
      <c r="Z107" s="63">
        <v>7.0976199999999996E-4</v>
      </c>
      <c r="AA107" s="63">
        <v>5.2495800000000002E-3</v>
      </c>
      <c r="AB107">
        <v>1.50645E-2</v>
      </c>
      <c r="AC107">
        <v>3.6239100000000003E-2</v>
      </c>
      <c r="AD107" s="63">
        <v>6.1225700000000001E-2</v>
      </c>
      <c r="AE107" s="63">
        <v>8.3929599999999993E-2</v>
      </c>
      <c r="AF107">
        <v>0.102883</v>
      </c>
    </row>
    <row r="108" spans="1:33">
      <c r="A108" s="62" t="s">
        <v>587</v>
      </c>
      <c r="B108" s="62" t="s">
        <v>1</v>
      </c>
      <c r="C108" s="62" t="s">
        <v>140</v>
      </c>
      <c r="D108" s="62" t="s">
        <v>292</v>
      </c>
      <c r="E108" s="62" t="s">
        <v>332</v>
      </c>
      <c r="F108" s="62">
        <v>0</v>
      </c>
      <c r="G108">
        <v>0</v>
      </c>
      <c r="H108">
        <v>0</v>
      </c>
      <c r="I108" s="62">
        <v>0</v>
      </c>
      <c r="J108" s="62">
        <v>0</v>
      </c>
      <c r="K108" s="63">
        <v>6.0445700000000003E-5</v>
      </c>
      <c r="L108" s="63">
        <v>4.5530000000000001E-4</v>
      </c>
      <c r="M108" s="63">
        <v>1.26019E-3</v>
      </c>
      <c r="N108" s="62">
        <v>3.0196799999999998E-3</v>
      </c>
      <c r="O108" s="63">
        <v>6.56611E-3</v>
      </c>
      <c r="P108" s="63">
        <v>9.0562500000000001E-3</v>
      </c>
      <c r="Q108" s="63">
        <v>1.16521E-2</v>
      </c>
      <c r="R108" s="62"/>
      <c r="S108" t="s">
        <v>606</v>
      </c>
      <c r="T108" t="s">
        <v>1</v>
      </c>
      <c r="U108" t="s">
        <v>140</v>
      </c>
      <c r="V108" t="s">
        <v>292</v>
      </c>
      <c r="W108" t="s">
        <v>332</v>
      </c>
      <c r="X108">
        <v>0</v>
      </c>
      <c r="Y108">
        <v>0</v>
      </c>
      <c r="Z108" s="63">
        <v>6.0445700000000003E-5</v>
      </c>
      <c r="AA108" s="63">
        <v>4.5530000000000001E-4</v>
      </c>
      <c r="AB108" s="63">
        <v>1.26019E-3</v>
      </c>
      <c r="AC108">
        <v>3.0196799999999998E-3</v>
      </c>
      <c r="AD108" s="63">
        <v>6.56611E-3</v>
      </c>
      <c r="AE108" s="63">
        <v>9.0562500000000001E-3</v>
      </c>
      <c r="AF108" s="63">
        <v>1.16521E-2</v>
      </c>
    </row>
    <row r="109" spans="1:33">
      <c r="A109" s="62" t="s">
        <v>587</v>
      </c>
      <c r="B109" s="62" t="s">
        <v>1</v>
      </c>
      <c r="C109" s="62" t="s">
        <v>140</v>
      </c>
      <c r="D109" s="62" t="s">
        <v>297</v>
      </c>
      <c r="E109" s="62" t="s">
        <v>329</v>
      </c>
      <c r="F109" s="62">
        <v>0</v>
      </c>
      <c r="G109">
        <v>0</v>
      </c>
      <c r="H109">
        <v>0</v>
      </c>
      <c r="I109" s="63">
        <v>0</v>
      </c>
      <c r="J109" s="62">
        <v>0</v>
      </c>
      <c r="K109" s="63">
        <v>2.56949E-5</v>
      </c>
      <c r="L109" s="63">
        <v>2.4736799999999998E-4</v>
      </c>
      <c r="M109" s="63">
        <v>8.6361900000000004E-4</v>
      </c>
      <c r="N109" s="63">
        <v>2.5831299999999999E-3</v>
      </c>
      <c r="O109" s="63">
        <v>6.9522500000000001E-3</v>
      </c>
      <c r="P109" s="63">
        <v>1.17917E-2</v>
      </c>
      <c r="Q109" s="63">
        <v>1.9130500000000002E-2</v>
      </c>
      <c r="R109" s="62"/>
      <c r="S109" t="s">
        <v>606</v>
      </c>
      <c r="T109" t="s">
        <v>1</v>
      </c>
      <c r="U109" t="s">
        <v>140</v>
      </c>
      <c r="V109" t="s">
        <v>297</v>
      </c>
      <c r="W109" t="s">
        <v>329</v>
      </c>
      <c r="X109">
        <v>0</v>
      </c>
      <c r="Y109">
        <v>0</v>
      </c>
      <c r="Z109" s="63">
        <v>2.56949E-5</v>
      </c>
      <c r="AA109" s="63">
        <v>2.4736799999999998E-4</v>
      </c>
      <c r="AB109" s="63">
        <v>8.6361900000000004E-4</v>
      </c>
      <c r="AC109" s="63">
        <v>2.5831299999999999E-3</v>
      </c>
      <c r="AD109" s="63">
        <v>6.9522500000000001E-3</v>
      </c>
      <c r="AE109" s="63">
        <v>1.17917E-2</v>
      </c>
      <c r="AF109" s="63">
        <v>1.9130500000000002E-2</v>
      </c>
    </row>
    <row r="110" spans="1:33">
      <c r="A110" s="62" t="s">
        <v>587</v>
      </c>
      <c r="B110" s="62" t="s">
        <v>1</v>
      </c>
      <c r="C110" s="62" t="s">
        <v>140</v>
      </c>
      <c r="D110" s="62" t="s">
        <v>301</v>
      </c>
      <c r="E110" s="62" t="s">
        <v>329</v>
      </c>
      <c r="F110" s="62">
        <v>0</v>
      </c>
      <c r="G110">
        <v>0</v>
      </c>
      <c r="H110">
        <v>0</v>
      </c>
      <c r="I110" s="63">
        <v>0</v>
      </c>
      <c r="J110" s="63">
        <v>0</v>
      </c>
      <c r="K110" s="63">
        <v>3.2757499999999999E-5</v>
      </c>
      <c r="L110" s="63">
        <v>2.9046299999999997E-4</v>
      </c>
      <c r="M110" s="63">
        <v>9.4148500000000004E-4</v>
      </c>
      <c r="N110" s="63">
        <v>2.5869700000000001E-3</v>
      </c>
      <c r="O110" s="63">
        <v>6.3756899999999998E-3</v>
      </c>
      <c r="P110" s="62">
        <v>9.7638299999999994E-3</v>
      </c>
      <c r="Q110" s="62">
        <v>1.4611000000000001E-2</v>
      </c>
      <c r="R110" s="62"/>
      <c r="S110" t="s">
        <v>606</v>
      </c>
      <c r="T110" t="s">
        <v>1</v>
      </c>
      <c r="U110" t="s">
        <v>140</v>
      </c>
      <c r="V110" t="s">
        <v>301</v>
      </c>
      <c r="W110" t="s">
        <v>329</v>
      </c>
      <c r="X110">
        <v>0</v>
      </c>
      <c r="Y110">
        <v>0</v>
      </c>
      <c r="Z110" s="63">
        <v>3.2757499999999999E-5</v>
      </c>
      <c r="AA110" s="63">
        <v>2.9046299999999997E-4</v>
      </c>
      <c r="AB110" s="63">
        <v>9.4148500000000004E-4</v>
      </c>
      <c r="AC110" s="63">
        <v>2.5869700000000001E-3</v>
      </c>
      <c r="AD110" s="63">
        <v>6.3756899999999998E-3</v>
      </c>
      <c r="AE110">
        <v>9.7638299999999994E-3</v>
      </c>
      <c r="AF110">
        <v>1.4611000000000001E-2</v>
      </c>
    </row>
    <row r="111" spans="1:33">
      <c r="A111" s="62" t="s">
        <v>587</v>
      </c>
      <c r="B111" s="62" t="s">
        <v>1</v>
      </c>
      <c r="C111" s="62" t="s">
        <v>141</v>
      </c>
      <c r="D111" s="62" t="s">
        <v>59</v>
      </c>
      <c r="E111" s="62" t="s">
        <v>329</v>
      </c>
      <c r="F111" s="62">
        <v>0</v>
      </c>
      <c r="G111">
        <v>0</v>
      </c>
      <c r="H111">
        <v>0</v>
      </c>
      <c r="I111" s="62">
        <v>0</v>
      </c>
      <c r="J111" s="62">
        <v>0</v>
      </c>
      <c r="K111" s="63">
        <v>3.22604E-5</v>
      </c>
      <c r="L111" s="63">
        <v>2.64815E-4</v>
      </c>
      <c r="M111" s="63">
        <v>7.1411700000000001E-4</v>
      </c>
      <c r="N111" s="63">
        <v>1.88813E-3</v>
      </c>
      <c r="O111" s="63">
        <v>3.9992200000000004E-3</v>
      </c>
      <c r="P111" s="62">
        <v>5.9607599999999998E-3</v>
      </c>
      <c r="Q111" s="62">
        <v>8.4145999999999995E-3</v>
      </c>
      <c r="R111" s="62"/>
      <c r="S111" t="s">
        <v>606</v>
      </c>
      <c r="T111" t="s">
        <v>1</v>
      </c>
      <c r="U111" t="s">
        <v>141</v>
      </c>
      <c r="V111" t="s">
        <v>59</v>
      </c>
      <c r="W111" t="s">
        <v>329</v>
      </c>
      <c r="X111">
        <v>0</v>
      </c>
      <c r="Y111">
        <v>0</v>
      </c>
      <c r="Z111" s="63">
        <v>3.22604E-5</v>
      </c>
      <c r="AA111" s="63">
        <v>2.64815E-4</v>
      </c>
      <c r="AB111" s="63">
        <v>7.1411700000000001E-4</v>
      </c>
      <c r="AC111" s="63">
        <v>1.88813E-3</v>
      </c>
      <c r="AD111" s="63">
        <v>3.9992200000000004E-3</v>
      </c>
      <c r="AE111">
        <v>5.9607599999999998E-3</v>
      </c>
      <c r="AF111">
        <v>8.4145999999999995E-3</v>
      </c>
    </row>
    <row r="112" spans="1:33">
      <c r="A112" s="62" t="s">
        <v>587</v>
      </c>
      <c r="B112" s="62" t="s">
        <v>1</v>
      </c>
      <c r="C112" s="62" t="s">
        <v>141</v>
      </c>
      <c r="D112" s="62" t="s">
        <v>60</v>
      </c>
      <c r="E112" s="62" t="s">
        <v>330</v>
      </c>
      <c r="F112" s="62">
        <v>0</v>
      </c>
      <c r="G112">
        <v>0</v>
      </c>
      <c r="H112">
        <v>0</v>
      </c>
      <c r="I112" s="62">
        <v>0</v>
      </c>
      <c r="J112" s="62">
        <v>0</v>
      </c>
      <c r="K112" s="63">
        <v>4.7997300000000002E-4</v>
      </c>
      <c r="L112" s="63">
        <v>3.4937599999999998E-3</v>
      </c>
      <c r="M112" s="62">
        <v>9.7789899999999996E-3</v>
      </c>
      <c r="N112" s="62">
        <v>2.2857100000000002E-2</v>
      </c>
      <c r="O112" s="63">
        <v>4.2511800000000002E-2</v>
      </c>
      <c r="P112" s="62">
        <v>5.9190699999999999E-2</v>
      </c>
      <c r="Q112" s="62">
        <v>7.5307499999999999E-2</v>
      </c>
      <c r="R112" s="62"/>
      <c r="S112" t="s">
        <v>606</v>
      </c>
      <c r="T112" t="s">
        <v>1</v>
      </c>
      <c r="U112" t="s">
        <v>141</v>
      </c>
      <c r="V112" t="s">
        <v>60</v>
      </c>
      <c r="W112" t="s">
        <v>330</v>
      </c>
      <c r="X112">
        <v>0</v>
      </c>
      <c r="Y112">
        <v>0</v>
      </c>
      <c r="Z112" s="63">
        <v>4.7997300000000002E-4</v>
      </c>
      <c r="AA112" s="63">
        <v>3.4937599999999998E-3</v>
      </c>
      <c r="AB112">
        <v>9.7789899999999996E-3</v>
      </c>
      <c r="AC112">
        <v>2.2857100000000002E-2</v>
      </c>
      <c r="AD112" s="63">
        <v>4.2511800000000002E-2</v>
      </c>
      <c r="AE112">
        <v>5.9190699999999999E-2</v>
      </c>
      <c r="AF112">
        <v>7.5307499999999999E-2</v>
      </c>
    </row>
    <row r="113" spans="1:4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3"/>
      <c r="L113" s="62"/>
      <c r="M113" s="62"/>
      <c r="N113" s="62"/>
      <c r="O113" s="62"/>
      <c r="P113" s="62"/>
      <c r="Q113" s="62"/>
      <c r="R113" s="62"/>
      <c r="AD113" s="63"/>
      <c r="AE113" s="63"/>
      <c r="AF113" s="63"/>
    </row>
    <row r="114" spans="1:4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3"/>
      <c r="L114" s="62"/>
      <c r="M114" s="62"/>
      <c r="N114" s="62"/>
      <c r="O114" s="62"/>
      <c r="P114" s="62"/>
      <c r="Q114" s="62"/>
      <c r="R114" s="62"/>
      <c r="AD114" s="63"/>
    </row>
    <row r="115" spans="1:4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3"/>
      <c r="L115" s="62"/>
      <c r="M115" s="62"/>
      <c r="N115" s="62"/>
      <c r="O115" s="62"/>
      <c r="P115" s="62"/>
      <c r="Q115" s="62"/>
      <c r="R115" s="62"/>
    </row>
    <row r="116" spans="1:45">
      <c r="A116" s="62"/>
      <c r="B116" s="62"/>
      <c r="C116" s="62"/>
      <c r="D116" s="62"/>
      <c r="E116" s="62" t="s">
        <v>540</v>
      </c>
      <c r="F116" s="62" t="e">
        <f>SUM(F108,F112:F114)/SUM(F105:F115)</f>
        <v>#DIV/0!</v>
      </c>
      <c r="G116" s="62" t="e">
        <f>SUM(#REF!,G113:G114)/SUM(G105:G115)</f>
        <v>#REF!</v>
      </c>
      <c r="H116" s="62"/>
      <c r="I116" s="62"/>
      <c r="J116" s="62"/>
      <c r="K116" s="63">
        <f>SUM(K106,K109:K111)/SUM(K105:K112)</f>
        <v>7.1528485360459526E-2</v>
      </c>
      <c r="L116" s="63">
        <f t="shared" ref="K116:Q116" si="29">SUM(L106,L109:L111)/SUM(L105:L112)</f>
        <v>8.3605937750270545E-2</v>
      </c>
      <c r="M116" s="63">
        <f t="shared" si="29"/>
        <v>8.9610181175453246E-2</v>
      </c>
      <c r="N116" s="63">
        <f t="shared" si="29"/>
        <v>0.10299131410676204</v>
      </c>
      <c r="O116" s="63">
        <f t="shared" si="29"/>
        <v>0.13260288493974035</v>
      </c>
      <c r="P116" s="63">
        <f t="shared" si="29"/>
        <v>0.14932316772784912</v>
      </c>
      <c r="Q116" s="63">
        <f t="shared" si="29"/>
        <v>0.17606062419309335</v>
      </c>
      <c r="R116" s="62"/>
    </row>
    <row r="117" spans="1:4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</row>
    <row r="118" spans="1:45">
      <c r="A118" s="1" t="s">
        <v>537</v>
      </c>
      <c r="B118" s="62"/>
      <c r="C118" s="62"/>
      <c r="D118" s="62"/>
      <c r="E118" s="62"/>
      <c r="F118" s="62"/>
      <c r="G118" s="62">
        <v>1990</v>
      </c>
      <c r="H118" s="62">
        <v>2005</v>
      </c>
      <c r="I118" s="62">
        <v>2010</v>
      </c>
      <c r="J118" s="62">
        <v>2015</v>
      </c>
      <c r="K118" s="62">
        <v>2020</v>
      </c>
      <c r="L118" s="62">
        <v>2025</v>
      </c>
      <c r="M118" s="62">
        <v>2030</v>
      </c>
      <c r="N118" s="62">
        <v>2035</v>
      </c>
      <c r="O118" s="62">
        <v>2040</v>
      </c>
      <c r="P118" s="62">
        <v>2045</v>
      </c>
      <c r="Q118" s="62">
        <v>2050</v>
      </c>
      <c r="R118" s="62"/>
    </row>
    <row r="119" spans="1:45">
      <c r="A119" s="62" t="s">
        <v>606</v>
      </c>
      <c r="B119" s="62" t="s">
        <v>1</v>
      </c>
      <c r="C119" s="62" t="s">
        <v>68</v>
      </c>
      <c r="D119" s="62" t="s">
        <v>65</v>
      </c>
      <c r="E119" s="62" t="s">
        <v>72</v>
      </c>
      <c r="F119" s="62" t="s">
        <v>2</v>
      </c>
      <c r="G119" s="62">
        <v>0</v>
      </c>
      <c r="H119" s="62">
        <v>0</v>
      </c>
      <c r="I119" s="62">
        <v>0</v>
      </c>
      <c r="J119" s="62">
        <v>0</v>
      </c>
      <c r="K119" s="63">
        <v>9.7592799999999998E-5</v>
      </c>
      <c r="L119" s="63">
        <v>8.6544049999999896E-4</v>
      </c>
      <c r="M119" s="62">
        <v>4.7450393E-3</v>
      </c>
      <c r="N119" s="62">
        <v>1.9621960899999999E-2</v>
      </c>
      <c r="O119" s="62">
        <v>4.7324940699999998E-2</v>
      </c>
      <c r="P119" s="62">
        <v>7.3772021500000007E-2</v>
      </c>
      <c r="Q119" s="62">
        <v>0.10292041346</v>
      </c>
      <c r="R119" s="62" t="s">
        <v>542</v>
      </c>
    </row>
    <row r="120" spans="1:4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</row>
    <row r="121" spans="1:4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</row>
    <row r="122" spans="1:45">
      <c r="A122" s="1" t="s">
        <v>543</v>
      </c>
      <c r="B122" s="62"/>
      <c r="C122" s="62"/>
      <c r="D122" s="62"/>
      <c r="E122" s="62"/>
      <c r="F122" s="62"/>
      <c r="G122" s="62">
        <v>1990</v>
      </c>
      <c r="H122" s="62">
        <v>2005</v>
      </c>
      <c r="I122" s="62">
        <v>2010</v>
      </c>
      <c r="J122" s="62">
        <v>2015</v>
      </c>
      <c r="K122" s="62">
        <v>2020</v>
      </c>
      <c r="L122" s="62">
        <v>2025</v>
      </c>
      <c r="M122" s="62">
        <v>2030</v>
      </c>
      <c r="N122" s="62">
        <v>2035</v>
      </c>
      <c r="O122" s="62">
        <v>2040</v>
      </c>
      <c r="P122" s="62">
        <v>2045</v>
      </c>
      <c r="Q122" s="62">
        <v>2050</v>
      </c>
      <c r="R122" s="62"/>
    </row>
    <row r="123" spans="1:45">
      <c r="A123" s="62" t="s">
        <v>606</v>
      </c>
      <c r="B123" s="62" t="s">
        <v>1</v>
      </c>
      <c r="C123" s="62" t="s">
        <v>140</v>
      </c>
      <c r="D123" s="62" t="s">
        <v>57</v>
      </c>
      <c r="E123" s="62" t="s">
        <v>140</v>
      </c>
      <c r="F123" s="62" t="s">
        <v>326</v>
      </c>
      <c r="G123" s="62">
        <v>0</v>
      </c>
      <c r="H123" s="62">
        <v>0</v>
      </c>
      <c r="I123" s="62">
        <v>0</v>
      </c>
      <c r="J123" s="62">
        <v>0</v>
      </c>
      <c r="K123" s="63">
        <v>1.15118E-4</v>
      </c>
      <c r="L123" s="63">
        <v>8.9940400000000002E-4</v>
      </c>
      <c r="M123" s="62">
        <v>2.6269800000000001E-3</v>
      </c>
      <c r="N123" s="62">
        <v>6.54186E-3</v>
      </c>
      <c r="O123" s="63">
        <v>1.38417E-2</v>
      </c>
      <c r="P123" s="63">
        <v>1.8275599999999999E-2</v>
      </c>
      <c r="Q123" s="63">
        <v>2.2898999999999999E-2</v>
      </c>
      <c r="R123" s="62" t="s">
        <v>542</v>
      </c>
      <c r="S123" s="1" t="s">
        <v>571</v>
      </c>
      <c r="T123" s="62"/>
      <c r="U123" s="62"/>
      <c r="V123" s="62"/>
      <c r="W123" s="62"/>
      <c r="X123" s="62"/>
      <c r="Y123" s="62"/>
      <c r="Z123" s="62"/>
      <c r="AA123" s="62"/>
      <c r="AB123" s="62"/>
    </row>
    <row r="124" spans="1:45">
      <c r="A124" s="62" t="s">
        <v>606</v>
      </c>
      <c r="B124" s="62" t="s">
        <v>1</v>
      </c>
      <c r="C124" s="62" t="s">
        <v>140</v>
      </c>
      <c r="D124" s="62" t="s">
        <v>59</v>
      </c>
      <c r="E124" s="62" t="s">
        <v>140</v>
      </c>
      <c r="F124" s="62" t="s">
        <v>329</v>
      </c>
      <c r="G124" s="62">
        <v>0</v>
      </c>
      <c r="H124" s="62">
        <v>0</v>
      </c>
      <c r="I124" s="62">
        <v>0</v>
      </c>
      <c r="J124" s="62">
        <v>0</v>
      </c>
      <c r="K124" s="63">
        <v>1.44684E-5</v>
      </c>
      <c r="L124" s="63">
        <v>1.1863500000000001E-4</v>
      </c>
      <c r="M124" s="63">
        <v>3.0875400000000001E-4</v>
      </c>
      <c r="N124" s="63">
        <v>8.2480499999999996E-4</v>
      </c>
      <c r="O124" s="62">
        <v>1.65149E-3</v>
      </c>
      <c r="P124" s="62">
        <v>2.4039500000000002E-3</v>
      </c>
      <c r="Q124" s="62">
        <v>3.30285E-3</v>
      </c>
      <c r="R124" s="62"/>
      <c r="S124" s="65"/>
      <c r="T124" s="66" t="s">
        <v>484</v>
      </c>
      <c r="U124" s="66">
        <v>2015</v>
      </c>
      <c r="V124" s="66">
        <v>2020</v>
      </c>
      <c r="W124" s="66">
        <v>2025</v>
      </c>
      <c r="X124" s="66">
        <v>2030</v>
      </c>
      <c r="Y124" s="66">
        <v>2035</v>
      </c>
      <c r="Z124" s="66">
        <v>2040</v>
      </c>
      <c r="AA124" s="66">
        <v>2045</v>
      </c>
      <c r="AB124" s="7">
        <v>2050</v>
      </c>
    </row>
    <row r="125" spans="1:45">
      <c r="A125" s="62" t="s">
        <v>606</v>
      </c>
      <c r="B125" s="62" t="s">
        <v>1</v>
      </c>
      <c r="C125" s="62" t="s">
        <v>140</v>
      </c>
      <c r="D125" s="62" t="s">
        <v>60</v>
      </c>
      <c r="E125" s="62" t="s">
        <v>140</v>
      </c>
      <c r="F125" s="62" t="s">
        <v>330</v>
      </c>
      <c r="G125" s="62">
        <v>0</v>
      </c>
      <c r="H125" s="62">
        <v>0</v>
      </c>
      <c r="I125" s="62">
        <v>0</v>
      </c>
      <c r="J125" s="62">
        <v>0</v>
      </c>
      <c r="K125" s="63">
        <v>7.0976199999999996E-4</v>
      </c>
      <c r="L125" s="63">
        <v>5.2495800000000002E-3</v>
      </c>
      <c r="M125" s="62">
        <v>1.50645E-2</v>
      </c>
      <c r="N125" s="62">
        <v>3.6239100000000003E-2</v>
      </c>
      <c r="O125" s="62">
        <v>6.1225700000000001E-2</v>
      </c>
      <c r="P125" s="62">
        <v>8.3929599999999993E-2</v>
      </c>
      <c r="Q125" s="62">
        <v>0.102883</v>
      </c>
      <c r="R125" s="62"/>
      <c r="S125" s="8" t="s">
        <v>491</v>
      </c>
      <c r="T125" s="45" t="s">
        <v>476</v>
      </c>
      <c r="U125" s="45">
        <f>J139*$T$128</f>
        <v>0</v>
      </c>
      <c r="V125" s="45">
        <f t="shared" ref="V125:AB125" si="30">K139*$T$128</f>
        <v>4.3709279109587926E-2</v>
      </c>
      <c r="W125" s="45">
        <f t="shared" si="30"/>
        <v>0.37186451872261317</v>
      </c>
      <c r="X125" s="45">
        <f t="shared" si="30"/>
        <v>1.0360057404872918</v>
      </c>
      <c r="Y125" s="45">
        <f t="shared" si="30"/>
        <v>2.4878882741920512</v>
      </c>
      <c r="Z125" s="45">
        <f t="shared" si="30"/>
        <v>5.3079587027868547</v>
      </c>
      <c r="AA125" s="45">
        <f t="shared" si="30"/>
        <v>7.7703644627986366</v>
      </c>
      <c r="AB125" s="45">
        <f t="shared" si="30"/>
        <v>11.070092672847174</v>
      </c>
      <c r="AL125">
        <v>0</v>
      </c>
      <c r="AM125">
        <v>4.3709279109587926E-2</v>
      </c>
      <c r="AN125">
        <v>0.37186451872261317</v>
      </c>
      <c r="AO125">
        <v>1.0360057404872918</v>
      </c>
      <c r="AP125">
        <v>2.4878882741920512</v>
      </c>
      <c r="AQ125">
        <v>5.3079587027868547</v>
      </c>
      <c r="AR125">
        <v>7.7703644627986366</v>
      </c>
      <c r="AS125">
        <v>11.070092672847174</v>
      </c>
    </row>
    <row r="126" spans="1:45">
      <c r="A126" s="62" t="s">
        <v>606</v>
      </c>
      <c r="B126" s="62" t="s">
        <v>1</v>
      </c>
      <c r="C126" s="62" t="s">
        <v>140</v>
      </c>
      <c r="D126" s="62" t="s">
        <v>292</v>
      </c>
      <c r="E126" s="62" t="s">
        <v>140</v>
      </c>
      <c r="F126" s="62" t="s">
        <v>332</v>
      </c>
      <c r="G126" s="62">
        <v>0</v>
      </c>
      <c r="H126" s="62">
        <v>0</v>
      </c>
      <c r="I126" s="62">
        <v>0</v>
      </c>
      <c r="J126" s="62">
        <v>0</v>
      </c>
      <c r="K126" s="63">
        <v>6.0445700000000003E-5</v>
      </c>
      <c r="L126" s="63">
        <v>4.5530000000000001E-4</v>
      </c>
      <c r="M126" s="62">
        <v>1.26019E-3</v>
      </c>
      <c r="N126" s="62">
        <v>3.0196799999999998E-3</v>
      </c>
      <c r="O126" s="62">
        <v>6.56611E-3</v>
      </c>
      <c r="P126" s="62">
        <v>9.0562500000000001E-3</v>
      </c>
      <c r="Q126" s="62">
        <v>1.16521E-2</v>
      </c>
      <c r="R126" s="62"/>
      <c r="S126" s="8" t="s">
        <v>491</v>
      </c>
      <c r="T126" s="45" t="s">
        <v>473</v>
      </c>
      <c r="U126" s="45">
        <f>U130*$AB$62</f>
        <v>0</v>
      </c>
      <c r="V126" s="45">
        <f t="shared" ref="V126" si="31">V130*$AB$62</f>
        <v>0</v>
      </c>
      <c r="W126" s="45"/>
      <c r="X126" s="45"/>
      <c r="Y126" s="45"/>
      <c r="Z126" s="45"/>
      <c r="AA126" s="45"/>
      <c r="AB126" s="9"/>
      <c r="AL126" s="27">
        <v>0</v>
      </c>
    </row>
    <row r="127" spans="1:45">
      <c r="A127" s="62" t="s">
        <v>606</v>
      </c>
      <c r="B127" s="62" t="s">
        <v>1</v>
      </c>
      <c r="C127" s="62" t="s">
        <v>140</v>
      </c>
      <c r="D127" s="62" t="s">
        <v>297</v>
      </c>
      <c r="E127" s="62" t="s">
        <v>140</v>
      </c>
      <c r="F127" s="62" t="s">
        <v>329</v>
      </c>
      <c r="G127" s="62">
        <v>0</v>
      </c>
      <c r="H127" s="62">
        <v>0</v>
      </c>
      <c r="I127" s="62">
        <v>0</v>
      </c>
      <c r="J127" s="62">
        <v>0</v>
      </c>
      <c r="K127" s="63">
        <v>2.56949E-5</v>
      </c>
      <c r="L127" s="63">
        <v>2.4736799999999998E-4</v>
      </c>
      <c r="M127" s="63">
        <v>8.6361900000000004E-4</v>
      </c>
      <c r="N127" s="62">
        <v>2.5831299999999999E-3</v>
      </c>
      <c r="O127" s="62">
        <v>6.9522500000000001E-3</v>
      </c>
      <c r="P127" s="63">
        <v>1.17917E-2</v>
      </c>
      <c r="Q127" s="63">
        <v>1.9130500000000002E-2</v>
      </c>
      <c r="R127" s="62"/>
      <c r="S127" s="70"/>
      <c r="T127" s="71" t="s">
        <v>474</v>
      </c>
      <c r="U127" s="71"/>
      <c r="V127" s="71"/>
      <c r="W127" s="71">
        <f t="shared" ref="W127:Y127" si="32">W131*$AB$62</f>
        <v>0</v>
      </c>
      <c r="X127" s="71">
        <f t="shared" si="32"/>
        <v>0</v>
      </c>
      <c r="Y127" s="71">
        <f t="shared" si="32"/>
        <v>0</v>
      </c>
      <c r="Z127" s="71"/>
      <c r="AA127" s="71"/>
      <c r="AB127" s="10"/>
      <c r="AL127" s="27">
        <v>4.3709279109587926E-2</v>
      </c>
    </row>
    <row r="128" spans="1:45">
      <c r="A128" s="62" t="s">
        <v>606</v>
      </c>
      <c r="B128" s="62" t="s">
        <v>1</v>
      </c>
      <c r="C128" s="62" t="s">
        <v>140</v>
      </c>
      <c r="D128" s="62" t="s">
        <v>301</v>
      </c>
      <c r="E128" s="62" t="s">
        <v>140</v>
      </c>
      <c r="F128" s="62" t="s">
        <v>329</v>
      </c>
      <c r="G128" s="62">
        <v>0</v>
      </c>
      <c r="H128" s="62">
        <v>0</v>
      </c>
      <c r="I128" s="62">
        <v>0</v>
      </c>
      <c r="J128" s="62">
        <v>0</v>
      </c>
      <c r="K128" s="63">
        <v>3.2757499999999999E-5</v>
      </c>
      <c r="L128" s="63">
        <v>2.9046299999999997E-4</v>
      </c>
      <c r="M128" s="63">
        <v>9.4148500000000004E-4</v>
      </c>
      <c r="N128" s="62">
        <v>2.5869700000000001E-3</v>
      </c>
      <c r="O128" s="62">
        <v>6.3756899999999998E-3</v>
      </c>
      <c r="P128" s="62">
        <v>9.7638299999999994E-3</v>
      </c>
      <c r="Q128" s="62">
        <v>1.4611000000000001E-2</v>
      </c>
      <c r="R128" s="62"/>
      <c r="S128" s="62"/>
      <c r="T128" s="62">
        <v>277.777777777778</v>
      </c>
      <c r="U128" s="62"/>
      <c r="V128" s="27"/>
      <c r="W128" s="27"/>
      <c r="X128" s="27"/>
      <c r="Y128" s="27"/>
      <c r="Z128" s="62"/>
      <c r="AA128" s="62"/>
      <c r="AB128" s="62"/>
      <c r="AL128" s="27">
        <v>0.37186451872261317</v>
      </c>
    </row>
    <row r="129" spans="1:38">
      <c r="A129" s="62" t="s">
        <v>606</v>
      </c>
      <c r="B129" s="62" t="s">
        <v>1</v>
      </c>
      <c r="C129" s="62" t="s">
        <v>544</v>
      </c>
      <c r="D129" s="62" t="s">
        <v>544</v>
      </c>
      <c r="E129" s="62" t="s">
        <v>544</v>
      </c>
      <c r="F129" s="62" t="s">
        <v>544</v>
      </c>
      <c r="G129" s="62">
        <v>0</v>
      </c>
      <c r="H129" s="62">
        <v>0</v>
      </c>
      <c r="I129" s="62">
        <v>0</v>
      </c>
      <c r="J129" s="62">
        <v>0</v>
      </c>
      <c r="K129" s="63">
        <v>9.5824699999999996E-4</v>
      </c>
      <c r="L129" s="62">
        <v>7.2607499999999998E-3</v>
      </c>
      <c r="M129" s="62">
        <v>2.1065500000000001E-2</v>
      </c>
      <c r="N129" s="62">
        <v>5.1795599999999997E-2</v>
      </c>
      <c r="O129" s="62">
        <v>9.6613000000000004E-2</v>
      </c>
      <c r="P129" s="62">
        <v>0.13522100000000001</v>
      </c>
      <c r="Q129" s="62">
        <v>0.17447799999999999</v>
      </c>
      <c r="R129" s="62"/>
      <c r="AL129" s="27">
        <v>1.0360057404872918</v>
      </c>
    </row>
    <row r="130" spans="1:38">
      <c r="A130" s="62" t="s">
        <v>606</v>
      </c>
      <c r="B130" s="62" t="s">
        <v>1</v>
      </c>
      <c r="C130" s="62" t="s">
        <v>2</v>
      </c>
      <c r="D130" s="62" t="s">
        <v>544</v>
      </c>
      <c r="E130" s="62" t="s">
        <v>2</v>
      </c>
      <c r="F130" s="62" t="s">
        <v>544</v>
      </c>
      <c r="G130" s="62">
        <v>0</v>
      </c>
      <c r="H130" s="62">
        <v>0</v>
      </c>
      <c r="I130" s="62">
        <v>0</v>
      </c>
      <c r="J130" s="62">
        <v>0</v>
      </c>
      <c r="K130" s="63">
        <v>9.5824699999999996E-4</v>
      </c>
      <c r="L130" s="62">
        <v>7.2607499999999998E-3</v>
      </c>
      <c r="M130" s="62">
        <v>2.1065500000000001E-2</v>
      </c>
      <c r="N130" s="62">
        <v>5.1795599999999997E-2</v>
      </c>
      <c r="O130" s="62">
        <v>9.6613000000000004E-2</v>
      </c>
      <c r="P130" s="62">
        <v>0.13522100000000001</v>
      </c>
      <c r="Q130" s="62">
        <v>0.17447799999999999</v>
      </c>
      <c r="R130" s="62"/>
      <c r="AL130" s="27">
        <v>2.4878882741920512</v>
      </c>
    </row>
    <row r="131" spans="1:38">
      <c r="A131" s="62" t="s">
        <v>606</v>
      </c>
      <c r="B131" s="62" t="s">
        <v>1</v>
      </c>
      <c r="C131" s="62" t="s">
        <v>2</v>
      </c>
      <c r="D131" s="62" t="s">
        <v>141</v>
      </c>
      <c r="E131" s="62" t="s">
        <v>2</v>
      </c>
      <c r="F131" s="62" t="s">
        <v>141</v>
      </c>
      <c r="G131" s="62">
        <v>0</v>
      </c>
      <c r="H131" s="62">
        <v>0</v>
      </c>
      <c r="I131" s="62">
        <v>0</v>
      </c>
      <c r="J131" s="62">
        <v>0</v>
      </c>
      <c r="K131" s="63">
        <v>5.1223299999999996E-4</v>
      </c>
      <c r="L131" s="62">
        <v>3.7585800000000001E-3</v>
      </c>
      <c r="M131" s="62">
        <v>1.04931E-2</v>
      </c>
      <c r="N131" s="62">
        <v>2.4745300000000001E-2</v>
      </c>
      <c r="O131" s="62">
        <v>4.6510999999999997E-2</v>
      </c>
      <c r="P131" s="62">
        <v>6.5151500000000001E-2</v>
      </c>
      <c r="Q131" s="62">
        <v>8.3722099999999994E-2</v>
      </c>
      <c r="R131" s="62"/>
      <c r="AL131" s="27">
        <v>5.3079587027868547</v>
      </c>
    </row>
    <row r="132" spans="1:38">
      <c r="A132" s="62" t="s">
        <v>606</v>
      </c>
      <c r="B132" s="62" t="s">
        <v>1</v>
      </c>
      <c r="C132" s="62" t="s">
        <v>141</v>
      </c>
      <c r="D132" s="62" t="s">
        <v>59</v>
      </c>
      <c r="E132" s="62" t="s">
        <v>141</v>
      </c>
      <c r="F132" s="62" t="s">
        <v>329</v>
      </c>
      <c r="G132" s="62">
        <v>0</v>
      </c>
      <c r="H132" s="62">
        <v>0</v>
      </c>
      <c r="I132" s="62">
        <v>0</v>
      </c>
      <c r="J132" s="62">
        <v>0</v>
      </c>
      <c r="K132" s="63">
        <v>3.22604E-5</v>
      </c>
      <c r="L132" s="63">
        <v>2.64815E-4</v>
      </c>
      <c r="M132" s="63">
        <v>7.1411700000000001E-4</v>
      </c>
      <c r="N132" s="62">
        <v>1.88813E-3</v>
      </c>
      <c r="O132" s="62">
        <v>3.9992200000000004E-3</v>
      </c>
      <c r="P132" s="62">
        <v>5.9607599999999998E-3</v>
      </c>
      <c r="Q132" s="62">
        <v>8.4145999999999995E-3</v>
      </c>
      <c r="R132" s="62"/>
      <c r="AL132" s="27">
        <v>7.7703644627986366</v>
      </c>
    </row>
    <row r="133" spans="1:38">
      <c r="A133" s="62" t="s">
        <v>606</v>
      </c>
      <c r="B133" s="62" t="s">
        <v>1</v>
      </c>
      <c r="C133" s="62" t="s">
        <v>141</v>
      </c>
      <c r="D133" s="62" t="s">
        <v>60</v>
      </c>
      <c r="E133" s="62" t="s">
        <v>141</v>
      </c>
      <c r="F133" s="62" t="s">
        <v>330</v>
      </c>
      <c r="G133" s="62">
        <v>0</v>
      </c>
      <c r="H133" s="62">
        <v>0</v>
      </c>
      <c r="I133" s="62">
        <v>0</v>
      </c>
      <c r="J133" s="62">
        <v>0</v>
      </c>
      <c r="K133" s="63">
        <v>4.7997300000000002E-4</v>
      </c>
      <c r="L133" s="62">
        <v>3.4937599999999998E-3</v>
      </c>
      <c r="M133" s="62">
        <v>9.7789899999999996E-3</v>
      </c>
      <c r="N133" s="62">
        <v>2.2857100000000002E-2</v>
      </c>
      <c r="O133" s="62">
        <v>4.2511800000000002E-2</v>
      </c>
      <c r="P133" s="62">
        <v>5.9190699999999999E-2</v>
      </c>
      <c r="Q133" s="62">
        <v>7.5307499999999999E-2</v>
      </c>
      <c r="R133" s="62"/>
      <c r="AL133" s="27">
        <v>11.070092672847174</v>
      </c>
    </row>
    <row r="134" spans="1:38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3"/>
      <c r="L134" s="62"/>
      <c r="M134" s="62"/>
      <c r="N134" s="62"/>
      <c r="O134" s="62"/>
      <c r="P134" s="62"/>
      <c r="Q134" s="62"/>
      <c r="R134" s="62"/>
    </row>
    <row r="135" spans="1:38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3"/>
      <c r="L135" s="62"/>
      <c r="M135" s="62"/>
      <c r="N135" s="62"/>
      <c r="O135" s="62"/>
      <c r="P135" s="62"/>
      <c r="Q135" s="62"/>
      <c r="R135" s="62"/>
    </row>
    <row r="136" spans="1:38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3"/>
      <c r="L136" s="62"/>
      <c r="M136" s="62"/>
      <c r="N136" s="62"/>
      <c r="O136" s="62"/>
      <c r="P136" s="62"/>
      <c r="Q136" s="62"/>
      <c r="R136" s="62"/>
    </row>
    <row r="137" spans="1:38">
      <c r="A137" s="62"/>
      <c r="B137" s="62"/>
      <c r="C137" s="62"/>
      <c r="D137" s="62"/>
      <c r="E137" s="62"/>
      <c r="F137" s="62" t="s">
        <v>545</v>
      </c>
      <c r="G137" s="62">
        <f>SUM(G126,G130,G131,G135)</f>
        <v>0</v>
      </c>
      <c r="H137" s="62">
        <f t="shared" ref="H137:J137" si="33">SUM(H126,H130,H131,H135)</f>
        <v>0</v>
      </c>
      <c r="I137" s="62">
        <f t="shared" si="33"/>
        <v>0</v>
      </c>
      <c r="J137" s="62">
        <f t="shared" si="33"/>
        <v>0</v>
      </c>
      <c r="K137" s="63">
        <f>SUM(K124,K127:K128,K132)</f>
        <v>1.051812E-4</v>
      </c>
      <c r="L137" s="63">
        <f t="shared" ref="L137:Q137" si="34">SUM(L124,L127:L128,L132)</f>
        <v>9.2128099999999992E-4</v>
      </c>
      <c r="M137" s="63">
        <f t="shared" si="34"/>
        <v>2.8279749999999999E-3</v>
      </c>
      <c r="N137" s="63">
        <f t="shared" si="34"/>
        <v>7.883035E-3</v>
      </c>
      <c r="O137" s="63">
        <f>SUM(O124,O127:O128,O132)</f>
        <v>1.897865E-2</v>
      </c>
      <c r="P137" s="63">
        <f t="shared" si="34"/>
        <v>2.9920239999999997E-2</v>
      </c>
      <c r="Q137" s="63">
        <f t="shared" si="34"/>
        <v>4.5458950000000005E-2</v>
      </c>
      <c r="R137" s="62"/>
    </row>
    <row r="138" spans="1:38">
      <c r="A138" s="62"/>
      <c r="B138" s="62"/>
      <c r="C138" s="62"/>
      <c r="D138" s="62"/>
      <c r="E138" s="62"/>
      <c r="F138" s="62" t="s">
        <v>547</v>
      </c>
      <c r="G138" s="62"/>
      <c r="H138" s="62"/>
      <c r="I138" s="62"/>
      <c r="J138" s="62"/>
      <c r="K138" s="59">
        <f>K116*K119/K137</f>
        <v>6.6367993197322853E-2</v>
      </c>
      <c r="L138" s="59">
        <f t="shared" ref="L138:Q138" si="35">L116*L119/L137</f>
        <v>7.8538431346747553E-2</v>
      </c>
      <c r="M138" s="59">
        <f t="shared" si="35"/>
        <v>0.15035629075845644</v>
      </c>
      <c r="N138" s="59">
        <f t="shared" si="35"/>
        <v>0.25635957958356181</v>
      </c>
      <c r="O138" s="59">
        <f>O116*O119/O137</f>
        <v>0.33065701018892996</v>
      </c>
      <c r="P138" s="59">
        <f t="shared" si="35"/>
        <v>0.36817458483177257</v>
      </c>
      <c r="Q138" s="59">
        <f t="shared" si="35"/>
        <v>0.39860648422321332</v>
      </c>
      <c r="R138" s="62"/>
    </row>
    <row r="139" spans="1:38">
      <c r="A139" s="62"/>
      <c r="B139" s="62"/>
      <c r="C139" s="62"/>
      <c r="D139" s="62"/>
      <c r="E139" s="62" t="s">
        <v>570</v>
      </c>
      <c r="F139" s="62" t="s">
        <v>546</v>
      </c>
      <c r="G139" s="62"/>
      <c r="H139" s="62"/>
      <c r="I139" s="62"/>
      <c r="J139" s="4">
        <v>0</v>
      </c>
      <c r="K139" s="63">
        <f>K102*(1-(K116*K119)/K137)</f>
        <v>1.573534047945164E-4</v>
      </c>
      <c r="L139" s="4">
        <f t="shared" ref="L139:Q139" si="36">L102*(1-(L116*L119)/L137)</f>
        <v>1.3387122674014063E-3</v>
      </c>
      <c r="M139" s="4">
        <f t="shared" si="36"/>
        <v>3.7296206657542476E-3</v>
      </c>
      <c r="N139" s="4">
        <f t="shared" si="36"/>
        <v>8.9563977870913778E-3</v>
      </c>
      <c r="O139" s="4">
        <f t="shared" si="36"/>
        <v>1.9108651330032662E-2</v>
      </c>
      <c r="P139" s="4">
        <f t="shared" si="36"/>
        <v>2.7973312066075069E-2</v>
      </c>
      <c r="Q139" s="4">
        <f t="shared" si="36"/>
        <v>3.9852333622249797E-2</v>
      </c>
      <c r="R139" s="62"/>
    </row>
    <row r="141" spans="1:38">
      <c r="K141" s="14"/>
      <c r="L141" s="14"/>
      <c r="M141" s="14"/>
      <c r="N141" s="14"/>
      <c r="O141" s="14"/>
    </row>
    <row r="142" spans="1:38">
      <c r="A142" s="1" t="s">
        <v>556</v>
      </c>
      <c r="F142" s="62">
        <v>1990</v>
      </c>
      <c r="G142" s="62">
        <v>2005</v>
      </c>
      <c r="H142" s="62">
        <v>2010</v>
      </c>
      <c r="I142" s="62">
        <v>2015</v>
      </c>
      <c r="J142" s="62">
        <v>2020</v>
      </c>
      <c r="K142" s="62">
        <v>2025</v>
      </c>
      <c r="L142" s="62">
        <v>2030</v>
      </c>
      <c r="M142" s="62">
        <v>2035</v>
      </c>
      <c r="N142" s="62">
        <v>2040</v>
      </c>
      <c r="O142" s="62">
        <v>2045</v>
      </c>
      <c r="P142" s="62">
        <v>2050</v>
      </c>
    </row>
    <row r="143" spans="1:38">
      <c r="A143" t="s">
        <v>606</v>
      </c>
      <c r="B143" t="s">
        <v>1</v>
      </c>
      <c r="C143" t="s">
        <v>155</v>
      </c>
      <c r="D143" t="s">
        <v>430</v>
      </c>
      <c r="E143" s="14" t="s">
        <v>548</v>
      </c>
      <c r="F143">
        <v>1.22799E-3</v>
      </c>
      <c r="G143">
        <v>3.1387799999999999E-3</v>
      </c>
      <c r="H143">
        <v>2.6536099999999998E-3</v>
      </c>
      <c r="I143">
        <v>2.69206E-3</v>
      </c>
      <c r="J143">
        <v>2.7234899999999999E-3</v>
      </c>
      <c r="K143">
        <v>3.2186300000000001E-3</v>
      </c>
      <c r="L143">
        <v>3.5860100000000002E-3</v>
      </c>
      <c r="M143">
        <v>3.89954E-3</v>
      </c>
      <c r="N143">
        <v>3.99607E-3</v>
      </c>
      <c r="O143">
        <v>4.0215099999999998E-3</v>
      </c>
      <c r="P143">
        <v>4.0160700000000001E-3</v>
      </c>
      <c r="Q143" s="62" t="s">
        <v>542</v>
      </c>
    </row>
    <row r="144" spans="1:38">
      <c r="A144" t="s">
        <v>606</v>
      </c>
      <c r="B144" t="s">
        <v>1</v>
      </c>
      <c r="C144" t="s">
        <v>156</v>
      </c>
      <c r="D144" t="s">
        <v>430</v>
      </c>
      <c r="E144" s="83" t="s">
        <v>549</v>
      </c>
      <c r="F144">
        <v>0</v>
      </c>
      <c r="G144">
        <v>0</v>
      </c>
      <c r="H144">
        <v>0</v>
      </c>
      <c r="I144" s="63">
        <v>0</v>
      </c>
      <c r="J144" s="63">
        <v>4.2205499999999998E-6</v>
      </c>
      <c r="K144" s="63">
        <v>8.1364210000000003E-5</v>
      </c>
      <c r="L144" s="63">
        <v>2.8248873000000002E-4</v>
      </c>
      <c r="M144" s="63">
        <v>7.8445396999999998E-4</v>
      </c>
      <c r="N144">
        <v>1.41207388E-3</v>
      </c>
      <c r="O144">
        <v>2.0041654799999998E-3</v>
      </c>
      <c r="P144">
        <v>2.459350517E-3</v>
      </c>
    </row>
    <row r="145" spans="1:16">
      <c r="A145" t="s">
        <v>606</v>
      </c>
      <c r="B145" t="s">
        <v>1</v>
      </c>
      <c r="C145" t="s">
        <v>157</v>
      </c>
      <c r="D145" t="s">
        <v>430</v>
      </c>
      <c r="E145" t="s">
        <v>550</v>
      </c>
      <c r="F145" s="63">
        <v>6.8778800000000005E-4</v>
      </c>
      <c r="G145">
        <v>1.7579900000000001E-3</v>
      </c>
      <c r="H145">
        <v>1.4862899999999999E-3</v>
      </c>
      <c r="I145">
        <v>1.50779E-3</v>
      </c>
      <c r="J145">
        <v>1.6065599999999999E-3</v>
      </c>
      <c r="K145">
        <v>1.79714E-3</v>
      </c>
      <c r="L145">
        <v>1.85414E-3</v>
      </c>
      <c r="M145">
        <v>1.8839200000000001E-3</v>
      </c>
      <c r="N145">
        <v>1.8744600000000001E-3</v>
      </c>
      <c r="O145">
        <v>1.78963E-3</v>
      </c>
      <c r="P145">
        <v>1.7033700000000001E-3</v>
      </c>
    </row>
    <row r="146" spans="1:16">
      <c r="A146" t="s">
        <v>606</v>
      </c>
      <c r="B146" t="s">
        <v>1</v>
      </c>
      <c r="C146" t="s">
        <v>157</v>
      </c>
      <c r="D146" t="s">
        <v>430</v>
      </c>
      <c r="E146" t="s">
        <v>551</v>
      </c>
      <c r="F146">
        <v>1.72737E-3</v>
      </c>
      <c r="G146">
        <v>4.4150700000000001E-3</v>
      </c>
      <c r="H146">
        <v>3.7325700000000002E-3</v>
      </c>
      <c r="I146">
        <v>3.78657E-3</v>
      </c>
      <c r="J146">
        <v>3.8269699999999999E-3</v>
      </c>
      <c r="K146">
        <v>3.7765199999999998E-3</v>
      </c>
      <c r="L146">
        <v>3.7168499999999998E-3</v>
      </c>
      <c r="M146">
        <v>3.6635000000000001E-3</v>
      </c>
      <c r="N146">
        <v>3.5690499999999998E-3</v>
      </c>
      <c r="O146">
        <v>3.4641799999999999E-3</v>
      </c>
      <c r="P146">
        <v>3.3217099999999999E-3</v>
      </c>
    </row>
    <row r="147" spans="1:16">
      <c r="A147" t="s">
        <v>606</v>
      </c>
      <c r="B147" t="s">
        <v>1</v>
      </c>
      <c r="C147" t="s">
        <v>158</v>
      </c>
      <c r="D147" t="s">
        <v>430</v>
      </c>
      <c r="E147" s="83" t="s">
        <v>552</v>
      </c>
      <c r="F147">
        <v>0</v>
      </c>
      <c r="G147">
        <v>0</v>
      </c>
      <c r="H147">
        <v>0</v>
      </c>
      <c r="I147" s="63">
        <v>0</v>
      </c>
      <c r="J147" s="63">
        <v>5.2522300000000001E-4</v>
      </c>
      <c r="K147">
        <v>3.7587599999999999E-3</v>
      </c>
      <c r="L147">
        <v>6.5041500000000002E-3</v>
      </c>
      <c r="M147">
        <v>8.9259200000000004E-3</v>
      </c>
      <c r="N147">
        <v>8.7477800000000001E-3</v>
      </c>
      <c r="O147">
        <v>8.6114999999999994E-3</v>
      </c>
      <c r="P147">
        <v>8.2711499999999997E-3</v>
      </c>
    </row>
    <row r="148" spans="1:16">
      <c r="A148" t="s">
        <v>606</v>
      </c>
      <c r="B148" t="s">
        <v>1</v>
      </c>
      <c r="C148" t="s">
        <v>159</v>
      </c>
      <c r="D148" t="s">
        <v>430</v>
      </c>
      <c r="E148" t="s">
        <v>553</v>
      </c>
      <c r="F148">
        <v>0</v>
      </c>
      <c r="G148">
        <v>0</v>
      </c>
      <c r="H148">
        <v>0</v>
      </c>
      <c r="I148">
        <v>0</v>
      </c>
      <c r="J148">
        <v>1.17537E-3</v>
      </c>
      <c r="K148">
        <v>6.3041900000000003E-3</v>
      </c>
      <c r="L148">
        <v>8.81791E-3</v>
      </c>
      <c r="M148">
        <v>1.04502E-2</v>
      </c>
      <c r="N148">
        <v>1.0484500000000001E-2</v>
      </c>
      <c r="O148">
        <v>1.0310700000000001E-2</v>
      </c>
      <c r="P148">
        <v>1.0155000000000001E-2</v>
      </c>
    </row>
    <row r="149" spans="1:16">
      <c r="A149" t="s">
        <v>606</v>
      </c>
      <c r="B149" t="s">
        <v>1</v>
      </c>
      <c r="C149" t="s">
        <v>160</v>
      </c>
      <c r="D149" t="s">
        <v>430</v>
      </c>
      <c r="E149" s="83" t="s">
        <v>554</v>
      </c>
      <c r="F149">
        <v>0</v>
      </c>
      <c r="G149">
        <v>0</v>
      </c>
      <c r="H149">
        <v>0</v>
      </c>
      <c r="I149" s="63">
        <v>0</v>
      </c>
      <c r="J149" s="63">
        <v>7.3175400000000004E-4</v>
      </c>
      <c r="K149">
        <v>6.0719270000000004E-3</v>
      </c>
      <c r="L149">
        <v>1.2679407E-2</v>
      </c>
      <c r="M149">
        <v>1.7491019E-2</v>
      </c>
      <c r="N149">
        <v>2.0810235E-2</v>
      </c>
      <c r="O149">
        <v>2.1614593000000001E-2</v>
      </c>
      <c r="P149">
        <v>2.151745E-2</v>
      </c>
    </row>
    <row r="150" spans="1:16">
      <c r="A150" t="s">
        <v>606</v>
      </c>
      <c r="B150" t="s">
        <v>1</v>
      </c>
      <c r="C150" t="s">
        <v>160</v>
      </c>
      <c r="D150" t="s">
        <v>430</v>
      </c>
      <c r="E150" s="83" t="s">
        <v>555</v>
      </c>
      <c r="F150">
        <v>0</v>
      </c>
      <c r="G150">
        <v>0</v>
      </c>
      <c r="H150">
        <v>0</v>
      </c>
      <c r="I150" s="63">
        <v>0</v>
      </c>
      <c r="J150" s="63">
        <v>2.7985599999999998E-4</v>
      </c>
      <c r="K150">
        <v>2.736718E-3</v>
      </c>
      <c r="L150">
        <v>6.2257240000000002E-3</v>
      </c>
      <c r="M150">
        <v>9.1817940000000001E-3</v>
      </c>
      <c r="N150">
        <v>1.1715791E-2</v>
      </c>
      <c r="O150">
        <v>1.2938895000000001E-2</v>
      </c>
      <c r="P150">
        <v>1.3623135999999999E-2</v>
      </c>
    </row>
    <row r="151" spans="1:16">
      <c r="E151" s="87" t="s">
        <v>574</v>
      </c>
      <c r="F151" s="62"/>
      <c r="G151" s="62"/>
      <c r="H151" s="62"/>
      <c r="I151" s="62">
        <f>SUM(I143,I145:I146,I148)</f>
        <v>7.9864199999999993E-3</v>
      </c>
      <c r="J151" s="62">
        <f t="shared" ref="J151:P151" si="37">SUM(J143,J145:J146,J148)</f>
        <v>9.3323900000000012E-3</v>
      </c>
      <c r="K151" s="62">
        <f t="shared" si="37"/>
        <v>1.5096479999999999E-2</v>
      </c>
      <c r="L151" s="62">
        <f t="shared" si="37"/>
        <v>1.797491E-2</v>
      </c>
      <c r="M151" s="62">
        <f t="shared" si="37"/>
        <v>1.9897160000000001E-2</v>
      </c>
      <c r="N151" s="62">
        <f t="shared" si="37"/>
        <v>1.992408E-2</v>
      </c>
      <c r="O151" s="62">
        <f t="shared" si="37"/>
        <v>1.9586020000000003E-2</v>
      </c>
      <c r="P151" s="62">
        <f t="shared" si="37"/>
        <v>1.9196150000000002E-2</v>
      </c>
    </row>
    <row r="152" spans="1:16" s="62" customFormat="1">
      <c r="E152" s="62" t="s">
        <v>575</v>
      </c>
      <c r="F152" s="62">
        <f>SUM(F143:F150,F146:F147,F149:F150)</f>
        <v>5.3705179999999995E-3</v>
      </c>
      <c r="G152" s="62">
        <f t="shared" ref="G152:H152" si="38">SUM(G143:G144,G146:G147,G149:G150)</f>
        <v>7.55385E-3</v>
      </c>
      <c r="H152" s="62">
        <f t="shared" si="38"/>
        <v>6.38618E-3</v>
      </c>
      <c r="I152" s="63">
        <f t="shared" ref="I152:J152" si="39">SUM(I144,I147,I149:I150)</f>
        <v>0</v>
      </c>
      <c r="J152" s="63">
        <f t="shared" si="39"/>
        <v>1.5410535499999999E-3</v>
      </c>
      <c r="K152" s="63">
        <f>SUM(K144,K147,K149:K150)</f>
        <v>1.2648769210000001E-2</v>
      </c>
      <c r="L152" s="63">
        <f t="shared" ref="L152:P152" si="40">SUM(L144,L147,L149:L150)</f>
        <v>2.5691769730000001E-2</v>
      </c>
      <c r="M152" s="63">
        <f t="shared" si="40"/>
        <v>3.6383186970000002E-2</v>
      </c>
      <c r="N152" s="63">
        <f t="shared" si="40"/>
        <v>4.2685879879999999E-2</v>
      </c>
      <c r="O152" s="63">
        <f t="shared" si="40"/>
        <v>4.5169153480000002E-2</v>
      </c>
      <c r="P152" s="63">
        <f t="shared" si="40"/>
        <v>4.5871086516999997E-2</v>
      </c>
    </row>
    <row r="153" spans="1:16">
      <c r="E153" s="62" t="s">
        <v>560</v>
      </c>
      <c r="F153" s="62">
        <f>SUM(F143:F150)</f>
        <v>3.6431479999999997E-3</v>
      </c>
      <c r="G153" s="62">
        <f t="shared" ref="G153:P153" si="41">SUM(G143:G150)</f>
        <v>9.31184E-3</v>
      </c>
      <c r="H153" s="62">
        <f t="shared" si="41"/>
        <v>7.8724699999999995E-3</v>
      </c>
      <c r="I153" s="62">
        <f t="shared" si="41"/>
        <v>7.9864199999999993E-3</v>
      </c>
      <c r="J153" s="62">
        <f t="shared" si="41"/>
        <v>1.087344355E-2</v>
      </c>
      <c r="K153" s="62">
        <f t="shared" si="41"/>
        <v>2.774524921E-2</v>
      </c>
      <c r="L153" s="62">
        <f t="shared" si="41"/>
        <v>4.3666679730000005E-2</v>
      </c>
      <c r="M153" s="62">
        <f t="shared" si="41"/>
        <v>5.6280346969999999E-2</v>
      </c>
      <c r="N153" s="62">
        <f t="shared" si="41"/>
        <v>6.2609959879999996E-2</v>
      </c>
      <c r="O153" s="62">
        <f t="shared" si="41"/>
        <v>6.4755173479999997E-2</v>
      </c>
      <c r="P153" s="62">
        <f t="shared" si="41"/>
        <v>6.5067236516999999E-2</v>
      </c>
    </row>
    <row r="158" spans="1:16">
      <c r="A158" t="s">
        <v>559</v>
      </c>
    </row>
    <row r="162" spans="1:36">
      <c r="A162" s="13" t="s">
        <v>640</v>
      </c>
      <c r="B162" s="13"/>
      <c r="C162" s="13"/>
      <c r="D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</row>
    <row r="163" spans="1:36">
      <c r="A163" s="13" t="s">
        <v>589</v>
      </c>
      <c r="B163" s="13"/>
      <c r="C163" s="13"/>
      <c r="D163" s="13"/>
      <c r="E163" s="13"/>
      <c r="F163" s="62">
        <v>1990</v>
      </c>
      <c r="G163" s="62">
        <v>2005</v>
      </c>
      <c r="H163" s="62">
        <v>2010</v>
      </c>
      <c r="I163" s="62">
        <v>2015</v>
      </c>
      <c r="J163" s="62">
        <v>2020</v>
      </c>
      <c r="K163" s="62">
        <v>2025</v>
      </c>
      <c r="L163" s="62">
        <v>2030</v>
      </c>
      <c r="M163" s="62">
        <v>2035</v>
      </c>
      <c r="N163" s="62">
        <v>2040</v>
      </c>
      <c r="O163" s="62">
        <v>2045</v>
      </c>
      <c r="P163" s="62">
        <v>2050</v>
      </c>
      <c r="S163" s="62">
        <v>2015</v>
      </c>
      <c r="T163" s="62">
        <v>2020</v>
      </c>
      <c r="U163" s="62">
        <v>2025</v>
      </c>
      <c r="V163" s="62">
        <v>2030</v>
      </c>
      <c r="W163" s="62">
        <v>2035</v>
      </c>
      <c r="X163" s="62">
        <v>2040</v>
      </c>
      <c r="Y163" s="62">
        <v>2045</v>
      </c>
      <c r="Z163" s="62">
        <v>2050</v>
      </c>
      <c r="AC163">
        <v>0</v>
      </c>
      <c r="AD163">
        <v>1.6938646500000001E-4</v>
      </c>
      <c r="AE163">
        <v>7.0357895710000001E-4</v>
      </c>
      <c r="AF163">
        <v>1.4143183042E-3</v>
      </c>
      <c r="AG163">
        <v>2.0783225058999899E-3</v>
      </c>
      <c r="AH163">
        <v>2.3918310840999987E-3</v>
      </c>
      <c r="AI163">
        <v>2.7499711802000002E-3</v>
      </c>
      <c r="AJ163">
        <v>3.0870631312300001E-3</v>
      </c>
    </row>
    <row r="164" spans="1:36">
      <c r="A164" s="13" t="s">
        <v>606</v>
      </c>
      <c r="B164" s="13" t="s">
        <v>1</v>
      </c>
      <c r="C164" s="13" t="s">
        <v>544</v>
      </c>
      <c r="D164" s="13" t="s">
        <v>140</v>
      </c>
      <c r="E164" s="13" t="s">
        <v>544</v>
      </c>
      <c r="F164" s="13">
        <v>0</v>
      </c>
      <c r="G164" s="63">
        <v>0</v>
      </c>
      <c r="H164" s="13">
        <v>0</v>
      </c>
      <c r="I164" s="13">
        <v>0</v>
      </c>
      <c r="J164" s="63">
        <v>9.5824699999999996E-4</v>
      </c>
      <c r="K164" s="13">
        <v>7.2607499999999998E-3</v>
      </c>
      <c r="L164" s="13">
        <v>2.1065500000000001E-2</v>
      </c>
      <c r="M164">
        <v>5.1795599999999997E-2</v>
      </c>
      <c r="N164">
        <v>9.6613000000000004E-2</v>
      </c>
      <c r="O164">
        <v>0.13522100000000001</v>
      </c>
      <c r="P164">
        <v>0.17447799999999999</v>
      </c>
      <c r="R164" t="s">
        <v>642</v>
      </c>
      <c r="S164">
        <f>SUM(I166:I168)</f>
        <v>0</v>
      </c>
      <c r="T164" s="62">
        <f t="shared" ref="T164:Z164" si="42">SUM(J166:J168)</f>
        <v>3.7311720000000003E-4</v>
      </c>
      <c r="U164" s="62">
        <f t="shared" si="42"/>
        <v>4.5479658700000002E-3</v>
      </c>
      <c r="V164" s="62">
        <f t="shared" si="42"/>
        <v>1.3030372809999991E-2</v>
      </c>
      <c r="W164" s="62">
        <f t="shared" si="42"/>
        <v>2.4097531149999997E-2</v>
      </c>
      <c r="X164" s="62">
        <f t="shared" si="42"/>
        <v>3.7668685100000002E-2</v>
      </c>
      <c r="Y164" s="62">
        <f t="shared" si="42"/>
        <v>4.5427206649999906E-2</v>
      </c>
      <c r="Z164" s="62">
        <f t="shared" si="42"/>
        <v>5.0200330180000002E-2</v>
      </c>
      <c r="AC164" s="62" t="s">
        <v>642</v>
      </c>
      <c r="AD164" s="62" t="s">
        <v>641</v>
      </c>
      <c r="AE164" s="62" t="s">
        <v>643</v>
      </c>
      <c r="AF164" s="62" t="s">
        <v>644</v>
      </c>
      <c r="AG164" s="62" t="s">
        <v>645</v>
      </c>
    </row>
    <row r="165" spans="1:36">
      <c r="A165" s="13" t="s">
        <v>606</v>
      </c>
      <c r="B165" s="13" t="s">
        <v>1</v>
      </c>
      <c r="C165" s="13" t="s">
        <v>544</v>
      </c>
      <c r="D165" s="13" t="s">
        <v>544</v>
      </c>
      <c r="E165" s="13" t="s">
        <v>2</v>
      </c>
      <c r="F165" s="13">
        <v>0</v>
      </c>
      <c r="G165" s="63">
        <v>0</v>
      </c>
      <c r="H165" s="13">
        <v>0</v>
      </c>
      <c r="I165" s="13">
        <v>0</v>
      </c>
      <c r="J165" s="63">
        <v>9.5824699999999996E-4</v>
      </c>
      <c r="K165" s="13">
        <v>7.2607499999999998E-3</v>
      </c>
      <c r="L165" s="13">
        <v>2.1065500000000001E-2</v>
      </c>
      <c r="M165">
        <v>5.1795599999999997E-2</v>
      </c>
      <c r="N165">
        <v>9.6613000000000004E-2</v>
      </c>
      <c r="O165">
        <v>0.13522100000000001</v>
      </c>
      <c r="P165">
        <v>0.17447799999999999</v>
      </c>
      <c r="R165" t="s">
        <v>641</v>
      </c>
      <c r="S165">
        <v>0</v>
      </c>
      <c r="T165" s="62">
        <v>0</v>
      </c>
      <c r="U165" s="62">
        <v>0</v>
      </c>
      <c r="V165" s="62">
        <v>0</v>
      </c>
      <c r="W165" s="62">
        <v>0</v>
      </c>
      <c r="X165" s="62">
        <v>0</v>
      </c>
      <c r="Y165" s="62">
        <v>0</v>
      </c>
      <c r="Z165" s="62">
        <v>0</v>
      </c>
      <c r="AC165" s="27">
        <v>0</v>
      </c>
      <c r="AD165" s="27">
        <v>0</v>
      </c>
      <c r="AE165" s="27">
        <v>0</v>
      </c>
      <c r="AF165" s="27">
        <v>0</v>
      </c>
      <c r="AG165" s="27">
        <v>0</v>
      </c>
    </row>
    <row r="166" spans="1:36">
      <c r="A166" s="13" t="s">
        <v>606</v>
      </c>
      <c r="B166" s="13" t="s">
        <v>1</v>
      </c>
      <c r="C166" s="13" t="s">
        <v>554</v>
      </c>
      <c r="D166" s="13" t="s">
        <v>2</v>
      </c>
      <c r="E166" s="13" t="s">
        <v>160</v>
      </c>
      <c r="F166" s="13">
        <v>0</v>
      </c>
      <c r="G166" s="63">
        <v>0</v>
      </c>
      <c r="H166" s="13">
        <v>0</v>
      </c>
      <c r="I166" s="13">
        <v>0</v>
      </c>
      <c r="J166" s="63">
        <v>2.64932E-4</v>
      </c>
      <c r="K166" s="13">
        <v>3.0621730000000001E-3</v>
      </c>
      <c r="L166" s="13">
        <v>8.4920689999999997E-3</v>
      </c>
      <c r="M166">
        <v>1.5131173499999999E-2</v>
      </c>
      <c r="N166">
        <v>2.27514259E-2</v>
      </c>
      <c r="O166">
        <v>2.6590586999999999E-2</v>
      </c>
      <c r="P166">
        <v>2.8655969999999999E-2</v>
      </c>
      <c r="R166" t="s">
        <v>643</v>
      </c>
      <c r="S166">
        <f>I170</f>
        <v>0</v>
      </c>
      <c r="T166" s="62">
        <f t="shared" ref="T166:Z166" si="43">J170</f>
        <v>4.5020800000000001E-4</v>
      </c>
      <c r="U166" s="62">
        <f t="shared" si="43"/>
        <v>3.7202509999999999E-3</v>
      </c>
      <c r="V166" s="62">
        <f t="shared" si="43"/>
        <v>9.6094449999999994E-3</v>
      </c>
      <c r="W166" s="62">
        <f t="shared" si="43"/>
        <v>2.4222681999999999E-2</v>
      </c>
      <c r="X166" s="62">
        <f t="shared" si="43"/>
        <v>4.5396032000000003E-2</v>
      </c>
      <c r="Y166" s="62">
        <f t="shared" si="43"/>
        <v>6.6204000799999996E-2</v>
      </c>
      <c r="Z166" s="62">
        <f t="shared" si="43"/>
        <v>8.8846513199999894E-2</v>
      </c>
      <c r="AC166" s="27">
        <v>3.7311720000000003E-4</v>
      </c>
      <c r="AD166" s="27">
        <v>0</v>
      </c>
      <c r="AE166" s="27">
        <v>4.5020800000000001E-4</v>
      </c>
      <c r="AF166" s="27">
        <v>4.777688E-4</v>
      </c>
      <c r="AG166" s="27">
        <v>1.6938646500000001E-4</v>
      </c>
    </row>
    <row r="167" spans="1:36">
      <c r="A167" s="13" t="s">
        <v>606</v>
      </c>
      <c r="B167" s="13" t="s">
        <v>1</v>
      </c>
      <c r="C167" s="13" t="s">
        <v>555</v>
      </c>
      <c r="D167" s="13" t="s">
        <v>2</v>
      </c>
      <c r="E167" s="13" t="s">
        <v>160</v>
      </c>
      <c r="F167" s="13">
        <v>0</v>
      </c>
      <c r="G167" s="63">
        <v>0</v>
      </c>
      <c r="H167" s="13">
        <v>0</v>
      </c>
      <c r="I167" s="13">
        <v>0</v>
      </c>
      <c r="J167" s="63">
        <v>1.0210200000000001E-4</v>
      </c>
      <c r="K167" s="13">
        <v>1.3926886E-3</v>
      </c>
      <c r="L167" s="13">
        <v>4.2182730999999899E-3</v>
      </c>
      <c r="M167">
        <v>8.0904780999999995E-3</v>
      </c>
      <c r="N167">
        <v>1.31087902E-2</v>
      </c>
      <c r="O167">
        <v>1.6161540999999901E-2</v>
      </c>
      <c r="P167">
        <v>1.8204522000000001E-2</v>
      </c>
      <c r="R167" t="s">
        <v>644</v>
      </c>
      <c r="S167">
        <f>I173</f>
        <v>0</v>
      </c>
      <c r="T167" s="62">
        <f t="shared" ref="T167:Z167" si="44">J173</f>
        <v>4.777688E-4</v>
      </c>
      <c r="U167" s="62">
        <f t="shared" si="44"/>
        <v>2.0475225000000001E-3</v>
      </c>
      <c r="V167" s="62">
        <f t="shared" si="44"/>
        <v>7.5044973000000003E-3</v>
      </c>
      <c r="W167" s="62">
        <f t="shared" si="44"/>
        <v>2.6142399899999998E-2</v>
      </c>
      <c r="X167" s="62">
        <f t="shared" si="44"/>
        <v>5.7667533699999898E-2</v>
      </c>
      <c r="Y167" s="62">
        <f t="shared" si="44"/>
        <v>8.5991229399999994E-2</v>
      </c>
      <c r="Z167" s="62">
        <f t="shared" si="44"/>
        <v>0.11606614326</v>
      </c>
      <c r="AC167" s="27">
        <v>4.5479658700000002E-3</v>
      </c>
      <c r="AD167" s="27">
        <v>0</v>
      </c>
      <c r="AE167" s="27">
        <v>3.7202509999999999E-3</v>
      </c>
      <c r="AF167" s="27">
        <v>2.0475225000000001E-3</v>
      </c>
      <c r="AG167" s="27">
        <v>7.0357895710000001E-4</v>
      </c>
    </row>
    <row r="168" spans="1:36">
      <c r="A168" s="13" t="s">
        <v>606</v>
      </c>
      <c r="B168" s="13" t="s">
        <v>1</v>
      </c>
      <c r="C168" s="13" t="s">
        <v>549</v>
      </c>
      <c r="D168" s="13" t="s">
        <v>2</v>
      </c>
      <c r="E168" s="13" t="s">
        <v>156</v>
      </c>
      <c r="F168" s="13">
        <v>0</v>
      </c>
      <c r="G168" s="63">
        <v>0</v>
      </c>
      <c r="H168" s="63">
        <v>0</v>
      </c>
      <c r="I168" s="63">
        <v>0</v>
      </c>
      <c r="J168" s="63">
        <v>6.0831999999999996E-6</v>
      </c>
      <c r="K168" s="63">
        <v>9.310427E-5</v>
      </c>
      <c r="L168" s="63">
        <v>3.2003070999999999E-4</v>
      </c>
      <c r="M168" s="63">
        <v>8.7587954999999995E-4</v>
      </c>
      <c r="N168">
        <v>1.808469E-3</v>
      </c>
      <c r="O168">
        <v>2.67507865E-3</v>
      </c>
      <c r="P168">
        <v>3.3398381800000001E-3</v>
      </c>
      <c r="R168" t="s">
        <v>645</v>
      </c>
      <c r="S168" s="63">
        <f>SUM(I169,I171,I172,I174)</f>
        <v>0</v>
      </c>
      <c r="T168" s="63">
        <f t="shared" ref="T168:Z168" si="45">SUM(J169,J171,J172,J174)</f>
        <v>1.6938646500000001E-4</v>
      </c>
      <c r="U168" s="63">
        <f t="shared" si="45"/>
        <v>7.0357895710000001E-4</v>
      </c>
      <c r="V168" s="63">
        <f t="shared" si="45"/>
        <v>1.4143183042E-3</v>
      </c>
      <c r="W168" s="63">
        <f t="shared" si="45"/>
        <v>2.0783225058999899E-3</v>
      </c>
      <c r="X168" s="63">
        <f t="shared" si="45"/>
        <v>2.3918310840999987E-3</v>
      </c>
      <c r="Y168" s="63">
        <f t="shared" si="45"/>
        <v>2.7499711802000002E-3</v>
      </c>
      <c r="Z168" s="63">
        <f t="shared" si="45"/>
        <v>3.0870631312300001E-3</v>
      </c>
      <c r="AC168" s="27">
        <v>1.3030372809999991E-2</v>
      </c>
      <c r="AD168" s="27">
        <v>0</v>
      </c>
      <c r="AE168" s="27">
        <v>9.6094449999999994E-3</v>
      </c>
      <c r="AF168" s="27">
        <v>7.5044973000000003E-3</v>
      </c>
      <c r="AG168" s="27">
        <v>1.4143183042E-3</v>
      </c>
    </row>
    <row r="169" spans="1:36">
      <c r="A169" s="13" t="s">
        <v>606</v>
      </c>
      <c r="B169" s="13" t="s">
        <v>1</v>
      </c>
      <c r="C169" s="13" t="s">
        <v>65</v>
      </c>
      <c r="D169" s="13" t="s">
        <v>2</v>
      </c>
      <c r="E169" s="13" t="s">
        <v>64</v>
      </c>
      <c r="F169" s="13">
        <v>0</v>
      </c>
      <c r="G169" s="63">
        <v>0</v>
      </c>
      <c r="H169" s="63">
        <v>0</v>
      </c>
      <c r="I169" s="63">
        <v>0</v>
      </c>
      <c r="J169" s="63">
        <v>3.6187399999999998E-5</v>
      </c>
      <c r="K169" s="63">
        <v>2.4695700000000001E-4</v>
      </c>
      <c r="L169" s="63">
        <v>5.5515700000000002E-4</v>
      </c>
      <c r="M169" s="63">
        <v>8.6625790000000003E-4</v>
      </c>
      <c r="N169">
        <v>1.0585261E-3</v>
      </c>
      <c r="O169">
        <v>1.2887669999999999E-3</v>
      </c>
      <c r="P169">
        <v>1.4777742999999999E-3</v>
      </c>
      <c r="R169" t="s">
        <v>646</v>
      </c>
      <c r="S169">
        <f>SUM(S164:S168)</f>
        <v>0</v>
      </c>
      <c r="T169" s="62">
        <f t="shared" ref="T169:Z169" si="46">SUM(T164:T168)</f>
        <v>1.470480465E-3</v>
      </c>
      <c r="U169" s="62">
        <f t="shared" si="46"/>
        <v>1.10193183271E-2</v>
      </c>
      <c r="V169" s="62">
        <f t="shared" si="46"/>
        <v>3.1558633414199989E-2</v>
      </c>
      <c r="W169" s="62">
        <f t="shared" si="46"/>
        <v>7.6540935555899997E-2</v>
      </c>
      <c r="X169" s="62">
        <f t="shared" si="46"/>
        <v>0.14312408188409989</v>
      </c>
      <c r="Y169" s="62">
        <f t="shared" si="46"/>
        <v>0.20037240803019993</v>
      </c>
      <c r="Z169" s="62">
        <f t="shared" si="46"/>
        <v>0.2582000497712299</v>
      </c>
      <c r="AA169" s="63"/>
      <c r="AB169" s="63"/>
      <c r="AC169" s="27">
        <v>2.4097531149999997E-2</v>
      </c>
      <c r="AD169" s="27">
        <v>0</v>
      </c>
      <c r="AE169" s="27">
        <v>2.4222681999999999E-2</v>
      </c>
      <c r="AF169" s="27">
        <v>2.6142399899999998E-2</v>
      </c>
      <c r="AG169" s="27">
        <v>2.0783225058999899E-3</v>
      </c>
    </row>
    <row r="170" spans="1:36">
      <c r="A170" s="13" t="s">
        <v>606</v>
      </c>
      <c r="B170" s="13" t="s">
        <v>1</v>
      </c>
      <c r="C170" s="13" t="s">
        <v>65</v>
      </c>
      <c r="D170" s="13" t="s">
        <v>2</v>
      </c>
      <c r="E170" s="13" t="s">
        <v>56</v>
      </c>
      <c r="F170" s="13">
        <v>0</v>
      </c>
      <c r="G170" s="63">
        <v>0</v>
      </c>
      <c r="H170" s="13">
        <v>0</v>
      </c>
      <c r="I170" s="13">
        <v>0</v>
      </c>
      <c r="J170" s="63">
        <v>4.5020800000000001E-4</v>
      </c>
      <c r="K170" s="13">
        <v>3.7202509999999999E-3</v>
      </c>
      <c r="L170" s="13">
        <v>9.6094449999999994E-3</v>
      </c>
      <c r="M170">
        <v>2.4222681999999999E-2</v>
      </c>
      <c r="N170">
        <v>4.5396032000000003E-2</v>
      </c>
      <c r="O170">
        <v>6.6204000799999996E-2</v>
      </c>
      <c r="P170">
        <v>8.8846513199999894E-2</v>
      </c>
      <c r="R170" t="s">
        <v>647</v>
      </c>
      <c r="S170">
        <f>SUM(I166:I174)</f>
        <v>0</v>
      </c>
      <c r="T170" s="62">
        <f t="shared" ref="T170:Z170" si="47">SUM(J166:J174)</f>
        <v>1.470480465E-3</v>
      </c>
      <c r="U170" s="62">
        <f t="shared" si="47"/>
        <v>1.10193183271E-2</v>
      </c>
      <c r="V170" s="62">
        <f t="shared" si="47"/>
        <v>3.1558633414199989E-2</v>
      </c>
      <c r="W170" s="62">
        <f t="shared" si="47"/>
        <v>7.6540935555899983E-2</v>
      </c>
      <c r="X170" s="62">
        <f t="shared" si="47"/>
        <v>0.14312408188409989</v>
      </c>
      <c r="Y170" s="62">
        <f t="shared" si="47"/>
        <v>0.20037240803019987</v>
      </c>
      <c r="Z170" s="62">
        <f t="shared" si="47"/>
        <v>0.2582000497712299</v>
      </c>
      <c r="AC170" s="27">
        <v>3.7668685100000002E-2</v>
      </c>
      <c r="AD170" s="27">
        <v>0</v>
      </c>
      <c r="AE170" s="27">
        <v>4.5396032000000003E-2</v>
      </c>
      <c r="AF170" s="27">
        <v>5.7667533699999898E-2</v>
      </c>
      <c r="AG170" s="27">
        <v>2.3918310840999987E-3</v>
      </c>
    </row>
    <row r="171" spans="1:36">
      <c r="A171" s="13" t="s">
        <v>606</v>
      </c>
      <c r="B171" s="13" t="s">
        <v>1</v>
      </c>
      <c r="C171" s="13" t="s">
        <v>65</v>
      </c>
      <c r="D171" s="13" t="s">
        <v>2</v>
      </c>
      <c r="E171" s="13" t="s">
        <v>67</v>
      </c>
      <c r="F171" s="13">
        <v>0</v>
      </c>
      <c r="G171" s="63">
        <v>0</v>
      </c>
      <c r="H171" s="63">
        <v>0</v>
      </c>
      <c r="I171" s="63">
        <v>0</v>
      </c>
      <c r="J171" s="63">
        <v>1.2988100000000001E-4</v>
      </c>
      <c r="K171" s="63">
        <v>4.1902500000000001E-4</v>
      </c>
      <c r="L171" s="63">
        <v>7.7712639999999997E-4</v>
      </c>
      <c r="M171">
        <v>1.0704065999999901E-3</v>
      </c>
      <c r="N171">
        <v>1.1471210999999999E-3</v>
      </c>
      <c r="O171">
        <v>1.2171039000000001E-3</v>
      </c>
      <c r="P171">
        <v>1.2617658E-3</v>
      </c>
      <c r="W171" s="63"/>
      <c r="X171" s="63"/>
      <c r="Y171" s="63"/>
      <c r="Z171" s="63"/>
      <c r="AA171" s="63"/>
      <c r="AB171" s="63"/>
      <c r="AC171" s="27">
        <v>4.5427206649999906E-2</v>
      </c>
      <c r="AD171" s="27">
        <v>0</v>
      </c>
      <c r="AE171" s="27">
        <v>6.6204000799999996E-2</v>
      </c>
      <c r="AF171" s="27">
        <v>8.5991229399999994E-2</v>
      </c>
      <c r="AG171" s="27">
        <v>2.7499711802000002E-3</v>
      </c>
    </row>
    <row r="172" spans="1:36">
      <c r="A172" s="13" t="s">
        <v>606</v>
      </c>
      <c r="B172" s="13" t="s">
        <v>1</v>
      </c>
      <c r="C172" s="13" t="s">
        <v>65</v>
      </c>
      <c r="D172" s="13" t="s">
        <v>2</v>
      </c>
      <c r="E172" s="13" t="s">
        <v>66</v>
      </c>
      <c r="F172" s="13">
        <v>0</v>
      </c>
      <c r="G172" s="63">
        <v>0</v>
      </c>
      <c r="H172" s="63">
        <v>0</v>
      </c>
      <c r="I172" s="63">
        <v>0</v>
      </c>
      <c r="J172" s="63">
        <v>2.6150299999999999E-6</v>
      </c>
      <c r="K172" s="63">
        <v>3.2607999999999997E-5</v>
      </c>
      <c r="L172" s="63">
        <v>7.4416620000000003E-5</v>
      </c>
      <c r="M172" s="63">
        <v>1.17734588E-4</v>
      </c>
      <c r="N172" s="63">
        <v>1.44453089999999E-4</v>
      </c>
      <c r="O172" s="63">
        <v>1.7814592000000001E-4</v>
      </c>
      <c r="P172" s="63">
        <v>2.055514E-4</v>
      </c>
      <c r="W172" s="63"/>
      <c r="X172" s="63"/>
      <c r="Y172" s="63"/>
      <c r="Z172" s="63"/>
      <c r="AC172" s="27">
        <v>5.0200330180000002E-2</v>
      </c>
      <c r="AD172" s="27">
        <v>0</v>
      </c>
      <c r="AE172" s="27">
        <v>8.8846513199999894E-2</v>
      </c>
      <c r="AF172" s="27">
        <v>0.11606614326</v>
      </c>
      <c r="AG172" s="27">
        <v>3.0870631312300001E-3</v>
      </c>
    </row>
    <row r="173" spans="1:36">
      <c r="A173" s="13" t="s">
        <v>606</v>
      </c>
      <c r="B173" s="13" t="s">
        <v>1</v>
      </c>
      <c r="C173" s="13" t="s">
        <v>65</v>
      </c>
      <c r="D173" s="13" t="s">
        <v>2</v>
      </c>
      <c r="E173" s="13" t="s">
        <v>68</v>
      </c>
      <c r="F173" s="13">
        <v>0</v>
      </c>
      <c r="G173" s="63">
        <v>0</v>
      </c>
      <c r="H173" s="13">
        <v>0</v>
      </c>
      <c r="I173" s="13">
        <v>0</v>
      </c>
      <c r="J173" s="63">
        <v>4.777688E-4</v>
      </c>
      <c r="K173" s="13">
        <v>2.0475225000000001E-3</v>
      </c>
      <c r="L173" s="13">
        <v>7.5044973000000003E-3</v>
      </c>
      <c r="M173">
        <v>2.6142399899999998E-2</v>
      </c>
      <c r="N173">
        <v>5.7667533699999898E-2</v>
      </c>
      <c r="O173">
        <v>8.5991229399999994E-2</v>
      </c>
      <c r="P173">
        <v>0.11606614326</v>
      </c>
      <c r="W173" s="63"/>
    </row>
    <row r="174" spans="1:36">
      <c r="A174" s="13" t="s">
        <v>606</v>
      </c>
      <c r="B174" s="13" t="s">
        <v>1</v>
      </c>
      <c r="C174" s="13" t="s">
        <v>65</v>
      </c>
      <c r="D174" s="13" t="s">
        <v>2</v>
      </c>
      <c r="E174" s="13" t="s">
        <v>62</v>
      </c>
      <c r="F174" s="13">
        <v>0</v>
      </c>
      <c r="G174" s="63">
        <v>0</v>
      </c>
      <c r="H174" s="63">
        <v>0</v>
      </c>
      <c r="I174" s="63">
        <v>0</v>
      </c>
      <c r="J174" s="63">
        <v>7.03035E-7</v>
      </c>
      <c r="K174" s="63">
        <v>4.9889570999999998E-6</v>
      </c>
      <c r="L174" s="63">
        <v>7.6182841999999998E-6</v>
      </c>
      <c r="M174" s="63">
        <v>2.39234179E-5</v>
      </c>
      <c r="N174" s="63">
        <v>4.1730794099999999E-5</v>
      </c>
      <c r="O174" s="63">
        <v>6.5954360199999994E-5</v>
      </c>
      <c r="P174" s="63">
        <v>1.4197163123000001E-4</v>
      </c>
      <c r="W174" s="63"/>
    </row>
    <row r="175" spans="1:36">
      <c r="A175" s="13" t="s">
        <v>606</v>
      </c>
      <c r="B175" s="13" t="s">
        <v>1</v>
      </c>
      <c r="C175" s="13" t="s">
        <v>141</v>
      </c>
      <c r="D175" s="13" t="s">
        <v>141</v>
      </c>
      <c r="E175" s="13" t="s">
        <v>2</v>
      </c>
      <c r="F175" s="13">
        <v>0</v>
      </c>
      <c r="G175" s="63">
        <v>0</v>
      </c>
      <c r="H175" s="13">
        <v>0</v>
      </c>
      <c r="I175" s="13">
        <v>0</v>
      </c>
      <c r="J175" s="63">
        <v>5.1223299999999996E-4</v>
      </c>
      <c r="K175" s="13">
        <v>3.7585800000000001E-3</v>
      </c>
      <c r="L175" s="13">
        <v>1.04931E-2</v>
      </c>
      <c r="M175">
        <v>2.4745300000000001E-2</v>
      </c>
      <c r="N175">
        <v>4.6510999999999997E-2</v>
      </c>
      <c r="O175">
        <v>6.5151500000000001E-2</v>
      </c>
      <c r="P175">
        <v>8.3722099999999994E-2</v>
      </c>
    </row>
    <row r="176" spans="1:3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</row>
    <row r="177" spans="1:36">
      <c r="A177" s="62"/>
      <c r="B177" s="13"/>
      <c r="C177" s="13"/>
      <c r="D177" s="13"/>
      <c r="E177" s="13"/>
      <c r="F177" s="62"/>
      <c r="G177" s="63"/>
      <c r="H177" s="62"/>
      <c r="I177" s="62"/>
      <c r="J177" s="62"/>
      <c r="K177" s="62"/>
      <c r="L177" s="62"/>
      <c r="M177" s="62"/>
    </row>
    <row r="178" spans="1:36">
      <c r="A178" s="62"/>
      <c r="B178" s="13"/>
      <c r="C178" s="13"/>
      <c r="D178" s="13"/>
      <c r="E178" s="13"/>
      <c r="F178" s="62"/>
      <c r="G178" s="63"/>
      <c r="H178" s="62"/>
      <c r="I178" s="62"/>
      <c r="J178" s="62"/>
      <c r="K178" s="62"/>
      <c r="L178" s="62"/>
      <c r="M178" s="62"/>
    </row>
    <row r="179" spans="1:36">
      <c r="A179" s="62"/>
      <c r="B179" s="13"/>
      <c r="C179" s="13"/>
      <c r="D179" s="13"/>
      <c r="E179" s="13"/>
      <c r="F179" s="62"/>
      <c r="G179" s="63"/>
      <c r="H179" s="63"/>
      <c r="I179" s="63"/>
      <c r="J179" s="63"/>
      <c r="K179" s="62"/>
      <c r="L179" s="62"/>
      <c r="M179" s="62"/>
    </row>
    <row r="180" spans="1:36">
      <c r="A180" s="62"/>
      <c r="B180" s="13"/>
      <c r="C180" s="13"/>
      <c r="D180" s="13"/>
      <c r="E180" s="13"/>
      <c r="F180" s="62"/>
      <c r="G180" s="63"/>
      <c r="H180" s="62"/>
      <c r="I180" s="62"/>
      <c r="J180" s="62"/>
      <c r="K180" s="62"/>
      <c r="L180" s="62"/>
      <c r="M180" s="62"/>
    </row>
    <row r="181" spans="1:36">
      <c r="A181" s="62"/>
      <c r="B181" s="13"/>
      <c r="C181" s="13"/>
      <c r="D181" s="13"/>
      <c r="E181" s="13"/>
      <c r="F181" s="62"/>
      <c r="G181" s="63"/>
      <c r="H181" s="63"/>
      <c r="I181" s="63"/>
      <c r="J181" s="62"/>
      <c r="K181" s="62"/>
      <c r="L181" s="62"/>
      <c r="M181" s="62"/>
    </row>
    <row r="182" spans="1:36" s="62" customFormat="1">
      <c r="G182" s="63"/>
      <c r="H182" s="63"/>
      <c r="I182" s="63"/>
      <c r="J182" s="63"/>
      <c r="K182" s="63"/>
      <c r="L182" s="63"/>
      <c r="M182" s="63"/>
    </row>
    <row r="183" spans="1:36">
      <c r="A183" s="62"/>
      <c r="B183" s="13"/>
      <c r="C183" s="13"/>
      <c r="D183" s="13"/>
      <c r="E183" s="13"/>
      <c r="F183" s="62"/>
      <c r="G183" s="63"/>
      <c r="H183" s="63"/>
      <c r="I183" s="63"/>
      <c r="J183" s="63"/>
      <c r="K183" s="63"/>
      <c r="L183" s="63"/>
      <c r="M183" s="63"/>
    </row>
    <row r="184" spans="1:36">
      <c r="A184" s="62"/>
      <c r="B184" s="13"/>
      <c r="C184" s="13"/>
      <c r="D184" s="13"/>
      <c r="E184" s="13"/>
      <c r="F184" s="62"/>
      <c r="G184" s="63"/>
      <c r="H184" s="63"/>
      <c r="I184" s="63"/>
      <c r="J184" s="63"/>
      <c r="K184" s="63"/>
      <c r="L184" s="63"/>
      <c r="M184" s="63"/>
    </row>
    <row r="185" spans="1:36">
      <c r="A185" s="62"/>
      <c r="F185" s="62"/>
      <c r="G185" s="63"/>
      <c r="H185" s="63"/>
      <c r="I185" s="63"/>
      <c r="J185" s="63"/>
      <c r="K185" s="63"/>
      <c r="L185" s="63"/>
      <c r="M185" s="63"/>
    </row>
    <row r="186" spans="1:36">
      <c r="A186" s="62"/>
      <c r="F186" s="62"/>
      <c r="G186" s="63"/>
      <c r="H186" s="63"/>
      <c r="I186" s="63"/>
      <c r="J186" s="63"/>
      <c r="K186" s="62"/>
      <c r="L186" s="62"/>
      <c r="M186" s="62"/>
    </row>
    <row r="187" spans="1:36">
      <c r="A187" s="62"/>
      <c r="F187" s="62"/>
      <c r="G187" s="63"/>
      <c r="H187" s="62"/>
      <c r="I187" s="62"/>
      <c r="J187" s="62"/>
      <c r="K187" s="62"/>
      <c r="L187" s="62"/>
      <c r="M187" s="62"/>
    </row>
    <row r="188" spans="1:36">
      <c r="A188" s="62"/>
      <c r="F188" s="62"/>
      <c r="G188" s="63"/>
      <c r="H188" s="62"/>
      <c r="I188" s="62"/>
      <c r="J188" s="62"/>
      <c r="K188" s="62"/>
      <c r="L188" s="62"/>
      <c r="M188" s="62"/>
    </row>
    <row r="189" spans="1:36"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</row>
    <row r="190" spans="1:36">
      <c r="R190" s="62"/>
      <c r="S190" s="62">
        <v>2015</v>
      </c>
      <c r="T190" s="62">
        <v>2020</v>
      </c>
      <c r="U190" s="62">
        <v>2025</v>
      </c>
      <c r="V190" s="62">
        <v>2030</v>
      </c>
      <c r="W190" s="62">
        <v>2035</v>
      </c>
      <c r="X190" s="62">
        <v>2040</v>
      </c>
      <c r="Y190" s="62">
        <v>2045</v>
      </c>
      <c r="Z190" s="62">
        <v>2050</v>
      </c>
      <c r="AC190">
        <v>0</v>
      </c>
      <c r="AD190">
        <v>1.6906811900000001E-4</v>
      </c>
      <c r="AE190">
        <v>7.3489274199999911E-4</v>
      </c>
      <c r="AF190">
        <v>1.4616073489999988E-3</v>
      </c>
      <c r="AG190">
        <v>2.3651732169999999E-3</v>
      </c>
      <c r="AH190">
        <v>3.6275748870000001E-3</v>
      </c>
      <c r="AI190">
        <v>6.3133698399999985E-3</v>
      </c>
      <c r="AJ190">
        <v>1.53453211704E-2</v>
      </c>
    </row>
    <row r="191" spans="1:36">
      <c r="A191" t="s">
        <v>607</v>
      </c>
      <c r="B191" t="s">
        <v>1</v>
      </c>
      <c r="C191" t="s">
        <v>544</v>
      </c>
      <c r="D191" t="s">
        <v>140</v>
      </c>
      <c r="E191" t="s">
        <v>544</v>
      </c>
      <c r="F191">
        <v>0</v>
      </c>
      <c r="G191">
        <v>0</v>
      </c>
      <c r="H191">
        <v>0</v>
      </c>
      <c r="I191">
        <v>0</v>
      </c>
      <c r="J191">
        <v>1.2147799999999999E-3</v>
      </c>
      <c r="K191">
        <v>1.01765E-2</v>
      </c>
      <c r="L191">
        <v>4.7056899999999999E-2</v>
      </c>
      <c r="M191">
        <v>0.13966999999999999</v>
      </c>
      <c r="N191">
        <v>0.31562800000000002</v>
      </c>
      <c r="O191">
        <v>0.51789300000000005</v>
      </c>
      <c r="P191">
        <v>0.88192300000000001</v>
      </c>
      <c r="R191" s="62" t="s">
        <v>642</v>
      </c>
      <c r="S191" s="62">
        <f>SUM(I194,I196,I197)</f>
        <v>0</v>
      </c>
      <c r="T191" s="62">
        <f t="shared" ref="T191:Z191" si="48">SUM(J194,J196,J197)</f>
        <v>7.7505400000000006E-4</v>
      </c>
      <c r="U191" s="62">
        <f t="shared" si="48"/>
        <v>1.1110350799999998E-2</v>
      </c>
      <c r="V191" s="62">
        <f t="shared" si="48"/>
        <v>3.1545453000000001E-2</v>
      </c>
      <c r="W191" s="62">
        <f t="shared" si="48"/>
        <v>6.0471210500000004E-2</v>
      </c>
      <c r="X191" s="62">
        <f t="shared" si="48"/>
        <v>9.7870686389999989E-2</v>
      </c>
      <c r="Y191" s="62">
        <f t="shared" si="48"/>
        <v>0.1246777112899999</v>
      </c>
      <c r="Z191" s="62">
        <f t="shared" si="48"/>
        <v>0.14900690700999991</v>
      </c>
      <c r="AC191" s="62" t="s">
        <v>642</v>
      </c>
      <c r="AD191" s="62" t="s">
        <v>641</v>
      </c>
      <c r="AE191" s="62" t="s">
        <v>643</v>
      </c>
      <c r="AF191" s="62" t="s">
        <v>644</v>
      </c>
      <c r="AG191" s="62" t="s">
        <v>645</v>
      </c>
    </row>
    <row r="192" spans="1:36">
      <c r="A192" t="s">
        <v>607</v>
      </c>
      <c r="B192" t="s">
        <v>1</v>
      </c>
      <c r="C192" t="s">
        <v>544</v>
      </c>
      <c r="D192" t="s">
        <v>544</v>
      </c>
      <c r="E192" t="s">
        <v>2</v>
      </c>
      <c r="F192">
        <v>0</v>
      </c>
      <c r="G192">
        <v>0</v>
      </c>
      <c r="H192">
        <v>0</v>
      </c>
      <c r="I192">
        <v>0</v>
      </c>
      <c r="J192">
        <v>1.2147799999999999E-3</v>
      </c>
      <c r="K192">
        <v>1.01765E-2</v>
      </c>
      <c r="L192">
        <v>4.7056899999999999E-2</v>
      </c>
      <c r="M192">
        <v>0.13966999999999999</v>
      </c>
      <c r="N192">
        <v>0.31562800000000002</v>
      </c>
      <c r="O192">
        <v>0.51789300000000005</v>
      </c>
      <c r="P192">
        <v>0.88192300000000001</v>
      </c>
      <c r="R192" s="62" t="s">
        <v>641</v>
      </c>
      <c r="S192" s="63">
        <f>SUM(I193,I195)</f>
        <v>0</v>
      </c>
      <c r="T192" s="63">
        <f t="shared" ref="T192:Z192" si="49">SUM(J193,J195)</f>
        <v>0</v>
      </c>
      <c r="U192" s="63">
        <f t="shared" si="49"/>
        <v>2.3053799999999999E-4</v>
      </c>
      <c r="V192" s="63">
        <f t="shared" si="49"/>
        <v>2.7035112E-2</v>
      </c>
      <c r="W192" s="63">
        <f t="shared" si="49"/>
        <v>8.0155499999999907E-2</v>
      </c>
      <c r="X192" s="63">
        <f t="shared" si="49"/>
        <v>0.13326463160000002</v>
      </c>
      <c r="Y192" s="63">
        <f t="shared" si="49"/>
        <v>0.19897555699999997</v>
      </c>
      <c r="Z192" s="63">
        <f t="shared" si="49"/>
        <v>0.29060031050000001</v>
      </c>
      <c r="AC192" s="27">
        <v>0</v>
      </c>
      <c r="AD192" s="27">
        <v>0</v>
      </c>
      <c r="AE192" s="27">
        <v>0</v>
      </c>
      <c r="AF192" s="27">
        <v>0</v>
      </c>
      <c r="AG192" s="27">
        <v>0</v>
      </c>
    </row>
    <row r="193" spans="1:33">
      <c r="A193" t="s">
        <v>607</v>
      </c>
      <c r="B193" t="s">
        <v>1</v>
      </c>
      <c r="C193" t="s">
        <v>33</v>
      </c>
      <c r="D193" t="s">
        <v>2</v>
      </c>
      <c r="E193" t="s">
        <v>32</v>
      </c>
      <c r="F193">
        <v>0</v>
      </c>
      <c r="G193">
        <v>0</v>
      </c>
      <c r="H193" s="63">
        <v>0</v>
      </c>
      <c r="I193" s="63">
        <v>0</v>
      </c>
      <c r="J193">
        <v>0</v>
      </c>
      <c r="K193" s="63">
        <v>2.3053799999999999E-4</v>
      </c>
      <c r="L193" s="63">
        <v>9.6761199999999996E-4</v>
      </c>
      <c r="M193" s="63">
        <v>2.3822000000000001E-3</v>
      </c>
      <c r="N193">
        <v>3.5230316E-3</v>
      </c>
      <c r="O193">
        <v>3.1855069999999902E-3</v>
      </c>
      <c r="P193" s="63">
        <v>6.4921049999999995E-4</v>
      </c>
      <c r="R193" s="62" t="s">
        <v>643</v>
      </c>
      <c r="S193" s="62">
        <f>I199</f>
        <v>0</v>
      </c>
      <c r="T193" s="62">
        <f t="shared" ref="T193:Z193" si="50">J199</f>
        <v>4.46217E-4</v>
      </c>
      <c r="U193" s="62">
        <f t="shared" si="50"/>
        <v>2.5756959999999902E-3</v>
      </c>
      <c r="V193" s="62">
        <f t="shared" si="50"/>
        <v>8.2967909999999995E-3</v>
      </c>
      <c r="W193" s="62">
        <f t="shared" si="50"/>
        <v>2.3364777E-2</v>
      </c>
      <c r="X193" s="62">
        <f t="shared" si="50"/>
        <v>4.7715868000000002E-2</v>
      </c>
      <c r="Y193" s="62">
        <f t="shared" si="50"/>
        <v>7.2179282499999997E-2</v>
      </c>
      <c r="Z193" s="62">
        <f t="shared" si="50"/>
        <v>0.10373313469999999</v>
      </c>
      <c r="AC193" s="27">
        <v>7.7505400000000006E-4</v>
      </c>
      <c r="AD193" s="27">
        <v>0</v>
      </c>
      <c r="AE193" s="27">
        <v>4.46217E-4</v>
      </c>
      <c r="AF193" s="27">
        <v>4.7431299999999899E-4</v>
      </c>
      <c r="AG193" s="27">
        <v>1.6906811900000001E-4</v>
      </c>
    </row>
    <row r="194" spans="1:33">
      <c r="A194" t="s">
        <v>607</v>
      </c>
      <c r="B194" t="s">
        <v>1</v>
      </c>
      <c r="C194" t="s">
        <v>554</v>
      </c>
      <c r="D194" t="s">
        <v>2</v>
      </c>
      <c r="E194" t="s">
        <v>160</v>
      </c>
      <c r="F194">
        <v>0</v>
      </c>
      <c r="G194" s="63">
        <v>0</v>
      </c>
      <c r="H194">
        <v>0</v>
      </c>
      <c r="I194">
        <v>0</v>
      </c>
      <c r="J194" s="63">
        <v>5.33327E-4</v>
      </c>
      <c r="K194">
        <v>7.110028E-3</v>
      </c>
      <c r="L194">
        <v>1.787857E-2</v>
      </c>
      <c r="M194">
        <v>2.9076191000000001E-2</v>
      </c>
      <c r="N194">
        <v>3.9279791299999998E-2</v>
      </c>
      <c r="O194">
        <v>4.2952489999999899E-2</v>
      </c>
      <c r="P194">
        <v>4.4004750000000002E-2</v>
      </c>
      <c r="R194" s="62" t="s">
        <v>644</v>
      </c>
      <c r="S194" s="62">
        <f>I202</f>
        <v>0</v>
      </c>
      <c r="T194" s="62">
        <f t="shared" ref="T194:Z194" si="51">J202</f>
        <v>4.7431299999999899E-4</v>
      </c>
      <c r="U194" s="62">
        <f t="shared" si="51"/>
        <v>2.418183E-3</v>
      </c>
      <c r="V194" s="62">
        <f t="shared" si="51"/>
        <v>8.2345336999999994E-3</v>
      </c>
      <c r="W194" s="62">
        <f t="shared" si="51"/>
        <v>3.4294865600000002E-2</v>
      </c>
      <c r="X194" s="62">
        <f t="shared" si="51"/>
        <v>0.1054100831</v>
      </c>
      <c r="Y194" s="62">
        <f t="shared" si="51"/>
        <v>0.18487592619999901</v>
      </c>
      <c r="Z194" s="62">
        <f t="shared" si="51"/>
        <v>0.37565936759000002</v>
      </c>
      <c r="AC194" s="27">
        <v>1.1110350799999998E-2</v>
      </c>
      <c r="AD194" s="27">
        <v>2.3053799999999999E-4</v>
      </c>
      <c r="AE194" s="27">
        <v>2.5756959999999902E-3</v>
      </c>
      <c r="AF194" s="27">
        <v>2.418183E-3</v>
      </c>
      <c r="AG194" s="27">
        <v>7.3489274199999911E-4</v>
      </c>
    </row>
    <row r="195" spans="1:33">
      <c r="A195" t="s">
        <v>607</v>
      </c>
      <c r="B195" t="s">
        <v>1</v>
      </c>
      <c r="C195" t="s">
        <v>36</v>
      </c>
      <c r="D195" t="s">
        <v>2</v>
      </c>
      <c r="E195" t="s">
        <v>32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2.60675E-2</v>
      </c>
      <c r="M195">
        <v>7.7773299999999906E-2</v>
      </c>
      <c r="N195">
        <v>0.12974160000000001</v>
      </c>
      <c r="O195">
        <v>0.19579004999999999</v>
      </c>
      <c r="P195">
        <v>0.28995110000000002</v>
      </c>
      <c r="R195" s="62" t="s">
        <v>645</v>
      </c>
      <c r="S195" s="63">
        <f>SUM(I198,I200,I201,I203)</f>
        <v>0</v>
      </c>
      <c r="T195" s="63">
        <f t="shared" ref="T195:Z195" si="52">SUM(J198,J200,J201,J203)</f>
        <v>1.6906811900000001E-4</v>
      </c>
      <c r="U195" s="63">
        <f t="shared" si="52"/>
        <v>7.3489274199999911E-4</v>
      </c>
      <c r="V195" s="63">
        <f t="shared" si="52"/>
        <v>1.4616073489999988E-3</v>
      </c>
      <c r="W195" s="63">
        <f t="shared" si="52"/>
        <v>2.3651732169999999E-3</v>
      </c>
      <c r="X195" s="63">
        <f t="shared" si="52"/>
        <v>3.6275748870000001E-3</v>
      </c>
      <c r="Y195" s="63">
        <f t="shared" si="52"/>
        <v>6.3133698399999985E-3</v>
      </c>
      <c r="Z195" s="63">
        <f t="shared" si="52"/>
        <v>1.53453211704E-2</v>
      </c>
      <c r="AC195" s="27">
        <v>3.1545453000000001E-2</v>
      </c>
      <c r="AD195" s="27">
        <v>2.7035112E-2</v>
      </c>
      <c r="AE195" s="27">
        <v>8.2967909999999995E-3</v>
      </c>
      <c r="AF195" s="27">
        <v>8.2345336999999994E-3</v>
      </c>
      <c r="AG195" s="27">
        <v>1.4616073489999988E-3</v>
      </c>
    </row>
    <row r="196" spans="1:33">
      <c r="A196" t="s">
        <v>607</v>
      </c>
      <c r="B196" t="s">
        <v>1</v>
      </c>
      <c r="C196" t="s">
        <v>555</v>
      </c>
      <c r="D196" t="s">
        <v>2</v>
      </c>
      <c r="E196" t="s">
        <v>160</v>
      </c>
      <c r="F196">
        <v>0</v>
      </c>
      <c r="G196" s="63">
        <v>0</v>
      </c>
      <c r="H196">
        <v>0</v>
      </c>
      <c r="I196">
        <v>0</v>
      </c>
      <c r="J196" s="63">
        <v>2.2451599999999999E-4</v>
      </c>
      <c r="K196">
        <v>3.5343620000000001E-3</v>
      </c>
      <c r="L196">
        <v>1.1236108999999999E-2</v>
      </c>
      <c r="M196">
        <v>2.2851827799999998E-2</v>
      </c>
      <c r="N196">
        <v>3.8589344599999999E-2</v>
      </c>
      <c r="O196">
        <v>5.0186017999999999E-2</v>
      </c>
      <c r="P196">
        <v>6.1699019999999903E-2</v>
      </c>
      <c r="R196" t="s">
        <v>646</v>
      </c>
      <c r="S196">
        <f>SUM(S191:S195)</f>
        <v>0</v>
      </c>
      <c r="T196" s="62">
        <f t="shared" ref="T196:Z196" si="53">SUM(T191:T195)</f>
        <v>1.8646521189999992E-3</v>
      </c>
      <c r="U196" s="62">
        <f t="shared" si="53"/>
        <v>1.706966054199999E-2</v>
      </c>
      <c r="V196" s="62">
        <f t="shared" si="53"/>
        <v>7.6573497049000003E-2</v>
      </c>
      <c r="W196" s="62">
        <f t="shared" si="53"/>
        <v>0.20065152631699992</v>
      </c>
      <c r="X196" s="62">
        <f t="shared" si="53"/>
        <v>0.38788884397700002</v>
      </c>
      <c r="Y196" s="62">
        <f t="shared" si="53"/>
        <v>0.58702184682999881</v>
      </c>
      <c r="Z196" s="62">
        <f t="shared" si="53"/>
        <v>0.93434504097039994</v>
      </c>
      <c r="AC196" s="27">
        <v>6.0471210500000004E-2</v>
      </c>
      <c r="AD196" s="27">
        <v>8.0155499999999907E-2</v>
      </c>
      <c r="AE196" s="27">
        <v>2.3364777E-2</v>
      </c>
      <c r="AF196" s="27">
        <v>3.4294865600000002E-2</v>
      </c>
      <c r="AG196" s="27">
        <v>2.3651732169999999E-3</v>
      </c>
    </row>
    <row r="197" spans="1:33">
      <c r="A197" t="s">
        <v>607</v>
      </c>
      <c r="B197" t="s">
        <v>1</v>
      </c>
      <c r="C197" t="s">
        <v>549</v>
      </c>
      <c r="D197" t="s">
        <v>2</v>
      </c>
      <c r="E197" t="s">
        <v>156</v>
      </c>
      <c r="F197">
        <v>0</v>
      </c>
      <c r="G197" s="63">
        <v>0</v>
      </c>
      <c r="H197" s="63">
        <v>0</v>
      </c>
      <c r="I197">
        <v>0</v>
      </c>
      <c r="J197" s="63">
        <v>1.7210999999999998E-5</v>
      </c>
      <c r="K197" s="63">
        <v>4.6596079999999899E-4</v>
      </c>
      <c r="L197">
        <v>2.4307740000000001E-3</v>
      </c>
      <c r="M197">
        <v>8.5431916999999993E-3</v>
      </c>
      <c r="N197">
        <v>2.0001550489999999E-2</v>
      </c>
      <c r="O197">
        <v>3.1539203289999998E-2</v>
      </c>
      <c r="P197">
        <v>4.3303137009999999E-2</v>
      </c>
      <c r="R197" t="s">
        <v>647</v>
      </c>
      <c r="S197" s="4">
        <f>SUM(I193:I203)</f>
        <v>0</v>
      </c>
      <c r="T197" s="4">
        <f t="shared" ref="T197:Z197" si="54">SUM(J193:J203)</f>
        <v>1.8646521189999989E-3</v>
      </c>
      <c r="U197" s="4">
        <f t="shared" si="54"/>
        <v>1.7069660541999983E-2</v>
      </c>
      <c r="V197" s="4">
        <f t="shared" si="54"/>
        <v>7.6573497049000017E-2</v>
      </c>
      <c r="W197" s="4">
        <f t="shared" si="54"/>
        <v>0.20065152631699992</v>
      </c>
      <c r="X197" s="4">
        <f t="shared" si="54"/>
        <v>0.38788884397700002</v>
      </c>
      <c r="Y197" s="4">
        <f t="shared" si="54"/>
        <v>0.58702184682999881</v>
      </c>
      <c r="Z197" s="4">
        <f t="shared" si="54"/>
        <v>0.93434504097039983</v>
      </c>
      <c r="AC197" s="27">
        <v>9.7870686389999989E-2</v>
      </c>
      <c r="AD197" s="27">
        <v>0.13326463160000002</v>
      </c>
      <c r="AE197" s="27">
        <v>4.7715868000000002E-2</v>
      </c>
      <c r="AF197" s="27">
        <v>0.1054100831</v>
      </c>
      <c r="AG197" s="27">
        <v>3.6275748870000001E-3</v>
      </c>
    </row>
    <row r="198" spans="1:33">
      <c r="A198" t="s">
        <v>607</v>
      </c>
      <c r="B198" t="s">
        <v>1</v>
      </c>
      <c r="C198" t="s">
        <v>65</v>
      </c>
      <c r="D198" s="13" t="s">
        <v>2</v>
      </c>
      <c r="E198" s="13" t="s">
        <v>64</v>
      </c>
      <c r="F198" s="13">
        <v>0</v>
      </c>
      <c r="G198" s="63">
        <v>0</v>
      </c>
      <c r="H198" s="63">
        <v>0</v>
      </c>
      <c r="I198" s="63">
        <v>0</v>
      </c>
      <c r="J198" s="63">
        <v>3.5954600000000003E-5</v>
      </c>
      <c r="K198" s="63">
        <v>2.3787459999999999E-4</v>
      </c>
      <c r="L198" s="63">
        <v>4.7837889999999999E-4</v>
      </c>
      <c r="M198" s="63">
        <v>7.4836730999999995E-4</v>
      </c>
      <c r="N198">
        <v>1.0357242000000001E-3</v>
      </c>
      <c r="O198">
        <v>1.5412107999999999E-3</v>
      </c>
      <c r="P198">
        <v>2.39602E-3</v>
      </c>
      <c r="AC198" s="27">
        <v>0.1246777112899999</v>
      </c>
      <c r="AD198" s="27">
        <v>0.19897555699999997</v>
      </c>
      <c r="AE198" s="27">
        <v>7.2179282499999997E-2</v>
      </c>
      <c r="AF198" s="27">
        <v>0.18487592619999901</v>
      </c>
      <c r="AG198" s="27">
        <v>6.3133698399999985E-3</v>
      </c>
    </row>
    <row r="199" spans="1:33">
      <c r="A199" t="s">
        <v>607</v>
      </c>
      <c r="B199" t="s">
        <v>1</v>
      </c>
      <c r="C199" t="s">
        <v>65</v>
      </c>
      <c r="D199" t="s">
        <v>2</v>
      </c>
      <c r="E199" t="s">
        <v>56</v>
      </c>
      <c r="F199">
        <v>0</v>
      </c>
      <c r="G199" s="63">
        <v>0</v>
      </c>
      <c r="H199">
        <v>0</v>
      </c>
      <c r="I199">
        <v>0</v>
      </c>
      <c r="J199" s="63">
        <v>4.46217E-4</v>
      </c>
      <c r="K199">
        <v>2.5756959999999902E-3</v>
      </c>
      <c r="L199">
        <v>8.2967909999999995E-3</v>
      </c>
      <c r="M199">
        <v>2.3364777E-2</v>
      </c>
      <c r="N199">
        <v>4.7715868000000002E-2</v>
      </c>
      <c r="O199">
        <v>7.2179282499999997E-2</v>
      </c>
      <c r="P199">
        <v>0.10373313469999999</v>
      </c>
      <c r="AC199" s="27">
        <v>0.14900690700999991</v>
      </c>
      <c r="AD199" s="27">
        <v>0.29060031050000001</v>
      </c>
      <c r="AE199" s="27">
        <v>0.10373313469999999</v>
      </c>
      <c r="AF199" s="27">
        <v>0.37565936759000002</v>
      </c>
      <c r="AG199" s="27">
        <v>1.53453211704E-2</v>
      </c>
    </row>
    <row r="200" spans="1:33">
      <c r="A200" t="s">
        <v>607</v>
      </c>
      <c r="B200" t="s">
        <v>1</v>
      </c>
      <c r="C200" t="s">
        <v>65</v>
      </c>
      <c r="D200" t="s">
        <v>2</v>
      </c>
      <c r="E200" t="s">
        <v>67</v>
      </c>
      <c r="F200">
        <v>0</v>
      </c>
      <c r="G200" s="63">
        <v>0</v>
      </c>
      <c r="H200" s="63">
        <v>0</v>
      </c>
      <c r="I200" s="63">
        <v>0</v>
      </c>
      <c r="J200" s="63">
        <v>1.29815E-4</v>
      </c>
      <c r="K200" s="63">
        <v>4.6142099999999902E-4</v>
      </c>
      <c r="L200" s="63">
        <v>9.1166679999999897E-4</v>
      </c>
      <c r="M200">
        <v>1.4676439999999999E-3</v>
      </c>
      <c r="N200">
        <v>2.2049047E-3</v>
      </c>
      <c r="O200">
        <v>3.7816999999999998E-3</v>
      </c>
      <c r="P200">
        <v>9.2594900000000004E-3</v>
      </c>
    </row>
    <row r="201" spans="1:33">
      <c r="A201" t="s">
        <v>607</v>
      </c>
      <c r="B201" t="s">
        <v>1</v>
      </c>
      <c r="C201" t="s">
        <v>65</v>
      </c>
      <c r="D201" t="s">
        <v>2</v>
      </c>
      <c r="E201" t="s">
        <v>66</v>
      </c>
      <c r="F201">
        <v>0</v>
      </c>
      <c r="G201" s="63">
        <v>0</v>
      </c>
      <c r="H201" s="63">
        <v>0</v>
      </c>
      <c r="I201" s="63">
        <v>0</v>
      </c>
      <c r="J201" s="63">
        <v>2.5934099999999999E-6</v>
      </c>
      <c r="K201" s="63">
        <v>3.263158E-5</v>
      </c>
      <c r="L201" s="63">
        <v>6.6642069999999995E-5</v>
      </c>
      <c r="M201" s="63">
        <v>1.0611296199999999E-4</v>
      </c>
      <c r="N201" s="63">
        <v>1.4575960000000001E-4</v>
      </c>
      <c r="O201" s="63">
        <v>2.1260503999999999E-4</v>
      </c>
      <c r="P201" s="63">
        <v>3.1548049999999999E-4</v>
      </c>
    </row>
    <row r="202" spans="1:33">
      <c r="A202" t="s">
        <v>607</v>
      </c>
      <c r="B202" t="s">
        <v>1</v>
      </c>
      <c r="C202" t="s">
        <v>65</v>
      </c>
      <c r="D202" t="s">
        <v>2</v>
      </c>
      <c r="E202" t="s">
        <v>68</v>
      </c>
      <c r="F202">
        <v>0</v>
      </c>
      <c r="G202" s="63">
        <v>0</v>
      </c>
      <c r="H202">
        <v>0</v>
      </c>
      <c r="I202">
        <v>0</v>
      </c>
      <c r="J202" s="63">
        <v>4.7431299999999899E-4</v>
      </c>
      <c r="K202">
        <v>2.418183E-3</v>
      </c>
      <c r="L202">
        <v>8.2345336999999994E-3</v>
      </c>
      <c r="M202">
        <v>3.4294865600000002E-2</v>
      </c>
      <c r="N202">
        <v>0.1054100831</v>
      </c>
      <c r="O202">
        <v>0.18487592619999901</v>
      </c>
      <c r="P202">
        <v>0.37565936759000002</v>
      </c>
    </row>
    <row r="203" spans="1:33">
      <c r="A203" t="s">
        <v>607</v>
      </c>
      <c r="B203" t="s">
        <v>1</v>
      </c>
      <c r="C203" t="s">
        <v>65</v>
      </c>
      <c r="D203" t="s">
        <v>2</v>
      </c>
      <c r="E203" t="s">
        <v>62</v>
      </c>
      <c r="F203">
        <v>0</v>
      </c>
      <c r="G203" s="63">
        <v>0</v>
      </c>
      <c r="H203" s="63">
        <v>0</v>
      </c>
      <c r="I203" s="63">
        <v>0</v>
      </c>
      <c r="J203" s="63">
        <v>7.0510899999999996E-7</v>
      </c>
      <c r="K203" s="63">
        <v>2.9655619999999998E-6</v>
      </c>
      <c r="L203" s="63">
        <v>4.9195790000000004E-6</v>
      </c>
      <c r="M203" s="63">
        <v>4.3048944999999997E-5</v>
      </c>
      <c r="N203" s="63">
        <v>2.41186387E-4</v>
      </c>
      <c r="O203" s="63">
        <v>7.7785399999999905E-4</v>
      </c>
      <c r="P203">
        <v>3.3743306703999999E-3</v>
      </c>
    </row>
    <row r="204" spans="1:33">
      <c r="A204" t="s">
        <v>607</v>
      </c>
      <c r="B204" t="s">
        <v>1</v>
      </c>
      <c r="C204" t="s">
        <v>141</v>
      </c>
      <c r="D204" t="s">
        <v>141</v>
      </c>
      <c r="E204" t="s">
        <v>2</v>
      </c>
      <c r="F204">
        <v>0</v>
      </c>
      <c r="G204" s="63">
        <v>0</v>
      </c>
      <c r="H204">
        <v>0</v>
      </c>
      <c r="I204">
        <v>0</v>
      </c>
      <c r="J204" s="63">
        <v>6.4986899999999997E-4</v>
      </c>
      <c r="K204">
        <v>6.8931900000000004E-3</v>
      </c>
      <c r="L204">
        <v>2.95167E-2</v>
      </c>
      <c r="M204">
        <v>6.0981500000000001E-2</v>
      </c>
      <c r="N204">
        <v>7.22608E-2</v>
      </c>
      <c r="O204">
        <v>6.9128300000000004E-2</v>
      </c>
      <c r="P204">
        <v>5.2421500000000003E-2</v>
      </c>
    </row>
    <row r="207" spans="1:33">
      <c r="C207" s="13"/>
      <c r="E207" s="13"/>
      <c r="F207" s="13"/>
      <c r="G207" s="13"/>
      <c r="H207" s="13"/>
      <c r="I207" s="13"/>
      <c r="J207" s="13"/>
      <c r="K207" s="13"/>
      <c r="L207" s="13"/>
    </row>
    <row r="208" spans="1:33">
      <c r="C208" s="13"/>
      <c r="D208" s="13"/>
      <c r="E208" s="13"/>
      <c r="F208" s="13"/>
      <c r="G208" s="63"/>
      <c r="H208" s="63"/>
      <c r="I208" s="63"/>
      <c r="J208" s="63"/>
      <c r="K208" s="62"/>
      <c r="L208" s="62"/>
      <c r="M208" s="62"/>
    </row>
    <row r="209" spans="1:24">
      <c r="C209" s="13"/>
      <c r="D209" s="13"/>
      <c r="E209" s="13"/>
      <c r="F209" s="13"/>
      <c r="G209" s="63"/>
      <c r="H209" s="62"/>
      <c r="I209" s="62"/>
      <c r="J209" s="62"/>
      <c r="K209" s="62"/>
      <c r="L209" s="62"/>
      <c r="M209" s="62"/>
    </row>
    <row r="210" spans="1:24">
      <c r="C210" s="13"/>
      <c r="D210" s="13"/>
      <c r="E210" s="13"/>
      <c r="F210" s="13"/>
      <c r="G210" s="63"/>
      <c r="H210" s="63"/>
      <c r="I210" s="63"/>
      <c r="J210" s="62"/>
      <c r="K210" s="62"/>
      <c r="L210" s="62"/>
      <c r="M210" s="62"/>
    </row>
    <row r="211" spans="1:24">
      <c r="C211" s="13"/>
      <c r="D211" s="13"/>
      <c r="E211" s="13"/>
      <c r="F211" s="13"/>
      <c r="G211" s="13"/>
      <c r="H211" s="63"/>
      <c r="I211" s="13"/>
      <c r="J211" s="13"/>
      <c r="K211" s="13"/>
      <c r="L211" s="13"/>
    </row>
    <row r="212" spans="1:24">
      <c r="C212" s="13"/>
      <c r="D212" s="13"/>
      <c r="E212" s="13"/>
      <c r="F212" s="13"/>
      <c r="G212" s="63"/>
      <c r="H212" s="63"/>
      <c r="I212" s="63"/>
      <c r="J212" s="63"/>
      <c r="K212" s="63"/>
      <c r="L212" s="63"/>
      <c r="M212" s="63"/>
    </row>
    <row r="213" spans="1:24">
      <c r="D213" s="13"/>
      <c r="E213" s="13"/>
      <c r="F213" s="13"/>
      <c r="G213" s="63"/>
      <c r="H213" s="13"/>
      <c r="I213" s="13"/>
      <c r="J213" s="13"/>
      <c r="K213" s="13"/>
      <c r="L213" s="13"/>
    </row>
    <row r="214" spans="1:24">
      <c r="G214" s="63"/>
      <c r="H214" s="63"/>
      <c r="I214" s="63"/>
      <c r="J214" s="63"/>
      <c r="K214" s="63"/>
      <c r="L214" s="63"/>
    </row>
    <row r="215" spans="1:24">
      <c r="G215" s="63"/>
      <c r="H215" s="63"/>
    </row>
    <row r="216" spans="1:24">
      <c r="G216" s="63"/>
    </row>
    <row r="217" spans="1:24">
      <c r="G217" s="63"/>
    </row>
    <row r="221" spans="1:24">
      <c r="A221" t="s">
        <v>590</v>
      </c>
    </row>
    <row r="222" spans="1:24">
      <c r="H222" s="63"/>
      <c r="I222" s="63"/>
    </row>
    <row r="223" spans="1:24">
      <c r="A223" t="s">
        <v>654</v>
      </c>
      <c r="G223" s="62">
        <v>2015</v>
      </c>
      <c r="H223" s="62">
        <v>2020</v>
      </c>
      <c r="I223" s="62">
        <v>2025</v>
      </c>
      <c r="J223" s="62">
        <v>2030</v>
      </c>
      <c r="K223" s="62">
        <v>2035</v>
      </c>
      <c r="L223" s="62">
        <v>2040</v>
      </c>
      <c r="M223" s="62">
        <v>2045</v>
      </c>
      <c r="N223" s="62">
        <v>2050</v>
      </c>
      <c r="Q223">
        <v>2015</v>
      </c>
      <c r="R223">
        <v>2020</v>
      </c>
      <c r="S223" s="62">
        <v>2025</v>
      </c>
      <c r="T223" s="62">
        <v>2030</v>
      </c>
      <c r="U223" s="62">
        <v>2035</v>
      </c>
      <c r="V223" s="62">
        <v>2040</v>
      </c>
      <c r="W223" s="62">
        <v>2045</v>
      </c>
      <c r="X223" s="62">
        <v>2050</v>
      </c>
    </row>
    <row r="224" spans="1:24">
      <c r="A224" s="62" t="s">
        <v>606</v>
      </c>
      <c r="B224" t="s">
        <v>1</v>
      </c>
      <c r="C224" t="s">
        <v>140</v>
      </c>
      <c r="D224" s="63" t="s">
        <v>57</v>
      </c>
      <c r="E224" s="63" t="s">
        <v>326</v>
      </c>
      <c r="F224">
        <v>0</v>
      </c>
      <c r="G224">
        <v>0</v>
      </c>
      <c r="H224" s="63">
        <v>1.15118E-4</v>
      </c>
      <c r="I224" s="63">
        <v>8.9940400000000002E-4</v>
      </c>
      <c r="J224">
        <v>2.6269800000000001E-3</v>
      </c>
      <c r="K224">
        <v>6.54186E-3</v>
      </c>
      <c r="L224">
        <v>1.38417E-2</v>
      </c>
      <c r="M224">
        <v>1.8275599999999999E-2</v>
      </c>
      <c r="N224">
        <v>2.2898999999999999E-2</v>
      </c>
      <c r="P224" t="s">
        <v>649</v>
      </c>
      <c r="Q224">
        <f>SUM(G224,G228,G229)</f>
        <v>0</v>
      </c>
      <c r="R224" s="62">
        <f t="shared" ref="R224:X224" si="55">SUM(H224,H228,H229)</f>
        <v>1.7357040000000001E-4</v>
      </c>
      <c r="S224" s="62">
        <f t="shared" si="55"/>
        <v>1.4372349999999998E-3</v>
      </c>
      <c r="T224" s="62">
        <f t="shared" si="55"/>
        <v>4.4320840000000002E-3</v>
      </c>
      <c r="U224" s="62">
        <f t="shared" si="55"/>
        <v>1.171196E-2</v>
      </c>
      <c r="V224" s="62">
        <f t="shared" si="55"/>
        <v>2.7169639999999998E-2</v>
      </c>
      <c r="W224" s="62">
        <f t="shared" si="55"/>
        <v>3.9831129999999999E-2</v>
      </c>
      <c r="X224" s="62">
        <f t="shared" si="55"/>
        <v>5.6640499999999996E-2</v>
      </c>
    </row>
    <row r="225" spans="1:43">
      <c r="A225" s="62" t="s">
        <v>606</v>
      </c>
      <c r="B225" t="s">
        <v>1</v>
      </c>
      <c r="C225" t="s">
        <v>140</v>
      </c>
      <c r="D225" s="63" t="s">
        <v>59</v>
      </c>
      <c r="E225" s="63" t="s">
        <v>329</v>
      </c>
      <c r="F225" s="63">
        <v>0</v>
      </c>
      <c r="G225" s="63">
        <v>0</v>
      </c>
      <c r="H225" s="63">
        <v>1.44684E-5</v>
      </c>
      <c r="I225" s="63">
        <v>1.1863500000000001E-4</v>
      </c>
      <c r="J225" s="63">
        <v>3.0875400000000001E-4</v>
      </c>
      <c r="K225" s="63">
        <v>8.2480499999999996E-4</v>
      </c>
      <c r="L225">
        <v>1.65149E-3</v>
      </c>
      <c r="M225">
        <v>2.4039500000000002E-3</v>
      </c>
      <c r="N225">
        <v>3.30285E-3</v>
      </c>
      <c r="P225" t="s">
        <v>650</v>
      </c>
      <c r="Q225">
        <f>SUM(G226,G231)</f>
        <v>0</v>
      </c>
      <c r="R225" s="62">
        <f t="shared" ref="R225:X225" si="56">SUM(H226,H231)</f>
        <v>1.1897349999999999E-3</v>
      </c>
      <c r="S225" s="62">
        <f t="shared" si="56"/>
        <v>8.7433400000000005E-3</v>
      </c>
      <c r="T225" s="62">
        <f t="shared" si="56"/>
        <v>2.4843489999999999E-2</v>
      </c>
      <c r="U225" s="62">
        <f t="shared" si="56"/>
        <v>5.9096200000000002E-2</v>
      </c>
      <c r="V225" s="62">
        <f t="shared" si="56"/>
        <v>0.10373750000000001</v>
      </c>
      <c r="W225" s="62">
        <f t="shared" si="56"/>
        <v>0.14312029999999998</v>
      </c>
      <c r="X225" s="62">
        <f t="shared" si="56"/>
        <v>0.1781905</v>
      </c>
      <c r="AI225" t="s">
        <v>648</v>
      </c>
      <c r="AJ225">
        <v>0</v>
      </c>
      <c r="AK225">
        <v>4.6728799999999999E-5</v>
      </c>
      <c r="AL225">
        <v>3.8345000000000002E-4</v>
      </c>
      <c r="AM225">
        <v>1.0228710000000001E-3</v>
      </c>
      <c r="AN225">
        <v>2.7129350000000001E-3</v>
      </c>
      <c r="AO225">
        <v>5.6507100000000006E-3</v>
      </c>
      <c r="AP225">
        <v>8.3647100000000009E-3</v>
      </c>
      <c r="AQ225">
        <v>1.1717449999999999E-2</v>
      </c>
    </row>
    <row r="226" spans="1:43">
      <c r="A226" s="62" t="s">
        <v>606</v>
      </c>
      <c r="B226" t="s">
        <v>1</v>
      </c>
      <c r="C226" t="s">
        <v>140</v>
      </c>
      <c r="D226" s="63" t="s">
        <v>60</v>
      </c>
      <c r="E226" t="s">
        <v>330</v>
      </c>
      <c r="F226">
        <v>0</v>
      </c>
      <c r="G226">
        <v>0</v>
      </c>
      <c r="H226" s="63">
        <v>7.0976199999999996E-4</v>
      </c>
      <c r="I226">
        <v>5.2495800000000002E-3</v>
      </c>
      <c r="J226">
        <v>1.50645E-2</v>
      </c>
      <c r="K226">
        <v>3.6239100000000003E-2</v>
      </c>
      <c r="L226">
        <v>6.1225700000000001E-2</v>
      </c>
      <c r="M226">
        <v>8.3929599999999993E-2</v>
      </c>
      <c r="N226">
        <v>0.102883</v>
      </c>
      <c r="P226" t="s">
        <v>651</v>
      </c>
      <c r="Q226">
        <f>G227</f>
        <v>0</v>
      </c>
      <c r="R226" s="62">
        <f t="shared" ref="R226:X226" si="57">H227</f>
        <v>6.0445700000000003E-5</v>
      </c>
      <c r="S226" s="62">
        <f t="shared" si="57"/>
        <v>4.5530000000000001E-4</v>
      </c>
      <c r="T226" s="62">
        <f t="shared" si="57"/>
        <v>1.26019E-3</v>
      </c>
      <c r="U226" s="62">
        <f t="shared" si="57"/>
        <v>3.0196799999999998E-3</v>
      </c>
      <c r="V226" s="62">
        <f t="shared" si="57"/>
        <v>6.56611E-3</v>
      </c>
      <c r="W226" s="62">
        <f t="shared" si="57"/>
        <v>9.0562500000000001E-3</v>
      </c>
      <c r="X226" s="62">
        <f t="shared" si="57"/>
        <v>1.16521E-2</v>
      </c>
      <c r="AI226" s="62" t="s">
        <v>649</v>
      </c>
      <c r="AJ226" s="62" t="s">
        <v>650</v>
      </c>
      <c r="AK226" s="62" t="s">
        <v>651</v>
      </c>
      <c r="AL226" s="62" t="s">
        <v>652</v>
      </c>
      <c r="AM226" s="62" t="s">
        <v>653</v>
      </c>
    </row>
    <row r="227" spans="1:43">
      <c r="A227" s="62" t="s">
        <v>606</v>
      </c>
      <c r="B227" t="s">
        <v>1</v>
      </c>
      <c r="C227" t="s">
        <v>140</v>
      </c>
      <c r="D227" s="63" t="s">
        <v>292</v>
      </c>
      <c r="E227" s="63" t="s">
        <v>332</v>
      </c>
      <c r="F227">
        <v>0</v>
      </c>
      <c r="G227">
        <v>0</v>
      </c>
      <c r="H227" s="63">
        <v>6.0445700000000003E-5</v>
      </c>
      <c r="I227" s="63">
        <v>4.5530000000000001E-4</v>
      </c>
      <c r="J227">
        <v>1.26019E-3</v>
      </c>
      <c r="K227">
        <v>3.0196799999999998E-3</v>
      </c>
      <c r="L227">
        <v>6.56611E-3</v>
      </c>
      <c r="M227">
        <v>9.0562500000000001E-3</v>
      </c>
      <c r="N227">
        <v>1.16521E-2</v>
      </c>
      <c r="P227" t="s">
        <v>652</v>
      </c>
      <c r="Q227">
        <v>0</v>
      </c>
      <c r="R227" s="62">
        <v>0</v>
      </c>
      <c r="S227" s="62">
        <v>0</v>
      </c>
      <c r="T227" s="62">
        <v>0</v>
      </c>
      <c r="U227" s="62">
        <v>0</v>
      </c>
      <c r="V227" s="62">
        <v>0</v>
      </c>
      <c r="W227" s="62">
        <v>0</v>
      </c>
      <c r="X227" s="62">
        <v>0</v>
      </c>
      <c r="AI227" s="27">
        <v>0</v>
      </c>
      <c r="AJ227" s="27">
        <v>0</v>
      </c>
      <c r="AK227" s="27">
        <v>0</v>
      </c>
      <c r="AL227" s="27">
        <v>0</v>
      </c>
      <c r="AM227" s="27">
        <v>0</v>
      </c>
    </row>
    <row r="228" spans="1:43">
      <c r="A228" s="62" t="s">
        <v>606</v>
      </c>
      <c r="B228" t="s">
        <v>1</v>
      </c>
      <c r="C228" t="s">
        <v>140</v>
      </c>
      <c r="D228" s="63" t="s">
        <v>297</v>
      </c>
      <c r="E228" s="63" t="s">
        <v>329</v>
      </c>
      <c r="F228" s="63">
        <v>0</v>
      </c>
      <c r="G228">
        <v>0</v>
      </c>
      <c r="H228" s="63">
        <v>2.56949E-5</v>
      </c>
      <c r="I228" s="63">
        <v>2.4736799999999998E-4</v>
      </c>
      <c r="J228" s="63">
        <v>8.6361900000000004E-4</v>
      </c>
      <c r="K228">
        <v>2.5831299999999999E-3</v>
      </c>
      <c r="L228">
        <v>6.9522500000000001E-3</v>
      </c>
      <c r="M228">
        <v>1.17917E-2</v>
      </c>
      <c r="N228">
        <v>1.9130500000000002E-2</v>
      </c>
      <c r="P228" t="s">
        <v>653</v>
      </c>
      <c r="Q228" s="63">
        <f>SUM(G225,G230)</f>
        <v>0</v>
      </c>
      <c r="R228" s="63">
        <f t="shared" ref="R228:X228" si="58">SUM(H225,H230)</f>
        <v>4.6728799999999999E-5</v>
      </c>
      <c r="S228" s="63">
        <f t="shared" si="58"/>
        <v>3.8345000000000002E-4</v>
      </c>
      <c r="T228" s="63">
        <f t="shared" si="58"/>
        <v>1.0228710000000001E-3</v>
      </c>
      <c r="U228" s="63">
        <f t="shared" si="58"/>
        <v>2.7129350000000001E-3</v>
      </c>
      <c r="V228" s="63">
        <f t="shared" si="58"/>
        <v>5.6507100000000006E-3</v>
      </c>
      <c r="W228" s="63">
        <f t="shared" si="58"/>
        <v>8.3647100000000009E-3</v>
      </c>
      <c r="X228" s="63">
        <f t="shared" si="58"/>
        <v>1.1717449999999999E-2</v>
      </c>
      <c r="AI228" s="27">
        <v>1.7357040000000001E-4</v>
      </c>
      <c r="AJ228" s="27">
        <v>1.1897349999999999E-3</v>
      </c>
      <c r="AK228" s="27">
        <v>6.0445700000000003E-5</v>
      </c>
      <c r="AL228" s="27">
        <v>0</v>
      </c>
      <c r="AM228" s="27">
        <v>4.6728799999999999E-5</v>
      </c>
    </row>
    <row r="229" spans="1:43">
      <c r="A229" s="62" t="s">
        <v>606</v>
      </c>
      <c r="B229" t="s">
        <v>1</v>
      </c>
      <c r="C229" t="s">
        <v>140</v>
      </c>
      <c r="D229" s="63" t="s">
        <v>301</v>
      </c>
      <c r="E229" s="63" t="s">
        <v>329</v>
      </c>
      <c r="F229" s="63">
        <v>0</v>
      </c>
      <c r="G229">
        <v>0</v>
      </c>
      <c r="H229" s="63">
        <v>3.2757499999999999E-5</v>
      </c>
      <c r="I229" s="63">
        <v>2.9046299999999997E-4</v>
      </c>
      <c r="J229" s="63">
        <v>9.4148500000000004E-4</v>
      </c>
      <c r="K229">
        <v>2.5869700000000001E-3</v>
      </c>
      <c r="L229">
        <v>6.3756899999999998E-3</v>
      </c>
      <c r="M229">
        <v>9.7638299999999994E-3</v>
      </c>
      <c r="N229">
        <v>1.4611000000000001E-2</v>
      </c>
      <c r="P229" t="s">
        <v>646</v>
      </c>
      <c r="Q229">
        <f>SUM(Q224:Q228)</f>
        <v>0</v>
      </c>
      <c r="R229" s="62">
        <f t="shared" ref="R229:X229" si="59">SUM(R224:R228)</f>
        <v>1.4704798999999999E-3</v>
      </c>
      <c r="S229" s="62">
        <f t="shared" si="59"/>
        <v>1.1019325000000002E-2</v>
      </c>
      <c r="T229" s="62">
        <f t="shared" si="59"/>
        <v>3.1558635000000002E-2</v>
      </c>
      <c r="U229" s="62">
        <f t="shared" si="59"/>
        <v>7.6540775000000005E-2</v>
      </c>
      <c r="V229" s="62">
        <f t="shared" si="59"/>
        <v>0.14312395999999999</v>
      </c>
      <c r="W229" s="62">
        <f t="shared" si="59"/>
        <v>0.20037238999999996</v>
      </c>
      <c r="X229" s="62">
        <f t="shared" si="59"/>
        <v>0.25820055000000003</v>
      </c>
      <c r="AI229" s="27">
        <v>1.4372349999999998E-3</v>
      </c>
      <c r="AJ229" s="27">
        <v>8.7433400000000005E-3</v>
      </c>
      <c r="AK229" s="27">
        <v>4.5530000000000001E-4</v>
      </c>
      <c r="AL229" s="27">
        <v>0</v>
      </c>
      <c r="AM229" s="27">
        <v>3.8345000000000002E-4</v>
      </c>
    </row>
    <row r="230" spans="1:43">
      <c r="A230" s="62" t="s">
        <v>606</v>
      </c>
      <c r="B230" t="s">
        <v>1</v>
      </c>
      <c r="C230" t="s">
        <v>141</v>
      </c>
      <c r="D230" s="63" t="s">
        <v>59</v>
      </c>
      <c r="E230" s="63" t="s">
        <v>329</v>
      </c>
      <c r="F230" s="63">
        <v>0</v>
      </c>
      <c r="G230">
        <v>0</v>
      </c>
      <c r="H230" s="63">
        <v>3.22604E-5</v>
      </c>
      <c r="I230" s="63">
        <v>2.64815E-4</v>
      </c>
      <c r="J230" s="63">
        <v>7.1411700000000001E-4</v>
      </c>
      <c r="K230">
        <v>1.88813E-3</v>
      </c>
      <c r="L230">
        <v>3.9992200000000004E-3</v>
      </c>
      <c r="M230">
        <v>5.9607599999999998E-3</v>
      </c>
      <c r="N230">
        <v>8.4145999999999995E-3</v>
      </c>
      <c r="AI230" s="27">
        <v>4.4320840000000002E-3</v>
      </c>
      <c r="AJ230" s="27">
        <v>2.4843489999999999E-2</v>
      </c>
      <c r="AK230" s="27">
        <v>1.26019E-3</v>
      </c>
      <c r="AL230" s="27">
        <v>0</v>
      </c>
      <c r="AM230" s="27">
        <v>1.0228710000000001E-3</v>
      </c>
    </row>
    <row r="231" spans="1:43">
      <c r="A231" s="62" t="s">
        <v>606</v>
      </c>
      <c r="B231" t="s">
        <v>1</v>
      </c>
      <c r="C231" t="s">
        <v>141</v>
      </c>
      <c r="D231" s="63" t="s">
        <v>60</v>
      </c>
      <c r="E231" t="s">
        <v>330</v>
      </c>
      <c r="F231">
        <v>0</v>
      </c>
      <c r="G231">
        <v>0</v>
      </c>
      <c r="H231" s="63">
        <v>4.7997300000000002E-4</v>
      </c>
      <c r="I231">
        <v>3.4937599999999998E-3</v>
      </c>
      <c r="J231">
        <v>9.7789899999999996E-3</v>
      </c>
      <c r="K231">
        <v>2.2857100000000002E-2</v>
      </c>
      <c r="L231">
        <v>4.2511800000000002E-2</v>
      </c>
      <c r="M231">
        <v>5.9190699999999999E-2</v>
      </c>
      <c r="N231">
        <v>7.5307499999999999E-2</v>
      </c>
      <c r="AI231" s="27">
        <v>1.171196E-2</v>
      </c>
      <c r="AJ231" s="27">
        <v>5.9096200000000002E-2</v>
      </c>
      <c r="AK231" s="27">
        <v>3.0196799999999998E-3</v>
      </c>
      <c r="AL231" s="27">
        <v>0</v>
      </c>
      <c r="AM231" s="27">
        <v>2.7129350000000001E-3</v>
      </c>
    </row>
    <row r="232" spans="1:43">
      <c r="D232" s="63"/>
      <c r="G232">
        <f>SUM(G224:G231)</f>
        <v>0</v>
      </c>
      <c r="H232" s="62">
        <f t="shared" ref="H232:N232" si="60">SUM(H224:H231)</f>
        <v>1.4704799000000001E-3</v>
      </c>
      <c r="I232" s="62">
        <f t="shared" si="60"/>
        <v>1.1019325E-2</v>
      </c>
      <c r="J232" s="62">
        <f t="shared" si="60"/>
        <v>3.1558635000000002E-2</v>
      </c>
      <c r="K232" s="62">
        <f t="shared" si="60"/>
        <v>7.6540775000000005E-2</v>
      </c>
      <c r="L232" s="62">
        <f t="shared" si="60"/>
        <v>0.14312395999999999</v>
      </c>
      <c r="M232" s="62">
        <f t="shared" si="60"/>
        <v>0.20037239000000001</v>
      </c>
      <c r="N232" s="62">
        <f t="shared" si="60"/>
        <v>0.25820054999999997</v>
      </c>
      <c r="AI232" s="27">
        <v>2.7169639999999998E-2</v>
      </c>
      <c r="AJ232" s="27">
        <v>0.10373750000000001</v>
      </c>
      <c r="AK232" s="27">
        <v>6.56611E-3</v>
      </c>
      <c r="AL232" s="27">
        <v>0</v>
      </c>
      <c r="AM232" s="27">
        <v>5.6507100000000006E-3</v>
      </c>
    </row>
    <row r="233" spans="1:43">
      <c r="AI233" s="27">
        <v>3.9831129999999999E-2</v>
      </c>
      <c r="AJ233" s="27">
        <v>0.14312029999999998</v>
      </c>
      <c r="AK233" s="27">
        <v>9.0562500000000001E-3</v>
      </c>
      <c r="AL233" s="27">
        <v>0</v>
      </c>
      <c r="AM233" s="27">
        <v>8.3647100000000009E-3</v>
      </c>
    </row>
    <row r="234" spans="1:43">
      <c r="AI234" s="27">
        <v>5.6640499999999996E-2</v>
      </c>
      <c r="AJ234" s="27">
        <v>0.1781905</v>
      </c>
      <c r="AK234" s="27">
        <v>1.16521E-2</v>
      </c>
      <c r="AL234" s="27">
        <v>0</v>
      </c>
      <c r="AM234" s="27">
        <v>1.1717449999999999E-2</v>
      </c>
    </row>
    <row r="238" spans="1:43">
      <c r="G238" s="62">
        <v>2015</v>
      </c>
      <c r="H238" s="62">
        <v>2020</v>
      </c>
      <c r="I238" s="62">
        <v>2025</v>
      </c>
      <c r="J238" s="62">
        <v>2030</v>
      </c>
      <c r="K238" s="62">
        <v>2035</v>
      </c>
      <c r="L238" s="62">
        <v>2040</v>
      </c>
      <c r="M238" s="62">
        <v>2045</v>
      </c>
      <c r="N238" s="62">
        <v>2050</v>
      </c>
      <c r="P238" s="62"/>
      <c r="Q238" s="62">
        <v>2015</v>
      </c>
      <c r="R238" s="62">
        <v>2020</v>
      </c>
      <c r="S238" s="62">
        <v>2025</v>
      </c>
      <c r="T238" s="62">
        <v>2030</v>
      </c>
      <c r="U238" s="62">
        <v>2035</v>
      </c>
      <c r="V238" s="62">
        <v>2040</v>
      </c>
      <c r="W238" s="62">
        <v>2045</v>
      </c>
      <c r="X238" s="62">
        <v>2050</v>
      </c>
      <c r="AI238">
        <v>0</v>
      </c>
      <c r="AJ238">
        <v>6.0092500000000001E-5</v>
      </c>
      <c r="AK238">
        <v>6.6241100000000001E-4</v>
      </c>
      <c r="AL238">
        <v>3.1669549999999999E-3</v>
      </c>
      <c r="AM238">
        <v>8.7697800000000013E-3</v>
      </c>
      <c r="AN238">
        <v>1.6919179999999999E-2</v>
      </c>
      <c r="AO238">
        <v>2.675928E-2</v>
      </c>
      <c r="AP238">
        <v>5.1664200000000007E-2</v>
      </c>
    </row>
    <row r="239" spans="1:43">
      <c r="A239" t="s">
        <v>607</v>
      </c>
      <c r="B239" t="s">
        <v>1</v>
      </c>
      <c r="C239" t="s">
        <v>140</v>
      </c>
      <c r="D239" t="s">
        <v>57</v>
      </c>
      <c r="E239" t="s">
        <v>326</v>
      </c>
      <c r="F239">
        <v>0</v>
      </c>
      <c r="G239">
        <v>0</v>
      </c>
      <c r="H239" s="63">
        <v>1.4030299999999999E-4</v>
      </c>
      <c r="I239">
        <v>2.0796999999999999E-3</v>
      </c>
      <c r="J239">
        <v>7.9039699999999997E-3</v>
      </c>
      <c r="K239">
        <v>4.4615699999999998E-3</v>
      </c>
      <c r="L239" s="63">
        <v>2.6608300000000002E-4</v>
      </c>
      <c r="M239" s="63">
        <v>1.10852E-5</v>
      </c>
      <c r="N239" s="63">
        <v>4.81353E-9</v>
      </c>
      <c r="P239" s="62" t="s">
        <v>649</v>
      </c>
      <c r="Q239" s="62">
        <f>SUM(G239,G246,G247)</f>
        <v>0</v>
      </c>
      <c r="R239" s="62">
        <f t="shared" ref="R239:X239" si="61">SUM(H239,H246,H247)</f>
        <v>2.1461189999999998E-4</v>
      </c>
      <c r="S239" s="62">
        <f t="shared" si="61"/>
        <v>3.8671549999999997E-3</v>
      </c>
      <c r="T239" s="62">
        <f t="shared" si="61"/>
        <v>2.028516E-2</v>
      </c>
      <c r="U239" s="62">
        <f t="shared" si="61"/>
        <v>5.3901669999999999E-2</v>
      </c>
      <c r="V239" s="62">
        <f t="shared" si="61"/>
        <v>0.123257583</v>
      </c>
      <c r="W239" s="62">
        <f t="shared" si="61"/>
        <v>0.21660868520000001</v>
      </c>
      <c r="X239" s="62">
        <f t="shared" si="61"/>
        <v>0.44234700481353006</v>
      </c>
      <c r="AI239" s="62" t="s">
        <v>649</v>
      </c>
      <c r="AJ239" s="62" t="s">
        <v>650</v>
      </c>
      <c r="AK239" s="62" t="s">
        <v>651</v>
      </c>
      <c r="AL239" s="62" t="s">
        <v>652</v>
      </c>
      <c r="AM239" s="62" t="s">
        <v>653</v>
      </c>
    </row>
    <row r="240" spans="1:43">
      <c r="A240" t="s">
        <v>607</v>
      </c>
      <c r="B240" t="s">
        <v>1</v>
      </c>
      <c r="C240" t="s">
        <v>140</v>
      </c>
      <c r="D240" t="s">
        <v>57</v>
      </c>
      <c r="E240" t="s">
        <v>327</v>
      </c>
      <c r="F240">
        <v>0</v>
      </c>
      <c r="G240">
        <v>0</v>
      </c>
      <c r="H240">
        <v>0</v>
      </c>
      <c r="I240" s="63">
        <v>2.34112E-6</v>
      </c>
      <c r="J240" s="63">
        <v>3.1168100000000001E-4</v>
      </c>
      <c r="K240">
        <v>1.48723E-2</v>
      </c>
      <c r="L240">
        <v>5.0595300000000003E-2</v>
      </c>
      <c r="M240">
        <v>8.3802100000000004E-2</v>
      </c>
      <c r="N240">
        <v>0.102798</v>
      </c>
      <c r="P240" s="62" t="s">
        <v>650</v>
      </c>
      <c r="Q240" s="62">
        <f>SUM(G243,G249)</f>
        <v>0</v>
      </c>
      <c r="R240" s="62">
        <f t="shared" ref="R240:X240" si="62">SUM(H243,H249)</f>
        <v>1.5130860000000001E-3</v>
      </c>
      <c r="S240" s="62">
        <f t="shared" si="62"/>
        <v>1.050191E-2</v>
      </c>
      <c r="T240" s="62">
        <f t="shared" si="62"/>
        <v>3.9032999999999998E-2</v>
      </c>
      <c r="U240" s="62">
        <f t="shared" si="62"/>
        <v>6.6322000000000006E-2</v>
      </c>
      <c r="V240" s="62">
        <f t="shared" si="62"/>
        <v>6.4296060000000002E-2</v>
      </c>
      <c r="W240" s="62">
        <f t="shared" si="62"/>
        <v>5.0223699999999996E-2</v>
      </c>
      <c r="X240" s="62">
        <f t="shared" si="62"/>
        <v>1.4173239989999999E-2</v>
      </c>
      <c r="AI240" s="27">
        <v>0</v>
      </c>
      <c r="AJ240" s="27">
        <v>0</v>
      </c>
      <c r="AK240" s="27">
        <v>0</v>
      </c>
      <c r="AL240" s="27">
        <v>0</v>
      </c>
      <c r="AM240" s="27">
        <v>0</v>
      </c>
    </row>
    <row r="241" spans="1:39">
      <c r="A241" t="s">
        <v>607</v>
      </c>
      <c r="B241" t="s">
        <v>1</v>
      </c>
      <c r="C241" t="s">
        <v>140</v>
      </c>
      <c r="D241" t="s">
        <v>58</v>
      </c>
      <c r="E241" t="s">
        <v>328</v>
      </c>
      <c r="F241">
        <v>0</v>
      </c>
      <c r="G241">
        <v>0</v>
      </c>
      <c r="H241">
        <v>0</v>
      </c>
      <c r="I241" s="63">
        <v>3.86344E-4</v>
      </c>
      <c r="J241">
        <v>2.22937E-3</v>
      </c>
      <c r="K241">
        <v>7.7118600000000001E-3</v>
      </c>
      <c r="L241">
        <v>1.6475E-2</v>
      </c>
      <c r="M241">
        <v>2.5023500000000001E-2</v>
      </c>
      <c r="N241">
        <v>3.0288599999999999E-2</v>
      </c>
      <c r="P241" s="62" t="s">
        <v>651</v>
      </c>
      <c r="Q241" s="62">
        <f>G245</f>
        <v>0</v>
      </c>
      <c r="R241" s="62">
        <f t="shared" ref="R241:X241" si="63">H245</f>
        <v>7.6861100000000002E-5</v>
      </c>
      <c r="S241" s="62">
        <f t="shared" si="63"/>
        <v>1.56813E-3</v>
      </c>
      <c r="T241" s="62">
        <f t="shared" si="63"/>
        <v>9.31477E-3</v>
      </c>
      <c r="U241" s="62">
        <f t="shared" si="63"/>
        <v>3.2141799999999998E-2</v>
      </c>
      <c r="V241" s="62">
        <f t="shared" si="63"/>
        <v>6.9966200000000006E-2</v>
      </c>
      <c r="W241" s="62">
        <f t="shared" si="63"/>
        <v>0.10761900000000001</v>
      </c>
      <c r="X241" s="62">
        <f t="shared" si="63"/>
        <v>0.19003200000000001</v>
      </c>
      <c r="AI241" s="27">
        <v>2.1461189999999998E-4</v>
      </c>
      <c r="AJ241" s="27">
        <v>1.5130860000000001E-3</v>
      </c>
      <c r="AK241" s="27">
        <v>7.6861100000000002E-5</v>
      </c>
      <c r="AL241" s="27">
        <v>0</v>
      </c>
      <c r="AM241" s="27">
        <v>6.0092500000000001E-5</v>
      </c>
    </row>
    <row r="242" spans="1:39">
      <c r="A242" t="s">
        <v>607</v>
      </c>
      <c r="B242" t="s">
        <v>1</v>
      </c>
      <c r="C242" t="s">
        <v>140</v>
      </c>
      <c r="D242" t="s">
        <v>59</v>
      </c>
      <c r="E242" t="s">
        <v>329</v>
      </c>
      <c r="F242">
        <v>0</v>
      </c>
      <c r="G242">
        <v>0</v>
      </c>
      <c r="H242" s="63">
        <v>1.8719599999999999E-5</v>
      </c>
      <c r="I242" s="63">
        <v>1.4907200000000001E-4</v>
      </c>
      <c r="J242" s="63">
        <v>6.7778499999999998E-4</v>
      </c>
      <c r="K242">
        <v>1.90609E-3</v>
      </c>
      <c r="L242">
        <v>3.9531799999999997E-3</v>
      </c>
      <c r="M242">
        <v>6.7380799999999996E-3</v>
      </c>
      <c r="N242">
        <v>1.34114E-2</v>
      </c>
      <c r="P242" s="62" t="s">
        <v>652</v>
      </c>
      <c r="Q242" s="62">
        <f>SUM(G240,G241,G244)</f>
        <v>0</v>
      </c>
      <c r="R242" s="62">
        <f t="shared" ref="R242:X242" si="64">SUM(H240,H241,H244)</f>
        <v>0</v>
      </c>
      <c r="S242" s="62">
        <f t="shared" si="64"/>
        <v>4.7004642000000001E-4</v>
      </c>
      <c r="T242" s="62">
        <f t="shared" si="64"/>
        <v>4.7736610000000002E-3</v>
      </c>
      <c r="U242" s="62">
        <f t="shared" si="64"/>
        <v>3.9516159999999995E-2</v>
      </c>
      <c r="V242" s="62">
        <f t="shared" si="64"/>
        <v>0.11344989999999999</v>
      </c>
      <c r="W242" s="62">
        <f t="shared" si="64"/>
        <v>0.1858109</v>
      </c>
      <c r="X242" s="62">
        <f t="shared" si="64"/>
        <v>0.23612759999999999</v>
      </c>
      <c r="AI242" s="27">
        <v>3.8671549999999997E-3</v>
      </c>
      <c r="AJ242" s="27">
        <v>1.050191E-2</v>
      </c>
      <c r="AK242" s="27">
        <v>1.56813E-3</v>
      </c>
      <c r="AL242" s="27">
        <v>4.7004642000000001E-4</v>
      </c>
      <c r="AM242" s="27">
        <v>6.6241100000000001E-4</v>
      </c>
    </row>
    <row r="243" spans="1:39">
      <c r="A243" t="s">
        <v>607</v>
      </c>
      <c r="B243" t="s">
        <v>1</v>
      </c>
      <c r="C243" t="s">
        <v>140</v>
      </c>
      <c r="D243" t="s">
        <v>60</v>
      </c>
      <c r="E243" t="s">
        <v>330</v>
      </c>
      <c r="F243">
        <v>0</v>
      </c>
      <c r="G243">
        <v>0</v>
      </c>
      <c r="H243" s="63">
        <v>9.0459000000000004E-4</v>
      </c>
      <c r="I243">
        <v>4.1220600000000003E-3</v>
      </c>
      <c r="J243">
        <v>1.2005500000000001E-2</v>
      </c>
      <c r="K243">
        <v>1.22042E-2</v>
      </c>
      <c r="L243">
        <v>5.0011600000000002E-3</v>
      </c>
      <c r="M243" s="63">
        <v>1.1165000000000001E-3</v>
      </c>
      <c r="N243" s="63">
        <v>4.5399899999999999E-6</v>
      </c>
      <c r="P243" s="62" t="s">
        <v>653</v>
      </c>
      <c r="Q243" s="62">
        <f>SUM(G242,G248)</f>
        <v>0</v>
      </c>
      <c r="R243" s="62">
        <f t="shared" ref="R243:X243" si="65">SUM(H242,H248)</f>
        <v>6.0092500000000001E-5</v>
      </c>
      <c r="S243" s="62">
        <f t="shared" si="65"/>
        <v>6.6241100000000001E-4</v>
      </c>
      <c r="T243" s="62">
        <f t="shared" si="65"/>
        <v>3.1669549999999999E-3</v>
      </c>
      <c r="U243" s="62">
        <f t="shared" si="65"/>
        <v>8.7697800000000013E-3</v>
      </c>
      <c r="V243" s="62">
        <f t="shared" si="65"/>
        <v>1.6919179999999999E-2</v>
      </c>
      <c r="W243" s="62">
        <f t="shared" si="65"/>
        <v>2.675928E-2</v>
      </c>
      <c r="X243" s="62">
        <f t="shared" si="65"/>
        <v>5.1664200000000007E-2</v>
      </c>
      <c r="AI243" s="27">
        <v>2.028516E-2</v>
      </c>
      <c r="AJ243" s="27">
        <v>3.9032999999999998E-2</v>
      </c>
      <c r="AK243" s="27">
        <v>9.31477E-3</v>
      </c>
      <c r="AL243" s="27">
        <v>4.7736610000000002E-3</v>
      </c>
      <c r="AM243" s="27">
        <v>3.1669549999999999E-3</v>
      </c>
    </row>
    <row r="244" spans="1:39">
      <c r="A244" t="s">
        <v>607</v>
      </c>
      <c r="B244" t="s">
        <v>1</v>
      </c>
      <c r="C244" t="s">
        <v>140</v>
      </c>
      <c r="D244" t="s">
        <v>60</v>
      </c>
      <c r="E244" t="s">
        <v>331</v>
      </c>
      <c r="F244">
        <v>0</v>
      </c>
      <c r="G244">
        <v>0</v>
      </c>
      <c r="H244">
        <v>0</v>
      </c>
      <c r="I244" s="63">
        <v>8.1361300000000003E-5</v>
      </c>
      <c r="J244">
        <v>2.2326099999999999E-3</v>
      </c>
      <c r="K244">
        <v>1.6931999999999999E-2</v>
      </c>
      <c r="L244">
        <v>4.63796E-2</v>
      </c>
      <c r="M244">
        <v>7.6985300000000007E-2</v>
      </c>
      <c r="N244">
        <v>0.10304099999999999</v>
      </c>
      <c r="P244" s="62" t="s">
        <v>646</v>
      </c>
      <c r="Q244" s="62">
        <f>SUM(Q239:Q243)</f>
        <v>0</v>
      </c>
      <c r="R244" s="62">
        <f t="shared" ref="R244" si="66">SUM(R239:R243)</f>
        <v>1.8646515000000001E-3</v>
      </c>
      <c r="S244" s="62">
        <f t="shared" ref="S244" si="67">SUM(S239:S243)</f>
        <v>1.7069652420000001E-2</v>
      </c>
      <c r="T244" s="62">
        <f t="shared" ref="T244" si="68">SUM(T239:T243)</f>
        <v>7.6573545999999992E-2</v>
      </c>
      <c r="U244" s="62">
        <f t="shared" ref="U244" si="69">SUM(U239:U243)</f>
        <v>0.20065141</v>
      </c>
      <c r="V244" s="62">
        <f t="shared" ref="V244" si="70">SUM(V239:V243)</f>
        <v>0.38788892299999994</v>
      </c>
      <c r="W244" s="62">
        <f t="shared" ref="W244" si="71">SUM(W239:W243)</f>
        <v>0.58702156520000015</v>
      </c>
      <c r="X244" s="62">
        <f t="shared" ref="X244" si="72">SUM(X239:X243)</f>
        <v>0.93434404480353006</v>
      </c>
      <c r="AI244" s="27">
        <v>5.3901669999999999E-2</v>
      </c>
      <c r="AJ244" s="27">
        <v>6.6322000000000006E-2</v>
      </c>
      <c r="AK244" s="27">
        <v>3.2141799999999998E-2</v>
      </c>
      <c r="AL244" s="27">
        <v>3.9516159999999995E-2</v>
      </c>
      <c r="AM244" s="27">
        <v>8.7697800000000013E-3</v>
      </c>
    </row>
    <row r="245" spans="1:39">
      <c r="A245" t="s">
        <v>607</v>
      </c>
      <c r="B245" t="s">
        <v>1</v>
      </c>
      <c r="C245" t="s">
        <v>140</v>
      </c>
      <c r="D245" t="s">
        <v>292</v>
      </c>
      <c r="E245" t="s">
        <v>332</v>
      </c>
      <c r="F245">
        <v>0</v>
      </c>
      <c r="G245">
        <v>0</v>
      </c>
      <c r="H245" s="63">
        <v>7.6861100000000002E-5</v>
      </c>
      <c r="I245">
        <v>1.56813E-3</v>
      </c>
      <c r="J245">
        <v>9.31477E-3</v>
      </c>
      <c r="K245">
        <v>3.2141799999999998E-2</v>
      </c>
      <c r="L245">
        <v>6.9966200000000006E-2</v>
      </c>
      <c r="M245">
        <v>0.10761900000000001</v>
      </c>
      <c r="N245">
        <v>0.19003200000000001</v>
      </c>
      <c r="AI245" s="27">
        <v>0.123257583</v>
      </c>
      <c r="AJ245" s="27">
        <v>6.4296060000000002E-2</v>
      </c>
      <c r="AK245" s="27">
        <v>6.9966200000000006E-2</v>
      </c>
      <c r="AL245" s="27">
        <v>0.11344989999999999</v>
      </c>
      <c r="AM245" s="27">
        <v>1.6919179999999999E-2</v>
      </c>
    </row>
    <row r="246" spans="1:39">
      <c r="A246" t="s">
        <v>607</v>
      </c>
      <c r="B246" t="s">
        <v>1</v>
      </c>
      <c r="C246" t="s">
        <v>140</v>
      </c>
      <c r="D246" t="s">
        <v>297</v>
      </c>
      <c r="E246" t="s">
        <v>329</v>
      </c>
      <c r="F246">
        <v>0</v>
      </c>
      <c r="G246">
        <v>0</v>
      </c>
      <c r="H246" s="63">
        <v>3.2673299999999998E-5</v>
      </c>
      <c r="I246" s="63">
        <v>8.5209599999999999E-4</v>
      </c>
      <c r="J246">
        <v>6.3877400000000003E-3</v>
      </c>
      <c r="K246">
        <v>2.7537699999999998E-2</v>
      </c>
      <c r="L246">
        <v>7.4291300000000005E-2</v>
      </c>
      <c r="M246">
        <v>0.140796</v>
      </c>
      <c r="N246">
        <v>0.31430200000000003</v>
      </c>
      <c r="AI246" s="27">
        <v>0.21660868520000001</v>
      </c>
      <c r="AJ246" s="27">
        <v>5.0223699999999996E-2</v>
      </c>
      <c r="AK246" s="27">
        <v>0.10761900000000001</v>
      </c>
      <c r="AL246" s="27">
        <v>0.1858109</v>
      </c>
      <c r="AM246" s="27">
        <v>2.675928E-2</v>
      </c>
    </row>
    <row r="247" spans="1:39">
      <c r="A247" t="s">
        <v>607</v>
      </c>
      <c r="B247" t="s">
        <v>1</v>
      </c>
      <c r="C247" t="s">
        <v>140</v>
      </c>
      <c r="D247" t="s">
        <v>301</v>
      </c>
      <c r="E247" t="s">
        <v>329</v>
      </c>
      <c r="F247">
        <v>0</v>
      </c>
      <c r="G247">
        <v>0</v>
      </c>
      <c r="H247" s="63">
        <v>4.1635599999999998E-5</v>
      </c>
      <c r="I247" s="63">
        <v>9.3535899999999997E-4</v>
      </c>
      <c r="J247">
        <v>5.99345E-3</v>
      </c>
      <c r="K247">
        <v>2.1902399999999999E-2</v>
      </c>
      <c r="L247">
        <v>4.8700199999999999E-2</v>
      </c>
      <c r="M247">
        <v>7.5801599999999997E-2</v>
      </c>
      <c r="N247">
        <v>0.12804499999999999</v>
      </c>
      <c r="AI247" s="27">
        <v>0.44234700481353006</v>
      </c>
      <c r="AJ247" s="27">
        <v>1.4173239989999999E-2</v>
      </c>
      <c r="AK247" s="27">
        <v>0.19003200000000001</v>
      </c>
      <c r="AL247" s="27">
        <v>0.23612759999999999</v>
      </c>
      <c r="AM247" s="27">
        <v>5.1664200000000007E-2</v>
      </c>
    </row>
    <row r="248" spans="1:39">
      <c r="A248" t="s">
        <v>607</v>
      </c>
      <c r="B248" t="s">
        <v>1</v>
      </c>
      <c r="C248" t="s">
        <v>141</v>
      </c>
      <c r="D248" t="s">
        <v>59</v>
      </c>
      <c r="E248" t="s">
        <v>329</v>
      </c>
      <c r="F248">
        <v>0</v>
      </c>
      <c r="G248">
        <v>0</v>
      </c>
      <c r="H248" s="63">
        <v>4.1372899999999998E-5</v>
      </c>
      <c r="I248" s="63">
        <v>5.1333900000000003E-4</v>
      </c>
      <c r="J248">
        <v>2.4891700000000002E-3</v>
      </c>
      <c r="K248">
        <v>6.8636900000000004E-3</v>
      </c>
      <c r="L248">
        <v>1.2966E-2</v>
      </c>
      <c r="M248">
        <v>2.0021199999999999E-2</v>
      </c>
      <c r="N248">
        <v>3.8252800000000003E-2</v>
      </c>
    </row>
    <row r="249" spans="1:39">
      <c r="A249" t="s">
        <v>607</v>
      </c>
      <c r="B249" t="s">
        <v>1</v>
      </c>
      <c r="C249" t="s">
        <v>141</v>
      </c>
      <c r="D249" t="s">
        <v>60</v>
      </c>
      <c r="E249" t="s">
        <v>330</v>
      </c>
      <c r="F249">
        <v>0</v>
      </c>
      <c r="G249">
        <v>0</v>
      </c>
      <c r="H249" s="63">
        <v>6.0849600000000004E-4</v>
      </c>
      <c r="I249">
        <v>6.3798500000000003E-3</v>
      </c>
      <c r="J249">
        <v>2.7027499999999999E-2</v>
      </c>
      <c r="K249">
        <v>5.4117800000000001E-2</v>
      </c>
      <c r="L249">
        <v>5.9294899999999998E-2</v>
      </c>
      <c r="M249">
        <v>4.9107199999999997E-2</v>
      </c>
      <c r="N249">
        <v>1.4168699999999999E-2</v>
      </c>
    </row>
    <row r="250" spans="1:39">
      <c r="G250">
        <f>SUM(G239:G249)</f>
        <v>0</v>
      </c>
      <c r="H250" s="62">
        <f t="shared" ref="H250:N250" si="73">SUM(H239:H249)</f>
        <v>1.8646514999999999E-3</v>
      </c>
      <c r="I250" s="62">
        <f t="shared" si="73"/>
        <v>1.7069652420000001E-2</v>
      </c>
      <c r="J250" s="62">
        <f t="shared" si="73"/>
        <v>7.6573545999999992E-2</v>
      </c>
      <c r="K250" s="62">
        <f t="shared" si="73"/>
        <v>0.20065141</v>
      </c>
      <c r="L250" s="62">
        <f t="shared" si="73"/>
        <v>0.387888923</v>
      </c>
      <c r="M250" s="62">
        <f t="shared" si="73"/>
        <v>0.58702156520000004</v>
      </c>
      <c r="N250" s="62">
        <f t="shared" si="73"/>
        <v>0.93434404480352995</v>
      </c>
      <c r="V250">
        <v>0.55902951999999995</v>
      </c>
    </row>
    <row r="251" spans="1:39">
      <c r="V251">
        <f>V250/X244</f>
        <v>0.59831228454776564</v>
      </c>
    </row>
    <row r="252" spans="1:39">
      <c r="H252" s="63"/>
    </row>
    <row r="253" spans="1:39">
      <c r="I253" s="63"/>
    </row>
    <row r="254" spans="1:39">
      <c r="H254" s="63"/>
      <c r="I254" s="63"/>
      <c r="V254">
        <v>0.49122242999999999</v>
      </c>
    </row>
    <row r="255" spans="1:39">
      <c r="V255">
        <f>V254/X244</f>
        <v>0.52574041942258232</v>
      </c>
    </row>
    <row r="256" spans="1:39">
      <c r="H256" s="63"/>
    </row>
    <row r="257" spans="8:8">
      <c r="H257" s="63"/>
    </row>
    <row r="258" spans="8:8">
      <c r="H258" s="63"/>
    </row>
    <row r="261" spans="8:8">
      <c r="H261" s="63"/>
    </row>
    <row r="262" spans="8:8">
      <c r="H262" s="63"/>
    </row>
    <row r="263" spans="8:8">
      <c r="H263" s="6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9EC99-F340-4837-B31C-74C49CAC0E88}">
  <dimension ref="A1:O57"/>
  <sheetViews>
    <sheetView topLeftCell="A19" zoomScale="70" zoomScaleNormal="70" workbookViewId="0">
      <selection activeCell="Y40" sqref="Y40"/>
    </sheetView>
  </sheetViews>
  <sheetFormatPr defaultColWidth="8.69921875" defaultRowHeight="17.399999999999999"/>
  <cols>
    <col min="1" max="2" width="8.69921875" style="13"/>
    <col min="3" max="3" width="22.5" style="13" customWidth="1"/>
    <col min="4" max="16384" width="8.69921875" style="13"/>
  </cols>
  <sheetData>
    <row r="1" spans="1:15">
      <c r="A1" s="1" t="s">
        <v>121</v>
      </c>
    </row>
    <row r="2" spans="1:15">
      <c r="A2" s="31" t="s">
        <v>8</v>
      </c>
      <c r="B2" s="13" t="s">
        <v>9</v>
      </c>
      <c r="C2" s="13" t="s">
        <v>10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O2" s="13" t="s">
        <v>76</v>
      </c>
    </row>
    <row r="3" spans="1:15">
      <c r="A3" s="13" t="s">
        <v>364</v>
      </c>
      <c r="B3" s="13" t="s">
        <v>1</v>
      </c>
      <c r="C3" s="13" t="s">
        <v>57</v>
      </c>
      <c r="D3" s="13">
        <v>6.4985299999999996E-2</v>
      </c>
      <c r="E3" s="13">
        <v>0.12297479</v>
      </c>
      <c r="F3" s="13">
        <v>0.16385319999999901</v>
      </c>
      <c r="G3" s="13">
        <v>0.23484740000000001</v>
      </c>
      <c r="H3" s="13">
        <v>0.25816798699999999</v>
      </c>
      <c r="I3" s="13">
        <v>0.26957433159999999</v>
      </c>
      <c r="J3" s="13">
        <v>0.2881801873</v>
      </c>
      <c r="K3" s="13">
        <v>0.34274827489999998</v>
      </c>
      <c r="L3" s="13">
        <v>0.31627726001000001</v>
      </c>
      <c r="M3" s="13">
        <v>0.27824152616999998</v>
      </c>
      <c r="N3" s="13">
        <v>0.23448787134999999</v>
      </c>
      <c r="O3" s="13" t="s">
        <v>78</v>
      </c>
    </row>
    <row r="4" spans="1:15">
      <c r="A4" s="13" t="s">
        <v>364</v>
      </c>
      <c r="B4" s="13" t="s">
        <v>1</v>
      </c>
      <c r="C4" s="13" t="s">
        <v>58</v>
      </c>
      <c r="D4" s="13">
        <v>0.9393783</v>
      </c>
      <c r="E4" s="13">
        <v>0.86327980000000004</v>
      </c>
      <c r="F4" s="13">
        <v>1.0777254999999999</v>
      </c>
      <c r="G4" s="13">
        <v>1.3421124</v>
      </c>
      <c r="H4" s="13">
        <v>1.5025358790000001</v>
      </c>
      <c r="I4" s="13">
        <v>1.39991598131999</v>
      </c>
      <c r="J4" s="13">
        <v>1.2083228530399901</v>
      </c>
      <c r="K4" s="13">
        <v>0.90909811346000002</v>
      </c>
      <c r="L4" s="13">
        <v>0.62286862430000001</v>
      </c>
      <c r="M4" s="13">
        <v>0.41718385664199897</v>
      </c>
      <c r="N4" s="13">
        <v>0.26920554674699998</v>
      </c>
      <c r="O4" s="13" t="s">
        <v>78</v>
      </c>
    </row>
    <row r="5" spans="1:15">
      <c r="A5" s="13" t="s">
        <v>364</v>
      </c>
      <c r="B5" s="13" t="s">
        <v>1</v>
      </c>
      <c r="C5" s="13" t="s">
        <v>59</v>
      </c>
      <c r="D5" s="13">
        <v>0.33981924468000002</v>
      </c>
      <c r="E5" s="13">
        <v>1.2785538596599999</v>
      </c>
      <c r="F5" s="13">
        <v>1.6178942949299999</v>
      </c>
      <c r="G5" s="13">
        <v>1.7799465532000001</v>
      </c>
      <c r="H5" s="13">
        <v>1.8393896805400001</v>
      </c>
      <c r="I5" s="13">
        <v>1.9313104480499901</v>
      </c>
      <c r="J5" s="13">
        <v>2.02462591095999</v>
      </c>
      <c r="K5" s="13">
        <v>2.12400255124999</v>
      </c>
      <c r="L5" s="13">
        <v>2.2927495155551498</v>
      </c>
      <c r="M5" s="13">
        <v>2.50693988431874</v>
      </c>
      <c r="N5" s="13">
        <v>2.8005237757597299</v>
      </c>
      <c r="O5" s="13" t="s">
        <v>78</v>
      </c>
    </row>
    <row r="6" spans="1:15">
      <c r="A6" s="13" t="s">
        <v>364</v>
      </c>
      <c r="B6" s="13" t="s">
        <v>1</v>
      </c>
      <c r="C6" s="13" t="s">
        <v>60</v>
      </c>
      <c r="D6" s="13">
        <v>2.95950348981E-2</v>
      </c>
      <c r="E6" s="13">
        <v>0.70970721789999902</v>
      </c>
      <c r="F6" s="13">
        <v>0.88725523735</v>
      </c>
      <c r="G6" s="13">
        <v>0.89976703438999905</v>
      </c>
      <c r="H6" s="13">
        <v>1.04770289739</v>
      </c>
      <c r="I6" s="13">
        <v>1.1083071504589901</v>
      </c>
      <c r="J6" s="13">
        <v>1.1663796025469999</v>
      </c>
      <c r="K6" s="13">
        <v>1.1705450396520001</v>
      </c>
      <c r="L6" s="13">
        <v>1.0765592183071899</v>
      </c>
      <c r="M6" s="13">
        <v>0.93384464063199901</v>
      </c>
      <c r="N6" s="13">
        <v>1.1745735823579999</v>
      </c>
      <c r="O6" s="13" t="s">
        <v>78</v>
      </c>
    </row>
    <row r="7" spans="1:15">
      <c r="A7" s="13" t="s">
        <v>364</v>
      </c>
      <c r="B7" s="13" t="s">
        <v>1</v>
      </c>
      <c r="C7" s="13" t="s">
        <v>65</v>
      </c>
      <c r="D7" s="13">
        <v>0</v>
      </c>
      <c r="E7" s="13">
        <v>0</v>
      </c>
      <c r="F7" s="13">
        <v>0</v>
      </c>
      <c r="G7" s="13">
        <v>0</v>
      </c>
      <c r="H7" s="13">
        <v>1.83976850999999E-3</v>
      </c>
      <c r="I7" s="13">
        <v>3.4830280460000002E-2</v>
      </c>
      <c r="J7" s="13">
        <v>0.12109383476</v>
      </c>
      <c r="K7" s="13">
        <v>0.24579427468000001</v>
      </c>
      <c r="L7" s="13">
        <v>0.39121097144</v>
      </c>
      <c r="M7" s="13">
        <v>0.53843520076999996</v>
      </c>
      <c r="N7" s="13">
        <v>0.67070332524999998</v>
      </c>
      <c r="O7" s="13" t="s">
        <v>78</v>
      </c>
    </row>
    <row r="8" spans="1:15">
      <c r="A8" s="13" t="s">
        <v>364</v>
      </c>
      <c r="B8" s="13" t="s">
        <v>1</v>
      </c>
      <c r="C8" s="13" t="s">
        <v>190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4">
        <v>0</v>
      </c>
      <c r="J8" s="14">
        <v>0</v>
      </c>
      <c r="K8" s="14">
        <v>0</v>
      </c>
      <c r="L8" s="14">
        <v>3.2378499999999998E-6</v>
      </c>
      <c r="M8" s="14">
        <v>1.41388834E-3</v>
      </c>
      <c r="N8" s="13">
        <v>0.40680246948999998</v>
      </c>
      <c r="O8" s="13" t="s">
        <v>78</v>
      </c>
    </row>
    <row r="9" spans="1:15">
      <c r="A9" s="13" t="s">
        <v>364</v>
      </c>
      <c r="B9" s="13" t="s">
        <v>1</v>
      </c>
      <c r="C9" s="13" t="s">
        <v>19</v>
      </c>
      <c r="D9" s="13">
        <v>1.9055001466599899</v>
      </c>
      <c r="E9" s="13">
        <v>3.9546848334</v>
      </c>
      <c r="F9" s="13">
        <v>4.0586798100500001</v>
      </c>
      <c r="G9" s="13">
        <v>4.4023892890099896</v>
      </c>
      <c r="H9" s="13">
        <v>4.5080142195799997</v>
      </c>
      <c r="I9" s="13">
        <v>4.3306583025274898</v>
      </c>
      <c r="J9" s="13">
        <v>4.0474943857176999</v>
      </c>
      <c r="K9" s="13">
        <v>3.7457341130436901</v>
      </c>
      <c r="L9" s="13">
        <v>3.3845852180858</v>
      </c>
      <c r="M9" s="13">
        <v>3.0578650093080002</v>
      </c>
      <c r="N9" s="13">
        <v>2.7559429085091001</v>
      </c>
      <c r="O9" s="13" t="s">
        <v>78</v>
      </c>
    </row>
    <row r="10" spans="1:15">
      <c r="N10" s="13">
        <f>SUM(N3:N9)</f>
        <v>8.3122394794638303</v>
      </c>
    </row>
    <row r="11" spans="1:15">
      <c r="D11" s="13">
        <v>2015</v>
      </c>
      <c r="E11" s="13">
        <v>2020</v>
      </c>
      <c r="F11" s="13">
        <v>2025</v>
      </c>
      <c r="G11" s="13">
        <v>2030</v>
      </c>
      <c r="H11" s="13">
        <v>2035</v>
      </c>
      <c r="I11" s="13">
        <v>2040</v>
      </c>
      <c r="J11" s="13">
        <v>2045</v>
      </c>
      <c r="K11" s="13">
        <v>2050</v>
      </c>
      <c r="L11" s="13" t="s">
        <v>76</v>
      </c>
    </row>
    <row r="12" spans="1:15">
      <c r="B12" s="13" t="s">
        <v>19</v>
      </c>
      <c r="C12" s="13" t="s">
        <v>305</v>
      </c>
      <c r="D12" s="13">
        <f>SUMIF($C$3:$C$9,$B12,G$3:G$9)</f>
        <v>4.4023892890099896</v>
      </c>
      <c r="E12" s="13">
        <f t="shared" ref="E12:K12" si="0">SUMIF($C$3:$C$9,$B12,H$3:H$9)</f>
        <v>4.5080142195799997</v>
      </c>
      <c r="F12" s="13">
        <f t="shared" si="0"/>
        <v>4.3306583025274898</v>
      </c>
      <c r="G12" s="13">
        <f t="shared" si="0"/>
        <v>4.0474943857176999</v>
      </c>
      <c r="H12" s="13">
        <f t="shared" si="0"/>
        <v>3.7457341130436901</v>
      </c>
      <c r="I12" s="13">
        <f t="shared" si="0"/>
        <v>3.3845852180858</v>
      </c>
      <c r="J12" s="13">
        <f t="shared" si="0"/>
        <v>3.0578650093080002</v>
      </c>
      <c r="K12" s="13">
        <f t="shared" si="0"/>
        <v>2.7559429085091001</v>
      </c>
      <c r="L12" s="13" t="s">
        <v>78</v>
      </c>
    </row>
    <row r="13" spans="1:15">
      <c r="B13" s="13" t="s">
        <v>58</v>
      </c>
      <c r="C13" s="13" t="s">
        <v>14</v>
      </c>
      <c r="D13" s="14">
        <f>SUMIF($C$3:$C$9,$B13,G$3:G$9)-D14</f>
        <v>1.3421124</v>
      </c>
      <c r="E13" s="14">
        <f t="shared" ref="E13:K13" si="1">SUMIF($C$3:$C$9,$B13,H$3:H$9)-E14</f>
        <v>1.5025358790000001</v>
      </c>
      <c r="F13" s="14">
        <f t="shared" si="1"/>
        <v>1.39739085131999</v>
      </c>
      <c r="G13" s="14">
        <f t="shared" si="1"/>
        <v>1.1973330173399901</v>
      </c>
      <c r="H13" s="14">
        <f t="shared" si="1"/>
        <v>0.87711630116000006</v>
      </c>
      <c r="I13" s="14">
        <f t="shared" si="1"/>
        <v>0.56599597686000003</v>
      </c>
      <c r="J13" s="14">
        <f t="shared" si="1"/>
        <v>0.33435504629199897</v>
      </c>
      <c r="K13" s="14">
        <f t="shared" si="1"/>
        <v>0.18638085090699996</v>
      </c>
      <c r="L13" s="13" t="s">
        <v>78</v>
      </c>
    </row>
    <row r="14" spans="1:15">
      <c r="C14" s="13" t="s">
        <v>367</v>
      </c>
      <c r="D14" s="14">
        <f>NZ2050_industry_final_energy!G115</f>
        <v>0</v>
      </c>
      <c r="E14" s="14">
        <f>NZ2050_industry_final_energy!H115</f>
        <v>0</v>
      </c>
      <c r="F14" s="14">
        <f>NZ2050_industry_final_energy!I115</f>
        <v>2.52513E-3</v>
      </c>
      <c r="G14" s="14">
        <f>NZ2050_industry_final_energy!J115</f>
        <v>1.0989835699999999E-2</v>
      </c>
      <c r="H14" s="14">
        <f>NZ2050_industry_final_energy!K115</f>
        <v>3.1981812300000002E-2</v>
      </c>
      <c r="I14" s="14">
        <f>NZ2050_industry_final_energy!L115</f>
        <v>5.6872647439999986E-2</v>
      </c>
      <c r="J14" s="14">
        <f>NZ2050_industry_final_energy!M115</f>
        <v>8.2828810350000004E-2</v>
      </c>
      <c r="K14" s="14">
        <f>NZ2050_industry_final_energy!N115</f>
        <v>8.2824695840000004E-2</v>
      </c>
    </row>
    <row r="15" spans="1:15">
      <c r="B15" s="13" t="s">
        <v>60</v>
      </c>
      <c r="C15" s="13" t="s">
        <v>15</v>
      </c>
      <c r="D15" s="13">
        <f>SUMIF($C$3:$C$9,$B15,G$3:G$9)-D19</f>
        <v>0.89976703438999905</v>
      </c>
      <c r="E15" s="13">
        <f t="shared" ref="E15:K15" si="2">SUMIF($C$3:$C$9,$B15,H$3:H$9)-E19</f>
        <v>1.04770289739</v>
      </c>
      <c r="F15" s="13">
        <f t="shared" si="2"/>
        <v>1.1083071504589901</v>
      </c>
      <c r="G15" s="13">
        <f t="shared" si="2"/>
        <v>1.1663796025469999</v>
      </c>
      <c r="H15" s="13">
        <f t="shared" si="2"/>
        <v>1.1705450396520001</v>
      </c>
      <c r="I15" s="13">
        <f t="shared" si="2"/>
        <v>1.07655598045719</v>
      </c>
      <c r="J15" s="13">
        <f t="shared" si="2"/>
        <v>0.93243075229199901</v>
      </c>
      <c r="K15" s="13">
        <f t="shared" si="2"/>
        <v>0.76777111286799993</v>
      </c>
      <c r="L15" s="13" t="s">
        <v>78</v>
      </c>
    </row>
    <row r="16" spans="1:15">
      <c r="B16" s="13" t="s">
        <v>57</v>
      </c>
      <c r="C16" s="13" t="s">
        <v>13</v>
      </c>
      <c r="D16" s="13">
        <f t="shared" ref="D16:K19" si="3">SUMIF($C$3:$C$9,$B16,G$3:G$9)</f>
        <v>0.23484740000000001</v>
      </c>
      <c r="E16" s="13">
        <f t="shared" si="3"/>
        <v>0.25816798699999999</v>
      </c>
      <c r="F16" s="13">
        <f t="shared" si="3"/>
        <v>0.26957433159999999</v>
      </c>
      <c r="G16" s="13">
        <f t="shared" si="3"/>
        <v>0.2881801873</v>
      </c>
      <c r="H16" s="13">
        <f t="shared" si="3"/>
        <v>0.34274827489999998</v>
      </c>
      <c r="I16" s="13">
        <f t="shared" si="3"/>
        <v>0.31627726001000001</v>
      </c>
      <c r="J16" s="13">
        <f t="shared" si="3"/>
        <v>0.27824152616999998</v>
      </c>
      <c r="K16" s="13">
        <f t="shared" si="3"/>
        <v>0.23448787134999999</v>
      </c>
      <c r="L16" s="13" t="s">
        <v>78</v>
      </c>
    </row>
    <row r="17" spans="1:15">
      <c r="B17" s="13" t="s">
        <v>59</v>
      </c>
      <c r="C17" s="13" t="s">
        <v>17</v>
      </c>
      <c r="D17" s="13">
        <f t="shared" si="3"/>
        <v>1.7799465532000001</v>
      </c>
      <c r="E17" s="13">
        <f t="shared" si="3"/>
        <v>1.8393896805400001</v>
      </c>
      <c r="F17" s="13">
        <f t="shared" si="3"/>
        <v>1.9313104480499901</v>
      </c>
      <c r="G17" s="13">
        <f t="shared" si="3"/>
        <v>2.02462591095999</v>
      </c>
      <c r="H17" s="13">
        <f t="shared" si="3"/>
        <v>2.12400255124999</v>
      </c>
      <c r="I17" s="13">
        <f t="shared" si="3"/>
        <v>2.2927495155551498</v>
      </c>
      <c r="J17" s="13">
        <f t="shared" si="3"/>
        <v>2.50693988431874</v>
      </c>
      <c r="K17" s="13">
        <f t="shared" si="3"/>
        <v>2.8005237757597299</v>
      </c>
      <c r="L17" s="13" t="s">
        <v>78</v>
      </c>
    </row>
    <row r="18" spans="1:15">
      <c r="B18" s="13" t="s">
        <v>65</v>
      </c>
      <c r="C18" s="13" t="s">
        <v>12</v>
      </c>
      <c r="D18" s="13">
        <f t="shared" si="3"/>
        <v>0</v>
      </c>
      <c r="E18" s="13">
        <f t="shared" si="3"/>
        <v>1.83976850999999E-3</v>
      </c>
      <c r="F18" s="13">
        <f t="shared" si="3"/>
        <v>3.4830280460000002E-2</v>
      </c>
      <c r="G18" s="13">
        <f t="shared" si="3"/>
        <v>0.12109383476</v>
      </c>
      <c r="H18" s="13">
        <f t="shared" si="3"/>
        <v>0.24579427468000001</v>
      </c>
      <c r="I18" s="13">
        <f t="shared" si="3"/>
        <v>0.39121097144</v>
      </c>
      <c r="J18" s="13">
        <f t="shared" si="3"/>
        <v>0.53843520076999996</v>
      </c>
      <c r="K18" s="13">
        <f t="shared" si="3"/>
        <v>0.67070332524999998</v>
      </c>
      <c r="L18" s="13" t="s">
        <v>78</v>
      </c>
    </row>
    <row r="19" spans="1:15">
      <c r="B19" s="13" t="s">
        <v>190</v>
      </c>
      <c r="C19" s="13" t="s">
        <v>174</v>
      </c>
      <c r="D19" s="13">
        <f t="shared" si="3"/>
        <v>0</v>
      </c>
      <c r="E19" s="13">
        <f t="shared" si="3"/>
        <v>0</v>
      </c>
      <c r="F19" s="13">
        <f t="shared" si="3"/>
        <v>0</v>
      </c>
      <c r="G19" s="13">
        <f t="shared" si="3"/>
        <v>0</v>
      </c>
      <c r="H19" s="13">
        <f t="shared" si="3"/>
        <v>0</v>
      </c>
      <c r="I19" s="13">
        <f t="shared" si="3"/>
        <v>3.2378499999999998E-6</v>
      </c>
      <c r="J19" s="13">
        <f t="shared" si="3"/>
        <v>1.41388834E-3</v>
      </c>
      <c r="K19" s="13">
        <f t="shared" si="3"/>
        <v>0.40680246948999998</v>
      </c>
    </row>
    <row r="22" spans="1:15">
      <c r="A22" s="1" t="s">
        <v>265</v>
      </c>
    </row>
    <row r="23" spans="1:15">
      <c r="A23" s="31" t="s">
        <v>8</v>
      </c>
      <c r="B23" s="13" t="s">
        <v>9</v>
      </c>
      <c r="C23" s="13" t="s">
        <v>10</v>
      </c>
      <c r="D23" s="13">
        <v>1990</v>
      </c>
      <c r="E23" s="13">
        <v>2005</v>
      </c>
      <c r="F23" s="13">
        <v>2010</v>
      </c>
      <c r="G23" s="13">
        <v>2015</v>
      </c>
      <c r="H23" s="13">
        <v>2020</v>
      </c>
      <c r="I23" s="13">
        <v>2025</v>
      </c>
      <c r="J23" s="13">
        <v>2030</v>
      </c>
      <c r="K23" s="13">
        <v>2035</v>
      </c>
      <c r="L23" s="13">
        <v>2040</v>
      </c>
      <c r="M23" s="13">
        <v>2045</v>
      </c>
      <c r="N23" s="13">
        <v>2050</v>
      </c>
      <c r="O23" s="13" t="s">
        <v>76</v>
      </c>
    </row>
    <row r="24" spans="1:15">
      <c r="A24" s="13" t="s">
        <v>268</v>
      </c>
      <c r="B24" s="13" t="s">
        <v>1</v>
      </c>
      <c r="C24" s="13" t="s">
        <v>3</v>
      </c>
      <c r="D24" s="13">
        <v>1.83765E-2</v>
      </c>
      <c r="E24" s="13">
        <v>1.53047999999999E-2</v>
      </c>
      <c r="F24" s="13">
        <v>3.02900999999999E-2</v>
      </c>
      <c r="G24" s="13">
        <v>7.0219599999999993E-2</v>
      </c>
      <c r="H24" s="13">
        <v>6.4478960000000002E-2</v>
      </c>
      <c r="I24" s="13">
        <v>9.5376900000000001E-2</v>
      </c>
      <c r="J24" s="13">
        <v>8.3749190000000001E-2</v>
      </c>
      <c r="K24" s="13">
        <v>7.7284320000000004E-2</v>
      </c>
      <c r="L24" s="13">
        <v>4.4919344999999999E-2</v>
      </c>
      <c r="M24" s="13">
        <v>3.1772303000000002E-2</v>
      </c>
      <c r="N24" s="13">
        <v>3.2375506999999998E-2</v>
      </c>
      <c r="O24" s="13" t="s">
        <v>78</v>
      </c>
    </row>
    <row r="25" spans="1:15">
      <c r="A25" s="13" t="s">
        <v>268</v>
      </c>
      <c r="B25" s="13" t="s">
        <v>1</v>
      </c>
      <c r="C25" s="13" t="s">
        <v>4</v>
      </c>
      <c r="D25" s="13">
        <v>0.36271720000000002</v>
      </c>
      <c r="E25" s="13">
        <v>3.9934399999999898E-2</v>
      </c>
      <c r="F25" s="13">
        <v>3.5790299999999997E-2</v>
      </c>
      <c r="G25" s="13">
        <v>2.74183E-2</v>
      </c>
      <c r="H25" s="13">
        <v>3.2336280000000002E-2</v>
      </c>
      <c r="I25" s="13">
        <v>5.30351E-3</v>
      </c>
      <c r="J25" s="13">
        <v>2.1044219999999999E-3</v>
      </c>
      <c r="K25" s="13">
        <v>1.2489179999999999E-3</v>
      </c>
      <c r="L25" s="14">
        <v>7.6968100000000003E-4</v>
      </c>
      <c r="M25" s="14">
        <v>5.8522399999999997E-4</v>
      </c>
      <c r="N25" s="14">
        <v>5.7761499999999996E-4</v>
      </c>
      <c r="O25" s="13" t="s">
        <v>78</v>
      </c>
    </row>
    <row r="26" spans="1:15">
      <c r="A26" s="13" t="s">
        <v>268</v>
      </c>
      <c r="B26" s="13" t="s">
        <v>1</v>
      </c>
      <c r="C26" s="13" t="s">
        <v>162</v>
      </c>
      <c r="D26" s="13">
        <v>2.5408903E-2</v>
      </c>
      <c r="E26" s="13">
        <v>0.4829408</v>
      </c>
      <c r="F26" s="13">
        <v>0.52749249999999903</v>
      </c>
      <c r="G26" s="13">
        <v>0.49998670000000001</v>
      </c>
      <c r="H26" s="13">
        <v>0.59683439999999999</v>
      </c>
      <c r="I26" s="13">
        <v>0.62045987999999996</v>
      </c>
      <c r="J26" s="13">
        <v>0.64223578999999997</v>
      </c>
      <c r="K26" s="13">
        <v>0.63729468999999905</v>
      </c>
      <c r="L26" s="13">
        <v>0.58760387000000003</v>
      </c>
      <c r="M26" s="13">
        <v>0.58069629</v>
      </c>
      <c r="N26" s="13">
        <v>0.59030415999999997</v>
      </c>
      <c r="O26" s="13" t="s">
        <v>78</v>
      </c>
    </row>
    <row r="27" spans="1:15">
      <c r="A27" s="13" t="s">
        <v>268</v>
      </c>
      <c r="B27" s="13" t="s">
        <v>1</v>
      </c>
      <c r="C27" s="13" t="s">
        <v>264</v>
      </c>
      <c r="D27" s="13">
        <v>0.10959012</v>
      </c>
      <c r="E27" s="13">
        <v>0.56461530000000004</v>
      </c>
      <c r="F27" s="13">
        <v>0.73043009999999997</v>
      </c>
      <c r="G27" s="13">
        <v>0.75474359999999996</v>
      </c>
      <c r="H27" s="13">
        <v>0.76615009999999995</v>
      </c>
      <c r="I27" s="13">
        <v>0.81055330000000003</v>
      </c>
      <c r="J27" s="13">
        <v>0.85230099999999998</v>
      </c>
      <c r="K27" s="13">
        <v>0.91156959999999998</v>
      </c>
      <c r="L27" s="13">
        <v>1.0002647999999901</v>
      </c>
      <c r="M27" s="13">
        <v>1.0775729999999999</v>
      </c>
      <c r="N27" s="13">
        <v>1.1224514999999999</v>
      </c>
      <c r="O27" s="13" t="s">
        <v>78</v>
      </c>
    </row>
    <row r="28" spans="1:15">
      <c r="A28" s="13" t="s">
        <v>268</v>
      </c>
      <c r="B28" s="13" t="s">
        <v>1</v>
      </c>
      <c r="C28" s="13" t="s">
        <v>164</v>
      </c>
      <c r="D28" s="13">
        <v>0.420189799999999</v>
      </c>
      <c r="E28" s="13">
        <v>0.4400598</v>
      </c>
      <c r="F28" s="13">
        <v>0.31840200000000002</v>
      </c>
      <c r="G28" s="13">
        <v>0.28370590000000001</v>
      </c>
      <c r="H28" s="13">
        <v>0.30218400000000001</v>
      </c>
      <c r="I28" s="13">
        <v>0.25792549999999997</v>
      </c>
      <c r="J28" s="13">
        <v>0.21807850000000001</v>
      </c>
      <c r="K28" s="13">
        <v>0.17164840000000001</v>
      </c>
      <c r="L28" s="13">
        <v>0.11791591999999999</v>
      </c>
      <c r="M28" s="13">
        <v>5.8155829999999999E-2</v>
      </c>
      <c r="N28" s="13">
        <v>0</v>
      </c>
      <c r="O28" s="13" t="s">
        <v>78</v>
      </c>
    </row>
    <row r="30" spans="1:15">
      <c r="D30" s="13">
        <v>2015</v>
      </c>
      <c r="E30" s="13">
        <v>2020</v>
      </c>
      <c r="F30" s="13">
        <v>2025</v>
      </c>
      <c r="G30" s="13">
        <v>2030</v>
      </c>
      <c r="H30" s="13">
        <v>2035</v>
      </c>
      <c r="I30" s="13">
        <v>2040</v>
      </c>
      <c r="J30" s="13">
        <v>2045</v>
      </c>
      <c r="K30" s="13">
        <v>2050</v>
      </c>
      <c r="L30" s="13" t="s">
        <v>76</v>
      </c>
    </row>
    <row r="31" spans="1:15">
      <c r="B31" s="13" t="s">
        <v>164</v>
      </c>
      <c r="C31" s="13" t="s">
        <v>266</v>
      </c>
      <c r="D31" s="13">
        <f>SUMIF($C$24:$C$28,$B31,G$24:G$28)</f>
        <v>0.28370590000000001</v>
      </c>
      <c r="E31" s="13">
        <f t="shared" ref="E31:K35" si="4">SUMIF($C$24:$C$28,$B31,H$24:H$28)</f>
        <v>0.30218400000000001</v>
      </c>
      <c r="F31" s="13">
        <f t="shared" si="4"/>
        <v>0.25792549999999997</v>
      </c>
      <c r="G31" s="13">
        <f t="shared" si="4"/>
        <v>0.21807850000000001</v>
      </c>
      <c r="H31" s="13">
        <f t="shared" si="4"/>
        <v>0.17164840000000001</v>
      </c>
      <c r="I31" s="13">
        <f t="shared" si="4"/>
        <v>0.11791591999999999</v>
      </c>
      <c r="J31" s="13">
        <f t="shared" si="4"/>
        <v>5.8155829999999999E-2</v>
      </c>
      <c r="K31" s="13">
        <f t="shared" si="4"/>
        <v>0</v>
      </c>
      <c r="L31" s="13" t="s">
        <v>78</v>
      </c>
    </row>
    <row r="32" spans="1:15">
      <c r="B32" s="13" t="s">
        <v>4</v>
      </c>
      <c r="C32" s="13" t="s">
        <v>14</v>
      </c>
      <c r="D32" s="13">
        <f>SUMIF($C$24:$C$28,$B32,G$24:G$28)</f>
        <v>2.74183E-2</v>
      </c>
      <c r="E32" s="13">
        <f t="shared" si="4"/>
        <v>3.2336280000000002E-2</v>
      </c>
      <c r="F32" s="13">
        <f t="shared" si="4"/>
        <v>5.30351E-3</v>
      </c>
      <c r="G32" s="13">
        <f t="shared" si="4"/>
        <v>2.1044219999999999E-3</v>
      </c>
      <c r="H32" s="13">
        <f t="shared" si="4"/>
        <v>1.2489179999999999E-3</v>
      </c>
      <c r="I32" s="13">
        <f t="shared" si="4"/>
        <v>7.6968100000000003E-4</v>
      </c>
      <c r="J32" s="13">
        <f t="shared" si="4"/>
        <v>5.8522399999999997E-4</v>
      </c>
      <c r="K32" s="13">
        <f t="shared" si="4"/>
        <v>5.7761499999999996E-4</v>
      </c>
      <c r="L32" s="13" t="s">
        <v>78</v>
      </c>
    </row>
    <row r="33" spans="2:12">
      <c r="B33" s="13" t="s">
        <v>162</v>
      </c>
      <c r="C33" s="13" t="s">
        <v>15</v>
      </c>
      <c r="D33" s="13">
        <f>SUMIF($C$24:$C$28,$B33,G$24:G$28)</f>
        <v>0.49998670000000001</v>
      </c>
      <c r="E33" s="13">
        <f t="shared" si="4"/>
        <v>0.59683439999999999</v>
      </c>
      <c r="F33" s="13">
        <f t="shared" si="4"/>
        <v>0.62045987999999996</v>
      </c>
      <c r="G33" s="13">
        <f t="shared" si="4"/>
        <v>0.64223578999999997</v>
      </c>
      <c r="H33" s="13">
        <f t="shared" si="4"/>
        <v>0.63729468999999905</v>
      </c>
      <c r="I33" s="13">
        <f t="shared" si="4"/>
        <v>0.58760387000000003</v>
      </c>
      <c r="J33" s="13">
        <f t="shared" si="4"/>
        <v>0.58069629</v>
      </c>
      <c r="K33" s="13">
        <f t="shared" si="4"/>
        <v>0.59030415999999997</v>
      </c>
      <c r="L33" s="13" t="s">
        <v>78</v>
      </c>
    </row>
    <row r="34" spans="2:12">
      <c r="B34" s="13" t="s">
        <v>3</v>
      </c>
      <c r="C34" s="13" t="s">
        <v>13</v>
      </c>
      <c r="D34" s="13">
        <f>SUMIF($C$24:$C$28,$B34,G$24:G$28)</f>
        <v>7.0219599999999993E-2</v>
      </c>
      <c r="E34" s="13">
        <f t="shared" si="4"/>
        <v>6.4478960000000002E-2</v>
      </c>
      <c r="F34" s="13">
        <f t="shared" si="4"/>
        <v>9.5376900000000001E-2</v>
      </c>
      <c r="G34" s="13">
        <f t="shared" si="4"/>
        <v>8.3749190000000001E-2</v>
      </c>
      <c r="H34" s="13">
        <f t="shared" si="4"/>
        <v>7.7284320000000004E-2</v>
      </c>
      <c r="I34" s="13">
        <f t="shared" si="4"/>
        <v>4.4919344999999999E-2</v>
      </c>
      <c r="J34" s="13">
        <f t="shared" si="4"/>
        <v>3.1772303000000002E-2</v>
      </c>
      <c r="K34" s="13">
        <f t="shared" si="4"/>
        <v>3.2375506999999998E-2</v>
      </c>
      <c r="L34" s="13" t="s">
        <v>78</v>
      </c>
    </row>
    <row r="35" spans="2:12">
      <c r="B35" s="13" t="s">
        <v>264</v>
      </c>
      <c r="C35" s="13" t="s">
        <v>17</v>
      </c>
      <c r="D35" s="13">
        <f>SUMIF($C$24:$C$28,$B35,G$24:G$28)</f>
        <v>0.75474359999999996</v>
      </c>
      <c r="E35" s="13">
        <f t="shared" si="4"/>
        <v>0.76615009999999995</v>
      </c>
      <c r="F35" s="13">
        <f t="shared" si="4"/>
        <v>0.81055330000000003</v>
      </c>
      <c r="G35" s="13">
        <f t="shared" si="4"/>
        <v>0.85230099999999998</v>
      </c>
      <c r="H35" s="13">
        <f t="shared" si="4"/>
        <v>0.91156959999999998</v>
      </c>
      <c r="I35" s="13">
        <f t="shared" si="4"/>
        <v>1.0002647999999901</v>
      </c>
      <c r="J35" s="13">
        <f t="shared" si="4"/>
        <v>1.0775729999999999</v>
      </c>
      <c r="K35" s="13">
        <f t="shared" si="4"/>
        <v>1.1224514999999999</v>
      </c>
      <c r="L35" s="13" t="s">
        <v>78</v>
      </c>
    </row>
    <row r="41" spans="2:12">
      <c r="D41" s="13">
        <v>5.6476193690000003E-3</v>
      </c>
    </row>
    <row r="42" spans="2:12">
      <c r="D42" s="14">
        <v>3.7298949999999898E-5</v>
      </c>
    </row>
    <row r="43" spans="2:12">
      <c r="D43" s="13">
        <v>7.11315374E-2</v>
      </c>
    </row>
    <row r="44" spans="2:12">
      <c r="D44" s="13">
        <v>1.06701E-3</v>
      </c>
    </row>
    <row r="45" spans="2:12">
      <c r="D45" s="13">
        <v>6.2332699999999998E-2</v>
      </c>
    </row>
    <row r="46" spans="2:12">
      <c r="D46" s="13">
        <v>1.37462E-2</v>
      </c>
    </row>
    <row r="47" spans="2:12">
      <c r="D47" s="13">
        <v>5.0805060000000003E-3</v>
      </c>
    </row>
    <row r="48" spans="2:12">
      <c r="D48" s="14">
        <v>3.63643E-6</v>
      </c>
    </row>
    <row r="49" spans="4:4">
      <c r="D49" s="13">
        <v>0.160855538209</v>
      </c>
    </row>
    <row r="50" spans="4:4">
      <c r="D50" s="13">
        <v>0.16266531199999901</v>
      </c>
    </row>
    <row r="51" spans="4:4">
      <c r="D51" s="13">
        <v>0.40680300000000003</v>
      </c>
    </row>
    <row r="52" spans="4:4">
      <c r="D52" s="13">
        <v>0.175373</v>
      </c>
    </row>
    <row r="53" spans="4:4">
      <c r="D53" s="13">
        <v>4.9476699999999998E-2</v>
      </c>
    </row>
    <row r="54" spans="4:4">
      <c r="D54" s="13">
        <v>1.4966742999999999E-2</v>
      </c>
    </row>
    <row r="55" spans="4:4">
      <c r="D55" s="13">
        <v>4.18363E-2</v>
      </c>
    </row>
    <row r="56" spans="4:4">
      <c r="D56" s="13">
        <v>3.5504809999999999E-3</v>
      </c>
    </row>
    <row r="57" spans="4:4">
      <c r="D57" s="13">
        <f>SUM(D41:D56)</f>
        <v>1.174573582357999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FCA2-F8CA-48C2-AE3D-A3FC24F3016B}">
  <dimension ref="A1:AV230"/>
  <sheetViews>
    <sheetView zoomScale="55" zoomScaleNormal="55" workbookViewId="0">
      <selection activeCell="K20" sqref="K20"/>
    </sheetView>
  </sheetViews>
  <sheetFormatPr defaultColWidth="8.69921875" defaultRowHeight="17.399999999999999"/>
  <cols>
    <col min="1" max="2" width="8.69921875" style="13"/>
    <col min="3" max="3" width="22.5" style="13" customWidth="1"/>
    <col min="4" max="4" width="8.8984375" style="13" bestFit="1" customWidth="1"/>
    <col min="5" max="7" width="18.5" style="13" bestFit="1" customWidth="1"/>
    <col min="8" max="8" width="18.69921875" style="13" bestFit="1" customWidth="1"/>
    <col min="9" max="10" width="8.8984375" style="13" bestFit="1" customWidth="1"/>
    <col min="11" max="11" width="14.59765625" style="13" bestFit="1" customWidth="1"/>
    <col min="12" max="12" width="9.5" style="13" bestFit="1" customWidth="1"/>
    <col min="13" max="13" width="14.09765625" style="13" customWidth="1"/>
    <col min="14" max="14" width="9.5" style="13" bestFit="1" customWidth="1"/>
    <col min="15" max="15" width="13.19921875" style="13" bestFit="1" customWidth="1"/>
    <col min="16" max="16" width="9" style="13" bestFit="1" customWidth="1"/>
    <col min="17" max="17" width="9.59765625" style="13" bestFit="1" customWidth="1"/>
    <col min="18" max="18" width="14.09765625" style="13" customWidth="1"/>
    <col min="19" max="19" width="10.5" style="13" bestFit="1" customWidth="1"/>
    <col min="20" max="21" width="11.8984375" style="13" bestFit="1" customWidth="1"/>
    <col min="22" max="23" width="8.69921875" style="13"/>
    <col min="24" max="24" width="8.796875" style="13" bestFit="1" customWidth="1"/>
    <col min="25" max="25" width="10.69921875" style="13" customWidth="1"/>
    <col min="26" max="26" width="12.8984375" style="13" bestFit="1" customWidth="1"/>
    <col min="27" max="27" width="16.09765625" style="13" customWidth="1"/>
    <col min="28" max="29" width="11.69921875" style="13" bestFit="1" customWidth="1"/>
    <col min="30" max="30" width="8.69921875" style="13" customWidth="1"/>
    <col min="31" max="32" width="11.69921875" style="13" bestFit="1" customWidth="1"/>
    <col min="33" max="44" width="12.8984375" style="13" bestFit="1" customWidth="1"/>
    <col min="45" max="16384" width="8.69921875" style="13"/>
  </cols>
  <sheetData>
    <row r="1" spans="1:48">
      <c r="A1" s="1" t="s">
        <v>121</v>
      </c>
      <c r="Z1" s="1" t="s">
        <v>517</v>
      </c>
    </row>
    <row r="2" spans="1:48">
      <c r="A2" s="31" t="s">
        <v>8</v>
      </c>
      <c r="B2" s="13" t="s">
        <v>9</v>
      </c>
      <c r="C2" s="13" t="s">
        <v>10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O2" s="13" t="s">
        <v>76</v>
      </c>
      <c r="Z2" s="65"/>
      <c r="AA2" s="66">
        <v>2015</v>
      </c>
      <c r="AB2" s="66">
        <v>2020</v>
      </c>
      <c r="AC2" s="66">
        <v>2025</v>
      </c>
      <c r="AD2" s="66">
        <v>2030</v>
      </c>
      <c r="AE2" s="66">
        <v>2035</v>
      </c>
      <c r="AF2" s="66">
        <v>2040</v>
      </c>
      <c r="AG2" s="66">
        <v>2045</v>
      </c>
      <c r="AH2" s="66">
        <v>2050</v>
      </c>
      <c r="AI2" s="7" t="s">
        <v>475</v>
      </c>
      <c r="AJ2" s="60">
        <v>277.77777777777698</v>
      </c>
      <c r="AM2" s="62" t="s">
        <v>525</v>
      </c>
      <c r="AN2" s="70" t="s">
        <v>524</v>
      </c>
      <c r="AO2" s="71">
        <v>0.75474359999999996</v>
      </c>
      <c r="AP2" s="71">
        <v>0.78890159999999998</v>
      </c>
      <c r="AQ2" s="71">
        <v>0.80948369999999903</v>
      </c>
      <c r="AR2" s="71">
        <v>0.84146199999999904</v>
      </c>
      <c r="AS2" s="71">
        <v>0.91626079999999999</v>
      </c>
      <c r="AT2" s="71">
        <v>1.0263258</v>
      </c>
      <c r="AU2" s="71">
        <v>1.1444204</v>
      </c>
      <c r="AV2" s="10">
        <v>1.3131116999999899</v>
      </c>
    </row>
    <row r="3" spans="1:48">
      <c r="A3" s="13" t="s">
        <v>607</v>
      </c>
      <c r="B3" s="13" t="s">
        <v>1</v>
      </c>
      <c r="C3" s="13" t="s">
        <v>57</v>
      </c>
      <c r="D3" s="62">
        <v>6.4985299999999996E-2</v>
      </c>
      <c r="E3" s="62">
        <v>0.12297479</v>
      </c>
      <c r="F3" s="62">
        <v>0.16385319999999901</v>
      </c>
      <c r="G3" s="62">
        <v>0.23484740000000001</v>
      </c>
      <c r="H3" s="62">
        <v>0.28859452899999999</v>
      </c>
      <c r="I3" s="62">
        <v>0.35452437599999997</v>
      </c>
      <c r="J3" s="62">
        <v>0.36959756100000002</v>
      </c>
      <c r="K3" s="62">
        <v>0.39057932199999901</v>
      </c>
      <c r="L3" s="62">
        <v>0.376597723099999</v>
      </c>
      <c r="M3" s="62">
        <v>0.34849482339999999</v>
      </c>
      <c r="N3" s="62">
        <v>0.19014533987999899</v>
      </c>
      <c r="O3" s="13" t="s">
        <v>78</v>
      </c>
      <c r="Z3" s="8" t="s">
        <v>476</v>
      </c>
      <c r="AA3" s="45">
        <f>(D46+D87+J177+NZ2050_industry_final_energy!G111)*$AJ$2</f>
        <v>488.39273422222084</v>
      </c>
      <c r="AB3" s="45">
        <f>(E46+E87+K177+NZ2050_industry_final_energy!H111)*$AJ$2</f>
        <v>530.07496160980008</v>
      </c>
      <c r="AC3" s="45">
        <f>(F46+F87+L177+NZ2050_industry_final_energy!I111)*$AJ$2</f>
        <v>563.88743580529342</v>
      </c>
      <c r="AD3" s="45">
        <f>(G46+G87+M177+NZ2050_industry_final_energy!J111)*$AJ$2</f>
        <v>601.60653213397654</v>
      </c>
      <c r="AE3" s="45">
        <f>(H46+H87+N177+NZ2050_industry_final_energy!K111)*$AJ$2</f>
        <v>656.47355206467</v>
      </c>
      <c r="AF3" s="45">
        <f>(I46+I87+O177+NZ2050_industry_final_energy!L111)*$AJ$2</f>
        <v>744.32843818483468</v>
      </c>
      <c r="AG3" s="45">
        <f>(J46+J87+P177+NZ2050_industry_final_energy!M111)*$AJ$2</f>
        <v>830.88642910868793</v>
      </c>
      <c r="AH3" s="45">
        <f>(K46+K87+Q177+NZ2050_industry_final_energy!N111)*$AJ$2</f>
        <v>983.39055627319385</v>
      </c>
      <c r="AI3" s="9"/>
      <c r="AJ3" s="60"/>
      <c r="AM3" s="62" t="s">
        <v>526</v>
      </c>
      <c r="AN3" s="8" t="s">
        <v>524</v>
      </c>
      <c r="AO3" s="45">
        <v>7.9864199999999993E-3</v>
      </c>
      <c r="AP3" s="45">
        <v>1.23273094E-2</v>
      </c>
      <c r="AQ3" s="45">
        <v>4.2360169099999997E-2</v>
      </c>
      <c r="AR3" s="45">
        <v>7.5112420609999994E-2</v>
      </c>
      <c r="AS3" s="45">
        <v>0.10438909618</v>
      </c>
      <c r="AT3" s="45">
        <v>0.12412168571</v>
      </c>
      <c r="AU3" s="45">
        <v>0.13718661924</v>
      </c>
      <c r="AV3" s="45">
        <v>0.14967897981</v>
      </c>
    </row>
    <row r="4" spans="1:48">
      <c r="A4" s="13" t="s">
        <v>607</v>
      </c>
      <c r="B4" s="13" t="s">
        <v>1</v>
      </c>
      <c r="C4" s="13" t="s">
        <v>58</v>
      </c>
      <c r="D4" s="62">
        <v>0.9393783</v>
      </c>
      <c r="E4" s="62">
        <v>0.86327980000000004</v>
      </c>
      <c r="F4" s="62">
        <v>1.0777254999999999</v>
      </c>
      <c r="G4" s="62">
        <v>1.3421124</v>
      </c>
      <c r="H4" s="62">
        <v>1.3027586419999999</v>
      </c>
      <c r="I4" s="62">
        <v>1.1591602399999901</v>
      </c>
      <c r="J4" s="62">
        <v>0.89670366270000001</v>
      </c>
      <c r="K4" s="62">
        <v>0.59140637189999901</v>
      </c>
      <c r="L4" s="62">
        <v>0.38618975243999998</v>
      </c>
      <c r="M4" s="62">
        <v>0.25471274078</v>
      </c>
      <c r="N4" s="62">
        <v>0.12136369084</v>
      </c>
      <c r="O4" s="13" t="s">
        <v>78</v>
      </c>
      <c r="Z4" s="70" t="s">
        <v>473</v>
      </c>
      <c r="AA4" s="71">
        <v>483.74186019000041</v>
      </c>
      <c r="AB4" s="71">
        <v>509.36137785000045</v>
      </c>
      <c r="AC4" s="71"/>
      <c r="AD4" s="71"/>
      <c r="AE4" s="71"/>
      <c r="AF4" s="71"/>
      <c r="AG4" s="71"/>
      <c r="AH4" s="71"/>
      <c r="AI4" s="10"/>
      <c r="AJ4" s="60"/>
      <c r="AM4" s="62" t="s">
        <v>527</v>
      </c>
      <c r="AN4" s="62" t="s">
        <v>524</v>
      </c>
      <c r="AO4" s="62">
        <v>0.9797585900000001</v>
      </c>
      <c r="AP4" s="62">
        <v>1.034491158999999</v>
      </c>
      <c r="AQ4" s="62">
        <v>1.16093747093</v>
      </c>
      <c r="AR4" s="62">
        <v>1.2178047971299999</v>
      </c>
      <c r="AS4" s="62">
        <v>1.2880223015299999</v>
      </c>
      <c r="AT4" s="62">
        <v>1.4138906752599998</v>
      </c>
      <c r="AU4" s="62">
        <v>1.5637329240000002</v>
      </c>
      <c r="AV4" s="62">
        <v>1.8135820973769998</v>
      </c>
    </row>
    <row r="5" spans="1:48">
      <c r="A5" s="13" t="s">
        <v>607</v>
      </c>
      <c r="B5" s="13" t="s">
        <v>1</v>
      </c>
      <c r="C5" s="13" t="s">
        <v>59</v>
      </c>
      <c r="D5" s="62">
        <v>0.33981924468000002</v>
      </c>
      <c r="E5" s="62">
        <v>1.27855355965999</v>
      </c>
      <c r="F5" s="62">
        <v>1.6178948949299901</v>
      </c>
      <c r="G5" s="62">
        <v>1.7799465532000001</v>
      </c>
      <c r="H5" s="62">
        <v>1.9307133948399899</v>
      </c>
      <c r="I5" s="62">
        <v>2.0495138671099999</v>
      </c>
      <c r="J5" s="62">
        <v>2.1666285484399999</v>
      </c>
      <c r="K5" s="62">
        <v>2.30984493374</v>
      </c>
      <c r="L5" s="62">
        <v>2.54287805630999</v>
      </c>
      <c r="M5" s="62">
        <v>2.7576573349800002</v>
      </c>
      <c r="N5" s="62">
        <v>3.12279749272719</v>
      </c>
      <c r="O5" s="13" t="s">
        <v>78</v>
      </c>
      <c r="AM5" s="62" t="s">
        <v>528</v>
      </c>
      <c r="AN5" s="62"/>
      <c r="AO5" s="62">
        <f>SUM(AO2:AO4)</f>
        <v>1.7424886100000001</v>
      </c>
      <c r="AP5" s="62">
        <f t="shared" ref="AP5:AV5" si="0">SUM(AP2:AP4)</f>
        <v>1.835720068399999</v>
      </c>
      <c r="AQ5" s="62">
        <f t="shared" si="0"/>
        <v>2.0127813400299992</v>
      </c>
      <c r="AR5" s="62">
        <f t="shared" si="0"/>
        <v>2.1343792177399989</v>
      </c>
      <c r="AS5" s="62">
        <f t="shared" si="0"/>
        <v>2.30867219771</v>
      </c>
      <c r="AT5" s="62">
        <f t="shared" si="0"/>
        <v>2.5643381609699998</v>
      </c>
      <c r="AU5" s="62">
        <f t="shared" si="0"/>
        <v>2.8453399432399999</v>
      </c>
      <c r="AV5" s="62">
        <f t="shared" si="0"/>
        <v>3.2763727771869897</v>
      </c>
    </row>
    <row r="6" spans="1:48">
      <c r="A6" s="13" t="s">
        <v>607</v>
      </c>
      <c r="B6" s="13" t="s">
        <v>1</v>
      </c>
      <c r="C6" s="13" t="s">
        <v>60</v>
      </c>
      <c r="D6" s="62">
        <v>2.95950348981E-2</v>
      </c>
      <c r="E6" s="62">
        <v>0.70970757789999905</v>
      </c>
      <c r="F6" s="62">
        <v>0.88725565735</v>
      </c>
      <c r="G6" s="62">
        <v>0.89976663438999904</v>
      </c>
      <c r="H6" s="62">
        <v>0.92967315830999997</v>
      </c>
      <c r="I6" s="62">
        <v>1.003453374507</v>
      </c>
      <c r="J6" s="62">
        <v>1.0330166964779901</v>
      </c>
      <c r="K6" s="62">
        <v>0.96479454901499995</v>
      </c>
      <c r="L6" s="62">
        <v>0.81120479214109897</v>
      </c>
      <c r="M6" s="62">
        <v>0.65365627414000005</v>
      </c>
      <c r="N6" s="62">
        <v>0.43563731511999998</v>
      </c>
      <c r="O6" s="13" t="s">
        <v>78</v>
      </c>
    </row>
    <row r="7" spans="1:48">
      <c r="A7" s="13" t="s">
        <v>607</v>
      </c>
      <c r="B7" s="13" t="s">
        <v>1</v>
      </c>
      <c r="C7" s="13" t="s">
        <v>65</v>
      </c>
      <c r="D7" s="62">
        <v>0</v>
      </c>
      <c r="E7" s="62">
        <v>0</v>
      </c>
      <c r="F7" s="62">
        <v>0</v>
      </c>
      <c r="G7" s="62">
        <v>0</v>
      </c>
      <c r="H7" s="62">
        <v>1.86465211899999E-3</v>
      </c>
      <c r="I7" s="62">
        <v>1.7069660542000001E-2</v>
      </c>
      <c r="J7" s="62">
        <v>7.6573497048999906E-2</v>
      </c>
      <c r="K7" s="62">
        <v>0.20065152631700001</v>
      </c>
      <c r="L7" s="62">
        <v>0.38788884397700002</v>
      </c>
      <c r="M7" s="62">
        <v>0.58702184683000003</v>
      </c>
      <c r="N7" s="62">
        <v>0.93434504097039905</v>
      </c>
      <c r="O7" s="13" t="s">
        <v>78</v>
      </c>
    </row>
    <row r="8" spans="1:48">
      <c r="A8" s="13" t="s">
        <v>607</v>
      </c>
      <c r="B8" s="13" t="s">
        <v>1</v>
      </c>
      <c r="C8" s="13" t="s">
        <v>190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3">
        <v>0</v>
      </c>
      <c r="J8" s="63">
        <v>0</v>
      </c>
      <c r="K8" s="63">
        <v>0</v>
      </c>
      <c r="L8" s="63">
        <v>0</v>
      </c>
      <c r="M8" s="63">
        <v>0</v>
      </c>
      <c r="N8" s="62">
        <v>3.0473799999999999E-2</v>
      </c>
      <c r="O8" s="13" t="s">
        <v>78</v>
      </c>
    </row>
    <row r="9" spans="1:48">
      <c r="A9" s="13" t="s">
        <v>607</v>
      </c>
      <c r="B9" s="13" t="s">
        <v>1</v>
      </c>
      <c r="C9" s="13" t="s">
        <v>19</v>
      </c>
      <c r="D9" s="62">
        <v>1.9055001466599899</v>
      </c>
      <c r="E9" s="62">
        <v>3.9546848334</v>
      </c>
      <c r="F9" s="62">
        <v>4.0586797100499998</v>
      </c>
      <c r="G9" s="62">
        <v>4.4023892890099896</v>
      </c>
      <c r="H9" s="62">
        <v>4.4563185680600004</v>
      </c>
      <c r="I9" s="62">
        <v>4.4126785012080001</v>
      </c>
      <c r="J9" s="62">
        <v>4.2731039641209998</v>
      </c>
      <c r="K9" s="62">
        <v>4.0658122560432997</v>
      </c>
      <c r="L9" s="62">
        <v>3.8571957061126998</v>
      </c>
      <c r="M9" s="62">
        <v>3.7189568451119999</v>
      </c>
      <c r="N9" s="62">
        <v>3.4280203475338702</v>
      </c>
    </row>
    <row r="10" spans="1:48">
      <c r="N10" s="13">
        <f>SUM(N3:N9)</f>
        <v>8.2627830270714586</v>
      </c>
    </row>
    <row r="11" spans="1:48">
      <c r="C11" s="65"/>
      <c r="D11" s="66">
        <v>2015</v>
      </c>
      <c r="E11" s="66">
        <v>2020</v>
      </c>
      <c r="F11" s="66">
        <v>2025</v>
      </c>
      <c r="G11" s="66">
        <v>2030</v>
      </c>
      <c r="H11" s="66">
        <v>2035</v>
      </c>
      <c r="I11" s="66">
        <v>2040</v>
      </c>
      <c r="J11" s="66">
        <v>2045</v>
      </c>
      <c r="K11" s="66">
        <v>2050</v>
      </c>
      <c r="L11" s="7" t="s">
        <v>76</v>
      </c>
      <c r="M11" s="60"/>
      <c r="O11" s="60"/>
      <c r="P11" s="60"/>
      <c r="Q11" s="60"/>
      <c r="R11" s="60"/>
      <c r="S11" s="60"/>
      <c r="T11" s="60"/>
      <c r="U11" s="60"/>
      <c r="V11" s="60"/>
      <c r="AI11" s="13">
        <v>488.39273422222084</v>
      </c>
      <c r="AJ11" s="13">
        <v>530.07496160980008</v>
      </c>
      <c r="AK11" s="13">
        <v>563.88743580529342</v>
      </c>
      <c r="AL11" s="13">
        <v>601.60653213397654</v>
      </c>
      <c r="AM11" s="13">
        <v>656.47355206467</v>
      </c>
      <c r="AN11" s="13">
        <v>744.32843818483468</v>
      </c>
      <c r="AO11" s="13">
        <v>830.88642910868793</v>
      </c>
      <c r="AP11" s="13">
        <v>983.39055627319385</v>
      </c>
    </row>
    <row r="12" spans="1:48">
      <c r="C12" s="8" t="s">
        <v>716</v>
      </c>
      <c r="D12" s="45">
        <v>1.9580449999999998</v>
      </c>
      <c r="E12" s="45">
        <v>1.9839691000000002</v>
      </c>
      <c r="F12" s="45">
        <v>2.1160428000000002</v>
      </c>
      <c r="G12" s="45">
        <v>2.2433597000000001</v>
      </c>
      <c r="H12" s="45">
        <v>2.3406243999999998</v>
      </c>
      <c r="I12" s="45">
        <v>2.4542028999999999</v>
      </c>
      <c r="J12" s="45">
        <v>2.5899451</v>
      </c>
      <c r="K12" s="45">
        <v>2.6995977000000004</v>
      </c>
      <c r="L12" s="9"/>
      <c r="N12" s="60"/>
      <c r="P12" s="60"/>
      <c r="Q12" s="60"/>
      <c r="R12" s="60"/>
      <c r="S12" s="60"/>
      <c r="T12" s="60"/>
      <c r="U12" s="60"/>
      <c r="V12" s="60"/>
      <c r="AI12" s="27">
        <v>488.39273422222084</v>
      </c>
    </row>
    <row r="13" spans="1:48">
      <c r="B13" s="13" t="s">
        <v>19</v>
      </c>
      <c r="C13" s="8" t="s">
        <v>699</v>
      </c>
      <c r="D13" s="45">
        <v>2.136257682897861</v>
      </c>
      <c r="E13" s="45">
        <v>2.1484560944923556</v>
      </c>
      <c r="F13" s="45">
        <v>1.9850356919061691</v>
      </c>
      <c r="G13" s="45">
        <v>1.723462073605009</v>
      </c>
      <c r="H13" s="45">
        <v>1.4262083948995774</v>
      </c>
      <c r="I13" s="45">
        <v>1.1068365848816972</v>
      </c>
      <c r="J13" s="45">
        <v>0.83062500344613377</v>
      </c>
      <c r="K13" s="45">
        <v>0.47334318856889362</v>
      </c>
      <c r="L13" s="9" t="s">
        <v>78</v>
      </c>
      <c r="N13" s="60"/>
      <c r="O13" s="60"/>
      <c r="P13" s="60"/>
      <c r="Q13" s="60"/>
      <c r="R13" s="60"/>
      <c r="S13" s="60"/>
      <c r="T13" s="60"/>
      <c r="U13" s="60"/>
      <c r="V13" s="60"/>
      <c r="AI13" s="27">
        <v>530.07496160980008</v>
      </c>
    </row>
    <row r="14" spans="1:48" s="62" customFormat="1">
      <c r="C14" s="8" t="s">
        <v>736</v>
      </c>
      <c r="D14" s="35">
        <v>0</v>
      </c>
      <c r="E14" s="35">
        <v>0</v>
      </c>
      <c r="F14" s="35">
        <v>0</v>
      </c>
      <c r="G14" s="35">
        <v>0</v>
      </c>
      <c r="H14" s="35">
        <v>0</v>
      </c>
      <c r="I14" s="35">
        <v>0</v>
      </c>
      <c r="J14" s="35">
        <v>0</v>
      </c>
      <c r="K14" s="35">
        <v>0</v>
      </c>
      <c r="L14" s="9"/>
      <c r="AI14" s="27"/>
    </row>
    <row r="15" spans="1:48">
      <c r="B15" s="13" t="s">
        <v>58</v>
      </c>
      <c r="C15" s="8" t="s">
        <v>704</v>
      </c>
      <c r="D15" s="74">
        <v>1.3421124</v>
      </c>
      <c r="E15" s="74">
        <v>1.3027586420000001</v>
      </c>
      <c r="F15" s="74">
        <v>1.1566351100000001</v>
      </c>
      <c r="G15" s="74">
        <v>0.88571382699999901</v>
      </c>
      <c r="H15" s="74">
        <v>0.55942455959999893</v>
      </c>
      <c r="I15" s="74">
        <v>0.32931710499999989</v>
      </c>
      <c r="J15" s="74">
        <v>0.17188393042999994</v>
      </c>
      <c r="K15" s="74">
        <v>0.12136369084</v>
      </c>
      <c r="L15" s="9" t="s">
        <v>78</v>
      </c>
      <c r="N15" s="60"/>
      <c r="O15" s="60"/>
      <c r="P15" s="60"/>
      <c r="Q15" s="60"/>
      <c r="R15" s="60"/>
      <c r="S15" s="60"/>
      <c r="T15" s="60"/>
      <c r="U15" s="60"/>
      <c r="V15" s="60"/>
      <c r="AI15" s="27">
        <v>563.88743580529342</v>
      </c>
    </row>
    <row r="16" spans="1:48">
      <c r="C16" s="8" t="s">
        <v>706</v>
      </c>
      <c r="D16" s="74">
        <v>0</v>
      </c>
      <c r="E16" s="74">
        <v>0</v>
      </c>
      <c r="F16" s="74">
        <v>2.52513E-3</v>
      </c>
      <c r="G16" s="74">
        <v>1.0989835699999999E-2</v>
      </c>
      <c r="H16" s="74">
        <v>3.1981812300000002E-2</v>
      </c>
      <c r="I16" s="74">
        <v>5.6872647439999986E-2</v>
      </c>
      <c r="J16" s="74">
        <v>8.2828810350000004E-2</v>
      </c>
      <c r="K16" s="74">
        <v>8.2824695840000004E-2</v>
      </c>
      <c r="L16" s="9"/>
      <c r="N16" s="60"/>
      <c r="O16" s="60"/>
      <c r="P16" s="60"/>
      <c r="Q16" s="60"/>
      <c r="R16" s="60"/>
      <c r="S16" s="60"/>
      <c r="T16" s="60"/>
      <c r="U16" s="60"/>
      <c r="V16" s="60"/>
      <c r="AI16" s="27">
        <v>601.60653213397654</v>
      </c>
    </row>
    <row r="17" spans="1:37">
      <c r="B17" s="13" t="s">
        <v>60</v>
      </c>
      <c r="C17" s="8" t="s">
        <v>701</v>
      </c>
      <c r="D17" s="45">
        <v>0.8997627130000001</v>
      </c>
      <c r="E17" s="45">
        <v>0.92966596049999983</v>
      </c>
      <c r="F17" s="45">
        <v>1.0011177694329998</v>
      </c>
      <c r="G17" s="45">
        <v>1.0243203217969989</v>
      </c>
      <c r="H17" s="45">
        <v>0.93943735253799909</v>
      </c>
      <c r="I17" s="45">
        <v>0.76054404033300005</v>
      </c>
      <c r="J17" s="45">
        <v>0.576137345542999</v>
      </c>
      <c r="K17" s="45">
        <v>0.30200560368999996</v>
      </c>
      <c r="L17" s="9" t="s">
        <v>78</v>
      </c>
      <c r="N17" s="60"/>
      <c r="O17" s="60"/>
      <c r="P17" s="60"/>
      <c r="Q17" s="60"/>
      <c r="R17" s="60"/>
      <c r="S17" s="60"/>
      <c r="T17" s="60"/>
      <c r="U17" s="60"/>
      <c r="V17" s="60"/>
      <c r="AI17" s="27">
        <v>656.47355206467</v>
      </c>
    </row>
    <row r="18" spans="1:37">
      <c r="B18" s="13" t="s">
        <v>57</v>
      </c>
      <c r="C18" s="109" t="s">
        <v>735</v>
      </c>
      <c r="D18" s="13">
        <v>0</v>
      </c>
      <c r="E18" s="13">
        <v>0</v>
      </c>
      <c r="F18" s="13">
        <v>2.3283748740000002E-3</v>
      </c>
      <c r="G18" s="13">
        <v>8.6890063409999999E-3</v>
      </c>
      <c r="H18" s="13">
        <v>2.5350490386999901E-2</v>
      </c>
      <c r="I18" s="13">
        <v>5.0654994348100002E-2</v>
      </c>
      <c r="J18" s="13">
        <v>7.7514072386999894E-2</v>
      </c>
      <c r="K18" s="13">
        <v>0.10315536319999999</v>
      </c>
      <c r="N18" s="60"/>
      <c r="O18" s="60"/>
      <c r="P18" s="60"/>
      <c r="Q18" s="60"/>
      <c r="R18" s="60"/>
      <c r="S18" s="60"/>
      <c r="T18" s="60"/>
      <c r="U18" s="60"/>
      <c r="V18" s="60"/>
      <c r="AA18" s="60"/>
      <c r="AB18" s="60"/>
      <c r="AC18" s="60"/>
      <c r="AD18" s="60"/>
      <c r="AE18" s="60"/>
      <c r="AF18" s="60"/>
      <c r="AG18" s="60"/>
      <c r="AH18" s="60"/>
      <c r="AI18" s="27">
        <v>744.32843818483468</v>
      </c>
      <c r="AJ18" s="60"/>
      <c r="AK18" s="60"/>
    </row>
    <row r="19" spans="1:37">
      <c r="B19" s="13" t="s">
        <v>59</v>
      </c>
      <c r="C19" s="8" t="s">
        <v>709</v>
      </c>
      <c r="D19" s="45">
        <v>0.24217062719527416</v>
      </c>
      <c r="E19" s="45">
        <v>0.2980231363078798</v>
      </c>
      <c r="F19" s="45">
        <v>0.36504350309208455</v>
      </c>
      <c r="G19" s="45">
        <v>0.37902090773704156</v>
      </c>
      <c r="H19" s="45">
        <v>0.40437105508519755</v>
      </c>
      <c r="I19" s="45">
        <v>0.40274895112706732</v>
      </c>
      <c r="J19" s="45">
        <v>0.39876038576319928</v>
      </c>
      <c r="K19" s="45">
        <v>0.25847640931609972</v>
      </c>
      <c r="L19" s="9" t="s">
        <v>78</v>
      </c>
      <c r="N19" s="60"/>
      <c r="O19" s="60"/>
      <c r="P19" s="60"/>
      <c r="Q19" s="60"/>
      <c r="R19" s="60"/>
      <c r="S19" s="60"/>
      <c r="T19" s="60"/>
      <c r="U19" s="60"/>
      <c r="V19" s="60"/>
      <c r="AI19" s="27">
        <v>830.88642910868793</v>
      </c>
    </row>
    <row r="20" spans="1:37">
      <c r="B20" s="13" t="s">
        <v>65</v>
      </c>
      <c r="C20" s="8" t="s">
        <v>718</v>
      </c>
      <c r="D20" s="45">
        <v>1.7582138432000001</v>
      </c>
      <c r="E20" s="45">
        <v>1.9080654848399976</v>
      </c>
      <c r="F20" s="45">
        <v>2.0264158871099998</v>
      </c>
      <c r="G20" s="45">
        <v>2.1434393084400001</v>
      </c>
      <c r="H20" s="45">
        <v>2.28675115374</v>
      </c>
      <c r="I20" s="45">
        <v>2.5201110463099989</v>
      </c>
      <c r="J20" s="45">
        <v>2.7356518149799998</v>
      </c>
      <c r="K20" s="45">
        <v>3.0949808672670001</v>
      </c>
      <c r="L20" s="9" t="s">
        <v>78</v>
      </c>
      <c r="M20" s="13">
        <f>K20/E20</f>
        <v>1.6220517020287342</v>
      </c>
      <c r="N20" s="60"/>
      <c r="O20" s="60"/>
      <c r="P20" s="60"/>
      <c r="Q20" s="60"/>
      <c r="R20" s="60"/>
      <c r="S20" s="60"/>
      <c r="T20" s="60"/>
      <c r="U20" s="60"/>
      <c r="V20" s="60"/>
      <c r="AI20" s="27">
        <v>983.39055627319385</v>
      </c>
    </row>
    <row r="21" spans="1:37">
      <c r="B21" s="13" t="s">
        <v>190</v>
      </c>
      <c r="C21" s="8" t="s">
        <v>609</v>
      </c>
      <c r="D21" s="45">
        <v>0</v>
      </c>
      <c r="E21" s="45">
        <v>1.864652119E-3</v>
      </c>
      <c r="F21" s="45">
        <v>1.706966054199999E-2</v>
      </c>
      <c r="G21" s="45">
        <v>7.6573497048999989E-2</v>
      </c>
      <c r="H21" s="45">
        <v>0.2006515263169999</v>
      </c>
      <c r="I21" s="45">
        <v>0.38788884397700002</v>
      </c>
      <c r="J21" s="45">
        <v>0.58702184682999903</v>
      </c>
      <c r="K21" s="45">
        <v>0.93434504097040005</v>
      </c>
      <c r="L21" s="9" t="s">
        <v>78</v>
      </c>
      <c r="N21" s="60"/>
      <c r="O21" s="60"/>
      <c r="P21" s="60"/>
      <c r="Q21" s="60"/>
      <c r="R21" s="60"/>
      <c r="S21" s="60"/>
      <c r="T21" s="60"/>
      <c r="U21" s="60"/>
      <c r="V21" s="60"/>
    </row>
    <row r="22" spans="1:37">
      <c r="C22" s="70" t="s">
        <v>174</v>
      </c>
      <c r="D22" s="71">
        <v>0</v>
      </c>
      <c r="E22" s="71">
        <v>0</v>
      </c>
      <c r="F22" s="71">
        <v>0</v>
      </c>
      <c r="G22" s="71">
        <v>0</v>
      </c>
      <c r="H22" s="71">
        <v>0</v>
      </c>
      <c r="I22" s="71">
        <v>0</v>
      </c>
      <c r="J22" s="71">
        <v>0</v>
      </c>
      <c r="K22" s="71">
        <v>3.7171465460199997E-2</v>
      </c>
      <c r="L22" s="10"/>
    </row>
    <row r="23" spans="1:37">
      <c r="K23" s="13">
        <f>SUM(K13:K22)</f>
        <v>5.4076663251525936</v>
      </c>
    </row>
    <row r="24" spans="1:37">
      <c r="A24" s="1" t="s">
        <v>464</v>
      </c>
    </row>
    <row r="25" spans="1:37">
      <c r="E25" s="13">
        <v>1990</v>
      </c>
      <c r="F25" s="13">
        <v>2005</v>
      </c>
      <c r="G25" s="13">
        <v>2010</v>
      </c>
      <c r="H25" s="13">
        <v>2015</v>
      </c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13">
        <v>2050</v>
      </c>
      <c r="P25" s="13" t="s">
        <v>76</v>
      </c>
    </row>
    <row r="26" spans="1:37">
      <c r="A26" s="13" t="s">
        <v>607</v>
      </c>
      <c r="B26" s="13" t="s">
        <v>1</v>
      </c>
      <c r="C26" s="13" t="s">
        <v>20</v>
      </c>
      <c r="D26" s="13" t="s">
        <v>4</v>
      </c>
      <c r="E26" s="62">
        <v>0</v>
      </c>
      <c r="F26" s="62">
        <v>0</v>
      </c>
      <c r="G26" s="62">
        <v>1.6953300000000001E-2</v>
      </c>
      <c r="H26" s="62">
        <v>2.3106700000000001E-2</v>
      </c>
      <c r="I26" s="62">
        <v>1.99516E-2</v>
      </c>
      <c r="J26" s="63">
        <v>2.8079100000000002E-4</v>
      </c>
      <c r="K26" s="63">
        <v>1.09905E-4</v>
      </c>
      <c r="L26" s="63">
        <v>4.41366E-5</v>
      </c>
      <c r="M26" s="63">
        <v>2.0372000000000001E-5</v>
      </c>
      <c r="N26" s="63">
        <v>9.3468300000000004E-6</v>
      </c>
      <c r="O26" s="63">
        <v>1.38328E-6</v>
      </c>
    </row>
    <row r="27" spans="1:37">
      <c r="A27" s="13" t="s">
        <v>607</v>
      </c>
      <c r="B27" s="13" t="s">
        <v>1</v>
      </c>
      <c r="C27" s="13" t="s">
        <v>20</v>
      </c>
      <c r="D27" s="13" t="s">
        <v>6</v>
      </c>
      <c r="E27" s="62">
        <v>0.23639399999999999</v>
      </c>
      <c r="F27" s="62">
        <v>1.18882</v>
      </c>
      <c r="G27" s="62">
        <v>1.5032799999999999</v>
      </c>
      <c r="H27" s="62">
        <v>1.8793899999999999</v>
      </c>
      <c r="I27" s="62">
        <v>1.89751</v>
      </c>
      <c r="J27" s="62">
        <v>2.02014</v>
      </c>
      <c r="K27" s="62">
        <v>2.13828</v>
      </c>
      <c r="L27" s="62">
        <v>2.2135099999999999</v>
      </c>
      <c r="M27" s="62">
        <v>2.2987000000000002</v>
      </c>
      <c r="N27" s="62">
        <v>2.41574</v>
      </c>
      <c r="O27" s="62">
        <v>2.5107900000000001</v>
      </c>
    </row>
    <row r="28" spans="1:37">
      <c r="A28" s="13" t="s">
        <v>607</v>
      </c>
      <c r="B28" s="13" t="s">
        <v>1</v>
      </c>
      <c r="C28" s="13" t="s">
        <v>21</v>
      </c>
      <c r="D28" s="13" t="s">
        <v>6</v>
      </c>
      <c r="E28" s="62">
        <v>3.2608900000000003E-2</v>
      </c>
      <c r="F28" s="62">
        <v>5.08599E-2</v>
      </c>
      <c r="G28" s="62">
        <v>5.3873799999999999E-2</v>
      </c>
      <c r="H28" s="62">
        <v>4.94367E-2</v>
      </c>
      <c r="I28" s="62">
        <v>5.4238799999999997E-2</v>
      </c>
      <c r="J28" s="62">
        <v>5.7499799999999997E-2</v>
      </c>
      <c r="K28" s="62">
        <v>5.7588500000000001E-2</v>
      </c>
      <c r="L28" s="62">
        <v>5.6500700000000001E-2</v>
      </c>
      <c r="M28" s="62">
        <v>5.5040899999999997E-2</v>
      </c>
      <c r="N28" s="62">
        <v>5.4190099999999998E-2</v>
      </c>
      <c r="O28" s="62">
        <v>5.3248700000000003E-2</v>
      </c>
    </row>
    <row r="29" spans="1:37">
      <c r="A29" s="13" t="s">
        <v>607</v>
      </c>
      <c r="B29" s="13" t="s">
        <v>1</v>
      </c>
      <c r="C29" s="13" t="s">
        <v>22</v>
      </c>
      <c r="D29" s="13" t="s">
        <v>6</v>
      </c>
      <c r="E29" s="62">
        <v>0</v>
      </c>
      <c r="F29" s="62">
        <v>3.1394999999999999E-2</v>
      </c>
      <c r="G29" s="62">
        <v>3.1520600000000003E-2</v>
      </c>
      <c r="H29" s="62">
        <v>2.9218299999999999E-2</v>
      </c>
      <c r="I29" s="62">
        <v>3.22203E-2</v>
      </c>
      <c r="J29" s="62">
        <v>3.8403E-2</v>
      </c>
      <c r="K29" s="62">
        <v>4.7491199999999997E-2</v>
      </c>
      <c r="L29" s="62">
        <v>7.0613700000000001E-2</v>
      </c>
      <c r="M29" s="62">
        <v>0.100462</v>
      </c>
      <c r="N29" s="62">
        <v>0.120015</v>
      </c>
      <c r="O29" s="62">
        <v>0.13555900000000001</v>
      </c>
    </row>
    <row r="33" spans="1:37">
      <c r="A33" s="1" t="s">
        <v>265</v>
      </c>
    </row>
    <row r="34" spans="1:37">
      <c r="A34" s="31" t="s">
        <v>8</v>
      </c>
      <c r="B34" s="13" t="s">
        <v>9</v>
      </c>
      <c r="C34" s="13" t="s">
        <v>10</v>
      </c>
      <c r="D34" s="13">
        <v>1990</v>
      </c>
      <c r="E34" s="13">
        <v>2005</v>
      </c>
      <c r="F34" s="13">
        <v>2010</v>
      </c>
      <c r="G34" s="13">
        <v>2015</v>
      </c>
      <c r="H34" s="13">
        <v>2020</v>
      </c>
      <c r="I34" s="13">
        <v>2025</v>
      </c>
      <c r="J34" s="13">
        <v>2030</v>
      </c>
      <c r="K34" s="13">
        <v>2035</v>
      </c>
      <c r="L34" s="13">
        <v>2040</v>
      </c>
      <c r="M34" s="13">
        <v>2045</v>
      </c>
      <c r="N34" s="13">
        <v>2050</v>
      </c>
      <c r="O34" s="13" t="s">
        <v>76</v>
      </c>
    </row>
    <row r="35" spans="1:37">
      <c r="A35" s="13" t="s">
        <v>607</v>
      </c>
      <c r="B35" s="13" t="s">
        <v>1</v>
      </c>
      <c r="C35" s="13" t="s">
        <v>3</v>
      </c>
      <c r="D35" s="62">
        <v>1.83765E-2</v>
      </c>
      <c r="E35" s="62">
        <v>1.53047999999999E-2</v>
      </c>
      <c r="F35" s="62">
        <v>3.02900999999999E-2</v>
      </c>
      <c r="G35" s="62">
        <v>7.0219599999999993E-2</v>
      </c>
      <c r="H35" s="62">
        <v>0.11090102</v>
      </c>
      <c r="I35" s="62">
        <v>0.1333638</v>
      </c>
      <c r="J35" s="62">
        <v>0.10900367</v>
      </c>
      <c r="K35" s="62">
        <v>6.6913292999999999E-2</v>
      </c>
      <c r="L35" s="62">
        <v>2.6521343999999999E-2</v>
      </c>
      <c r="M35" s="62">
        <v>1.0001451E-2</v>
      </c>
      <c r="N35" s="63">
        <v>7.3355454999999995E-4</v>
      </c>
      <c r="O35" s="13" t="s">
        <v>78</v>
      </c>
    </row>
    <row r="36" spans="1:37">
      <c r="A36" s="13" t="s">
        <v>607</v>
      </c>
      <c r="B36" s="13" t="s">
        <v>1</v>
      </c>
      <c r="C36" s="13" t="s">
        <v>4</v>
      </c>
      <c r="D36" s="62">
        <v>0.36271720000000002</v>
      </c>
      <c r="E36" s="62">
        <v>3.9934399999999898E-2</v>
      </c>
      <c r="F36" s="62">
        <v>3.5790299999999997E-2</v>
      </c>
      <c r="G36" s="62">
        <v>2.74183E-2</v>
      </c>
      <c r="H36" s="62">
        <v>0</v>
      </c>
      <c r="I36" s="62">
        <v>0</v>
      </c>
      <c r="J36" s="62">
        <v>0</v>
      </c>
      <c r="K36" s="62">
        <v>0</v>
      </c>
      <c r="L36" s="63">
        <v>0</v>
      </c>
      <c r="M36" s="63">
        <v>0</v>
      </c>
      <c r="N36" s="63">
        <v>0</v>
      </c>
      <c r="O36" s="13" t="s">
        <v>78</v>
      </c>
    </row>
    <row r="37" spans="1:37">
      <c r="A37" s="13" t="s">
        <v>607</v>
      </c>
      <c r="B37" s="13" t="s">
        <v>1</v>
      </c>
      <c r="C37" s="13" t="s">
        <v>162</v>
      </c>
      <c r="D37" s="62">
        <v>2.5408903E-2</v>
      </c>
      <c r="E37" s="62">
        <v>0.4829408</v>
      </c>
      <c r="F37" s="62">
        <v>0.52749249999999903</v>
      </c>
      <c r="G37" s="62">
        <v>0.49998670000000001</v>
      </c>
      <c r="H37" s="62">
        <v>0.48749199999999998</v>
      </c>
      <c r="I37" s="62">
        <v>0.49249769999999998</v>
      </c>
      <c r="J37" s="62">
        <v>0.49285949999999901</v>
      </c>
      <c r="K37" s="62">
        <v>0.44114815000000002</v>
      </c>
      <c r="L37" s="62">
        <v>0.33768131000000001</v>
      </c>
      <c r="M37" s="62">
        <v>0.22529601999999899</v>
      </c>
      <c r="N37" s="62">
        <v>5.3562440000000003E-2</v>
      </c>
      <c r="O37" s="13" t="s">
        <v>78</v>
      </c>
    </row>
    <row r="38" spans="1:37">
      <c r="A38" s="13" t="s">
        <v>607</v>
      </c>
      <c r="B38" s="13" t="s">
        <v>1</v>
      </c>
      <c r="C38" s="13" t="s">
        <v>264</v>
      </c>
      <c r="D38" s="62">
        <v>0.10959012</v>
      </c>
      <c r="E38" s="62">
        <v>0.56461530000000004</v>
      </c>
      <c r="F38" s="62">
        <v>0.73043009999999997</v>
      </c>
      <c r="G38" s="62">
        <v>0.75474359999999996</v>
      </c>
      <c r="H38" s="62">
        <v>0.83575790000000005</v>
      </c>
      <c r="I38" s="62">
        <v>0.84700430000000004</v>
      </c>
      <c r="J38" s="62">
        <v>0.89253179999999999</v>
      </c>
      <c r="K38" s="62">
        <v>0.96867130000000001</v>
      </c>
      <c r="L38" s="62">
        <v>1.0869740000000001</v>
      </c>
      <c r="M38" s="62">
        <v>1.1818633999999999</v>
      </c>
      <c r="N38" s="62">
        <v>1.3067738</v>
      </c>
      <c r="O38" s="13" t="s">
        <v>78</v>
      </c>
    </row>
    <row r="39" spans="1:37">
      <c r="A39" s="13" t="s">
        <v>607</v>
      </c>
      <c r="B39" s="13" t="s">
        <v>1</v>
      </c>
      <c r="C39" s="13" t="s">
        <v>164</v>
      </c>
      <c r="D39" s="62">
        <v>0.420189799999999</v>
      </c>
      <c r="E39" s="62">
        <v>0.4400598</v>
      </c>
      <c r="F39" s="62">
        <v>0.31840200000000002</v>
      </c>
      <c r="G39" s="62">
        <v>0.28370590000000001</v>
      </c>
      <c r="H39" s="62">
        <v>0.26397199999999998</v>
      </c>
      <c r="I39" s="62">
        <v>0.22406372999999999</v>
      </c>
      <c r="J39" s="62">
        <v>0.18712598</v>
      </c>
      <c r="K39" s="62">
        <v>0.13419935</v>
      </c>
      <c r="L39" s="62">
        <v>7.5966869999999895E-2</v>
      </c>
      <c r="M39" s="62">
        <v>2.6224580000000001E-2</v>
      </c>
      <c r="N39" s="62">
        <v>0</v>
      </c>
      <c r="O39" s="13" t="s">
        <v>78</v>
      </c>
    </row>
    <row r="41" spans="1:37">
      <c r="C41" s="65"/>
      <c r="D41" s="66">
        <v>2015</v>
      </c>
      <c r="E41" s="66">
        <v>2020</v>
      </c>
      <c r="F41" s="66">
        <v>2025</v>
      </c>
      <c r="G41" s="66">
        <v>2030</v>
      </c>
      <c r="H41" s="66">
        <v>2035</v>
      </c>
      <c r="I41" s="66">
        <v>2040</v>
      </c>
      <c r="J41" s="66">
        <v>2045</v>
      </c>
      <c r="K41" s="7">
        <v>2050</v>
      </c>
      <c r="L41" s="13" t="s">
        <v>76</v>
      </c>
      <c r="M41" s="13" t="s">
        <v>518</v>
      </c>
      <c r="N41" s="13">
        <v>2015</v>
      </c>
      <c r="O41" s="13">
        <v>2020</v>
      </c>
      <c r="P41" s="13">
        <v>2025</v>
      </c>
      <c r="Q41" s="13">
        <v>2030</v>
      </c>
      <c r="R41" s="13">
        <v>2035</v>
      </c>
    </row>
    <row r="42" spans="1:37">
      <c r="B42" s="13" t="s">
        <v>164</v>
      </c>
      <c r="C42" s="8" t="s">
        <v>266</v>
      </c>
      <c r="D42" s="45">
        <f>SUMIF($C$35:$C$39,$B42,G$35:G$39)</f>
        <v>0.28370590000000001</v>
      </c>
      <c r="E42" s="45">
        <f t="shared" ref="E42:K46" si="1">SUMIF($C$35:$C$39,$B42,H$35:H$39)</f>
        <v>0.26397199999999998</v>
      </c>
      <c r="F42" s="45">
        <f t="shared" si="1"/>
        <v>0.22406372999999999</v>
      </c>
      <c r="G42" s="45">
        <f t="shared" si="1"/>
        <v>0.18712598</v>
      </c>
      <c r="H42" s="45">
        <f t="shared" si="1"/>
        <v>0.13419935</v>
      </c>
      <c r="I42" s="45">
        <f t="shared" si="1"/>
        <v>7.5966869999999895E-2</v>
      </c>
      <c r="J42" s="45">
        <f t="shared" si="1"/>
        <v>2.6224580000000001E-2</v>
      </c>
      <c r="K42" s="9">
        <f t="shared" si="1"/>
        <v>0</v>
      </c>
      <c r="L42" s="13" t="s">
        <v>78</v>
      </c>
      <c r="M42" s="13" t="s">
        <v>266</v>
      </c>
      <c r="N42" s="59">
        <f>D42/$D$47</f>
        <v>0.17340651013300681</v>
      </c>
      <c r="O42" s="59">
        <f>E42/$E$47</f>
        <v>0.15544928867693511</v>
      </c>
      <c r="P42" s="59">
        <f>F42/$F$47</f>
        <v>0.13204068055790152</v>
      </c>
      <c r="Q42" s="59">
        <f>G42/$G$47</f>
        <v>0.11128376366645928</v>
      </c>
      <c r="R42" s="59">
        <f>H42/$H$47</f>
        <v>8.3305404730055238E-2</v>
      </c>
    </row>
    <row r="43" spans="1:37">
      <c r="B43" s="13" t="s">
        <v>4</v>
      </c>
      <c r="C43" s="8" t="s">
        <v>14</v>
      </c>
      <c r="D43" s="45">
        <f>SUMIF($C$35:$C$39,$B43,G$35:G$39)</f>
        <v>2.74183E-2</v>
      </c>
      <c r="E43" s="45">
        <f t="shared" si="1"/>
        <v>0</v>
      </c>
      <c r="F43" s="45">
        <f t="shared" si="1"/>
        <v>0</v>
      </c>
      <c r="G43" s="45">
        <f t="shared" si="1"/>
        <v>0</v>
      </c>
      <c r="H43" s="45">
        <f t="shared" si="1"/>
        <v>0</v>
      </c>
      <c r="I43" s="45">
        <f t="shared" si="1"/>
        <v>0</v>
      </c>
      <c r="J43" s="45">
        <f t="shared" si="1"/>
        <v>0</v>
      </c>
      <c r="K43" s="9">
        <f t="shared" si="1"/>
        <v>0</v>
      </c>
      <c r="L43" s="13" t="s">
        <v>78</v>
      </c>
      <c r="M43" s="13" t="s">
        <v>14</v>
      </c>
      <c r="N43" s="59">
        <f>D43/$D$47</f>
        <v>1.6758593024606892E-2</v>
      </c>
      <c r="O43" s="59">
        <f>E43/$E$47</f>
        <v>0</v>
      </c>
      <c r="P43" s="59">
        <f>F43/$F$47</f>
        <v>0</v>
      </c>
      <c r="Q43" s="59">
        <f>G43/$G$47</f>
        <v>0</v>
      </c>
      <c r="R43" s="59">
        <f>H43/$H$47</f>
        <v>0</v>
      </c>
    </row>
    <row r="44" spans="1:37">
      <c r="B44" s="13" t="s">
        <v>162</v>
      </c>
      <c r="C44" s="8" t="s">
        <v>15</v>
      </c>
      <c r="D44" s="45">
        <f>SUMIF($C$35:$C$39,$B44,G$35:G$39)</f>
        <v>0.49998670000000001</v>
      </c>
      <c r="E44" s="45">
        <f t="shared" si="1"/>
        <v>0.48749199999999998</v>
      </c>
      <c r="F44" s="45">
        <f t="shared" si="1"/>
        <v>0.49249769999999998</v>
      </c>
      <c r="G44" s="45">
        <f t="shared" si="1"/>
        <v>0.49285949999999901</v>
      </c>
      <c r="H44" s="45">
        <f t="shared" si="1"/>
        <v>0.44114815000000002</v>
      </c>
      <c r="I44" s="45">
        <f t="shared" si="1"/>
        <v>0.33768131000000001</v>
      </c>
      <c r="J44" s="45">
        <f t="shared" si="1"/>
        <v>0.22529601999999899</v>
      </c>
      <c r="K44" s="9">
        <f t="shared" si="1"/>
        <v>5.3562440000000003E-2</v>
      </c>
      <c r="L44" s="13" t="s">
        <v>78</v>
      </c>
      <c r="M44" s="13" t="s">
        <v>15</v>
      </c>
      <c r="N44" s="59">
        <f>D44/$D$47</f>
        <v>0.305601500567731</v>
      </c>
      <c r="O44" s="59">
        <f>E44/$E$47</f>
        <v>0.28707698026948486</v>
      </c>
      <c r="P44" s="59">
        <f>F44/$F$47</f>
        <v>0.29022872859075061</v>
      </c>
      <c r="Q44" s="59">
        <f>G44/$G$47</f>
        <v>0.29310339547062991</v>
      </c>
      <c r="R44" s="59">
        <f>H44/$H$47</f>
        <v>0.27384652147469507</v>
      </c>
      <c r="AD44" s="13">
        <v>209.65099999999939</v>
      </c>
      <c r="AE44" s="13">
        <v>232.15497222222157</v>
      </c>
      <c r="AF44" s="13">
        <v>235.27897222222157</v>
      </c>
      <c r="AG44" s="13">
        <v>247.92549999999929</v>
      </c>
      <c r="AH44" s="13">
        <v>269.07536111111034</v>
      </c>
      <c r="AI44" s="13">
        <v>301.93722222222141</v>
      </c>
      <c r="AJ44" s="13">
        <v>328.29538888888789</v>
      </c>
      <c r="AK44" s="13">
        <v>362.99272222222118</v>
      </c>
    </row>
    <row r="45" spans="1:37">
      <c r="B45" s="13" t="s">
        <v>3</v>
      </c>
      <c r="C45" s="8" t="s">
        <v>13</v>
      </c>
      <c r="D45" s="45">
        <f>SUMIF($C$35:$C$39,$B45,G$35:G$39)</f>
        <v>7.0219599999999993E-2</v>
      </c>
      <c r="E45" s="45">
        <f t="shared" si="1"/>
        <v>0.11090102</v>
      </c>
      <c r="F45" s="45">
        <f t="shared" si="1"/>
        <v>0.1333638</v>
      </c>
      <c r="G45" s="45">
        <f t="shared" si="1"/>
        <v>0.10900367</v>
      </c>
      <c r="H45" s="45">
        <f t="shared" si="1"/>
        <v>6.6913292999999999E-2</v>
      </c>
      <c r="I45" s="45">
        <f t="shared" si="1"/>
        <v>2.6521343999999999E-2</v>
      </c>
      <c r="J45" s="45">
        <f t="shared" si="1"/>
        <v>1.0001451E-2</v>
      </c>
      <c r="K45" s="9">
        <f t="shared" si="1"/>
        <v>7.3355454999999995E-4</v>
      </c>
      <c r="L45" s="13" t="s">
        <v>78</v>
      </c>
      <c r="M45" s="13" t="s">
        <v>13</v>
      </c>
      <c r="N45" s="59">
        <f>D45/$D$47</f>
        <v>4.2919571919144729E-2</v>
      </c>
      <c r="O45" s="59">
        <f>E45/$E$47</f>
        <v>6.5308004911682135E-2</v>
      </c>
      <c r="P45" s="59">
        <f>F45/$F$47</f>
        <v>7.8591242383530213E-2</v>
      </c>
      <c r="Q45" s="59">
        <f>G45/$G$47</f>
        <v>6.4824449555624067E-2</v>
      </c>
      <c r="R45" s="59">
        <f>H45/$H$47</f>
        <v>4.1537004129943787E-2</v>
      </c>
      <c r="AD45" s="27">
        <v>209.65099999999939</v>
      </c>
    </row>
    <row r="46" spans="1:37">
      <c r="B46" s="13" t="s">
        <v>264</v>
      </c>
      <c r="C46" s="70" t="s">
        <v>17</v>
      </c>
      <c r="D46" s="71">
        <f>SUMIF($C$35:$C$39,$B46,G$35:G$39)</f>
        <v>0.75474359999999996</v>
      </c>
      <c r="E46" s="71">
        <f>SUMIF($C$35:$C$39,$B46,H$35:H$39)</f>
        <v>0.83575790000000005</v>
      </c>
      <c r="F46" s="71">
        <f t="shared" si="1"/>
        <v>0.84700430000000004</v>
      </c>
      <c r="G46" s="71">
        <f t="shared" si="1"/>
        <v>0.89253179999999999</v>
      </c>
      <c r="H46" s="71">
        <f t="shared" si="1"/>
        <v>0.96867130000000001</v>
      </c>
      <c r="I46" s="71">
        <f t="shared" si="1"/>
        <v>1.0869740000000001</v>
      </c>
      <c r="J46" s="71">
        <f t="shared" si="1"/>
        <v>1.1818633999999999</v>
      </c>
      <c r="K46" s="10">
        <f t="shared" si="1"/>
        <v>1.3067738</v>
      </c>
      <c r="L46" s="13" t="s">
        <v>78</v>
      </c>
      <c r="M46" s="13" t="s">
        <v>17</v>
      </c>
      <c r="N46" s="59">
        <f>D46/$D$47</f>
        <v>0.46131382435551049</v>
      </c>
      <c r="O46" s="59">
        <f>E46/$E$47</f>
        <v>0.49216572614189796</v>
      </c>
      <c r="P46" s="59">
        <f>F46/$F$47</f>
        <v>0.49913934846781766</v>
      </c>
      <c r="Q46" s="59">
        <f>G46/$G$47</f>
        <v>0.53078839130728672</v>
      </c>
      <c r="R46" s="59">
        <f>H46/$H$47</f>
        <v>0.60131106966530579</v>
      </c>
      <c r="AD46" s="27">
        <v>232.15497222222157</v>
      </c>
    </row>
    <row r="47" spans="1:37">
      <c r="C47" s="13" t="s">
        <v>477</v>
      </c>
      <c r="D47" s="13">
        <f>SUM(D42:D46)</f>
        <v>1.6360741000000001</v>
      </c>
      <c r="E47" s="13">
        <f>SUM(E42:E46)</f>
        <v>1.6981229199999999</v>
      </c>
      <c r="F47" s="13">
        <f>SUM(F42:F46)</f>
        <v>1.69692953</v>
      </c>
      <c r="G47" s="13">
        <f>SUM(G42:G46)</f>
        <v>1.681520949999999</v>
      </c>
      <c r="H47" s="13">
        <f>SUM(H42:H46)</f>
        <v>1.6109320930000002</v>
      </c>
      <c r="I47" s="62">
        <f t="shared" ref="I47:K47" si="2">SUM(I42:I46)</f>
        <v>1.527143524</v>
      </c>
      <c r="J47" s="62">
        <f t="shared" si="2"/>
        <v>1.4433854509999988</v>
      </c>
      <c r="K47" s="62">
        <f t="shared" si="2"/>
        <v>1.3610697945500001</v>
      </c>
      <c r="AD47" s="27">
        <v>235.27897222222157</v>
      </c>
    </row>
    <row r="48" spans="1:37">
      <c r="AD48" s="27">
        <v>247.92549999999929</v>
      </c>
    </row>
    <row r="49" spans="2:30">
      <c r="AD49" s="27">
        <v>269.07536111111034</v>
      </c>
    </row>
    <row r="50" spans="2:30">
      <c r="AD50" s="27">
        <v>301.93722222222141</v>
      </c>
    </row>
    <row r="51" spans="2:30">
      <c r="B51" s="1" t="s">
        <v>519</v>
      </c>
      <c r="AD51" s="27">
        <v>328.29538888888789</v>
      </c>
    </row>
    <row r="52" spans="2:30">
      <c r="C52" s="65"/>
      <c r="D52" s="66">
        <v>2015</v>
      </c>
      <c r="E52" s="66">
        <v>2020</v>
      </c>
      <c r="F52" s="66">
        <v>2025</v>
      </c>
      <c r="G52" s="66">
        <v>2030</v>
      </c>
      <c r="H52" s="66">
        <v>2035</v>
      </c>
      <c r="I52" s="66">
        <v>2040</v>
      </c>
      <c r="J52" s="66">
        <v>2045</v>
      </c>
      <c r="K52" s="66">
        <v>2050</v>
      </c>
      <c r="L52" s="7" t="s">
        <v>475</v>
      </c>
      <c r="M52" s="13">
        <v>277.77777777777698</v>
      </c>
      <c r="AD52" s="27">
        <v>362.99272222222118</v>
      </c>
    </row>
    <row r="53" spans="2:30">
      <c r="C53" s="8" t="s">
        <v>476</v>
      </c>
      <c r="D53" s="45">
        <f>D46*$M$52</f>
        <v>209.65099999999939</v>
      </c>
      <c r="E53" s="45">
        <f t="shared" ref="E53:K53" si="3">E46*$M$52</f>
        <v>232.15497222222157</v>
      </c>
      <c r="F53" s="45">
        <f t="shared" si="3"/>
        <v>235.27897222222157</v>
      </c>
      <c r="G53" s="45">
        <f t="shared" si="3"/>
        <v>247.92549999999929</v>
      </c>
      <c r="H53" s="45">
        <f t="shared" si="3"/>
        <v>269.07536111111034</v>
      </c>
      <c r="I53" s="45">
        <f t="shared" si="3"/>
        <v>301.93722222222141</v>
      </c>
      <c r="J53" s="45">
        <f t="shared" si="3"/>
        <v>328.29538888888789</v>
      </c>
      <c r="K53" s="45">
        <f t="shared" si="3"/>
        <v>362.99272222222118</v>
      </c>
      <c r="L53" s="9"/>
    </row>
    <row r="54" spans="2:30">
      <c r="C54" s="8" t="s">
        <v>473</v>
      </c>
      <c r="D54" s="45">
        <v>215.84400772001726</v>
      </c>
      <c r="E54" s="45">
        <v>237.46560821001901</v>
      </c>
      <c r="F54" s="45"/>
      <c r="G54" s="45"/>
      <c r="H54" s="45"/>
      <c r="I54" s="45"/>
      <c r="J54" s="45"/>
      <c r="K54" s="45"/>
      <c r="L54" s="9"/>
    </row>
    <row r="55" spans="2:30">
      <c r="C55" s="70" t="s">
        <v>474</v>
      </c>
      <c r="D55" s="71"/>
      <c r="E55" s="71"/>
      <c r="F55" s="71">
        <v>255.86000000002048</v>
      </c>
      <c r="G55" s="71">
        <v>279.12000000002229</v>
      </c>
      <c r="H55" s="71">
        <v>290.75000000002325</v>
      </c>
      <c r="I55" s="71"/>
      <c r="J55" s="71"/>
      <c r="K55" s="71"/>
      <c r="L55" s="10"/>
    </row>
    <row r="56" spans="2:30">
      <c r="D56" s="60"/>
      <c r="E56" s="60"/>
      <c r="F56" s="60"/>
    </row>
    <row r="70" spans="1:15">
      <c r="E70" s="27">
        <f>E80*H107</f>
        <v>1.8983850595907472E-4</v>
      </c>
      <c r="F70" s="27">
        <f>F80*I107</f>
        <v>5.7443143151950189E-3</v>
      </c>
      <c r="G70" s="27">
        <f>G80*J107</f>
        <v>7.3232271952741856E-3</v>
      </c>
      <c r="H70" s="27">
        <f>H80*K107</f>
        <v>9.4286073078797931E-3</v>
      </c>
      <c r="I70" s="13">
        <f t="shared" ref="I70:N70" si="4">L64*O91</f>
        <v>0</v>
      </c>
      <c r="J70" s="13">
        <f t="shared" si="4"/>
        <v>0</v>
      </c>
      <c r="K70" s="13">
        <f t="shared" si="4"/>
        <v>0</v>
      </c>
      <c r="L70" s="13">
        <f t="shared" si="4"/>
        <v>0</v>
      </c>
      <c r="M70" s="13">
        <f t="shared" si="4"/>
        <v>0</v>
      </c>
      <c r="N70" s="13">
        <f t="shared" si="4"/>
        <v>0</v>
      </c>
    </row>
    <row r="73" spans="1:15">
      <c r="E73" s="57">
        <f>E74+SUM(E76:E79)</f>
        <v>1.4369137429973142</v>
      </c>
      <c r="F73" s="57">
        <f>F74+SUM(F76:F79)</f>
        <v>1.4941719590933307</v>
      </c>
      <c r="G73" s="57">
        <f>G74+SUM(G76:G79)</f>
        <v>1.6380261540931347</v>
      </c>
      <c r="H73" s="57">
        <f>H74+SUM(H76:H79)</f>
        <v>1.6918167317102359</v>
      </c>
    </row>
    <row r="74" spans="1:15">
      <c r="A74" s="1" t="s">
        <v>431</v>
      </c>
      <c r="E74" s="57">
        <f>E80-H113</f>
        <v>1.4140401320973144</v>
      </c>
      <c r="F74" s="57">
        <f>F80-I113</f>
        <v>1.4434794820933308</v>
      </c>
      <c r="G74" s="57">
        <f>G80-J113</f>
        <v>1.5813178400931347</v>
      </c>
      <c r="H74" s="58">
        <f>H80-K113</f>
        <v>1.6114132423102361</v>
      </c>
    </row>
    <row r="75" spans="1:15">
      <c r="A75" s="31" t="s">
        <v>8</v>
      </c>
      <c r="B75" s="13" t="s">
        <v>9</v>
      </c>
      <c r="C75" s="13" t="s">
        <v>10</v>
      </c>
      <c r="D75" s="13">
        <v>1990</v>
      </c>
      <c r="E75" s="13">
        <v>2005</v>
      </c>
      <c r="F75" s="13">
        <v>2010</v>
      </c>
      <c r="G75" s="13">
        <v>2015</v>
      </c>
      <c r="H75" s="13">
        <v>2020</v>
      </c>
      <c r="I75" s="13">
        <v>2025</v>
      </c>
      <c r="J75" s="13">
        <v>2030</v>
      </c>
      <c r="K75" s="13">
        <v>2035</v>
      </c>
      <c r="L75" s="13">
        <v>2040</v>
      </c>
      <c r="M75" s="13">
        <v>2045</v>
      </c>
      <c r="N75" s="13">
        <v>2050</v>
      </c>
      <c r="O75" s="13" t="s">
        <v>76</v>
      </c>
    </row>
    <row r="76" spans="1:15">
      <c r="A76" s="13" t="s">
        <v>607</v>
      </c>
      <c r="B76" s="13" t="s">
        <v>1</v>
      </c>
      <c r="C76" s="13" t="s">
        <v>2</v>
      </c>
      <c r="D76" s="62">
        <v>0</v>
      </c>
      <c r="E76" s="27">
        <v>0</v>
      </c>
      <c r="F76" s="27">
        <v>0</v>
      </c>
      <c r="G76" s="27">
        <v>0</v>
      </c>
      <c r="H76" s="27">
        <v>7.7505399999999996E-4</v>
      </c>
      <c r="I76" s="62">
        <v>1.11103508E-2</v>
      </c>
      <c r="J76" s="62">
        <v>3.1545453000000001E-2</v>
      </c>
      <c r="K76" s="62">
        <v>6.0471210499999997E-2</v>
      </c>
      <c r="L76" s="62">
        <v>9.7870686390000003E-2</v>
      </c>
      <c r="M76" s="62">
        <v>0.12467771128999899</v>
      </c>
      <c r="N76" s="62">
        <v>0.14900690700999999</v>
      </c>
      <c r="O76" s="13" t="s">
        <v>78</v>
      </c>
    </row>
    <row r="77" spans="1:15">
      <c r="A77" s="13" t="s">
        <v>607</v>
      </c>
      <c r="B77" s="13" t="s">
        <v>1</v>
      </c>
      <c r="C77" s="13" t="s">
        <v>4</v>
      </c>
      <c r="D77" s="62">
        <v>0</v>
      </c>
      <c r="E77" s="27">
        <v>0</v>
      </c>
      <c r="F77" s="27">
        <v>0</v>
      </c>
      <c r="G77" s="27">
        <v>0</v>
      </c>
      <c r="H77" s="27">
        <v>0</v>
      </c>
      <c r="I77" s="62">
        <v>0</v>
      </c>
      <c r="J77" s="62">
        <v>0</v>
      </c>
      <c r="K77" s="62">
        <v>0</v>
      </c>
      <c r="L77" s="62">
        <v>0</v>
      </c>
      <c r="M77" s="62">
        <v>0</v>
      </c>
      <c r="N77" s="62">
        <v>0</v>
      </c>
      <c r="O77" s="13" t="s">
        <v>78</v>
      </c>
    </row>
    <row r="78" spans="1:15">
      <c r="A78" s="13" t="s">
        <v>607</v>
      </c>
      <c r="B78" s="13" t="s">
        <v>1</v>
      </c>
      <c r="C78" s="13" t="s">
        <v>162</v>
      </c>
      <c r="D78" s="62">
        <v>0</v>
      </c>
      <c r="E78" s="27">
        <v>1.35617708999999E-2</v>
      </c>
      <c r="F78" s="27">
        <v>4.2820006999999903E-2</v>
      </c>
      <c r="G78" s="27">
        <v>4.8721894000000002E-2</v>
      </c>
      <c r="H78" s="27">
        <v>6.7300047000000002E-2</v>
      </c>
      <c r="I78" s="62">
        <v>7.3576790999999905E-2</v>
      </c>
      <c r="J78" s="62">
        <v>7.2004783499999905E-2</v>
      </c>
      <c r="K78" s="62">
        <v>6.84742344E-2</v>
      </c>
      <c r="L78" s="62">
        <v>6.7133859000000004E-2</v>
      </c>
      <c r="M78" s="62">
        <v>6.3491097999999996E-2</v>
      </c>
      <c r="N78" s="62">
        <v>5.35113781E-2</v>
      </c>
      <c r="O78" s="13" t="s">
        <v>78</v>
      </c>
    </row>
    <row r="79" spans="1:15">
      <c r="A79" s="13" t="s">
        <v>607</v>
      </c>
      <c r="B79" s="13" t="s">
        <v>1</v>
      </c>
      <c r="C79" s="13" t="s">
        <v>430</v>
      </c>
      <c r="D79" s="62">
        <v>3.6431479999999902E-3</v>
      </c>
      <c r="E79" s="27">
        <v>9.31184E-3</v>
      </c>
      <c r="F79" s="27">
        <v>7.8724699999999995E-3</v>
      </c>
      <c r="G79" s="27">
        <v>7.9864199999999993E-3</v>
      </c>
      <c r="H79" s="27">
        <v>1.23283883999999E-2</v>
      </c>
      <c r="I79" s="62">
        <v>4.2165750899999903E-2</v>
      </c>
      <c r="J79" s="62">
        <v>7.439725237E-2</v>
      </c>
      <c r="K79" s="62">
        <v>0.10268123182</v>
      </c>
      <c r="L79" s="62">
        <v>0.121971401199999</v>
      </c>
      <c r="M79" s="62">
        <v>0.13403615959000001</v>
      </c>
      <c r="N79" s="62">
        <v>0.14804438504</v>
      </c>
      <c r="O79" s="13" t="s">
        <v>78</v>
      </c>
    </row>
    <row r="80" spans="1:15">
      <c r="A80" s="13" t="s">
        <v>607</v>
      </c>
      <c r="B80" s="13" t="s">
        <v>1</v>
      </c>
      <c r="C80" s="13" t="s">
        <v>164</v>
      </c>
      <c r="D80" s="62">
        <v>0.68419311000000005</v>
      </c>
      <c r="E80" s="27">
        <v>1.7172285999999899</v>
      </c>
      <c r="F80" s="27">
        <v>1.72904273</v>
      </c>
      <c r="G80" s="27">
        <v>1.88207843</v>
      </c>
      <c r="H80" s="27">
        <v>1.92587237</v>
      </c>
      <c r="I80" s="62">
        <v>1.7696350999999999</v>
      </c>
      <c r="J80" s="62">
        <v>1.53650683</v>
      </c>
      <c r="K80" s="62">
        <v>1.2957996999999899</v>
      </c>
      <c r="L80" s="62">
        <v>1.0604061769999999</v>
      </c>
      <c r="M80" s="62">
        <v>0.87397773999999995</v>
      </c>
      <c r="N80" s="62">
        <v>0.62208772199999995</v>
      </c>
      <c r="O80" s="13" t="s">
        <v>78</v>
      </c>
    </row>
    <row r="81" spans="1:18">
      <c r="C81" s="13" t="s">
        <v>429</v>
      </c>
      <c r="D81" s="13">
        <f>SUM(D76:D80)</f>
        <v>0.68783625800000003</v>
      </c>
      <c r="E81" s="27">
        <f>SUM(E76:E80)</f>
        <v>1.7401022108999897</v>
      </c>
      <c r="F81" s="27">
        <f>SUM(F76:F80)</f>
        <v>1.7797352069999999</v>
      </c>
      <c r="G81" s="27">
        <f>SUM(G76:G80)</f>
        <v>1.938786744</v>
      </c>
      <c r="H81" s="27">
        <f>SUM(H76:H80)</f>
        <v>2.0062758594000001</v>
      </c>
    </row>
    <row r="82" spans="1:18">
      <c r="C82" s="65"/>
      <c r="D82" s="66">
        <v>2015</v>
      </c>
      <c r="E82" s="66">
        <v>2020</v>
      </c>
      <c r="F82" s="66">
        <v>2025</v>
      </c>
      <c r="G82" s="66">
        <v>2030</v>
      </c>
      <c r="H82" s="66">
        <v>2035</v>
      </c>
      <c r="I82" s="66">
        <v>2040</v>
      </c>
      <c r="J82" s="66">
        <v>2045</v>
      </c>
      <c r="K82" s="7">
        <v>2050</v>
      </c>
      <c r="L82" s="13" t="s">
        <v>76</v>
      </c>
    </row>
    <row r="83" spans="1:18">
      <c r="B83" s="13" t="s">
        <v>164</v>
      </c>
      <c r="C83" s="8" t="s">
        <v>305</v>
      </c>
      <c r="D83" s="45">
        <f>SUMIF($C$76:$C$80,$B83,G$76:G$80)-D86-J113</f>
        <v>1.5739946128978606</v>
      </c>
      <c r="E83" s="45">
        <f t="shared" ref="E83:K83" si="5">SUMIF($C$76:$C$80,$B83,H$76:H$80)-E86-K113</f>
        <v>1.6019846350023563</v>
      </c>
      <c r="F83" s="45">
        <f t="shared" si="5"/>
        <v>1.45804170507817</v>
      </c>
      <c r="G83" s="45">
        <f t="shared" si="5"/>
        <v>1.2302316355840088</v>
      </c>
      <c r="H83" s="45">
        <f t="shared" si="5"/>
        <v>0.99682689505627686</v>
      </c>
      <c r="I83" s="45">
        <f t="shared" si="5"/>
        <v>0.76425599730899685</v>
      </c>
      <c r="J83" s="45">
        <f t="shared" si="5"/>
        <v>0.57559620245413412</v>
      </c>
      <c r="K83" s="9">
        <f t="shared" si="5"/>
        <v>0.36701119217501382</v>
      </c>
      <c r="L83" s="13" t="s">
        <v>78</v>
      </c>
    </row>
    <row r="84" spans="1:18">
      <c r="B84" s="13" t="s">
        <v>4</v>
      </c>
      <c r="C84" s="8" t="s">
        <v>14</v>
      </c>
      <c r="D84" s="45">
        <f>SUMIF($C$76:$C$80,$B84,G$76:G$80)</f>
        <v>0</v>
      </c>
      <c r="E84" s="45">
        <f t="shared" ref="E84:K85" si="6">SUMIF($C$76:$C$80,$B84,H$76:H$80)</f>
        <v>0</v>
      </c>
      <c r="F84" s="45">
        <f t="shared" si="6"/>
        <v>0</v>
      </c>
      <c r="G84" s="45">
        <f t="shared" si="6"/>
        <v>0</v>
      </c>
      <c r="H84" s="45">
        <f t="shared" si="6"/>
        <v>0</v>
      </c>
      <c r="I84" s="45">
        <f t="shared" si="6"/>
        <v>0</v>
      </c>
      <c r="J84" s="45">
        <f t="shared" si="6"/>
        <v>0</v>
      </c>
      <c r="K84" s="9">
        <f t="shared" si="6"/>
        <v>0</v>
      </c>
      <c r="L84" s="13" t="s">
        <v>78</v>
      </c>
    </row>
    <row r="85" spans="1:18">
      <c r="B85" s="13" t="s">
        <v>162</v>
      </c>
      <c r="C85" s="8" t="s">
        <v>15</v>
      </c>
      <c r="D85" s="45">
        <f>SUMIF($C$76:$C$80,$B85,G$76:G$80)</f>
        <v>4.8721894000000002E-2</v>
      </c>
      <c r="E85" s="45">
        <f t="shared" si="6"/>
        <v>6.7300047000000002E-2</v>
      </c>
      <c r="F85" s="45">
        <f t="shared" si="6"/>
        <v>7.3576790999999905E-2</v>
      </c>
      <c r="G85" s="45">
        <f t="shared" si="6"/>
        <v>7.2004783499999905E-2</v>
      </c>
      <c r="H85" s="45">
        <f t="shared" si="6"/>
        <v>6.84742344E-2</v>
      </c>
      <c r="I85" s="45">
        <f t="shared" si="6"/>
        <v>6.7133859000000004E-2</v>
      </c>
      <c r="J85" s="45">
        <f t="shared" si="6"/>
        <v>6.3491097999999996E-2</v>
      </c>
      <c r="K85" s="9">
        <f t="shared" si="6"/>
        <v>5.35113781E-2</v>
      </c>
      <c r="L85" s="13" t="s">
        <v>78</v>
      </c>
    </row>
    <row r="86" spans="1:18">
      <c r="B86" s="13" t="s">
        <v>3</v>
      </c>
      <c r="C86" s="8" t="s">
        <v>13</v>
      </c>
      <c r="D86" s="45">
        <f t="shared" ref="D86:K86" si="7">G80*J107</f>
        <v>7.3232271952741856E-3</v>
      </c>
      <c r="E86" s="45">
        <f t="shared" si="7"/>
        <v>9.4286073078797931E-3</v>
      </c>
      <c r="F86" s="45">
        <f t="shared" si="7"/>
        <v>1.0519127092084673E-2</v>
      </c>
      <c r="G86" s="45">
        <f t="shared" si="7"/>
        <v>9.4233467370425667E-3</v>
      </c>
      <c r="H86" s="45">
        <f t="shared" si="7"/>
        <v>1.3791733085197594E-2</v>
      </c>
      <c r="I86" s="45">
        <f t="shared" si="7"/>
        <v>2.6151228027067295E-2</v>
      </c>
      <c r="J86" s="45">
        <f t="shared" si="7"/>
        <v>5.026556236319938E-2</v>
      </c>
      <c r="K86" s="9">
        <f t="shared" si="7"/>
        <v>6.8331069436099845E-2</v>
      </c>
      <c r="L86" s="13" t="s">
        <v>78</v>
      </c>
    </row>
    <row r="87" spans="1:18">
      <c r="B87" s="13" t="s">
        <v>430</v>
      </c>
      <c r="C87" s="8" t="s">
        <v>17</v>
      </c>
      <c r="D87" s="45">
        <f>SUMIF($C$76:$C$80,$B87,G$76:G$80)</f>
        <v>7.9864199999999993E-3</v>
      </c>
      <c r="E87" s="45">
        <f t="shared" ref="E87:K88" si="8">SUMIF($C$76:$C$80,$B87,H$76:H$80)</f>
        <v>1.23283883999999E-2</v>
      </c>
      <c r="F87" s="45">
        <f t="shared" si="8"/>
        <v>4.2165750899999903E-2</v>
      </c>
      <c r="G87" s="45">
        <f t="shared" si="8"/>
        <v>7.439725237E-2</v>
      </c>
      <c r="H87" s="45">
        <f t="shared" si="8"/>
        <v>0.10268123182</v>
      </c>
      <c r="I87" s="45">
        <f t="shared" si="8"/>
        <v>0.121971401199999</v>
      </c>
      <c r="J87" s="45">
        <f t="shared" si="8"/>
        <v>0.13403615959000001</v>
      </c>
      <c r="K87" s="9">
        <f t="shared" si="8"/>
        <v>0.14804438504</v>
      </c>
      <c r="L87" s="13" t="s">
        <v>78</v>
      </c>
    </row>
    <row r="88" spans="1:18">
      <c r="B88" s="13" t="s">
        <v>2</v>
      </c>
      <c r="C88" s="70" t="s">
        <v>417</v>
      </c>
      <c r="D88" s="71">
        <f>SUMIF($C$76:$C$80,$B88,G$76:G$80)</f>
        <v>0</v>
      </c>
      <c r="E88" s="71">
        <f t="shared" si="8"/>
        <v>7.7505399999999996E-4</v>
      </c>
      <c r="F88" s="71">
        <f t="shared" si="8"/>
        <v>1.11103508E-2</v>
      </c>
      <c r="G88" s="71">
        <f t="shared" si="8"/>
        <v>3.1545453000000001E-2</v>
      </c>
      <c r="H88" s="71">
        <f t="shared" si="8"/>
        <v>6.0471210499999997E-2</v>
      </c>
      <c r="I88" s="71">
        <f t="shared" si="8"/>
        <v>9.7870686390000003E-2</v>
      </c>
      <c r="J88" s="71">
        <f t="shared" si="8"/>
        <v>0.12467771128999899</v>
      </c>
      <c r="K88" s="10">
        <f t="shared" si="8"/>
        <v>0.14900690700999999</v>
      </c>
      <c r="L88" s="13" t="s">
        <v>78</v>
      </c>
    </row>
    <row r="89" spans="1:18">
      <c r="C89" s="13" t="s">
        <v>429</v>
      </c>
      <c r="D89" s="13">
        <f>SUM(D83:D88)</f>
        <v>1.6380261540931347</v>
      </c>
      <c r="E89" s="13">
        <f>SUM(E83:E88)</f>
        <v>1.6918167317102359</v>
      </c>
      <c r="F89" s="13">
        <f>SUM(F83:F88)</f>
        <v>1.5954137248702542</v>
      </c>
      <c r="G89" s="13">
        <f>SUM(G83:G88)</f>
        <v>1.4176024711910515</v>
      </c>
      <c r="H89" s="13">
        <f>SUM(H83:H88)</f>
        <v>1.2422453048614746</v>
      </c>
    </row>
    <row r="91" spans="1:18">
      <c r="A91" s="1" t="s">
        <v>433</v>
      </c>
    </row>
    <row r="92" spans="1:18">
      <c r="A92" s="13" t="s">
        <v>440</v>
      </c>
      <c r="B92" s="13" t="s">
        <v>441</v>
      </c>
      <c r="C92" s="13" t="s">
        <v>442</v>
      </c>
      <c r="D92" s="13" t="s">
        <v>443</v>
      </c>
      <c r="E92" s="13" t="s">
        <v>444</v>
      </c>
      <c r="F92" s="13" t="s">
        <v>445</v>
      </c>
      <c r="G92" s="13">
        <v>1990</v>
      </c>
      <c r="H92" s="13">
        <v>2005</v>
      </c>
      <c r="I92" s="13">
        <v>2010</v>
      </c>
      <c r="J92" s="13">
        <v>2015</v>
      </c>
      <c r="K92" s="13">
        <v>2020</v>
      </c>
      <c r="L92" s="13">
        <v>2025</v>
      </c>
      <c r="M92" s="13">
        <v>2030</v>
      </c>
      <c r="N92" s="13">
        <v>2035</v>
      </c>
      <c r="O92" s="13">
        <v>2040</v>
      </c>
      <c r="P92" s="13">
        <v>2045</v>
      </c>
      <c r="Q92" s="13">
        <v>2050</v>
      </c>
      <c r="R92" s="13" t="s">
        <v>76</v>
      </c>
    </row>
    <row r="93" spans="1:18">
      <c r="A93" s="13" t="s">
        <v>607</v>
      </c>
      <c r="B93" s="13" t="s">
        <v>1</v>
      </c>
      <c r="C93" s="13" t="s">
        <v>148</v>
      </c>
      <c r="D93" s="13" t="s">
        <v>389</v>
      </c>
      <c r="E93" s="13" t="s">
        <v>148</v>
      </c>
      <c r="F93" s="13" t="s">
        <v>434</v>
      </c>
      <c r="G93" s="62">
        <v>0</v>
      </c>
      <c r="H93" s="62">
        <v>0</v>
      </c>
      <c r="I93" s="62">
        <v>0</v>
      </c>
      <c r="J93" s="62">
        <v>0</v>
      </c>
      <c r="K93" s="63">
        <v>6.1912399999999998E-4</v>
      </c>
      <c r="L93" s="63">
        <v>9.8024899999999901E-4</v>
      </c>
      <c r="M93" s="63">
        <v>1.0542239000000001E-3</v>
      </c>
      <c r="N93" s="63">
        <v>1.8838714E-3</v>
      </c>
      <c r="O93" s="63">
        <v>2.787641E-3</v>
      </c>
      <c r="P93" s="63">
        <v>1.4300226E-3</v>
      </c>
      <c r="Q93" s="63">
        <v>1.1163694E-7</v>
      </c>
      <c r="R93" s="13" t="s">
        <v>78</v>
      </c>
    </row>
    <row r="94" spans="1:18">
      <c r="A94" s="13" t="s">
        <v>607</v>
      </c>
      <c r="B94" s="13" t="s">
        <v>1</v>
      </c>
      <c r="C94" s="13" t="s">
        <v>148</v>
      </c>
      <c r="D94" s="13" t="s">
        <v>389</v>
      </c>
      <c r="E94" s="13" t="s">
        <v>148</v>
      </c>
      <c r="F94" s="13" t="s">
        <v>388</v>
      </c>
      <c r="G94" s="62">
        <v>0</v>
      </c>
      <c r="H94" s="63">
        <v>0</v>
      </c>
      <c r="I94" s="62">
        <v>0</v>
      </c>
      <c r="J94" s="62">
        <v>0</v>
      </c>
      <c r="K94" s="62">
        <v>0</v>
      </c>
      <c r="L94" s="63">
        <v>2.9872100000000002E-5</v>
      </c>
      <c r="M94" s="63">
        <v>4.87412E-5</v>
      </c>
      <c r="N94" s="63">
        <v>9.6674580000000003E-4</v>
      </c>
      <c r="O94" s="62">
        <v>6.5304472000000001E-3</v>
      </c>
      <c r="P94" s="62">
        <v>2.5767755699999999E-2</v>
      </c>
      <c r="Q94" s="62">
        <v>4.2144205999999997E-2</v>
      </c>
      <c r="R94" s="13" t="s">
        <v>78</v>
      </c>
    </row>
    <row r="95" spans="1:18">
      <c r="A95" s="13" t="s">
        <v>607</v>
      </c>
      <c r="B95" s="13" t="s">
        <v>1</v>
      </c>
      <c r="C95" s="13" t="s">
        <v>148</v>
      </c>
      <c r="D95" s="13" t="s">
        <v>389</v>
      </c>
      <c r="E95" s="13" t="s">
        <v>148</v>
      </c>
      <c r="F95" s="13" t="s">
        <v>390</v>
      </c>
      <c r="G95" s="62">
        <v>0</v>
      </c>
      <c r="H95" s="62">
        <v>0</v>
      </c>
      <c r="I95" s="62">
        <v>0</v>
      </c>
      <c r="J95" s="62">
        <v>0</v>
      </c>
      <c r="K95" s="62">
        <v>0</v>
      </c>
      <c r="L95" s="63">
        <v>1.48706E-5</v>
      </c>
      <c r="M95" s="63">
        <v>2.58756E-5</v>
      </c>
      <c r="N95" s="63">
        <v>6.8258899999999896E-4</v>
      </c>
      <c r="O95" s="62">
        <v>5.38388829999999E-3</v>
      </c>
      <c r="P95" s="62">
        <v>2.50762915E-2</v>
      </c>
      <c r="Q95" s="62">
        <v>6.6190559199999999E-2</v>
      </c>
      <c r="R95" s="13" t="s">
        <v>78</v>
      </c>
    </row>
    <row r="96" spans="1:18">
      <c r="A96" s="13" t="s">
        <v>607</v>
      </c>
      <c r="B96" s="13" t="s">
        <v>1</v>
      </c>
      <c r="C96" s="13" t="s">
        <v>148</v>
      </c>
      <c r="D96" s="13" t="s">
        <v>389</v>
      </c>
      <c r="E96" s="13" t="s">
        <v>148</v>
      </c>
      <c r="F96" s="13" t="s">
        <v>435</v>
      </c>
      <c r="G96" s="62">
        <v>0</v>
      </c>
      <c r="H96" s="63">
        <v>4.6047900000000002E-4</v>
      </c>
      <c r="I96" s="62">
        <v>1.39387E-2</v>
      </c>
      <c r="J96" s="62">
        <v>1.7496399999999999E-2</v>
      </c>
      <c r="K96" s="62">
        <v>2.0455750000000002E-2</v>
      </c>
      <c r="L96" s="62">
        <v>2.1237720000000002E-2</v>
      </c>
      <c r="M96" s="63">
        <v>2.0303225000000001E-2</v>
      </c>
      <c r="N96" s="62">
        <v>2.2597241999999899E-2</v>
      </c>
      <c r="O96" s="62">
        <v>3.0021730999999999E-2</v>
      </c>
      <c r="P96" s="62">
        <v>4.0432605000000003E-2</v>
      </c>
      <c r="Q96" s="62">
        <v>4.2242575999999997E-2</v>
      </c>
    </row>
    <row r="97" spans="1:18">
      <c r="A97" s="13" t="s">
        <v>607</v>
      </c>
      <c r="B97" s="13" t="s">
        <v>1</v>
      </c>
      <c r="C97" s="13" t="s">
        <v>148</v>
      </c>
      <c r="D97" s="13" t="s">
        <v>389</v>
      </c>
      <c r="E97" s="13" t="s">
        <v>148</v>
      </c>
      <c r="F97" s="13" t="s">
        <v>436</v>
      </c>
      <c r="G97" s="62">
        <v>0</v>
      </c>
      <c r="H97" s="62">
        <v>0</v>
      </c>
      <c r="I97" s="62">
        <v>0</v>
      </c>
      <c r="J97" s="62">
        <v>0</v>
      </c>
      <c r="K97" s="62">
        <v>0</v>
      </c>
      <c r="L97" s="62">
        <v>2.1251099999999999E-3</v>
      </c>
      <c r="M97" s="63">
        <v>2.531887E-3</v>
      </c>
      <c r="N97" s="63">
        <v>6.6028989999999997E-3</v>
      </c>
      <c r="O97" s="62">
        <v>1.0279442999999999E-2</v>
      </c>
      <c r="P97" s="63">
        <v>3.5666208999999998E-3</v>
      </c>
      <c r="Q97" s="63">
        <v>1.9371035E-7</v>
      </c>
    </row>
    <row r="98" spans="1:18">
      <c r="A98" s="13" t="s">
        <v>607</v>
      </c>
      <c r="B98" s="13" t="s">
        <v>1</v>
      </c>
      <c r="C98" s="13" t="s">
        <v>148</v>
      </c>
      <c r="D98" s="13" t="s">
        <v>389</v>
      </c>
      <c r="E98" s="13" t="s">
        <v>148</v>
      </c>
      <c r="F98" s="13" t="s">
        <v>391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3">
        <v>4.8009700000000002E-4</v>
      </c>
      <c r="M98" s="63">
        <v>6.3319799999999996E-4</v>
      </c>
      <c r="N98" s="63">
        <v>3.3851329999999998E-3</v>
      </c>
      <c r="O98" s="62">
        <v>8.2240030000000006E-3</v>
      </c>
      <c r="P98" s="63">
        <v>9.1047908E-3</v>
      </c>
      <c r="Q98" s="63">
        <v>3.5360419000000001E-6</v>
      </c>
    </row>
    <row r="99" spans="1:18">
      <c r="A99" s="13" t="s">
        <v>607</v>
      </c>
      <c r="B99" s="13" t="s">
        <v>1</v>
      </c>
      <c r="C99" s="13" t="s">
        <v>148</v>
      </c>
      <c r="D99" s="13" t="s">
        <v>389</v>
      </c>
      <c r="E99" s="13" t="s">
        <v>148</v>
      </c>
      <c r="F99" s="13" t="s">
        <v>392</v>
      </c>
      <c r="G99" s="62">
        <v>0</v>
      </c>
      <c r="H99" s="62">
        <v>0</v>
      </c>
      <c r="I99" s="62">
        <v>0</v>
      </c>
      <c r="J99" s="62">
        <v>0</v>
      </c>
      <c r="K99" s="62">
        <v>0</v>
      </c>
      <c r="L99" s="63">
        <v>4.5735999999999997E-5</v>
      </c>
      <c r="M99" s="63">
        <v>8.0514799999999997E-5</v>
      </c>
      <c r="N99" s="63">
        <v>2.2243435999999999E-3</v>
      </c>
      <c r="O99" s="62">
        <v>1.7294207299999999E-2</v>
      </c>
      <c r="P99" s="62">
        <v>7.8865623600000004E-2</v>
      </c>
      <c r="Q99" s="62">
        <v>0.1985465065</v>
      </c>
    </row>
    <row r="100" spans="1:18">
      <c r="A100" s="13" t="s">
        <v>607</v>
      </c>
      <c r="B100" s="13" t="s">
        <v>1</v>
      </c>
      <c r="C100" s="13" t="s">
        <v>148</v>
      </c>
      <c r="D100" s="13" t="s">
        <v>389</v>
      </c>
      <c r="E100" s="13" t="s">
        <v>148</v>
      </c>
      <c r="F100" s="13" t="s">
        <v>437</v>
      </c>
      <c r="G100" s="62">
        <v>0</v>
      </c>
      <c r="H100" s="62">
        <v>0</v>
      </c>
      <c r="I100" s="62">
        <v>0</v>
      </c>
      <c r="J100" s="62">
        <v>0</v>
      </c>
      <c r="K100" s="63">
        <v>8.4757400000000003E-4</v>
      </c>
      <c r="L100" s="63">
        <v>1.4766179999999901E-3</v>
      </c>
      <c r="M100" s="63">
        <v>1.676786E-3</v>
      </c>
      <c r="N100" s="63">
        <v>5.0902600000000001E-3</v>
      </c>
      <c r="O100" s="62">
        <v>1.4744241999999999E-2</v>
      </c>
      <c r="P100" s="62">
        <v>2.9722403000000001E-2</v>
      </c>
      <c r="Q100" s="62">
        <v>2.7414107E-2</v>
      </c>
    </row>
    <row r="101" spans="1:18">
      <c r="A101" s="13" t="s">
        <v>607</v>
      </c>
      <c r="B101" s="13" t="s">
        <v>1</v>
      </c>
      <c r="C101" s="13" t="s">
        <v>148</v>
      </c>
      <c r="D101" s="13" t="s">
        <v>394</v>
      </c>
      <c r="E101" s="13" t="s">
        <v>148</v>
      </c>
      <c r="F101" s="13" t="s">
        <v>394</v>
      </c>
      <c r="G101" s="62">
        <v>0</v>
      </c>
      <c r="H101" s="62">
        <v>0</v>
      </c>
      <c r="I101" s="62">
        <v>0</v>
      </c>
      <c r="J101" s="62">
        <v>0</v>
      </c>
      <c r="K101" s="62">
        <v>0</v>
      </c>
      <c r="L101" s="63">
        <v>1.9028199999999999E-5</v>
      </c>
      <c r="M101" s="63">
        <v>3.8687940000000004E-6</v>
      </c>
      <c r="N101" s="63">
        <v>1.22027665E-6</v>
      </c>
      <c r="O101" s="63">
        <v>4.01826953E-7</v>
      </c>
      <c r="P101" s="63">
        <v>2.7639456E-8</v>
      </c>
      <c r="Q101" s="63">
        <v>0</v>
      </c>
    </row>
    <row r="102" spans="1:18">
      <c r="A102" s="13" t="s">
        <v>607</v>
      </c>
      <c r="B102" s="13" t="s">
        <v>1</v>
      </c>
      <c r="C102" s="13" t="s">
        <v>148</v>
      </c>
      <c r="D102" s="13" t="s">
        <v>394</v>
      </c>
      <c r="E102" s="13" t="s">
        <v>148</v>
      </c>
      <c r="F102" s="13" t="s">
        <v>393</v>
      </c>
      <c r="G102" s="62">
        <v>0</v>
      </c>
      <c r="H102" s="62">
        <v>0</v>
      </c>
      <c r="I102" s="62">
        <v>0</v>
      </c>
      <c r="J102" s="62">
        <v>0</v>
      </c>
      <c r="K102" s="62">
        <v>0</v>
      </c>
      <c r="L102" s="63">
        <v>6.7574200000000004E-7</v>
      </c>
      <c r="M102" s="63">
        <v>1.682357E-7</v>
      </c>
      <c r="N102" s="63">
        <v>1.77371843E-6</v>
      </c>
      <c r="O102" s="63">
        <v>9.0036865600000002E-6</v>
      </c>
      <c r="P102" s="63">
        <v>1.6450621349999999E-5</v>
      </c>
      <c r="Q102" s="63">
        <v>1.5116187070000001E-6</v>
      </c>
      <c r="R102" s="13" t="s">
        <v>78</v>
      </c>
    </row>
    <row r="103" spans="1:18">
      <c r="A103" s="13" t="s">
        <v>607</v>
      </c>
      <c r="B103" s="13" t="s">
        <v>1</v>
      </c>
      <c r="C103" s="13" t="s">
        <v>148</v>
      </c>
      <c r="D103" s="13" t="s">
        <v>394</v>
      </c>
      <c r="E103" s="13" t="s">
        <v>148</v>
      </c>
      <c r="F103" s="13" t="s">
        <v>395</v>
      </c>
      <c r="G103" s="62">
        <v>0</v>
      </c>
      <c r="H103" s="62">
        <v>0</v>
      </c>
      <c r="I103" s="62">
        <v>0</v>
      </c>
      <c r="J103" s="62">
        <v>0</v>
      </c>
      <c r="K103" s="62">
        <v>0</v>
      </c>
      <c r="L103" s="63">
        <v>2.4257399999999999E-7</v>
      </c>
      <c r="M103" s="63">
        <v>5.9307350000000002E-8</v>
      </c>
      <c r="N103" s="63">
        <v>8.8530774999999997E-7</v>
      </c>
      <c r="O103" s="63">
        <v>5.7783136799999999E-6</v>
      </c>
      <c r="P103" s="63">
        <v>1.4318542692E-5</v>
      </c>
      <c r="Q103" s="63">
        <v>5.6587589760000002E-6</v>
      </c>
      <c r="R103" s="13" t="s">
        <v>78</v>
      </c>
    </row>
    <row r="104" spans="1:18">
      <c r="A104" s="13" t="s">
        <v>607</v>
      </c>
      <c r="B104" s="13" t="s">
        <v>1</v>
      </c>
      <c r="C104" s="13" t="s">
        <v>148</v>
      </c>
      <c r="D104" s="13" t="s">
        <v>438</v>
      </c>
      <c r="E104" s="13" t="s">
        <v>148</v>
      </c>
      <c r="F104" s="13" t="s">
        <v>438</v>
      </c>
      <c r="G104" s="62">
        <v>0</v>
      </c>
      <c r="H104" s="62">
        <v>0</v>
      </c>
      <c r="I104" s="62">
        <v>0</v>
      </c>
      <c r="J104" s="62">
        <v>0</v>
      </c>
      <c r="K104" s="62">
        <v>0</v>
      </c>
      <c r="L104" s="63">
        <v>4.0915100000000001E-4</v>
      </c>
      <c r="M104" s="63">
        <v>5.0977499999999996E-4</v>
      </c>
      <c r="N104" s="63">
        <v>2.1124439999999898E-3</v>
      </c>
      <c r="O104" s="63">
        <v>7.3924869000000001E-3</v>
      </c>
      <c r="P104" s="62">
        <v>1.9347488999999999E-2</v>
      </c>
      <c r="Q104" s="62">
        <v>1.71742449E-2</v>
      </c>
      <c r="R104" s="13" t="s">
        <v>78</v>
      </c>
    </row>
    <row r="105" spans="1:18">
      <c r="A105" s="13" t="s">
        <v>607</v>
      </c>
      <c r="B105" s="13" t="s">
        <v>1</v>
      </c>
      <c r="C105" s="13" t="s">
        <v>148</v>
      </c>
      <c r="D105" s="13" t="s">
        <v>439</v>
      </c>
      <c r="E105" s="13" t="s">
        <v>148</v>
      </c>
      <c r="F105" s="13" t="s">
        <v>439</v>
      </c>
      <c r="G105" s="62">
        <v>2.0943399999999999</v>
      </c>
      <c r="H105" s="62">
        <v>4.1649099999999999</v>
      </c>
      <c r="I105" s="62">
        <v>4.1816199999999997</v>
      </c>
      <c r="J105" s="62">
        <v>4.4790999999999999</v>
      </c>
      <c r="K105" s="62">
        <v>4.4559220000000002</v>
      </c>
      <c r="L105" s="62">
        <v>4.4128220999999996</v>
      </c>
      <c r="M105" s="62">
        <v>4.2703092999999903</v>
      </c>
      <c r="N105" s="62">
        <v>4.0351978499999896</v>
      </c>
      <c r="O105" s="62">
        <v>3.76025177</v>
      </c>
      <c r="P105" s="62">
        <v>3.4869287099999999</v>
      </c>
      <c r="Q105" s="62">
        <v>3.0343224800000002</v>
      </c>
      <c r="R105" s="13" t="s">
        <v>78</v>
      </c>
    </row>
    <row r="106" spans="1:18">
      <c r="F106" s="13" t="s">
        <v>429</v>
      </c>
      <c r="G106" s="13">
        <f t="shared" ref="G106:Q106" si="9">SUM(G93:G105)</f>
        <v>2.0943399999999999</v>
      </c>
      <c r="H106" s="13">
        <f t="shared" si="9"/>
        <v>4.1653704789999999</v>
      </c>
      <c r="I106" s="13">
        <f t="shared" si="9"/>
        <v>4.1955586999999994</v>
      </c>
      <c r="J106" s="13">
        <f t="shared" si="9"/>
        <v>4.4965963999999996</v>
      </c>
      <c r="K106" s="13">
        <f t="shared" si="9"/>
        <v>4.4778444479999999</v>
      </c>
      <c r="L106" s="13">
        <f t="shared" si="9"/>
        <v>4.4396414702159994</v>
      </c>
      <c r="M106" s="13">
        <f t="shared" si="9"/>
        <v>4.2971776228370402</v>
      </c>
      <c r="N106" s="13">
        <f t="shared" si="9"/>
        <v>4.0807472571028196</v>
      </c>
      <c r="O106" s="13">
        <f t="shared" si="9"/>
        <v>3.8629250435271931</v>
      </c>
      <c r="P106" s="13">
        <f t="shared" si="9"/>
        <v>3.7202731089034979</v>
      </c>
      <c r="Q106" s="13">
        <f t="shared" si="9"/>
        <v>3.4280456913668731</v>
      </c>
    </row>
    <row r="107" spans="1:18">
      <c r="F107" s="13" t="s">
        <v>446</v>
      </c>
      <c r="G107" s="4">
        <f>SUM(G93:G100)/G106</f>
        <v>0</v>
      </c>
      <c r="H107" s="4">
        <f t="shared" ref="H107:P107" si="10">SUM(H93:H100)/H106</f>
        <v>1.1054935024904421E-4</v>
      </c>
      <c r="I107" s="4">
        <f t="shared" si="10"/>
        <v>3.3222512176983728E-3</v>
      </c>
      <c r="J107" s="4">
        <f t="shared" si="10"/>
        <v>3.8910318924776084E-3</v>
      </c>
      <c r="K107" s="4">
        <f t="shared" si="10"/>
        <v>4.8957591659512687E-3</v>
      </c>
      <c r="L107" s="4">
        <f t="shared" si="10"/>
        <v>5.9442351093085084E-3</v>
      </c>
      <c r="M107" s="4">
        <f t="shared" si="10"/>
        <v>6.1329676855667254E-3</v>
      </c>
      <c r="N107" s="4">
        <f t="shared" si="10"/>
        <v>1.0643414321825898E-2</v>
      </c>
      <c r="O107" s="4">
        <f t="shared" si="10"/>
        <v>2.4661519891417322E-2</v>
      </c>
      <c r="P107" s="4">
        <f t="shared" si="10"/>
        <v>5.751354990254029E-2</v>
      </c>
      <c r="Q107" s="4">
        <f>SUM(Q93:Q100)/Q106</f>
        <v>0.10984153362875702</v>
      </c>
    </row>
    <row r="109" spans="1:18">
      <c r="A109" s="1" t="s">
        <v>452</v>
      </c>
    </row>
    <row r="110" spans="1:18">
      <c r="A110" s="13" t="s">
        <v>440</v>
      </c>
      <c r="B110" s="13" t="s">
        <v>441</v>
      </c>
      <c r="C110" s="13" t="s">
        <v>442</v>
      </c>
      <c r="D110" s="13" t="s">
        <v>445</v>
      </c>
      <c r="E110" s="13" t="s">
        <v>450</v>
      </c>
      <c r="F110" s="13" t="s">
        <v>451</v>
      </c>
      <c r="G110" s="13">
        <v>1990</v>
      </c>
      <c r="H110" s="13">
        <v>2005</v>
      </c>
      <c r="I110" s="13">
        <v>2010</v>
      </c>
      <c r="J110" s="13">
        <v>2015</v>
      </c>
      <c r="K110" s="13">
        <v>2020</v>
      </c>
      <c r="L110" s="13">
        <v>2025</v>
      </c>
      <c r="M110" s="13">
        <v>2030</v>
      </c>
      <c r="N110" s="13">
        <v>2035</v>
      </c>
      <c r="O110" s="13">
        <v>2040</v>
      </c>
      <c r="P110" s="13">
        <v>2045</v>
      </c>
      <c r="Q110" s="13">
        <v>2050</v>
      </c>
      <c r="R110" s="13" t="s">
        <v>76</v>
      </c>
    </row>
    <row r="111" spans="1:18">
      <c r="A111" s="13" t="s">
        <v>607</v>
      </c>
      <c r="B111" s="13" t="s">
        <v>1</v>
      </c>
      <c r="C111" s="13" t="s">
        <v>154</v>
      </c>
      <c r="D111" s="13" t="s">
        <v>447</v>
      </c>
      <c r="E111" s="13" t="s">
        <v>164</v>
      </c>
      <c r="F111" s="13" t="s">
        <v>448</v>
      </c>
      <c r="G111" s="62">
        <v>7.8068599999999997E-3</v>
      </c>
      <c r="H111" s="62">
        <v>0.14140800000000001</v>
      </c>
      <c r="I111" s="62">
        <v>0.16677700000000001</v>
      </c>
      <c r="J111" s="62">
        <v>0.215944</v>
      </c>
      <c r="K111" s="62">
        <v>0.22605800000000001</v>
      </c>
      <c r="L111" s="62">
        <v>0.22861999999999999</v>
      </c>
      <c r="M111" s="62">
        <v>0.22861799999999999</v>
      </c>
      <c r="N111" s="62">
        <v>0.22326699999999999</v>
      </c>
      <c r="O111" s="62">
        <v>0.21526400000000001</v>
      </c>
      <c r="P111" s="62">
        <v>0.19996800000000001</v>
      </c>
      <c r="Q111" s="62">
        <v>0.158307</v>
      </c>
      <c r="R111" s="13" t="s">
        <v>78</v>
      </c>
    </row>
    <row r="112" spans="1:18">
      <c r="A112" s="13" t="s">
        <v>607</v>
      </c>
      <c r="B112" s="13" t="s">
        <v>1</v>
      </c>
      <c r="C112" s="13" t="s">
        <v>161</v>
      </c>
      <c r="D112" s="13" t="s">
        <v>447</v>
      </c>
      <c r="E112" s="13" t="s">
        <v>164</v>
      </c>
      <c r="F112" s="13" t="s">
        <v>449</v>
      </c>
      <c r="G112" s="62">
        <v>6.6034099999999998E-2</v>
      </c>
      <c r="H112" s="62">
        <v>0.41629699999999997</v>
      </c>
      <c r="I112" s="62">
        <v>0.35850700000000002</v>
      </c>
      <c r="J112" s="62">
        <v>0.33729500000000001</v>
      </c>
      <c r="K112" s="62">
        <v>0.352379</v>
      </c>
      <c r="L112" s="62">
        <v>0.32519599999999999</v>
      </c>
      <c r="M112" s="62">
        <v>0.31743100000000002</v>
      </c>
      <c r="N112" s="62">
        <v>0.30131400000000003</v>
      </c>
      <c r="O112" s="62">
        <v>0.28138999999999997</v>
      </c>
      <c r="P112" s="62">
        <v>0.25643300000000002</v>
      </c>
      <c r="Q112" s="62">
        <v>0.18520500000000001</v>
      </c>
      <c r="R112" s="13" t="s">
        <v>78</v>
      </c>
    </row>
    <row r="113" spans="1:44">
      <c r="A113" s="13" t="s">
        <v>453</v>
      </c>
      <c r="C113" s="13">
        <v>0.54363591487018303</v>
      </c>
      <c r="G113" s="13">
        <f>SUM(G111:G112)*$C$113</f>
        <v>4.0142597844492589E-2</v>
      </c>
      <c r="H113" s="13">
        <f t="shared" ref="H113:Q113" si="11">SUM(H111:H112)*$C$113</f>
        <v>0.30318846790267545</v>
      </c>
      <c r="I113" s="13">
        <f t="shared" si="11"/>
        <v>0.28556324790666926</v>
      </c>
      <c r="J113" s="13">
        <f t="shared" si="11"/>
        <v>0.30076058990686522</v>
      </c>
      <c r="K113" s="13">
        <f t="shared" si="11"/>
        <v>0.31445912768976403</v>
      </c>
      <c r="L113" s="13">
        <f t="shared" si="11"/>
        <v>0.30107426782974528</v>
      </c>
      <c r="M113" s="13">
        <f t="shared" si="11"/>
        <v>0.29685184767894857</v>
      </c>
      <c r="N113" s="13">
        <f t="shared" si="11"/>
        <v>0.28518107185851549</v>
      </c>
      <c r="O113" s="13">
        <f t="shared" si="11"/>
        <v>0.26999895166393589</v>
      </c>
      <c r="P113" s="13">
        <f t="shared" si="11"/>
        <v>0.24811597518266643</v>
      </c>
      <c r="Q113" s="13">
        <f t="shared" si="11"/>
        <v>0.18674546038888634</v>
      </c>
    </row>
    <row r="116" spans="1:44">
      <c r="W116" s="13" t="s">
        <v>529</v>
      </c>
      <c r="X116" s="13">
        <v>2020</v>
      </c>
      <c r="Y116" s="13">
        <v>2021</v>
      </c>
      <c r="Z116" s="13">
        <v>2022</v>
      </c>
      <c r="AA116" s="13">
        <v>2023</v>
      </c>
      <c r="AB116" s="13">
        <v>2024</v>
      </c>
      <c r="AC116" s="13">
        <v>2025</v>
      </c>
      <c r="AD116" s="13">
        <v>2026</v>
      </c>
      <c r="AE116" s="13">
        <v>2027</v>
      </c>
      <c r="AF116" s="13">
        <v>2028</v>
      </c>
      <c r="AG116" s="13">
        <v>2029</v>
      </c>
      <c r="AH116" s="13">
        <v>2030</v>
      </c>
      <c r="AI116" s="13">
        <v>2031</v>
      </c>
      <c r="AJ116" s="13">
        <v>2032</v>
      </c>
      <c r="AK116" s="13">
        <v>2033</v>
      </c>
      <c r="AL116" s="13">
        <v>2034</v>
      </c>
      <c r="AM116" s="13">
        <v>2035</v>
      </c>
      <c r="AN116" s="13">
        <v>2036</v>
      </c>
      <c r="AO116" s="13">
        <v>2037</v>
      </c>
      <c r="AP116" s="13">
        <v>2038</v>
      </c>
      <c r="AQ116" s="13">
        <v>2039</v>
      </c>
      <c r="AR116" s="13">
        <v>2040</v>
      </c>
    </row>
    <row r="117" spans="1:44">
      <c r="B117" s="13" t="s">
        <v>520</v>
      </c>
      <c r="C117" s="65"/>
      <c r="D117" s="66">
        <v>2015</v>
      </c>
      <c r="E117" s="66">
        <v>2020</v>
      </c>
      <c r="F117" s="66">
        <v>2025</v>
      </c>
      <c r="G117" s="66">
        <v>2030</v>
      </c>
      <c r="H117" s="66">
        <v>2035</v>
      </c>
      <c r="I117" s="66">
        <v>2040</v>
      </c>
      <c r="J117" s="66">
        <v>2045</v>
      </c>
      <c r="K117" s="7">
        <v>2050</v>
      </c>
      <c r="W117" s="13" t="s">
        <v>530</v>
      </c>
      <c r="Z117" s="13">
        <v>619896166.10428858</v>
      </c>
      <c r="AA117" s="13">
        <v>1806068086.0093553</v>
      </c>
      <c r="AB117" s="13">
        <v>3087473890.2978225</v>
      </c>
      <c r="AC117" s="13">
        <v>4439634275.966671</v>
      </c>
      <c r="AD117" s="13">
        <v>5887028546.0189199</v>
      </c>
      <c r="AE117" s="13">
        <v>7421496932.7868948</v>
      </c>
      <c r="AF117" s="13">
        <v>9069620077.6853638</v>
      </c>
      <c r="AG117" s="13">
        <v>10751656056.47003</v>
      </c>
      <c r="AH117" s="13">
        <v>12547346793.385195</v>
      </c>
      <c r="AI117" s="13">
        <v>14430111647.016079</v>
      </c>
      <c r="AJ117" s="13">
        <v>16449352495.686359</v>
      </c>
      <c r="AK117" s="13">
        <v>18456863704.425037</v>
      </c>
      <c r="AL117" s="13">
        <v>20600850908.203106</v>
      </c>
      <c r="AM117" s="13">
        <v>22831912228.696903</v>
      </c>
      <c r="AN117" s="13">
        <v>25226671144.300808</v>
      </c>
      <c r="AO117" s="13">
        <v>27555257219.831684</v>
      </c>
      <c r="AP117" s="13">
        <v>30047540890.472656</v>
      </c>
      <c r="AQ117" s="13">
        <v>32626898677.829369</v>
      </c>
      <c r="AR117" s="13">
        <v>35401576023.528717</v>
      </c>
    </row>
    <row r="118" spans="1:44">
      <c r="B118" s="13" t="s">
        <v>515</v>
      </c>
      <c r="C118" s="8" t="s">
        <v>573</v>
      </c>
      <c r="D118" s="45">
        <f>I190*$C$123</f>
        <v>2.2184500000000016</v>
      </c>
      <c r="E118" s="45">
        <f t="shared" ref="E118:K118" si="12">J190*$C$123</f>
        <v>2.651000000000002</v>
      </c>
      <c r="F118" s="45">
        <f t="shared" si="12"/>
        <v>4.0989083333333367</v>
      </c>
      <c r="G118" s="45">
        <f t="shared" si="12"/>
        <v>4.7233250000000035</v>
      </c>
      <c r="H118" s="45">
        <f t="shared" si="12"/>
        <v>5.0017666666666702</v>
      </c>
      <c r="I118" s="45">
        <f t="shared" si="12"/>
        <v>4.8881027777777826</v>
      </c>
      <c r="J118" s="45">
        <f t="shared" si="12"/>
        <v>4.7295583333333369</v>
      </c>
      <c r="K118" s="45">
        <f t="shared" si="12"/>
        <v>4.9363444444444484</v>
      </c>
      <c r="N118" s="60"/>
      <c r="O118" s="60"/>
      <c r="P118" s="60"/>
      <c r="Q118" s="60"/>
      <c r="R118" s="60"/>
      <c r="S118" s="60"/>
      <c r="T118" s="60"/>
      <c r="U118" s="60"/>
      <c r="V118" s="60"/>
    </row>
    <row r="119" spans="1:44" s="62" customFormat="1">
      <c r="C119" s="8" t="s">
        <v>572</v>
      </c>
      <c r="D119" s="45">
        <f>I191*$C$123</f>
        <v>0</v>
      </c>
      <c r="E119" s="74">
        <f>J191*$C$123</f>
        <v>0.77355233333333395</v>
      </c>
      <c r="F119" s="45">
        <f t="shared" ref="F119:K119" si="13">K191*$C$123</f>
        <v>7.6138002500000059</v>
      </c>
      <c r="G119" s="45">
        <f t="shared" si="13"/>
        <v>15.942578436111123</v>
      </c>
      <c r="H119" s="45">
        <f t="shared" si="13"/>
        <v>23.520797727777772</v>
      </c>
      <c r="I119" s="45">
        <f t="shared" si="13"/>
        <v>28.992841999999996</v>
      </c>
      <c r="J119" s="45">
        <f t="shared" si="13"/>
        <v>32.502708219444465</v>
      </c>
      <c r="K119" s="45">
        <f t="shared" si="13"/>
        <v>36.187095844444471</v>
      </c>
    </row>
    <row r="120" spans="1:44">
      <c r="C120" s="8" t="s">
        <v>473</v>
      </c>
      <c r="D120" s="45">
        <v>2.2170501600001775</v>
      </c>
      <c r="E120" s="45">
        <v>3.1550445500002526</v>
      </c>
      <c r="F120" s="45"/>
      <c r="G120" s="45"/>
      <c r="H120" s="45"/>
      <c r="I120" s="45"/>
      <c r="J120" s="45"/>
      <c r="K120" s="9"/>
      <c r="N120" s="60"/>
      <c r="O120" s="60"/>
      <c r="P120" s="60"/>
      <c r="Q120" s="60"/>
      <c r="R120" s="60"/>
      <c r="S120" s="60"/>
      <c r="T120" s="60"/>
      <c r="U120" s="60"/>
      <c r="V120" s="60"/>
    </row>
    <row r="121" spans="1:44">
      <c r="C121" s="70" t="s">
        <v>474</v>
      </c>
      <c r="D121" s="71"/>
      <c r="E121" s="71"/>
      <c r="F121" s="71">
        <v>5.8150000000004658</v>
      </c>
      <c r="G121" s="71">
        <v>11.630000000000932</v>
      </c>
      <c r="H121" s="71">
        <v>17.445000000001393</v>
      </c>
      <c r="I121" s="71"/>
      <c r="J121" s="71"/>
      <c r="K121" s="10"/>
      <c r="N121" s="60"/>
      <c r="O121" s="60"/>
      <c r="P121" s="60"/>
      <c r="Q121" s="60"/>
      <c r="R121" s="60"/>
      <c r="S121" s="60"/>
      <c r="T121" s="60"/>
      <c r="U121" s="60"/>
      <c r="V121" s="60"/>
    </row>
    <row r="122" spans="1:44" s="62" customFormat="1">
      <c r="C122" s="35" t="s">
        <v>531</v>
      </c>
      <c r="D122" s="45"/>
      <c r="E122" s="45"/>
      <c r="F122" s="45">
        <f>AC117/10^9</f>
        <v>4.4396342759666707</v>
      </c>
      <c r="G122" s="45">
        <f>AH117/10^9</f>
        <v>12.547346793385195</v>
      </c>
      <c r="H122" s="45">
        <f>AM117/10^9</f>
        <v>22.831912228696904</v>
      </c>
      <c r="I122" s="45">
        <f>AR117/10^9</f>
        <v>35.401576023528719</v>
      </c>
      <c r="J122" s="45"/>
      <c r="K122" s="45"/>
    </row>
    <row r="123" spans="1:44">
      <c r="B123" s="13" t="s">
        <v>78</v>
      </c>
      <c r="C123" s="13">
        <v>277.777777777778</v>
      </c>
      <c r="D123" s="13">
        <v>7.9864199999999993E-3</v>
      </c>
      <c r="E123" s="27">
        <v>1.23273094E-2</v>
      </c>
      <c r="F123" s="27">
        <v>4.2360169099999997E-2</v>
      </c>
      <c r="G123" s="27">
        <v>7.5112420609999994E-2</v>
      </c>
      <c r="H123" s="27">
        <v>0.10438909618</v>
      </c>
      <c r="I123" s="13">
        <v>0.12412168571</v>
      </c>
      <c r="J123" s="13">
        <v>0.13718661924</v>
      </c>
      <c r="K123" s="13">
        <v>0.14967897981</v>
      </c>
      <c r="N123" s="60"/>
      <c r="O123" s="60"/>
      <c r="P123" s="60"/>
      <c r="Q123" s="60"/>
      <c r="R123" s="60"/>
      <c r="S123" s="60"/>
      <c r="T123" s="60">
        <v>0</v>
      </c>
      <c r="U123" s="60">
        <v>0.77355233333333395</v>
      </c>
      <c r="V123" s="60">
        <v>7.6138002500000059</v>
      </c>
      <c r="W123" s="13">
        <v>15.942578436111123</v>
      </c>
      <c r="X123" s="13">
        <v>23.520797727777772</v>
      </c>
      <c r="Y123" s="13">
        <v>28.992841999999996</v>
      </c>
      <c r="Z123" s="13">
        <v>32.502708219444465</v>
      </c>
      <c r="AA123" s="13">
        <v>36.187095844444471</v>
      </c>
    </row>
    <row r="124" spans="1:44">
      <c r="T124" s="27">
        <v>2.2184500000000016</v>
      </c>
      <c r="U124" s="27">
        <v>0</v>
      </c>
    </row>
    <row r="125" spans="1:44">
      <c r="T125" s="27">
        <v>2.651000000000002</v>
      </c>
      <c r="U125" s="27">
        <v>0.77355233333333395</v>
      </c>
    </row>
    <row r="126" spans="1:44">
      <c r="D126" s="62">
        <f>SUM(D118:D119)</f>
        <v>2.2184500000000016</v>
      </c>
      <c r="E126" s="13">
        <f>SUM(E118:E119)</f>
        <v>3.4245523333333359</v>
      </c>
      <c r="F126" s="62">
        <f t="shared" ref="F126:K126" si="14">SUM(F118:F119)</f>
        <v>11.712708583333342</v>
      </c>
      <c r="G126" s="62">
        <f t="shared" si="14"/>
        <v>20.665903436111126</v>
      </c>
      <c r="H126" s="62">
        <f t="shared" si="14"/>
        <v>28.522564394444444</v>
      </c>
      <c r="I126" s="62">
        <f t="shared" si="14"/>
        <v>33.880944777777778</v>
      </c>
      <c r="J126" s="62">
        <f t="shared" si="14"/>
        <v>37.232266552777801</v>
      </c>
      <c r="K126" s="62">
        <f t="shared" si="14"/>
        <v>41.123440288888922</v>
      </c>
      <c r="T126" s="27">
        <v>4.0989083333333367</v>
      </c>
      <c r="U126" s="27">
        <v>7.6138002500000059</v>
      </c>
    </row>
    <row r="127" spans="1:44">
      <c r="T127" s="27">
        <v>4.7233250000000035</v>
      </c>
      <c r="U127" s="27">
        <v>15.942578436111123</v>
      </c>
    </row>
    <row r="128" spans="1:44">
      <c r="T128" s="27">
        <v>5.0017666666666702</v>
      </c>
      <c r="U128" s="27">
        <v>23.520797727777772</v>
      </c>
    </row>
    <row r="129" spans="1:33">
      <c r="T129" s="27">
        <v>4.8881027777777826</v>
      </c>
      <c r="U129" s="27">
        <v>28.992841999999996</v>
      </c>
    </row>
    <row r="130" spans="1:33">
      <c r="T130" s="27">
        <v>4.7295583333333369</v>
      </c>
      <c r="U130" s="27">
        <v>32.502708219444465</v>
      </c>
    </row>
    <row r="131" spans="1:33">
      <c r="T131" s="27">
        <v>4.9363444444444484</v>
      </c>
      <c r="U131" s="27">
        <v>36.187095844444471</v>
      </c>
    </row>
    <row r="133" spans="1:33">
      <c r="A133" s="1" t="s">
        <v>533</v>
      </c>
    </row>
    <row r="134" spans="1:33">
      <c r="A134" s="1" t="s">
        <v>534</v>
      </c>
    </row>
    <row r="135" spans="1:33">
      <c r="A135" s="1" t="s">
        <v>537</v>
      </c>
      <c r="G135" s="62">
        <v>1990</v>
      </c>
      <c r="H135" s="62">
        <v>2005</v>
      </c>
      <c r="I135" s="62">
        <v>2010</v>
      </c>
      <c r="J135" s="62">
        <v>2015</v>
      </c>
      <c r="K135" s="62">
        <v>2020</v>
      </c>
      <c r="L135" s="62">
        <v>2025</v>
      </c>
      <c r="M135" s="62">
        <v>2030</v>
      </c>
      <c r="N135" s="62">
        <v>2035</v>
      </c>
      <c r="O135" s="62">
        <v>2040</v>
      </c>
      <c r="P135" s="62">
        <v>2045</v>
      </c>
      <c r="Q135" s="62">
        <v>2050</v>
      </c>
    </row>
    <row r="136" spans="1:33">
      <c r="A136" s="13" t="s">
        <v>607</v>
      </c>
      <c r="B136" s="13" t="s">
        <v>1</v>
      </c>
      <c r="C136" s="13" t="s">
        <v>140</v>
      </c>
      <c r="D136" s="13" t="s">
        <v>59</v>
      </c>
      <c r="E136" s="13" t="s">
        <v>329</v>
      </c>
      <c r="F136" s="13" t="s">
        <v>5</v>
      </c>
      <c r="G136" s="13">
        <v>0</v>
      </c>
      <c r="H136" s="13">
        <v>0</v>
      </c>
      <c r="I136" s="13">
        <v>0</v>
      </c>
      <c r="J136" s="13">
        <v>0</v>
      </c>
      <c r="K136" s="63">
        <v>2.9951299999999999E-5</v>
      </c>
      <c r="L136" s="63">
        <v>2.3475899999999999E-4</v>
      </c>
      <c r="M136" s="13">
        <v>1.05083E-3</v>
      </c>
      <c r="N136" s="13">
        <v>2.9100599999999999E-3</v>
      </c>
      <c r="O136" s="13">
        <v>5.9446300000000002E-3</v>
      </c>
      <c r="P136" s="13">
        <v>9.9675700000000002E-3</v>
      </c>
      <c r="Q136" s="13">
        <v>1.95502E-2</v>
      </c>
      <c r="R136" s="13" t="s">
        <v>542</v>
      </c>
    </row>
    <row r="137" spans="1:33">
      <c r="A137" s="13" t="s">
        <v>607</v>
      </c>
      <c r="B137" s="13" t="s">
        <v>1</v>
      </c>
      <c r="C137" s="13" t="s">
        <v>140</v>
      </c>
      <c r="D137" s="13" t="s">
        <v>297</v>
      </c>
      <c r="E137" s="13" t="s">
        <v>329</v>
      </c>
      <c r="F137" s="13" t="s">
        <v>535</v>
      </c>
      <c r="G137" s="13">
        <v>0</v>
      </c>
      <c r="H137" s="13">
        <v>0</v>
      </c>
      <c r="I137" s="13">
        <v>0</v>
      </c>
      <c r="J137" s="13">
        <v>0</v>
      </c>
      <c r="K137" s="63">
        <v>5.2277300000000002E-5</v>
      </c>
      <c r="L137" s="13">
        <v>1.3418799999999999E-3</v>
      </c>
      <c r="M137" s="13">
        <v>9.9034799999999992E-3</v>
      </c>
      <c r="N137" s="13">
        <v>4.2042299999999998E-2</v>
      </c>
      <c r="O137" s="13">
        <v>0.111716</v>
      </c>
      <c r="P137" s="13">
        <v>0.20827799999999999</v>
      </c>
      <c r="Q137" s="13">
        <v>0.45816600000000002</v>
      </c>
    </row>
    <row r="138" spans="1:33">
      <c r="A138" s="13" t="s">
        <v>607</v>
      </c>
      <c r="B138" s="13" t="s">
        <v>1</v>
      </c>
      <c r="C138" s="13" t="s">
        <v>140</v>
      </c>
      <c r="D138" s="13" t="s">
        <v>301</v>
      </c>
      <c r="E138" s="13" t="s">
        <v>329</v>
      </c>
      <c r="F138" s="13" t="s">
        <v>536</v>
      </c>
      <c r="G138" s="13">
        <v>0</v>
      </c>
      <c r="H138" s="13">
        <v>0</v>
      </c>
      <c r="I138" s="13">
        <v>0</v>
      </c>
      <c r="J138" s="13">
        <v>0</v>
      </c>
      <c r="K138" s="63">
        <v>6.6616899999999996E-5</v>
      </c>
      <c r="L138" s="13">
        <v>1.4730100000000001E-3</v>
      </c>
      <c r="M138" s="13">
        <v>9.2921700000000006E-3</v>
      </c>
      <c r="N138" s="13">
        <v>3.3438799999999998E-2</v>
      </c>
      <c r="O138" s="13">
        <v>7.3233400000000004E-2</v>
      </c>
      <c r="P138" s="13">
        <v>0.112133</v>
      </c>
      <c r="Q138" s="13">
        <v>0.18665399999999999</v>
      </c>
    </row>
    <row r="139" spans="1:33">
      <c r="A139" s="13" t="s">
        <v>607</v>
      </c>
      <c r="B139" s="13" t="s">
        <v>1</v>
      </c>
      <c r="C139" s="13" t="s">
        <v>141</v>
      </c>
      <c r="D139" s="13" t="s">
        <v>59</v>
      </c>
      <c r="E139" s="13" t="s">
        <v>329</v>
      </c>
      <c r="F139" s="13" t="s">
        <v>430</v>
      </c>
      <c r="G139" s="13">
        <v>0</v>
      </c>
      <c r="H139" s="13">
        <v>0</v>
      </c>
      <c r="I139" s="13">
        <v>0</v>
      </c>
      <c r="J139" s="13">
        <v>0</v>
      </c>
      <c r="K139" s="63">
        <v>6.6515900000000005E-5</v>
      </c>
      <c r="L139" s="63">
        <v>8.1224599999999997E-4</v>
      </c>
      <c r="M139" s="13">
        <v>3.8772099999999999E-3</v>
      </c>
      <c r="N139" s="13">
        <v>1.0511E-2</v>
      </c>
      <c r="O139" s="13">
        <v>1.9527099999999999E-2</v>
      </c>
      <c r="P139" s="13">
        <v>2.9661E-2</v>
      </c>
      <c r="Q139" s="13">
        <v>5.5762100000000002E-2</v>
      </c>
    </row>
    <row r="140" spans="1:33">
      <c r="F140" s="13" t="s">
        <v>538</v>
      </c>
      <c r="G140" s="13">
        <f>SUM(G136:G139)</f>
        <v>0</v>
      </c>
      <c r="H140" s="62">
        <f t="shared" ref="H140:Q140" si="15">SUM(H136:H139)</f>
        <v>0</v>
      </c>
      <c r="I140" s="62">
        <f t="shared" si="15"/>
        <v>0</v>
      </c>
      <c r="J140" s="62">
        <f t="shared" si="15"/>
        <v>0</v>
      </c>
      <c r="K140" s="62">
        <f t="shared" si="15"/>
        <v>2.1536139999999999E-4</v>
      </c>
      <c r="L140" s="62">
        <f t="shared" si="15"/>
        <v>3.8618949999999997E-3</v>
      </c>
      <c r="M140" s="62">
        <f t="shared" si="15"/>
        <v>2.4123689999999996E-2</v>
      </c>
      <c r="N140" s="62">
        <f t="shared" si="15"/>
        <v>8.890215999999998E-2</v>
      </c>
      <c r="O140" s="62">
        <f t="shared" si="15"/>
        <v>0.21042112999999998</v>
      </c>
      <c r="P140" s="62">
        <f t="shared" si="15"/>
        <v>0.36003956999999998</v>
      </c>
      <c r="Q140" s="62">
        <f t="shared" si="15"/>
        <v>0.72013230000000006</v>
      </c>
    </row>
    <row r="141" spans="1:33" s="62" customFormat="1"/>
    <row r="142" spans="1:33">
      <c r="A142" s="1" t="s">
        <v>539</v>
      </c>
      <c r="F142" s="62">
        <v>1990</v>
      </c>
      <c r="G142" s="62">
        <v>2005</v>
      </c>
      <c r="K142" s="62">
        <v>2020</v>
      </c>
      <c r="L142" s="62">
        <v>2025</v>
      </c>
      <c r="M142" s="62">
        <v>2030</v>
      </c>
      <c r="N142" s="62">
        <v>2035</v>
      </c>
      <c r="O142" s="62">
        <v>2040</v>
      </c>
      <c r="P142" s="62">
        <v>2045</v>
      </c>
      <c r="Q142" s="62">
        <v>2050</v>
      </c>
    </row>
    <row r="143" spans="1:33">
      <c r="A143" s="13" t="s">
        <v>532</v>
      </c>
      <c r="B143" s="13" t="s">
        <v>1</v>
      </c>
      <c r="C143" s="13" t="s">
        <v>140</v>
      </c>
      <c r="D143" s="13" t="s">
        <v>57</v>
      </c>
      <c r="E143" s="13" t="s">
        <v>326</v>
      </c>
      <c r="F143" s="62">
        <v>0</v>
      </c>
      <c r="G143" s="62">
        <v>0</v>
      </c>
      <c r="K143" s="63">
        <v>1.4030299999999999E-4</v>
      </c>
      <c r="L143" s="63">
        <v>2.0796999999999999E-3</v>
      </c>
      <c r="M143" s="62">
        <v>7.9039699999999997E-3</v>
      </c>
      <c r="N143" s="62">
        <v>4.4615699999999998E-3</v>
      </c>
      <c r="O143" s="63">
        <v>2.6608300000000002E-4</v>
      </c>
      <c r="P143" s="63">
        <v>1.10852E-5</v>
      </c>
      <c r="Q143" s="63">
        <v>4.81353E-9</v>
      </c>
      <c r="S143" s="13" t="s">
        <v>607</v>
      </c>
      <c r="T143" s="13" t="s">
        <v>1</v>
      </c>
      <c r="U143" s="13" t="s">
        <v>140</v>
      </c>
      <c r="V143" s="13" t="s">
        <v>57</v>
      </c>
      <c r="W143" s="13" t="s">
        <v>326</v>
      </c>
      <c r="X143" s="13">
        <v>0</v>
      </c>
      <c r="Y143" s="13">
        <v>0</v>
      </c>
      <c r="Z143" s="63">
        <v>1.4030299999999999E-4</v>
      </c>
      <c r="AA143" s="63">
        <v>2.0796999999999999E-3</v>
      </c>
      <c r="AB143" s="13">
        <v>7.9039699999999997E-3</v>
      </c>
      <c r="AC143" s="13">
        <v>4.4615699999999998E-3</v>
      </c>
      <c r="AD143" s="63">
        <v>2.6608300000000002E-4</v>
      </c>
      <c r="AE143" s="63">
        <v>1.10852E-5</v>
      </c>
      <c r="AF143" s="63">
        <v>4.81353E-9</v>
      </c>
      <c r="AG143" s="63"/>
    </row>
    <row r="144" spans="1:33">
      <c r="A144" s="13" t="s">
        <v>532</v>
      </c>
      <c r="B144" s="13" t="s">
        <v>1</v>
      </c>
      <c r="C144" s="13" t="s">
        <v>140</v>
      </c>
      <c r="D144" s="13" t="s">
        <v>57</v>
      </c>
      <c r="E144" s="13" t="s">
        <v>327</v>
      </c>
      <c r="F144" s="62">
        <v>0</v>
      </c>
      <c r="G144" s="62">
        <v>0</v>
      </c>
      <c r="K144" s="62">
        <v>0</v>
      </c>
      <c r="L144" s="63">
        <v>2.34112E-6</v>
      </c>
      <c r="M144" s="63">
        <v>3.1168100000000001E-4</v>
      </c>
      <c r="N144" s="63">
        <v>1.48723E-2</v>
      </c>
      <c r="O144" s="62">
        <v>5.0595300000000003E-2</v>
      </c>
      <c r="P144" s="62">
        <v>8.3802100000000004E-2</v>
      </c>
      <c r="Q144" s="62">
        <v>0.102798</v>
      </c>
      <c r="S144" s="13" t="s">
        <v>607</v>
      </c>
      <c r="T144" s="13" t="s">
        <v>1</v>
      </c>
      <c r="U144" s="13" t="s">
        <v>140</v>
      </c>
      <c r="V144" s="13" t="s">
        <v>57</v>
      </c>
      <c r="W144" s="13" t="s">
        <v>327</v>
      </c>
      <c r="X144" s="13">
        <v>0</v>
      </c>
      <c r="Y144" s="13">
        <v>0</v>
      </c>
      <c r="Z144" s="13">
        <v>0</v>
      </c>
      <c r="AA144" s="63">
        <v>2.34112E-6</v>
      </c>
      <c r="AB144" s="63">
        <v>3.1168100000000001E-4</v>
      </c>
      <c r="AC144" s="63">
        <v>1.48723E-2</v>
      </c>
      <c r="AD144" s="13">
        <v>5.0595300000000003E-2</v>
      </c>
      <c r="AE144" s="13">
        <v>8.3802100000000004E-2</v>
      </c>
      <c r="AF144" s="13">
        <v>0.102798</v>
      </c>
    </row>
    <row r="145" spans="1:33">
      <c r="A145" s="13" t="s">
        <v>532</v>
      </c>
      <c r="B145" s="13" t="s">
        <v>1</v>
      </c>
      <c r="C145" s="13" t="s">
        <v>140</v>
      </c>
      <c r="D145" s="13" t="s">
        <v>58</v>
      </c>
      <c r="E145" s="13" t="s">
        <v>328</v>
      </c>
      <c r="F145" s="62">
        <v>0</v>
      </c>
      <c r="G145" s="62">
        <v>0</v>
      </c>
      <c r="K145" s="62">
        <v>0</v>
      </c>
      <c r="L145" s="63">
        <v>3.86344E-4</v>
      </c>
      <c r="M145" s="63">
        <v>2.22937E-3</v>
      </c>
      <c r="N145" s="62">
        <v>7.7118600000000001E-3</v>
      </c>
      <c r="O145" s="62">
        <v>1.6475E-2</v>
      </c>
      <c r="P145" s="62">
        <v>2.5023500000000001E-2</v>
      </c>
      <c r="Q145" s="62">
        <v>3.0288599999999999E-2</v>
      </c>
      <c r="S145" s="13" t="s">
        <v>607</v>
      </c>
      <c r="T145" s="13" t="s">
        <v>1</v>
      </c>
      <c r="U145" s="13" t="s">
        <v>140</v>
      </c>
      <c r="V145" s="13" t="s">
        <v>58</v>
      </c>
      <c r="W145" s="13" t="s">
        <v>328</v>
      </c>
      <c r="X145" s="13">
        <v>0</v>
      </c>
      <c r="Y145" s="13">
        <v>0</v>
      </c>
      <c r="Z145" s="13">
        <v>0</v>
      </c>
      <c r="AA145" s="63">
        <v>3.86344E-4</v>
      </c>
      <c r="AB145" s="63">
        <v>2.22937E-3</v>
      </c>
      <c r="AC145" s="13">
        <v>7.7118600000000001E-3</v>
      </c>
      <c r="AD145" s="13">
        <v>1.6475E-2</v>
      </c>
      <c r="AE145" s="13">
        <v>2.5023500000000001E-2</v>
      </c>
      <c r="AF145" s="13">
        <v>3.0288599999999999E-2</v>
      </c>
    </row>
    <row r="146" spans="1:33">
      <c r="A146" s="13" t="s">
        <v>532</v>
      </c>
      <c r="B146" s="13" t="s">
        <v>1</v>
      </c>
      <c r="C146" s="13" t="s">
        <v>140</v>
      </c>
      <c r="D146" s="13" t="s">
        <v>59</v>
      </c>
      <c r="E146" s="13" t="s">
        <v>329</v>
      </c>
      <c r="F146" s="62">
        <v>0</v>
      </c>
      <c r="G146" s="62">
        <v>0</v>
      </c>
      <c r="K146" s="63">
        <v>1.8719599999999999E-5</v>
      </c>
      <c r="L146" s="63">
        <v>1.4907200000000001E-4</v>
      </c>
      <c r="M146" s="63">
        <v>6.7778499999999998E-4</v>
      </c>
      <c r="N146" s="63">
        <v>1.90609E-3</v>
      </c>
      <c r="O146" s="62">
        <v>3.9531799999999997E-3</v>
      </c>
      <c r="P146" s="62">
        <v>6.7380799999999996E-3</v>
      </c>
      <c r="Q146" s="62">
        <v>1.34114E-2</v>
      </c>
      <c r="S146" s="13" t="s">
        <v>607</v>
      </c>
      <c r="T146" s="13" t="s">
        <v>1</v>
      </c>
      <c r="U146" s="13" t="s">
        <v>140</v>
      </c>
      <c r="V146" s="13" t="s">
        <v>59</v>
      </c>
      <c r="W146" s="13" t="s">
        <v>329</v>
      </c>
      <c r="X146" s="13">
        <v>0</v>
      </c>
      <c r="Y146" s="13">
        <v>0</v>
      </c>
      <c r="Z146" s="63">
        <v>1.8719599999999999E-5</v>
      </c>
      <c r="AA146" s="63">
        <v>1.4907200000000001E-4</v>
      </c>
      <c r="AB146" s="63">
        <v>6.7778499999999998E-4</v>
      </c>
      <c r="AC146" s="63">
        <v>1.90609E-3</v>
      </c>
      <c r="AD146" s="13">
        <v>3.9531799999999997E-3</v>
      </c>
      <c r="AE146" s="13">
        <v>6.7380799999999996E-3</v>
      </c>
      <c r="AF146" s="13">
        <v>1.34114E-2</v>
      </c>
    </row>
    <row r="147" spans="1:33">
      <c r="A147" s="13" t="s">
        <v>532</v>
      </c>
      <c r="B147" s="13" t="s">
        <v>1</v>
      </c>
      <c r="C147" s="13" t="s">
        <v>140</v>
      </c>
      <c r="D147" s="13" t="s">
        <v>60</v>
      </c>
      <c r="E147" s="13" t="s">
        <v>330</v>
      </c>
      <c r="F147" s="62">
        <v>0</v>
      </c>
      <c r="G147" s="62">
        <v>0</v>
      </c>
      <c r="K147" s="63">
        <v>9.0459000000000004E-4</v>
      </c>
      <c r="L147" s="63">
        <v>4.1220600000000003E-3</v>
      </c>
      <c r="M147" s="62">
        <v>1.2005500000000001E-2</v>
      </c>
      <c r="N147" s="62">
        <v>1.22042E-2</v>
      </c>
      <c r="O147" s="62">
        <v>5.0011600000000002E-3</v>
      </c>
      <c r="P147" s="63">
        <v>1.1165000000000001E-3</v>
      </c>
      <c r="Q147" s="63">
        <v>4.5399899999999999E-6</v>
      </c>
      <c r="S147" s="13" t="s">
        <v>607</v>
      </c>
      <c r="T147" s="13" t="s">
        <v>1</v>
      </c>
      <c r="U147" s="13" t="s">
        <v>140</v>
      </c>
      <c r="V147" s="13" t="s">
        <v>60</v>
      </c>
      <c r="W147" s="13" t="s">
        <v>330</v>
      </c>
      <c r="X147" s="13">
        <v>0</v>
      </c>
      <c r="Y147" s="13">
        <v>0</v>
      </c>
      <c r="Z147" s="63">
        <v>9.0459000000000004E-4</v>
      </c>
      <c r="AA147" s="63">
        <v>4.1220600000000003E-3</v>
      </c>
      <c r="AB147" s="13">
        <v>1.2005500000000001E-2</v>
      </c>
      <c r="AC147" s="13">
        <v>1.22042E-2</v>
      </c>
      <c r="AD147" s="13">
        <v>5.0011600000000002E-3</v>
      </c>
      <c r="AE147" s="63">
        <v>1.1165000000000001E-3</v>
      </c>
      <c r="AF147" s="63">
        <v>4.5399899999999999E-6</v>
      </c>
      <c r="AG147" s="63"/>
    </row>
    <row r="148" spans="1:33">
      <c r="A148" s="13" t="s">
        <v>532</v>
      </c>
      <c r="B148" s="13" t="s">
        <v>1</v>
      </c>
      <c r="C148" s="13" t="s">
        <v>140</v>
      </c>
      <c r="D148" s="13" t="s">
        <v>60</v>
      </c>
      <c r="E148" s="13" t="s">
        <v>331</v>
      </c>
      <c r="F148" s="62">
        <v>0</v>
      </c>
      <c r="G148" s="62">
        <v>0</v>
      </c>
      <c r="K148" s="62">
        <v>0</v>
      </c>
      <c r="L148" s="63">
        <v>8.1361300000000003E-5</v>
      </c>
      <c r="M148" s="63">
        <v>2.2326099999999999E-3</v>
      </c>
      <c r="N148" s="62">
        <v>1.6931999999999999E-2</v>
      </c>
      <c r="O148" s="62">
        <v>4.63796E-2</v>
      </c>
      <c r="P148" s="62">
        <v>7.6985300000000007E-2</v>
      </c>
      <c r="Q148" s="62">
        <v>0.10304099999999999</v>
      </c>
      <c r="S148" s="13" t="s">
        <v>607</v>
      </c>
      <c r="T148" s="13" t="s">
        <v>1</v>
      </c>
      <c r="U148" s="13" t="s">
        <v>140</v>
      </c>
      <c r="V148" s="13" t="s">
        <v>60</v>
      </c>
      <c r="W148" s="13" t="s">
        <v>331</v>
      </c>
      <c r="X148" s="13">
        <v>0</v>
      </c>
      <c r="Y148" s="13">
        <v>0</v>
      </c>
      <c r="Z148" s="13">
        <v>0</v>
      </c>
      <c r="AA148" s="63">
        <v>8.1361300000000003E-5</v>
      </c>
      <c r="AB148" s="63">
        <v>2.2326099999999999E-3</v>
      </c>
      <c r="AC148" s="13">
        <v>1.6931999999999999E-2</v>
      </c>
      <c r="AD148" s="13">
        <v>4.63796E-2</v>
      </c>
      <c r="AE148" s="13">
        <v>7.6985300000000007E-2</v>
      </c>
      <c r="AF148" s="13">
        <v>0.10304099999999999</v>
      </c>
    </row>
    <row r="149" spans="1:33">
      <c r="A149" s="13" t="s">
        <v>532</v>
      </c>
      <c r="B149" s="13" t="s">
        <v>1</v>
      </c>
      <c r="C149" s="13" t="s">
        <v>140</v>
      </c>
      <c r="D149" s="13" t="s">
        <v>292</v>
      </c>
      <c r="E149" s="13" t="s">
        <v>332</v>
      </c>
      <c r="F149" s="62">
        <v>0</v>
      </c>
      <c r="G149" s="62">
        <v>0</v>
      </c>
      <c r="K149" s="63">
        <v>7.6861100000000002E-5</v>
      </c>
      <c r="L149" s="63">
        <v>1.56813E-3</v>
      </c>
      <c r="M149" s="62">
        <v>9.31477E-3</v>
      </c>
      <c r="N149" s="62">
        <v>3.2141799999999998E-2</v>
      </c>
      <c r="O149" s="62">
        <v>6.9966200000000006E-2</v>
      </c>
      <c r="P149" s="62">
        <v>0.10761900000000001</v>
      </c>
      <c r="Q149" s="62">
        <v>0.19003200000000001</v>
      </c>
      <c r="S149" s="13" t="s">
        <v>607</v>
      </c>
      <c r="T149" s="13" t="s">
        <v>1</v>
      </c>
      <c r="U149" s="13" t="s">
        <v>140</v>
      </c>
      <c r="V149" s="13" t="s">
        <v>292</v>
      </c>
      <c r="W149" s="13" t="s">
        <v>332</v>
      </c>
      <c r="X149" s="13">
        <v>0</v>
      </c>
      <c r="Y149" s="13">
        <v>0</v>
      </c>
      <c r="Z149" s="63">
        <v>7.6861100000000002E-5</v>
      </c>
      <c r="AA149" s="63">
        <v>1.56813E-3</v>
      </c>
      <c r="AB149" s="13">
        <v>9.31477E-3</v>
      </c>
      <c r="AC149" s="13">
        <v>3.2141799999999998E-2</v>
      </c>
      <c r="AD149" s="13">
        <v>6.9966200000000006E-2</v>
      </c>
      <c r="AE149" s="13">
        <v>0.10761900000000001</v>
      </c>
      <c r="AF149" s="13">
        <v>0.19003200000000001</v>
      </c>
    </row>
    <row r="150" spans="1:33">
      <c r="A150" s="13" t="s">
        <v>532</v>
      </c>
      <c r="B150" s="13" t="s">
        <v>1</v>
      </c>
      <c r="C150" s="13" t="s">
        <v>140</v>
      </c>
      <c r="D150" s="13" t="s">
        <v>297</v>
      </c>
      <c r="E150" s="13" t="s">
        <v>329</v>
      </c>
      <c r="F150" s="62">
        <v>0</v>
      </c>
      <c r="G150" s="62">
        <v>0</v>
      </c>
      <c r="K150" s="63">
        <v>3.2673299999999998E-5</v>
      </c>
      <c r="L150" s="63">
        <v>8.5209599999999999E-4</v>
      </c>
      <c r="M150" s="63">
        <v>6.3877400000000003E-3</v>
      </c>
      <c r="N150" s="62">
        <v>2.7537699999999998E-2</v>
      </c>
      <c r="O150" s="62">
        <v>7.4291300000000005E-2</v>
      </c>
      <c r="P150" s="62">
        <v>0.140796</v>
      </c>
      <c r="Q150" s="62">
        <v>0.31430200000000003</v>
      </c>
      <c r="S150" s="13" t="s">
        <v>607</v>
      </c>
      <c r="T150" s="13" t="s">
        <v>1</v>
      </c>
      <c r="U150" s="13" t="s">
        <v>140</v>
      </c>
      <c r="V150" s="13" t="s">
        <v>297</v>
      </c>
      <c r="W150" s="13" t="s">
        <v>329</v>
      </c>
      <c r="X150" s="13">
        <v>0</v>
      </c>
      <c r="Y150" s="13">
        <v>0</v>
      </c>
      <c r="Z150" s="63">
        <v>3.2673299999999998E-5</v>
      </c>
      <c r="AA150" s="63">
        <v>8.5209599999999999E-4</v>
      </c>
      <c r="AB150" s="63">
        <v>6.3877400000000003E-3</v>
      </c>
      <c r="AC150" s="13">
        <v>2.7537699999999998E-2</v>
      </c>
      <c r="AD150" s="13">
        <v>7.4291300000000005E-2</v>
      </c>
      <c r="AE150" s="13">
        <v>0.140796</v>
      </c>
      <c r="AF150" s="13">
        <v>0.31430200000000003</v>
      </c>
    </row>
    <row r="151" spans="1:33">
      <c r="A151" s="13" t="s">
        <v>532</v>
      </c>
      <c r="B151" s="13" t="s">
        <v>1</v>
      </c>
      <c r="C151" s="13" t="s">
        <v>140</v>
      </c>
      <c r="D151" s="13" t="s">
        <v>301</v>
      </c>
      <c r="E151" s="13" t="s">
        <v>329</v>
      </c>
      <c r="F151" s="62">
        <v>0</v>
      </c>
      <c r="G151" s="62">
        <v>0</v>
      </c>
      <c r="K151" s="63">
        <v>4.1635599999999998E-5</v>
      </c>
      <c r="L151" s="63">
        <v>9.3535899999999997E-4</v>
      </c>
      <c r="M151" s="63">
        <v>5.99345E-3</v>
      </c>
      <c r="N151" s="62">
        <v>2.1902399999999999E-2</v>
      </c>
      <c r="O151" s="62">
        <v>4.8700199999999999E-2</v>
      </c>
      <c r="P151" s="62">
        <v>7.5801599999999997E-2</v>
      </c>
      <c r="Q151" s="62">
        <v>0.12804499999999999</v>
      </c>
      <c r="S151" s="13" t="s">
        <v>607</v>
      </c>
      <c r="T151" s="13" t="s">
        <v>1</v>
      </c>
      <c r="U151" s="13" t="s">
        <v>140</v>
      </c>
      <c r="V151" s="13" t="s">
        <v>301</v>
      </c>
      <c r="W151" s="13" t="s">
        <v>329</v>
      </c>
      <c r="X151" s="13">
        <v>0</v>
      </c>
      <c r="Y151" s="13">
        <v>0</v>
      </c>
      <c r="Z151" s="63">
        <v>4.1635599999999998E-5</v>
      </c>
      <c r="AA151" s="63">
        <v>9.3535899999999997E-4</v>
      </c>
      <c r="AB151" s="63">
        <v>5.99345E-3</v>
      </c>
      <c r="AC151" s="13">
        <v>2.1902399999999999E-2</v>
      </c>
      <c r="AD151" s="13">
        <v>4.8700199999999999E-2</v>
      </c>
      <c r="AE151" s="13">
        <v>7.5801599999999997E-2</v>
      </c>
      <c r="AF151" s="13">
        <v>0.12804499999999999</v>
      </c>
    </row>
    <row r="152" spans="1:33">
      <c r="A152" s="13" t="s">
        <v>532</v>
      </c>
      <c r="B152" s="13" t="s">
        <v>1</v>
      </c>
      <c r="C152" s="13" t="s">
        <v>141</v>
      </c>
      <c r="D152" s="13" t="s">
        <v>59</v>
      </c>
      <c r="E152" s="13" t="s">
        <v>329</v>
      </c>
      <c r="F152" s="62">
        <v>0</v>
      </c>
      <c r="G152" s="62">
        <v>0</v>
      </c>
      <c r="K152" s="63">
        <v>4.1372899999999998E-5</v>
      </c>
      <c r="L152" s="63">
        <v>5.1333900000000003E-4</v>
      </c>
      <c r="M152" s="63">
        <v>2.4891700000000002E-3</v>
      </c>
      <c r="N152" s="62">
        <v>6.8636900000000004E-3</v>
      </c>
      <c r="O152" s="62">
        <v>1.2966E-2</v>
      </c>
      <c r="P152" s="62">
        <v>2.0021199999999999E-2</v>
      </c>
      <c r="Q152" s="62">
        <v>3.8252800000000003E-2</v>
      </c>
      <c r="S152" s="13" t="s">
        <v>607</v>
      </c>
      <c r="T152" s="13" t="s">
        <v>1</v>
      </c>
      <c r="U152" s="13" t="s">
        <v>141</v>
      </c>
      <c r="V152" s="13" t="s">
        <v>59</v>
      </c>
      <c r="W152" s="13" t="s">
        <v>329</v>
      </c>
      <c r="X152" s="13">
        <v>0</v>
      </c>
      <c r="Y152" s="13">
        <v>0</v>
      </c>
      <c r="Z152" s="63">
        <v>4.1372899999999998E-5</v>
      </c>
      <c r="AA152" s="63">
        <v>5.1333900000000003E-4</v>
      </c>
      <c r="AB152" s="63">
        <v>2.4891700000000002E-3</v>
      </c>
      <c r="AC152" s="13">
        <v>6.8636900000000004E-3</v>
      </c>
      <c r="AD152" s="13">
        <v>1.2966E-2</v>
      </c>
      <c r="AE152" s="13">
        <v>2.0021199999999999E-2</v>
      </c>
      <c r="AF152" s="13">
        <v>3.8252800000000003E-2</v>
      </c>
    </row>
    <row r="153" spans="1:33">
      <c r="A153" s="13" t="s">
        <v>532</v>
      </c>
      <c r="B153" s="13" t="s">
        <v>1</v>
      </c>
      <c r="C153" s="13" t="s">
        <v>141</v>
      </c>
      <c r="D153" s="13" t="s">
        <v>60</v>
      </c>
      <c r="E153" s="13" t="s">
        <v>330</v>
      </c>
      <c r="F153" s="62">
        <v>0</v>
      </c>
      <c r="G153" s="62">
        <v>0</v>
      </c>
      <c r="K153" s="63">
        <v>6.0849600000000004E-4</v>
      </c>
      <c r="L153" s="63">
        <v>6.3798500000000003E-3</v>
      </c>
      <c r="M153" s="62">
        <v>2.7027499999999999E-2</v>
      </c>
      <c r="N153" s="62">
        <v>5.4117800000000001E-2</v>
      </c>
      <c r="O153" s="62">
        <v>5.9294899999999998E-2</v>
      </c>
      <c r="P153" s="62">
        <v>4.9107199999999997E-2</v>
      </c>
      <c r="Q153" s="62">
        <v>1.4168699999999999E-2</v>
      </c>
      <c r="S153" s="13" t="s">
        <v>607</v>
      </c>
      <c r="T153" s="13" t="s">
        <v>1</v>
      </c>
      <c r="U153" s="13" t="s">
        <v>141</v>
      </c>
      <c r="V153" s="13" t="s">
        <v>60</v>
      </c>
      <c r="W153" s="13" t="s">
        <v>330</v>
      </c>
      <c r="X153" s="13">
        <v>0</v>
      </c>
      <c r="Y153" s="13">
        <v>0</v>
      </c>
      <c r="Z153" s="63">
        <v>6.0849600000000004E-4</v>
      </c>
      <c r="AA153" s="63">
        <v>6.3798500000000003E-3</v>
      </c>
      <c r="AB153" s="13">
        <v>2.7027499999999999E-2</v>
      </c>
      <c r="AC153" s="13">
        <v>5.4117800000000001E-2</v>
      </c>
      <c r="AD153" s="13">
        <v>5.9294899999999998E-2</v>
      </c>
      <c r="AE153" s="13">
        <v>4.9107199999999997E-2</v>
      </c>
      <c r="AF153" s="13">
        <v>1.4168699999999999E-2</v>
      </c>
    </row>
    <row r="154" spans="1:33">
      <c r="E154" s="13" t="s">
        <v>540</v>
      </c>
      <c r="F154" s="13" t="e">
        <f>SUM(F146,F150:F152)/SUM(F143:F153)</f>
        <v>#DIV/0!</v>
      </c>
      <c r="G154" s="62" t="e">
        <f>SUM(G146,G150:G152)/SUM(G143:G153)</f>
        <v>#DIV/0!</v>
      </c>
      <c r="K154" s="62">
        <f t="shared" ref="K154:Q154" si="16">SUM(K146,K150:K152)/SUM(K143:K153)</f>
        <v>7.2078562669753571E-2</v>
      </c>
      <c r="L154" s="62">
        <f t="shared" si="16"/>
        <v>0.14352172731587468</v>
      </c>
      <c r="M154" s="62">
        <f t="shared" si="16"/>
        <v>0.20304851756506095</v>
      </c>
      <c r="N154" s="62">
        <f t="shared" si="16"/>
        <v>0.29010451508912893</v>
      </c>
      <c r="O154" s="62">
        <f t="shared" si="16"/>
        <v>0.36069779698246246</v>
      </c>
      <c r="P154" s="62">
        <f t="shared" si="16"/>
        <v>0.4145620781701394</v>
      </c>
      <c r="Q154" s="62">
        <f t="shared" si="16"/>
        <v>0.52872515509410523</v>
      </c>
    </row>
    <row r="156" spans="1:33">
      <c r="A156" s="1" t="s">
        <v>537</v>
      </c>
      <c r="G156" s="62">
        <v>1990</v>
      </c>
      <c r="H156" s="62">
        <v>2005</v>
      </c>
      <c r="I156" s="62">
        <v>2010</v>
      </c>
      <c r="J156" s="62">
        <v>2015</v>
      </c>
      <c r="K156" s="62">
        <v>2020</v>
      </c>
      <c r="L156" s="62">
        <v>2025</v>
      </c>
      <c r="M156" s="62">
        <v>2030</v>
      </c>
      <c r="N156" s="62">
        <v>2035</v>
      </c>
      <c r="O156" s="62">
        <v>2040</v>
      </c>
      <c r="P156" s="62">
        <v>2045</v>
      </c>
      <c r="Q156" s="62">
        <v>2050</v>
      </c>
    </row>
    <row r="157" spans="1:33">
      <c r="A157" s="13" t="s">
        <v>607</v>
      </c>
      <c r="B157" s="13" t="s">
        <v>1</v>
      </c>
      <c r="C157" s="13" t="s">
        <v>68</v>
      </c>
      <c r="D157" s="13" t="s">
        <v>65</v>
      </c>
      <c r="E157" s="13" t="s">
        <v>72</v>
      </c>
      <c r="F157" s="13" t="s">
        <v>2</v>
      </c>
      <c r="G157" s="13">
        <v>0</v>
      </c>
      <c r="H157" s="13">
        <v>0</v>
      </c>
      <c r="I157" s="13">
        <v>0</v>
      </c>
      <c r="J157" s="13">
        <v>0</v>
      </c>
      <c r="K157" s="63">
        <v>9.5105999999999994E-5</v>
      </c>
      <c r="L157" s="13">
        <v>1.250924E-3</v>
      </c>
      <c r="M157" s="13">
        <v>5.6484436999999898E-3</v>
      </c>
      <c r="N157" s="13">
        <v>2.7870517599999999E-2</v>
      </c>
      <c r="O157" s="13">
        <v>9.39205231E-2</v>
      </c>
      <c r="P157" s="13">
        <v>0.17038097939999999</v>
      </c>
      <c r="Q157" s="13">
        <v>0.35668150449000002</v>
      </c>
    </row>
    <row r="160" spans="1:33">
      <c r="A160" s="1" t="s">
        <v>543</v>
      </c>
      <c r="G160" s="62">
        <v>1990</v>
      </c>
      <c r="H160" s="62">
        <v>2005</v>
      </c>
      <c r="I160" s="62">
        <v>2010</v>
      </c>
      <c r="J160" s="62">
        <v>2015</v>
      </c>
      <c r="K160" s="62">
        <v>2020</v>
      </c>
      <c r="L160" s="62">
        <v>2025</v>
      </c>
      <c r="M160" s="62">
        <v>2030</v>
      </c>
      <c r="N160" s="62">
        <v>2035</v>
      </c>
      <c r="O160" s="62">
        <v>2040</v>
      </c>
      <c r="P160" s="62">
        <v>2045</v>
      </c>
      <c r="Q160" s="62">
        <v>2050</v>
      </c>
    </row>
    <row r="161" spans="1:39">
      <c r="A161" s="13" t="s">
        <v>607</v>
      </c>
      <c r="B161" s="13" t="s">
        <v>1</v>
      </c>
      <c r="C161" s="13" t="s">
        <v>140</v>
      </c>
      <c r="D161" s="13" t="s">
        <v>57</v>
      </c>
      <c r="E161" s="13" t="s">
        <v>140</v>
      </c>
      <c r="F161" s="13" t="s">
        <v>326</v>
      </c>
      <c r="G161" s="13">
        <v>0</v>
      </c>
      <c r="H161" s="13">
        <v>0</v>
      </c>
      <c r="I161" s="13">
        <v>0</v>
      </c>
      <c r="J161" s="13">
        <v>0</v>
      </c>
      <c r="K161" s="63">
        <v>1.4030299999999999E-4</v>
      </c>
      <c r="L161" s="13">
        <v>2.0796999999999999E-3</v>
      </c>
      <c r="M161" s="13">
        <v>7.9039699999999997E-3</v>
      </c>
      <c r="N161" s="13">
        <v>4.4615699999999998E-3</v>
      </c>
      <c r="O161" s="63">
        <v>2.6608300000000002E-4</v>
      </c>
      <c r="P161" s="63">
        <v>1.10852E-5</v>
      </c>
      <c r="Q161" s="63">
        <v>4.81353E-9</v>
      </c>
      <c r="R161" s="13" t="s">
        <v>542</v>
      </c>
    </row>
    <row r="162" spans="1:39">
      <c r="A162" s="13" t="s">
        <v>607</v>
      </c>
      <c r="B162" s="13" t="s">
        <v>1</v>
      </c>
      <c r="C162" s="13" t="s">
        <v>140</v>
      </c>
      <c r="D162" s="13" t="s">
        <v>57</v>
      </c>
      <c r="E162" s="13" t="s">
        <v>140</v>
      </c>
      <c r="F162" s="13" t="s">
        <v>327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63">
        <v>2.34112E-6</v>
      </c>
      <c r="M162" s="63">
        <v>3.1168100000000001E-4</v>
      </c>
      <c r="N162" s="13">
        <v>1.48723E-2</v>
      </c>
      <c r="O162" s="13">
        <v>5.0595300000000003E-2</v>
      </c>
      <c r="P162" s="13">
        <v>8.3802100000000004E-2</v>
      </c>
      <c r="Q162" s="13">
        <v>0.102798</v>
      </c>
      <c r="AA162" s="82"/>
    </row>
    <row r="163" spans="1:39">
      <c r="A163" s="13" t="s">
        <v>607</v>
      </c>
      <c r="B163" s="13" t="s">
        <v>1</v>
      </c>
      <c r="C163" s="13" t="s">
        <v>140</v>
      </c>
      <c r="D163" s="13" t="s">
        <v>58</v>
      </c>
      <c r="E163" s="13" t="s">
        <v>140</v>
      </c>
      <c r="F163" s="13" t="s">
        <v>328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63">
        <v>3.86344E-4</v>
      </c>
      <c r="M163" s="13">
        <v>2.22937E-3</v>
      </c>
      <c r="N163" s="13">
        <v>7.7118600000000001E-3</v>
      </c>
      <c r="O163" s="13">
        <v>1.6475E-2</v>
      </c>
      <c r="P163" s="13">
        <v>2.5023500000000001E-2</v>
      </c>
      <c r="Q163" s="13">
        <v>3.0288599999999999E-2</v>
      </c>
      <c r="AA163" s="82"/>
    </row>
    <row r="164" spans="1:39">
      <c r="A164" s="13" t="s">
        <v>607</v>
      </c>
      <c r="B164" s="13" t="s">
        <v>1</v>
      </c>
      <c r="C164" s="13" t="s">
        <v>140</v>
      </c>
      <c r="D164" s="13" t="s">
        <v>59</v>
      </c>
      <c r="E164" s="13" t="s">
        <v>140</v>
      </c>
      <c r="F164" s="13" t="s">
        <v>329</v>
      </c>
      <c r="G164" s="13">
        <v>0</v>
      </c>
      <c r="H164" s="13">
        <v>0</v>
      </c>
      <c r="I164" s="13">
        <v>0</v>
      </c>
      <c r="J164" s="13">
        <v>0</v>
      </c>
      <c r="K164" s="63">
        <v>1.8719599999999999E-5</v>
      </c>
      <c r="L164" s="63">
        <v>1.4907200000000001E-4</v>
      </c>
      <c r="M164" s="63">
        <v>6.7778499999999998E-4</v>
      </c>
      <c r="N164" s="13">
        <v>1.90609E-3</v>
      </c>
      <c r="O164" s="13">
        <v>3.9531799999999997E-3</v>
      </c>
      <c r="P164" s="13">
        <v>6.7380799999999996E-3</v>
      </c>
      <c r="Q164" s="13">
        <v>1.34114E-2</v>
      </c>
      <c r="AA164" s="82"/>
    </row>
    <row r="165" spans="1:39">
      <c r="A165" s="13" t="s">
        <v>607</v>
      </c>
      <c r="B165" s="13" t="s">
        <v>1</v>
      </c>
      <c r="C165" s="13" t="s">
        <v>140</v>
      </c>
      <c r="D165" s="13" t="s">
        <v>60</v>
      </c>
      <c r="E165" s="13" t="s">
        <v>140</v>
      </c>
      <c r="F165" s="13" t="s">
        <v>330</v>
      </c>
      <c r="G165" s="13">
        <v>0</v>
      </c>
      <c r="H165" s="13">
        <v>0</v>
      </c>
      <c r="I165" s="13">
        <v>0</v>
      </c>
      <c r="J165" s="13">
        <v>0</v>
      </c>
      <c r="K165" s="63">
        <v>9.0459000000000004E-4</v>
      </c>
      <c r="L165" s="13">
        <v>4.1220600000000003E-3</v>
      </c>
      <c r="M165" s="13">
        <v>1.2005500000000001E-2</v>
      </c>
      <c r="N165" s="13">
        <v>1.22042E-2</v>
      </c>
      <c r="O165" s="13">
        <v>5.0011600000000002E-3</v>
      </c>
      <c r="P165" s="63">
        <v>1.1165000000000001E-3</v>
      </c>
      <c r="Q165" s="63">
        <v>4.5399899999999999E-6</v>
      </c>
      <c r="AA165" s="82"/>
    </row>
    <row r="166" spans="1:39">
      <c r="A166" s="13" t="s">
        <v>607</v>
      </c>
      <c r="B166" s="13" t="s">
        <v>1</v>
      </c>
      <c r="C166" s="13" t="s">
        <v>140</v>
      </c>
      <c r="D166" s="13" t="s">
        <v>60</v>
      </c>
      <c r="E166" s="13" t="s">
        <v>140</v>
      </c>
      <c r="F166" s="13" t="s">
        <v>331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63">
        <v>8.1361300000000003E-5</v>
      </c>
      <c r="M166" s="13">
        <v>2.2326099999999999E-3</v>
      </c>
      <c r="N166" s="13">
        <v>1.6931999999999999E-2</v>
      </c>
      <c r="O166" s="13">
        <v>4.63796E-2</v>
      </c>
      <c r="P166" s="13">
        <v>7.6985300000000007E-2</v>
      </c>
      <c r="Q166" s="13">
        <v>0.10304099999999999</v>
      </c>
      <c r="AA166" s="82"/>
    </row>
    <row r="167" spans="1:39">
      <c r="A167" s="13" t="s">
        <v>607</v>
      </c>
      <c r="B167" s="13" t="s">
        <v>1</v>
      </c>
      <c r="C167" s="13" t="s">
        <v>140</v>
      </c>
      <c r="D167" s="13" t="s">
        <v>292</v>
      </c>
      <c r="E167" s="13" t="s">
        <v>140</v>
      </c>
      <c r="F167" s="13" t="s">
        <v>332</v>
      </c>
      <c r="G167" s="13">
        <v>0</v>
      </c>
      <c r="H167" s="13">
        <v>0</v>
      </c>
      <c r="I167" s="13">
        <v>0</v>
      </c>
      <c r="J167" s="13">
        <v>0</v>
      </c>
      <c r="K167" s="63">
        <v>7.6861100000000002E-5</v>
      </c>
      <c r="L167" s="13">
        <v>1.56813E-3</v>
      </c>
      <c r="M167" s="13">
        <v>9.31477E-3</v>
      </c>
      <c r="N167" s="13">
        <v>3.2141799999999998E-2</v>
      </c>
      <c r="O167" s="13">
        <v>6.9966200000000006E-2</v>
      </c>
      <c r="P167" s="13">
        <v>0.10761900000000001</v>
      </c>
      <c r="Q167" s="13">
        <v>0.19003200000000001</v>
      </c>
      <c r="U167" s="1" t="s">
        <v>571</v>
      </c>
      <c r="V167" s="62"/>
      <c r="W167" s="62"/>
      <c r="X167" s="62"/>
      <c r="Y167" s="62"/>
      <c r="Z167" s="62"/>
      <c r="AA167" s="62"/>
      <c r="AB167" s="62"/>
      <c r="AC167" s="62"/>
      <c r="AD167" s="62"/>
    </row>
    <row r="168" spans="1:39">
      <c r="A168" s="13" t="s">
        <v>607</v>
      </c>
      <c r="B168" s="13" t="s">
        <v>1</v>
      </c>
      <c r="C168" s="13" t="s">
        <v>140</v>
      </c>
      <c r="D168" s="13" t="s">
        <v>297</v>
      </c>
      <c r="E168" s="13" t="s">
        <v>140</v>
      </c>
      <c r="F168" s="13" t="s">
        <v>329</v>
      </c>
      <c r="G168" s="13">
        <v>0</v>
      </c>
      <c r="H168" s="13">
        <v>0</v>
      </c>
      <c r="I168" s="13">
        <v>0</v>
      </c>
      <c r="J168" s="13">
        <v>0</v>
      </c>
      <c r="K168" s="63">
        <v>3.2673299999999998E-5</v>
      </c>
      <c r="L168" s="63">
        <v>8.5209599999999999E-4</v>
      </c>
      <c r="M168" s="13">
        <v>6.3877400000000003E-3</v>
      </c>
      <c r="N168" s="13">
        <v>2.7537699999999998E-2</v>
      </c>
      <c r="O168" s="13">
        <v>7.4291300000000005E-2</v>
      </c>
      <c r="P168" s="13">
        <v>0.140796</v>
      </c>
      <c r="Q168" s="13">
        <v>0.31430200000000003</v>
      </c>
      <c r="U168" s="65"/>
      <c r="V168" s="66" t="s">
        <v>484</v>
      </c>
      <c r="W168" s="66">
        <v>2015</v>
      </c>
      <c r="X168" s="66">
        <v>2020</v>
      </c>
      <c r="Y168" s="66">
        <v>2025</v>
      </c>
      <c r="Z168" s="66">
        <v>2030</v>
      </c>
      <c r="AA168" s="66">
        <v>2035</v>
      </c>
      <c r="AB168" s="66">
        <v>2040</v>
      </c>
      <c r="AC168" s="66">
        <v>2045</v>
      </c>
      <c r="AD168" s="7">
        <v>2050</v>
      </c>
    </row>
    <row r="169" spans="1:39">
      <c r="A169" s="13" t="s">
        <v>607</v>
      </c>
      <c r="B169" s="13" t="s">
        <v>1</v>
      </c>
      <c r="C169" s="13" t="s">
        <v>140</v>
      </c>
      <c r="D169" s="13" t="s">
        <v>301</v>
      </c>
      <c r="E169" s="13" t="s">
        <v>140</v>
      </c>
      <c r="F169" s="13" t="s">
        <v>329</v>
      </c>
      <c r="G169" s="13">
        <v>0</v>
      </c>
      <c r="H169" s="13">
        <v>0</v>
      </c>
      <c r="I169" s="13">
        <v>0</v>
      </c>
      <c r="J169" s="13">
        <v>0</v>
      </c>
      <c r="K169" s="63">
        <v>4.1635599999999998E-5</v>
      </c>
      <c r="L169" s="63">
        <v>9.3535899999999997E-4</v>
      </c>
      <c r="M169" s="13">
        <v>5.99345E-3</v>
      </c>
      <c r="N169" s="13">
        <v>2.1902399999999999E-2</v>
      </c>
      <c r="O169" s="13">
        <v>4.8700199999999999E-2</v>
      </c>
      <c r="P169" s="13">
        <v>7.5801599999999997E-2</v>
      </c>
      <c r="Q169" s="13">
        <v>0.12804499999999999</v>
      </c>
      <c r="U169" s="8" t="s">
        <v>491</v>
      </c>
      <c r="V169" s="45" t="s">
        <v>476</v>
      </c>
      <c r="W169" s="45">
        <f>J177*$V$172</f>
        <v>0</v>
      </c>
      <c r="X169" s="45">
        <f t="shared" ref="X169:AD169" si="17">K177*$V$172</f>
        <v>5.6771376468963103E-2</v>
      </c>
      <c r="Y169" s="45">
        <f t="shared" si="17"/>
        <v>0.99413383029499747</v>
      </c>
      <c r="Z169" s="45">
        <f t="shared" si="17"/>
        <v>6.2067242339783748</v>
      </c>
      <c r="AA169" s="45">
        <f t="shared" si="17"/>
        <v>21.264898248005217</v>
      </c>
      <c r="AB169" s="45">
        <f t="shared" si="17"/>
        <v>44.297591987615036</v>
      </c>
      <c r="AC169" s="45">
        <f t="shared" si="17"/>
        <v>70.983147169801711</v>
      </c>
      <c r="AD169" s="45">
        <f t="shared" si="17"/>
        <v>123.6736486990301</v>
      </c>
      <c r="AF169" s="13">
        <v>0</v>
      </c>
      <c r="AG169" s="13">
        <v>5.6771376468963103E-2</v>
      </c>
      <c r="AH169" s="13">
        <v>0.99413383029499747</v>
      </c>
      <c r="AI169" s="13">
        <v>6.2067242339783748</v>
      </c>
      <c r="AJ169" s="13">
        <v>21.264898248005217</v>
      </c>
      <c r="AK169" s="13">
        <v>44.297591987615036</v>
      </c>
      <c r="AL169" s="13">
        <v>70.983147169801711</v>
      </c>
      <c r="AM169" s="13">
        <v>123.6736486990301</v>
      </c>
    </row>
    <row r="170" spans="1:39">
      <c r="A170" s="13" t="s">
        <v>607</v>
      </c>
      <c r="B170" s="13" t="s">
        <v>1</v>
      </c>
      <c r="C170" s="13" t="s">
        <v>544</v>
      </c>
      <c r="D170" s="13" t="s">
        <v>544</v>
      </c>
      <c r="E170" s="13" t="s">
        <v>544</v>
      </c>
      <c r="F170" s="13" t="s">
        <v>544</v>
      </c>
      <c r="G170" s="13">
        <v>0</v>
      </c>
      <c r="H170" s="13">
        <v>0</v>
      </c>
      <c r="I170" s="13">
        <v>0</v>
      </c>
      <c r="J170" s="13">
        <v>0</v>
      </c>
      <c r="K170" s="13">
        <v>1.2147799999999999E-3</v>
      </c>
      <c r="L170" s="13">
        <v>1.01765E-2</v>
      </c>
      <c r="M170" s="13">
        <v>4.7056899999999999E-2</v>
      </c>
      <c r="N170" s="13">
        <v>0.13966999999999999</v>
      </c>
      <c r="O170" s="13">
        <v>0.31562800000000002</v>
      </c>
      <c r="P170" s="13">
        <v>0.51789300000000005</v>
      </c>
      <c r="Q170" s="13">
        <v>0.88192300000000001</v>
      </c>
      <c r="U170" s="8" t="s">
        <v>491</v>
      </c>
      <c r="V170" s="45" t="s">
        <v>473</v>
      </c>
      <c r="W170" s="45">
        <f>W174*$AB$63</f>
        <v>0</v>
      </c>
      <c r="X170" s="45">
        <f t="shared" ref="X170" si="18">X174*$AB$63</f>
        <v>0</v>
      </c>
      <c r="Y170" s="45"/>
      <c r="Z170" s="45"/>
      <c r="AA170" s="45"/>
      <c r="AB170" s="45"/>
      <c r="AC170" s="45"/>
      <c r="AD170" s="9"/>
      <c r="AF170" s="27">
        <v>0</v>
      </c>
    </row>
    <row r="171" spans="1:39">
      <c r="A171" s="13" t="s">
        <v>607</v>
      </c>
      <c r="B171" s="13" t="s">
        <v>1</v>
      </c>
      <c r="C171" s="13" t="s">
        <v>2</v>
      </c>
      <c r="D171" s="13" t="s">
        <v>544</v>
      </c>
      <c r="E171" s="13" t="s">
        <v>2</v>
      </c>
      <c r="F171" s="13" t="s">
        <v>544</v>
      </c>
      <c r="G171" s="13">
        <v>0</v>
      </c>
      <c r="H171" s="13">
        <v>0</v>
      </c>
      <c r="I171" s="13">
        <v>0</v>
      </c>
      <c r="J171" s="13">
        <v>0</v>
      </c>
      <c r="K171" s="13">
        <v>1.2147799999999999E-3</v>
      </c>
      <c r="L171" s="13">
        <v>1.01765E-2</v>
      </c>
      <c r="M171" s="13">
        <v>4.7056899999999999E-2</v>
      </c>
      <c r="N171" s="13">
        <v>0.13966999999999999</v>
      </c>
      <c r="O171" s="13">
        <v>0.31562800000000002</v>
      </c>
      <c r="P171" s="13">
        <v>0.51789300000000005</v>
      </c>
      <c r="Q171" s="13">
        <v>0.88192300000000001</v>
      </c>
      <c r="U171" s="70"/>
      <c r="V171" s="71" t="s">
        <v>474</v>
      </c>
      <c r="W171" s="71"/>
      <c r="X171" s="71"/>
      <c r="Y171" s="71">
        <f t="shared" ref="Y171:AA171" si="19">Y175*$AB$63</f>
        <v>0</v>
      </c>
      <c r="Z171" s="71">
        <f t="shared" si="19"/>
        <v>0</v>
      </c>
      <c r="AA171" s="71">
        <f t="shared" si="19"/>
        <v>0</v>
      </c>
      <c r="AB171" s="71"/>
      <c r="AC171" s="71"/>
      <c r="AD171" s="10"/>
      <c r="AF171" s="27">
        <v>5.6771376468963103E-2</v>
      </c>
    </row>
    <row r="172" spans="1:39">
      <c r="A172" s="13" t="s">
        <v>607</v>
      </c>
      <c r="B172" s="13" t="s">
        <v>1</v>
      </c>
      <c r="C172" s="13" t="s">
        <v>2</v>
      </c>
      <c r="D172" s="13" t="s">
        <v>141</v>
      </c>
      <c r="E172" s="13" t="s">
        <v>2</v>
      </c>
      <c r="F172" s="13" t="s">
        <v>141</v>
      </c>
      <c r="G172" s="13">
        <v>0</v>
      </c>
      <c r="H172" s="13">
        <v>0</v>
      </c>
      <c r="I172" s="13">
        <v>0</v>
      </c>
      <c r="J172" s="13">
        <v>0</v>
      </c>
      <c r="K172" s="63">
        <v>6.4986899999999997E-4</v>
      </c>
      <c r="L172" s="13">
        <v>6.8931900000000004E-3</v>
      </c>
      <c r="M172" s="13">
        <v>2.95167E-2</v>
      </c>
      <c r="N172" s="13">
        <v>6.0981500000000001E-2</v>
      </c>
      <c r="O172" s="13">
        <v>7.22608E-2</v>
      </c>
      <c r="P172" s="13">
        <v>6.9128300000000004E-2</v>
      </c>
      <c r="Q172" s="13">
        <v>5.2421500000000003E-2</v>
      </c>
      <c r="V172" s="62">
        <v>277.777777777778</v>
      </c>
      <c r="AF172" s="27">
        <v>0.99413383029499747</v>
      </c>
    </row>
    <row r="173" spans="1:39">
      <c r="A173" s="13" t="s">
        <v>607</v>
      </c>
      <c r="B173" s="13" t="s">
        <v>1</v>
      </c>
      <c r="C173" s="13" t="s">
        <v>141</v>
      </c>
      <c r="D173" s="13" t="s">
        <v>59</v>
      </c>
      <c r="E173" s="13" t="s">
        <v>141</v>
      </c>
      <c r="F173" s="13" t="s">
        <v>329</v>
      </c>
      <c r="G173" s="13">
        <v>0</v>
      </c>
      <c r="H173" s="13">
        <v>0</v>
      </c>
      <c r="I173" s="13">
        <v>0</v>
      </c>
      <c r="J173" s="13">
        <v>0</v>
      </c>
      <c r="K173" s="63">
        <v>4.1372899999999998E-5</v>
      </c>
      <c r="L173" s="63">
        <v>5.1333900000000003E-4</v>
      </c>
      <c r="M173" s="13">
        <v>2.4891700000000002E-3</v>
      </c>
      <c r="N173" s="13">
        <v>6.8636900000000004E-3</v>
      </c>
      <c r="O173" s="13">
        <v>1.2966E-2</v>
      </c>
      <c r="P173" s="13">
        <v>2.0021199999999999E-2</v>
      </c>
      <c r="Q173" s="13">
        <v>3.8252800000000003E-2</v>
      </c>
      <c r="AF173" s="27">
        <v>6.2067242339783748</v>
      </c>
    </row>
    <row r="174" spans="1:39">
      <c r="A174" s="13" t="s">
        <v>607</v>
      </c>
      <c r="B174" s="13" t="s">
        <v>1</v>
      </c>
      <c r="C174" s="13" t="s">
        <v>141</v>
      </c>
      <c r="D174" s="13" t="s">
        <v>60</v>
      </c>
      <c r="E174" s="13" t="s">
        <v>141</v>
      </c>
      <c r="F174" s="13" t="s">
        <v>330</v>
      </c>
      <c r="G174" s="13">
        <v>0</v>
      </c>
      <c r="H174" s="13">
        <v>0</v>
      </c>
      <c r="I174" s="13">
        <v>0</v>
      </c>
      <c r="J174" s="13">
        <v>0</v>
      </c>
      <c r="K174" s="63">
        <v>6.0849600000000004E-4</v>
      </c>
      <c r="L174" s="13">
        <v>6.3798500000000003E-3</v>
      </c>
      <c r="M174" s="13">
        <v>2.7027499999999999E-2</v>
      </c>
      <c r="N174" s="13">
        <v>5.4117800000000001E-2</v>
      </c>
      <c r="O174" s="13">
        <v>5.9294899999999998E-2</v>
      </c>
      <c r="P174" s="13">
        <v>4.9107199999999997E-2</v>
      </c>
      <c r="Q174" s="13">
        <v>1.4168699999999999E-2</v>
      </c>
      <c r="AF174" s="27">
        <v>21.264898248005217</v>
      </c>
    </row>
    <row r="175" spans="1:39">
      <c r="F175" s="13" t="s">
        <v>545</v>
      </c>
      <c r="G175" s="13">
        <f>SUM(G164,G168,G169,G173)</f>
        <v>0</v>
      </c>
      <c r="H175" s="62">
        <f t="shared" ref="H175:Q175" si="20">SUM(H164,H168,H169,H173)</f>
        <v>0</v>
      </c>
      <c r="I175" s="62">
        <f t="shared" si="20"/>
        <v>0</v>
      </c>
      <c r="J175" s="62">
        <f t="shared" si="20"/>
        <v>0</v>
      </c>
      <c r="K175" s="62">
        <f t="shared" si="20"/>
        <v>1.344014E-4</v>
      </c>
      <c r="L175" s="62">
        <f t="shared" si="20"/>
        <v>2.4498660000000002E-3</v>
      </c>
      <c r="M175" s="62">
        <f t="shared" si="20"/>
        <v>1.5548145000000001E-2</v>
      </c>
      <c r="N175" s="62">
        <f t="shared" si="20"/>
        <v>5.8209879999999999E-2</v>
      </c>
      <c r="O175" s="62">
        <f t="shared" si="20"/>
        <v>0.13991068000000001</v>
      </c>
      <c r="P175" s="62">
        <f t="shared" si="20"/>
        <v>0.24335688</v>
      </c>
      <c r="Q175" s="62">
        <f t="shared" si="20"/>
        <v>0.49401119999999998</v>
      </c>
      <c r="AF175" s="27">
        <v>44.297591987615036</v>
      </c>
    </row>
    <row r="176" spans="1:39">
      <c r="F176" s="13" t="s">
        <v>547</v>
      </c>
      <c r="K176" s="59">
        <f>K154*K157/K175</f>
        <v>5.1004705168767456E-2</v>
      </c>
      <c r="L176" s="59">
        <f t="shared" ref="L176:Q176" si="21">L154*L157/L175</f>
        <v>7.328350743301193E-2</v>
      </c>
      <c r="M176" s="59">
        <f t="shared" si="21"/>
        <v>7.376494879837471E-2</v>
      </c>
      <c r="N176" s="59">
        <f t="shared" si="21"/>
        <v>0.1389001831584438</v>
      </c>
      <c r="O176" s="59">
        <f t="shared" si="21"/>
        <v>0.24213252178897618</v>
      </c>
      <c r="P176" s="59">
        <f t="shared" si="21"/>
        <v>0.2902465420362379</v>
      </c>
      <c r="Q176" s="59">
        <f t="shared" si="21"/>
        <v>0.38174536079480398</v>
      </c>
      <c r="AF176" s="27">
        <v>70.983147169801711</v>
      </c>
    </row>
    <row r="177" spans="1:32">
      <c r="F177" s="13" t="s">
        <v>546</v>
      </c>
      <c r="J177" s="13">
        <v>0</v>
      </c>
      <c r="K177" s="4">
        <f>K140*(1-(K154*K157)/K175)</f>
        <v>2.0437695528826701E-4</v>
      </c>
      <c r="L177" s="4">
        <f t="shared" ref="L177:Q177" si="22">L140*(1-(L154*L157)/L175)</f>
        <v>3.578881789061988E-3</v>
      </c>
      <c r="M177" s="4">
        <f t="shared" si="22"/>
        <v>2.2344207242322132E-2</v>
      </c>
      <c r="N177" s="4">
        <f t="shared" si="22"/>
        <v>7.6553633692818715E-2</v>
      </c>
      <c r="O177" s="4">
        <f t="shared" si="22"/>
        <v>0.15947133115541401</v>
      </c>
      <c r="P177" s="4">
        <f t="shared" si="22"/>
        <v>0.25553932981128596</v>
      </c>
      <c r="Q177" s="4">
        <f t="shared" si="22"/>
        <v>0.44522513531650798</v>
      </c>
      <c r="AF177" s="27">
        <v>123.6736486990301</v>
      </c>
    </row>
    <row r="178" spans="1:32">
      <c r="K178" s="4"/>
    </row>
    <row r="181" spans="1:32">
      <c r="A181" s="1" t="s">
        <v>556</v>
      </c>
      <c r="B181" s="62"/>
      <c r="C181" s="62"/>
      <c r="D181" s="62"/>
      <c r="E181" s="62"/>
      <c r="F181" s="62">
        <v>1990</v>
      </c>
      <c r="G181" s="62">
        <v>2005</v>
      </c>
      <c r="H181" s="62">
        <v>2010</v>
      </c>
      <c r="I181" s="62">
        <v>2015</v>
      </c>
      <c r="J181" s="62">
        <v>2020</v>
      </c>
      <c r="K181" s="62">
        <v>2025</v>
      </c>
      <c r="L181" s="62">
        <v>2030</v>
      </c>
      <c r="M181" s="62">
        <v>2035</v>
      </c>
      <c r="N181" s="62">
        <v>2040</v>
      </c>
      <c r="O181" s="62">
        <v>2045</v>
      </c>
      <c r="P181" s="62">
        <v>2050</v>
      </c>
    </row>
    <row r="182" spans="1:32">
      <c r="A182" s="13" t="s">
        <v>607</v>
      </c>
      <c r="B182" s="13" t="s">
        <v>1</v>
      </c>
      <c r="C182" s="13" t="s">
        <v>155</v>
      </c>
      <c r="D182" s="13" t="s">
        <v>430</v>
      </c>
      <c r="E182" s="63" t="s">
        <v>548</v>
      </c>
      <c r="F182" s="13">
        <v>1.22799E-3</v>
      </c>
      <c r="G182" s="13">
        <v>3.1387799999999999E-3</v>
      </c>
      <c r="H182" s="13">
        <v>2.6536099999999998E-3</v>
      </c>
      <c r="I182" s="13">
        <v>2.69206E-3</v>
      </c>
      <c r="J182" s="13">
        <v>2.7341100000000001E-3</v>
      </c>
      <c r="K182" s="13">
        <v>2.7735199999999998E-3</v>
      </c>
      <c r="L182" s="13">
        <v>2.88237E-3</v>
      </c>
      <c r="M182" s="13">
        <v>2.7545199999999999E-3</v>
      </c>
      <c r="N182" s="13">
        <v>2.5297599999999998E-3</v>
      </c>
      <c r="O182" s="13">
        <v>2.3221800000000001E-3</v>
      </c>
      <c r="P182" s="13">
        <v>2.3267000000000001E-3</v>
      </c>
    </row>
    <row r="183" spans="1:32">
      <c r="A183" s="13" t="s">
        <v>607</v>
      </c>
      <c r="B183" s="13" t="s">
        <v>1</v>
      </c>
      <c r="C183" s="13" t="s">
        <v>156</v>
      </c>
      <c r="D183" s="13" t="s">
        <v>430</v>
      </c>
      <c r="E183" s="83" t="s">
        <v>549</v>
      </c>
      <c r="F183" s="13">
        <v>0</v>
      </c>
      <c r="G183" s="13">
        <v>0</v>
      </c>
      <c r="H183" s="13">
        <v>0</v>
      </c>
      <c r="I183" s="13">
        <v>0</v>
      </c>
      <c r="J183" s="63">
        <v>1.19684E-5</v>
      </c>
      <c r="K183" s="63">
        <v>4.2654690000000001E-4</v>
      </c>
      <c r="L183" s="13">
        <v>2.2794933699999999E-3</v>
      </c>
      <c r="M183" s="13">
        <v>8.0898228200000002E-3</v>
      </c>
      <c r="N183" s="13">
        <v>1.5993708199999901E-2</v>
      </c>
      <c r="O183" s="13">
        <v>2.3982509589999999E-2</v>
      </c>
      <c r="P183" s="13">
        <v>3.2100915039999997E-2</v>
      </c>
    </row>
    <row r="184" spans="1:32">
      <c r="A184" s="13" t="s">
        <v>607</v>
      </c>
      <c r="B184" s="13" t="s">
        <v>1</v>
      </c>
      <c r="C184" s="13" t="s">
        <v>157</v>
      </c>
      <c r="D184" s="13" t="s">
        <v>430</v>
      </c>
      <c r="E184" s="62" t="s">
        <v>550</v>
      </c>
      <c r="F184" s="63">
        <v>6.8778800000000005E-4</v>
      </c>
      <c r="G184" s="13">
        <v>1.7579900000000001E-3</v>
      </c>
      <c r="H184" s="13">
        <v>1.4862899999999999E-3</v>
      </c>
      <c r="I184" s="13">
        <v>1.50779E-3</v>
      </c>
      <c r="J184" s="13">
        <v>1.7656099999999999E-3</v>
      </c>
      <c r="K184" s="13">
        <v>1.9302E-3</v>
      </c>
      <c r="L184" s="13">
        <v>1.9699399999999999E-3</v>
      </c>
      <c r="M184" s="13">
        <v>1.9784300000000002E-3</v>
      </c>
      <c r="N184" s="13">
        <v>1.95685E-3</v>
      </c>
      <c r="O184" s="13">
        <v>1.8657599999999999E-3</v>
      </c>
      <c r="P184" s="13">
        <v>1.7770500000000001E-3</v>
      </c>
    </row>
    <row r="185" spans="1:32">
      <c r="A185" s="13" t="s">
        <v>607</v>
      </c>
      <c r="B185" s="13" t="s">
        <v>1</v>
      </c>
      <c r="C185" s="13" t="s">
        <v>157</v>
      </c>
      <c r="D185" s="13" t="s">
        <v>430</v>
      </c>
      <c r="E185" s="62" t="s">
        <v>551</v>
      </c>
      <c r="F185" s="13">
        <v>1.72737E-3</v>
      </c>
      <c r="G185" s="13">
        <v>4.4150700000000001E-3</v>
      </c>
      <c r="H185" s="13">
        <v>3.7325700000000002E-3</v>
      </c>
      <c r="I185" s="13">
        <v>3.78657E-3</v>
      </c>
      <c r="J185" s="13">
        <v>3.8683699999999999E-3</v>
      </c>
      <c r="K185" s="13">
        <v>3.84155E-3</v>
      </c>
      <c r="L185" s="13">
        <v>3.7935299999999998E-3</v>
      </c>
      <c r="M185" s="13">
        <v>3.7427200000000002E-3</v>
      </c>
      <c r="N185" s="13">
        <v>3.6736300000000002E-3</v>
      </c>
      <c r="O185" s="13">
        <v>3.5926199999999999E-3</v>
      </c>
      <c r="P185" s="13">
        <v>3.6103900000000002E-3</v>
      </c>
    </row>
    <row r="186" spans="1:32">
      <c r="A186" s="13" t="s">
        <v>607</v>
      </c>
      <c r="B186" s="13" t="s">
        <v>1</v>
      </c>
      <c r="C186" s="13" t="s">
        <v>158</v>
      </c>
      <c r="D186" s="13" t="s">
        <v>430</v>
      </c>
      <c r="E186" s="83" t="s">
        <v>552</v>
      </c>
      <c r="F186" s="13">
        <v>0</v>
      </c>
      <c r="G186" s="13">
        <v>0</v>
      </c>
      <c r="H186" s="13">
        <v>0</v>
      </c>
      <c r="I186" s="13">
        <v>0</v>
      </c>
      <c r="J186" s="63">
        <v>6.8090700000000002E-4</v>
      </c>
      <c r="K186" s="13">
        <v>5.3732700000000003E-3</v>
      </c>
      <c r="L186" s="13">
        <v>9.8000899999999991E-3</v>
      </c>
      <c r="M186" s="13">
        <v>1.3978900000000001E-2</v>
      </c>
      <c r="N186" s="13">
        <v>1.46728E-2</v>
      </c>
      <c r="O186" s="13">
        <v>1.55429E-2</v>
      </c>
      <c r="P186" s="13">
        <v>1.7835899999999998E-2</v>
      </c>
    </row>
    <row r="187" spans="1:32">
      <c r="A187" s="13" t="s">
        <v>607</v>
      </c>
      <c r="B187" s="13" t="s">
        <v>1</v>
      </c>
      <c r="C187" s="13" t="s">
        <v>159</v>
      </c>
      <c r="D187" s="13" t="s">
        <v>430</v>
      </c>
      <c r="E187" s="62" t="s">
        <v>553</v>
      </c>
      <c r="F187" s="13">
        <v>0</v>
      </c>
      <c r="G187" s="13">
        <v>0</v>
      </c>
      <c r="H187" s="13">
        <v>0</v>
      </c>
      <c r="I187" s="13">
        <v>0</v>
      </c>
      <c r="J187" s="13">
        <v>1.1755100000000001E-3</v>
      </c>
      <c r="K187" s="13">
        <v>6.2107999999999998E-3</v>
      </c>
      <c r="L187" s="13">
        <v>8.3581300000000001E-3</v>
      </c>
      <c r="M187" s="13">
        <v>9.5306899999999996E-3</v>
      </c>
      <c r="N187" s="13">
        <v>9.4369299999999996E-3</v>
      </c>
      <c r="O187" s="13">
        <v>9.2458499999999999E-3</v>
      </c>
      <c r="P187" s="13">
        <v>1.00567E-2</v>
      </c>
    </row>
    <row r="188" spans="1:32">
      <c r="A188" s="13" t="s">
        <v>607</v>
      </c>
      <c r="B188" s="13" t="s">
        <v>1</v>
      </c>
      <c r="C188" s="13" t="s">
        <v>160</v>
      </c>
      <c r="D188" s="13" t="s">
        <v>430</v>
      </c>
      <c r="E188" s="83" t="s">
        <v>554</v>
      </c>
      <c r="F188" s="13">
        <v>0</v>
      </c>
      <c r="G188" s="13">
        <v>0</v>
      </c>
      <c r="H188" s="13">
        <v>0</v>
      </c>
      <c r="I188" s="13">
        <v>0</v>
      </c>
      <c r="J188" s="13">
        <v>1.4757500000000001E-3</v>
      </c>
      <c r="K188" s="13">
        <v>1.451818E-2</v>
      </c>
      <c r="L188" s="13">
        <v>2.8269545E-2</v>
      </c>
      <c r="M188" s="13">
        <v>3.6166045999999903E-2</v>
      </c>
      <c r="N188" s="13">
        <v>3.8876696000000002E-2</v>
      </c>
      <c r="O188" s="13">
        <v>3.7114149999999999E-2</v>
      </c>
      <c r="P188" s="13">
        <v>3.4080550000000001E-2</v>
      </c>
    </row>
    <row r="189" spans="1:32">
      <c r="A189" s="13" t="s">
        <v>607</v>
      </c>
      <c r="B189" s="13" t="s">
        <v>1</v>
      </c>
      <c r="C189" s="13" t="s">
        <v>160</v>
      </c>
      <c r="D189" s="13" t="s">
        <v>430</v>
      </c>
      <c r="E189" s="83" t="s">
        <v>555</v>
      </c>
      <c r="F189" s="13">
        <v>0</v>
      </c>
      <c r="G189" s="13">
        <v>0</v>
      </c>
      <c r="H189" s="13">
        <v>0</v>
      </c>
      <c r="I189" s="13">
        <v>0</v>
      </c>
      <c r="J189" s="63">
        <v>6.1616299999999998E-4</v>
      </c>
      <c r="K189" s="13">
        <v>7.091684E-3</v>
      </c>
      <c r="L189" s="13">
        <v>1.7044153999999999E-2</v>
      </c>
      <c r="M189" s="13">
        <v>2.6440103E-2</v>
      </c>
      <c r="N189" s="13">
        <v>3.4831027000000001E-2</v>
      </c>
      <c r="O189" s="13">
        <v>4.037019E-2</v>
      </c>
      <c r="P189" s="13">
        <v>4.6256180000000001E-2</v>
      </c>
    </row>
    <row r="190" spans="1:32" s="62" customFormat="1">
      <c r="E190" s="87" t="s">
        <v>574</v>
      </c>
      <c r="I190" s="62">
        <f>SUM(I182,I184:I185,I187)</f>
        <v>7.9864199999999993E-3</v>
      </c>
      <c r="J190" s="62">
        <f t="shared" ref="J190:P190" si="23">SUM(J182,J184:J185,J187)</f>
        <v>9.5435999999999993E-3</v>
      </c>
      <c r="K190" s="62">
        <f t="shared" si="23"/>
        <v>1.475607E-2</v>
      </c>
      <c r="L190" s="62">
        <f t="shared" si="23"/>
        <v>1.700397E-2</v>
      </c>
      <c r="M190" s="62">
        <f t="shared" si="23"/>
        <v>1.8006359999999999E-2</v>
      </c>
      <c r="N190" s="62">
        <f t="shared" si="23"/>
        <v>1.7597170000000002E-2</v>
      </c>
      <c r="O190" s="62">
        <f t="shared" si="23"/>
        <v>1.7026409999999999E-2</v>
      </c>
      <c r="P190" s="62">
        <f t="shared" si="23"/>
        <v>1.777084E-2</v>
      </c>
    </row>
    <row r="191" spans="1:32">
      <c r="E191" s="62" t="s">
        <v>575</v>
      </c>
      <c r="F191" s="62">
        <f>SUM(F182:F189,F185:F186,F188:F189)</f>
        <v>5.3705179999999995E-3</v>
      </c>
      <c r="G191" s="62">
        <f t="shared" ref="G191:H191" si="24">SUM(G182:G183,G185:G186,G188:G189)</f>
        <v>7.55385E-3</v>
      </c>
      <c r="H191" s="62">
        <f t="shared" si="24"/>
        <v>6.38618E-3</v>
      </c>
      <c r="I191" s="63">
        <f t="shared" ref="I191:J191" si="25">SUM(I183,I186,I188:I189)</f>
        <v>0</v>
      </c>
      <c r="J191" s="63">
        <f t="shared" si="25"/>
        <v>2.7847884E-3</v>
      </c>
      <c r="K191" s="63">
        <f>SUM(K183,K186,K188:K189)</f>
        <v>2.74096809E-2</v>
      </c>
      <c r="L191" s="63">
        <f t="shared" ref="L191:P191" si="26">SUM(L183,L186,L188:L189)</f>
        <v>5.739328237E-2</v>
      </c>
      <c r="M191" s="63">
        <f t="shared" si="26"/>
        <v>8.4674871819999914E-2</v>
      </c>
      <c r="N191" s="63">
        <f t="shared" si="26"/>
        <v>0.1043742311999999</v>
      </c>
      <c r="O191" s="63">
        <f t="shared" si="26"/>
        <v>0.11700974958999999</v>
      </c>
      <c r="P191" s="63">
        <f t="shared" si="26"/>
        <v>0.13027354503999999</v>
      </c>
    </row>
    <row r="192" spans="1:32">
      <c r="E192" s="13" t="s">
        <v>560</v>
      </c>
      <c r="F192" s="13">
        <f>SUM(F182:F189)</f>
        <v>3.6431479999999997E-3</v>
      </c>
      <c r="G192" s="62">
        <f t="shared" ref="G192:P192" si="27">SUM(G182:G189)</f>
        <v>9.31184E-3</v>
      </c>
      <c r="H192" s="62">
        <f t="shared" si="27"/>
        <v>7.8724699999999995E-3</v>
      </c>
      <c r="I192" s="62">
        <f t="shared" si="27"/>
        <v>7.9864199999999993E-3</v>
      </c>
      <c r="J192" s="62">
        <f t="shared" si="27"/>
        <v>1.2328388399999998E-2</v>
      </c>
      <c r="K192" s="62">
        <f t="shared" si="27"/>
        <v>4.21657509E-2</v>
      </c>
      <c r="L192" s="62">
        <f t="shared" si="27"/>
        <v>7.439725237E-2</v>
      </c>
      <c r="M192" s="62">
        <f t="shared" si="27"/>
        <v>0.10268123181999991</v>
      </c>
      <c r="N192" s="62">
        <f t="shared" si="27"/>
        <v>0.1219714011999999</v>
      </c>
      <c r="O192" s="62">
        <f t="shared" si="27"/>
        <v>0.13403615958999998</v>
      </c>
      <c r="P192" s="62">
        <f t="shared" si="27"/>
        <v>0.14804438504</v>
      </c>
    </row>
    <row r="203" spans="12:41">
      <c r="V203" s="63"/>
      <c r="AC203" s="13">
        <v>0</v>
      </c>
      <c r="AD203" s="13">
        <v>0</v>
      </c>
      <c r="AE203" s="13">
        <v>0</v>
      </c>
      <c r="AF203" s="13" t="s">
        <v>541</v>
      </c>
      <c r="AH203" s="62">
        <v>2015</v>
      </c>
      <c r="AI203" s="62">
        <v>2020</v>
      </c>
      <c r="AJ203" s="62">
        <v>2025</v>
      </c>
      <c r="AK203" s="62">
        <v>2030</v>
      </c>
      <c r="AL203" s="62">
        <v>2035</v>
      </c>
      <c r="AM203" s="62">
        <v>2040</v>
      </c>
      <c r="AN203" s="62">
        <v>2045</v>
      </c>
      <c r="AO203" s="62">
        <v>2050</v>
      </c>
    </row>
    <row r="204" spans="12:41">
      <c r="Q204" s="13" t="s">
        <v>580</v>
      </c>
      <c r="R204" s="62">
        <v>1990</v>
      </c>
      <c r="S204" s="62">
        <v>2005</v>
      </c>
      <c r="T204" s="62">
        <v>2010</v>
      </c>
      <c r="U204" s="62">
        <v>2015</v>
      </c>
      <c r="V204" s="62">
        <v>2020</v>
      </c>
      <c r="W204" s="62">
        <v>2025</v>
      </c>
      <c r="X204" s="62">
        <v>2030</v>
      </c>
      <c r="Y204" s="62">
        <v>2035</v>
      </c>
      <c r="Z204" s="62">
        <v>2040</v>
      </c>
      <c r="AA204" s="62">
        <v>2045</v>
      </c>
      <c r="AB204" s="62">
        <v>2050</v>
      </c>
      <c r="AC204" s="13">
        <v>0</v>
      </c>
      <c r="AD204" s="13">
        <v>0</v>
      </c>
      <c r="AE204" s="13">
        <v>0</v>
      </c>
      <c r="AF204" s="13" t="s">
        <v>541</v>
      </c>
      <c r="AG204" s="62" t="s">
        <v>580</v>
      </c>
      <c r="AH204" s="13">
        <f>U208</f>
        <v>0</v>
      </c>
      <c r="AI204" s="62">
        <f t="shared" ref="AI204:AO204" si="28">V208</f>
        <v>3.7311720000000003E-4</v>
      </c>
      <c r="AJ204" s="62">
        <f t="shared" si="28"/>
        <v>4.5479658700000002E-3</v>
      </c>
      <c r="AK204" s="62">
        <f t="shared" si="28"/>
        <v>1.3030372809999989E-2</v>
      </c>
      <c r="AL204" s="62">
        <f t="shared" si="28"/>
        <v>2.4097531149999997E-2</v>
      </c>
      <c r="AM204" s="62">
        <f t="shared" si="28"/>
        <v>3.7668685100000002E-2</v>
      </c>
      <c r="AN204" s="62">
        <f t="shared" si="28"/>
        <v>4.5427206649999899E-2</v>
      </c>
      <c r="AO204" s="62">
        <f t="shared" si="28"/>
        <v>5.0200330180000002E-2</v>
      </c>
    </row>
    <row r="205" spans="12:41">
      <c r="L205" s="13" t="s">
        <v>606</v>
      </c>
      <c r="M205" s="13" t="s">
        <v>1</v>
      </c>
      <c r="N205" s="13" t="s">
        <v>156</v>
      </c>
      <c r="O205" s="13" t="s">
        <v>576</v>
      </c>
      <c r="P205" s="13" t="s">
        <v>2</v>
      </c>
      <c r="Q205" s="13" t="s">
        <v>549</v>
      </c>
      <c r="R205" s="13">
        <v>0</v>
      </c>
      <c r="S205" s="13">
        <v>0</v>
      </c>
      <c r="T205" s="13">
        <v>0</v>
      </c>
      <c r="U205" s="13">
        <v>0</v>
      </c>
      <c r="V205" s="63">
        <v>6.0831999999999996E-6</v>
      </c>
      <c r="W205" s="63">
        <v>9.310427E-5</v>
      </c>
      <c r="X205" s="63">
        <v>3.2003070999999999E-4</v>
      </c>
      <c r="Y205" s="63">
        <v>8.7587954999999995E-4</v>
      </c>
      <c r="Z205" s="13">
        <v>1.808469E-3</v>
      </c>
      <c r="AA205" s="13">
        <v>2.67507865E-3</v>
      </c>
      <c r="AB205" s="63">
        <v>3.3398381800000001E-3</v>
      </c>
      <c r="AC205" s="13">
        <v>0</v>
      </c>
      <c r="AD205" s="13">
        <v>0</v>
      </c>
      <c r="AE205" s="13">
        <v>0</v>
      </c>
      <c r="AF205" s="13" t="s">
        <v>541</v>
      </c>
      <c r="AG205" s="62" t="s">
        <v>579</v>
      </c>
      <c r="AH205" s="13">
        <f>U214</f>
        <v>0</v>
      </c>
      <c r="AI205" s="62">
        <f t="shared" ref="AI205:AO205" si="29">V214</f>
        <v>7.7505400000000006E-4</v>
      </c>
      <c r="AJ205" s="62">
        <f t="shared" si="29"/>
        <v>1.1110350799999998E-2</v>
      </c>
      <c r="AK205" s="62">
        <f t="shared" si="29"/>
        <v>3.1545453000000001E-2</v>
      </c>
      <c r="AL205" s="62">
        <f t="shared" si="29"/>
        <v>6.0471210499999997E-2</v>
      </c>
      <c r="AM205" s="62">
        <f t="shared" si="29"/>
        <v>9.7870686389999989E-2</v>
      </c>
      <c r="AN205" s="62">
        <f t="shared" si="29"/>
        <v>0.1246777112899999</v>
      </c>
      <c r="AO205" s="62">
        <f t="shared" si="29"/>
        <v>0.14900690700999991</v>
      </c>
    </row>
    <row r="206" spans="12:41">
      <c r="L206" s="13" t="s">
        <v>606</v>
      </c>
      <c r="M206" s="13" t="s">
        <v>1</v>
      </c>
      <c r="N206" s="13" t="s">
        <v>160</v>
      </c>
      <c r="O206" s="13" t="s">
        <v>576</v>
      </c>
      <c r="P206" s="13" t="s">
        <v>2</v>
      </c>
      <c r="Q206" s="13" t="s">
        <v>554</v>
      </c>
      <c r="R206" s="13">
        <v>0</v>
      </c>
      <c r="S206" s="13">
        <v>0</v>
      </c>
      <c r="T206" s="13">
        <v>0</v>
      </c>
      <c r="U206" s="13">
        <v>0</v>
      </c>
      <c r="V206" s="63">
        <v>2.64932E-4</v>
      </c>
      <c r="W206" s="13">
        <v>3.0621730000000001E-3</v>
      </c>
      <c r="X206" s="13">
        <v>8.4920689999999997E-3</v>
      </c>
      <c r="Y206" s="13">
        <v>1.5131173499999999E-2</v>
      </c>
      <c r="Z206" s="13">
        <v>2.27514259E-2</v>
      </c>
      <c r="AA206" s="13">
        <v>2.6590586999999999E-2</v>
      </c>
      <c r="AB206" s="13">
        <v>2.8655969999999999E-2</v>
      </c>
      <c r="AC206" s="13">
        <v>0</v>
      </c>
      <c r="AD206" s="13">
        <v>0</v>
      </c>
      <c r="AE206" s="13">
        <v>0</v>
      </c>
      <c r="AF206" s="13" t="s">
        <v>541</v>
      </c>
      <c r="AG206" s="13" t="s">
        <v>585</v>
      </c>
      <c r="AK206" s="13">
        <v>4.5239999999999995E-2</v>
      </c>
      <c r="AL206" s="62">
        <v>9.9929999999999991E-2</v>
      </c>
      <c r="AM206" s="62">
        <v>0.15462000000000001</v>
      </c>
      <c r="AN206" s="62">
        <v>0.20931</v>
      </c>
      <c r="AO206" s="62">
        <v>0.26400000000000001</v>
      </c>
    </row>
    <row r="207" spans="12:41">
      <c r="L207" s="13" t="s">
        <v>606</v>
      </c>
      <c r="M207" s="13" t="s">
        <v>1</v>
      </c>
      <c r="N207" s="13" t="s">
        <v>160</v>
      </c>
      <c r="O207" s="13" t="s">
        <v>576</v>
      </c>
      <c r="P207" s="13" t="s">
        <v>2</v>
      </c>
      <c r="Q207" s="13" t="s">
        <v>555</v>
      </c>
      <c r="R207" s="13">
        <v>0</v>
      </c>
      <c r="S207" s="13">
        <v>0</v>
      </c>
      <c r="T207" s="13">
        <v>0</v>
      </c>
      <c r="U207" s="13">
        <v>0</v>
      </c>
      <c r="V207" s="63">
        <v>1.0210200000000001E-4</v>
      </c>
      <c r="W207" s="63">
        <v>1.3926886E-3</v>
      </c>
      <c r="X207" s="63">
        <v>4.2182730999999899E-3</v>
      </c>
      <c r="Y207" s="63">
        <v>8.0904780999999995E-3</v>
      </c>
      <c r="Z207" s="63">
        <v>1.31087902E-2</v>
      </c>
      <c r="AA207" s="63">
        <v>1.6161540999999901E-2</v>
      </c>
      <c r="AB207" s="63">
        <v>1.8204522000000001E-2</v>
      </c>
      <c r="AC207" s="13">
        <v>0</v>
      </c>
      <c r="AD207" s="13">
        <v>0</v>
      </c>
      <c r="AE207" s="13">
        <v>0</v>
      </c>
      <c r="AF207" s="13" t="s">
        <v>541</v>
      </c>
    </row>
    <row r="208" spans="12:41">
      <c r="Q208" s="62" t="s">
        <v>538</v>
      </c>
      <c r="R208" s="62">
        <f>SUM(R205:R207)</f>
        <v>0</v>
      </c>
      <c r="S208" s="62">
        <f t="shared" ref="S208" si="30">SUM(S205:S207)</f>
        <v>0</v>
      </c>
      <c r="T208" s="62">
        <f t="shared" ref="T208" si="31">SUM(T205:T207)</f>
        <v>0</v>
      </c>
      <c r="U208" s="62">
        <f t="shared" ref="U208" si="32">SUM(U205:U207)</f>
        <v>0</v>
      </c>
      <c r="V208" s="62">
        <f t="shared" ref="V208" si="33">SUM(V205:V207)</f>
        <v>3.7311720000000003E-4</v>
      </c>
      <c r="W208" s="62">
        <f t="shared" ref="W208" si="34">SUM(W205:W207)</f>
        <v>4.5479658700000002E-3</v>
      </c>
      <c r="X208" s="62">
        <f t="shared" ref="X208" si="35">SUM(X205:X207)</f>
        <v>1.3030372809999989E-2</v>
      </c>
      <c r="Y208" s="62">
        <f t="shared" ref="Y208" si="36">SUM(Y205:Y207)</f>
        <v>2.4097531149999997E-2</v>
      </c>
      <c r="Z208" s="62">
        <f t="shared" ref="Z208" si="37">SUM(Z205:Z207)</f>
        <v>3.7668685100000002E-2</v>
      </c>
      <c r="AA208" s="62">
        <f t="shared" ref="AA208" si="38">SUM(AA205:AA207)</f>
        <v>4.5427206649999899E-2</v>
      </c>
      <c r="AB208" s="62">
        <f t="shared" ref="AB208" si="39">SUM(AB205:AB207)</f>
        <v>5.0200330180000002E-2</v>
      </c>
      <c r="AC208" s="13">
        <v>0</v>
      </c>
      <c r="AD208" s="13">
        <v>0</v>
      </c>
      <c r="AE208" s="13">
        <v>0</v>
      </c>
      <c r="AF208" s="13" t="s">
        <v>541</v>
      </c>
    </row>
    <row r="209" spans="12:32">
      <c r="V209" s="63"/>
      <c r="X209" s="13">
        <f>X208*Q217</f>
        <v>91212.609669999918</v>
      </c>
      <c r="AB209" s="13">
        <f>AB208*Q217</f>
        <v>351402.31125999999</v>
      </c>
      <c r="AC209" s="13">
        <v>0</v>
      </c>
      <c r="AD209" s="13">
        <v>0</v>
      </c>
      <c r="AE209" s="13">
        <v>0</v>
      </c>
      <c r="AF209" s="13" t="s">
        <v>541</v>
      </c>
    </row>
    <row r="210" spans="12:32">
      <c r="Q210" s="13" t="s">
        <v>579</v>
      </c>
      <c r="R210" s="62">
        <v>1990</v>
      </c>
      <c r="S210" s="62">
        <v>2005</v>
      </c>
      <c r="T210" s="62">
        <v>2010</v>
      </c>
      <c r="U210" s="62">
        <v>2015</v>
      </c>
      <c r="V210" s="62">
        <v>2020</v>
      </c>
      <c r="W210" s="62">
        <v>2025</v>
      </c>
      <c r="X210" s="62">
        <v>2030</v>
      </c>
      <c r="Y210" s="62">
        <v>2035</v>
      </c>
      <c r="Z210" s="62">
        <v>2040</v>
      </c>
      <c r="AA210" s="62">
        <v>2045</v>
      </c>
      <c r="AB210" s="62">
        <v>2050</v>
      </c>
      <c r="AC210" s="13">
        <v>0</v>
      </c>
      <c r="AD210" s="13">
        <v>0</v>
      </c>
      <c r="AE210" s="13">
        <v>0</v>
      </c>
      <c r="AF210" s="13" t="s">
        <v>541</v>
      </c>
    </row>
    <row r="211" spans="12:32">
      <c r="L211" s="13" t="s">
        <v>607</v>
      </c>
      <c r="M211" s="13" t="s">
        <v>1</v>
      </c>
      <c r="N211" s="13" t="s">
        <v>156</v>
      </c>
      <c r="O211" s="13" t="s">
        <v>576</v>
      </c>
      <c r="P211" s="13" t="s">
        <v>2</v>
      </c>
      <c r="Q211" s="13" t="s">
        <v>549</v>
      </c>
      <c r="R211" s="13">
        <v>0</v>
      </c>
      <c r="S211" s="13">
        <v>0</v>
      </c>
      <c r="T211" s="13">
        <v>0</v>
      </c>
      <c r="U211" s="13">
        <v>0</v>
      </c>
      <c r="V211" s="63">
        <v>1.7210999999999998E-5</v>
      </c>
      <c r="W211" s="63">
        <v>4.6596079999999899E-4</v>
      </c>
      <c r="X211" s="62">
        <v>2.4307740000000001E-3</v>
      </c>
      <c r="Y211" s="62">
        <v>8.5431916999999993E-3</v>
      </c>
      <c r="Z211" s="62">
        <v>2.0001550489999999E-2</v>
      </c>
      <c r="AA211" s="62">
        <v>3.1539203289999998E-2</v>
      </c>
      <c r="AB211" s="62">
        <v>4.3303137009999999E-2</v>
      </c>
      <c r="AC211" s="13">
        <v>0</v>
      </c>
      <c r="AD211" s="13">
        <v>0</v>
      </c>
      <c r="AE211" s="13">
        <v>0</v>
      </c>
      <c r="AF211" s="13" t="s">
        <v>541</v>
      </c>
    </row>
    <row r="212" spans="12:32">
      <c r="L212" s="13" t="s">
        <v>607</v>
      </c>
      <c r="M212" s="13" t="s">
        <v>1</v>
      </c>
      <c r="N212" s="13" t="s">
        <v>160</v>
      </c>
      <c r="O212" s="13" t="s">
        <v>576</v>
      </c>
      <c r="P212" s="13" t="s">
        <v>2</v>
      </c>
      <c r="Q212" s="13" t="s">
        <v>554</v>
      </c>
      <c r="R212" s="13">
        <v>0</v>
      </c>
      <c r="S212" s="13">
        <v>0</v>
      </c>
      <c r="T212" s="13">
        <v>0</v>
      </c>
      <c r="U212" s="13">
        <v>0</v>
      </c>
      <c r="V212" s="63">
        <v>5.33327E-4</v>
      </c>
      <c r="W212" s="62">
        <v>7.110028E-3</v>
      </c>
      <c r="X212" s="62">
        <v>1.787857E-2</v>
      </c>
      <c r="Y212" s="62">
        <v>2.9076191000000001E-2</v>
      </c>
      <c r="Z212" s="62">
        <v>3.9279791299999998E-2</v>
      </c>
      <c r="AA212" s="62">
        <v>4.2952489999999899E-2</v>
      </c>
      <c r="AB212" s="62">
        <v>4.4004750000000002E-2</v>
      </c>
      <c r="AC212" s="13">
        <v>0</v>
      </c>
      <c r="AD212" s="13">
        <v>0</v>
      </c>
      <c r="AE212" s="13">
        <v>0</v>
      </c>
      <c r="AF212" s="13" t="s">
        <v>541</v>
      </c>
    </row>
    <row r="213" spans="12:32">
      <c r="L213" s="13" t="s">
        <v>607</v>
      </c>
      <c r="M213" s="13" t="s">
        <v>1</v>
      </c>
      <c r="N213" s="13" t="s">
        <v>160</v>
      </c>
      <c r="O213" s="13" t="s">
        <v>576</v>
      </c>
      <c r="P213" s="13" t="s">
        <v>2</v>
      </c>
      <c r="Q213" s="13" t="s">
        <v>555</v>
      </c>
      <c r="R213" s="13">
        <v>0</v>
      </c>
      <c r="S213" s="13">
        <v>0</v>
      </c>
      <c r="T213" s="13">
        <v>0</v>
      </c>
      <c r="U213" s="13">
        <v>0</v>
      </c>
      <c r="V213" s="63">
        <v>2.2451599999999999E-4</v>
      </c>
      <c r="W213" s="62">
        <v>3.5343620000000001E-3</v>
      </c>
      <c r="X213" s="62">
        <v>1.1236108999999999E-2</v>
      </c>
      <c r="Y213" s="62">
        <v>2.2851827799999998E-2</v>
      </c>
      <c r="Z213" s="62">
        <v>3.8589344599999999E-2</v>
      </c>
      <c r="AA213" s="62">
        <v>5.0186017999999999E-2</v>
      </c>
      <c r="AB213" s="62">
        <v>6.1699019999999903E-2</v>
      </c>
      <c r="AC213" s="13">
        <v>0</v>
      </c>
      <c r="AD213" s="13">
        <v>0</v>
      </c>
      <c r="AE213" s="13">
        <v>0</v>
      </c>
      <c r="AF213" s="13" t="s">
        <v>541</v>
      </c>
    </row>
    <row r="214" spans="12:32">
      <c r="Q214" s="13" t="s">
        <v>538</v>
      </c>
      <c r="R214" s="13">
        <f>SUM(R211:R213)</f>
        <v>0</v>
      </c>
      <c r="S214" s="62">
        <f t="shared" ref="S214:AB214" si="40">SUM(S211:S213)</f>
        <v>0</v>
      </c>
      <c r="T214" s="62">
        <f t="shared" si="40"/>
        <v>0</v>
      </c>
      <c r="U214" s="62">
        <f t="shared" si="40"/>
        <v>0</v>
      </c>
      <c r="V214" s="62">
        <f t="shared" si="40"/>
        <v>7.7505400000000006E-4</v>
      </c>
      <c r="W214" s="62">
        <f t="shared" si="40"/>
        <v>1.1110350799999998E-2</v>
      </c>
      <c r="X214" s="62">
        <f t="shared" si="40"/>
        <v>3.1545453000000001E-2</v>
      </c>
      <c r="Y214" s="62">
        <f t="shared" si="40"/>
        <v>6.0471210499999997E-2</v>
      </c>
      <c r="Z214" s="62">
        <f t="shared" si="40"/>
        <v>9.7870686389999989E-2</v>
      </c>
      <c r="AA214" s="62">
        <f t="shared" si="40"/>
        <v>0.1246777112899999</v>
      </c>
      <c r="AB214" s="62">
        <f t="shared" si="40"/>
        <v>0.14900690700999991</v>
      </c>
      <c r="AC214" s="13">
        <v>0</v>
      </c>
      <c r="AD214" s="13">
        <v>0</v>
      </c>
      <c r="AE214" s="13">
        <v>0</v>
      </c>
      <c r="AF214" s="13" t="s">
        <v>541</v>
      </c>
    </row>
    <row r="215" spans="12:32">
      <c r="Q215" s="13" t="s">
        <v>577</v>
      </c>
      <c r="X215" s="13">
        <v>377000</v>
      </c>
      <c r="AB215" s="13">
        <v>2200000</v>
      </c>
      <c r="AC215" s="13">
        <v>0</v>
      </c>
      <c r="AD215" s="13">
        <v>0</v>
      </c>
      <c r="AE215" s="13">
        <v>0</v>
      </c>
      <c r="AF215" s="13" t="s">
        <v>541</v>
      </c>
    </row>
    <row r="216" spans="12:32">
      <c r="Q216" s="88"/>
      <c r="X216" s="4"/>
      <c r="Y216" s="4"/>
      <c r="Z216" s="4"/>
      <c r="AA216" s="4"/>
      <c r="AB216" s="4"/>
    </row>
    <row r="217" spans="12:32">
      <c r="Q217" s="13">
        <v>7000000</v>
      </c>
      <c r="X217" s="13">
        <f>X214*Q217</f>
        <v>220818.171</v>
      </c>
      <c r="AB217" s="13">
        <f>AB214*Q217</f>
        <v>1043048.3490699994</v>
      </c>
    </row>
    <row r="219" spans="12:32">
      <c r="S219" s="81">
        <v>2030</v>
      </c>
      <c r="T219" s="81">
        <v>2050</v>
      </c>
      <c r="U219" s="13" t="s">
        <v>578</v>
      </c>
      <c r="W219" s="4"/>
      <c r="X219" s="89">
        <v>2030</v>
      </c>
      <c r="Y219" s="89">
        <v>2050</v>
      </c>
      <c r="Z219" s="62" t="s">
        <v>542</v>
      </c>
    </row>
    <row r="220" spans="12:32">
      <c r="R220" s="81" t="s">
        <v>577</v>
      </c>
      <c r="S220" s="82">
        <v>377000</v>
      </c>
      <c r="T220" s="82">
        <v>2200000</v>
      </c>
      <c r="W220" s="89" t="s">
        <v>577</v>
      </c>
      <c r="X220" s="90">
        <f>X215*O230</f>
        <v>4.5239999999999995E-2</v>
      </c>
      <c r="Y220" s="90">
        <f>AB215*O230</f>
        <v>0.26399999999999996</v>
      </c>
      <c r="Z220" s="62"/>
    </row>
    <row r="221" spans="12:32">
      <c r="R221" s="81" t="s">
        <v>580</v>
      </c>
      <c r="S221" s="82">
        <v>91214.389770000009</v>
      </c>
      <c r="T221" s="82">
        <v>351433.93907999998</v>
      </c>
      <c r="W221" s="89" t="s">
        <v>580</v>
      </c>
      <c r="X221" s="90">
        <v>1.3030627110000002E-2</v>
      </c>
      <c r="Y221" s="90">
        <v>5.0204848439999998E-2</v>
      </c>
      <c r="Z221" s="62"/>
    </row>
    <row r="222" spans="12:32">
      <c r="R222" s="81" t="s">
        <v>579</v>
      </c>
      <c r="S222" s="82">
        <v>223057.18400000001</v>
      </c>
      <c r="T222" s="82">
        <v>1056917.1991000001</v>
      </c>
      <c r="W222" s="89" t="s">
        <v>579</v>
      </c>
      <c r="X222" s="90">
        <v>3.1865312E-2</v>
      </c>
      <c r="Y222" s="90">
        <v>0.1509881713</v>
      </c>
      <c r="Z222" s="62"/>
    </row>
    <row r="225" spans="14:33">
      <c r="N225" s="13" t="s">
        <v>581</v>
      </c>
    </row>
    <row r="226" spans="14:33">
      <c r="N226" s="13" t="s">
        <v>582</v>
      </c>
      <c r="O226" s="13" t="s">
        <v>542</v>
      </c>
      <c r="R226" s="13" t="s">
        <v>605</v>
      </c>
      <c r="S226" s="13" t="s">
        <v>1</v>
      </c>
      <c r="T226" s="13" t="s">
        <v>156</v>
      </c>
      <c r="U226" s="13" t="s">
        <v>2</v>
      </c>
      <c r="V226" s="13" t="s">
        <v>549</v>
      </c>
      <c r="W226" s="13">
        <v>0</v>
      </c>
      <c r="X226" s="13">
        <v>0</v>
      </c>
      <c r="Y226" s="13">
        <v>0</v>
      </c>
      <c r="Z226" s="13">
        <v>0</v>
      </c>
      <c r="AA226" s="63">
        <v>1.7210700000000001E-5</v>
      </c>
      <c r="AB226" s="63">
        <v>4.653425E-4</v>
      </c>
      <c r="AC226" s="13">
        <v>2.4215606999999999E-3</v>
      </c>
      <c r="AD226" s="13">
        <v>8.5069445000000004E-3</v>
      </c>
      <c r="AE226" s="13">
        <v>1.9949370330000001E-2</v>
      </c>
      <c r="AF226" s="13">
        <v>3.1486735170000002E-2</v>
      </c>
      <c r="AG226" s="13">
        <v>4.3263629939999902E-2</v>
      </c>
    </row>
    <row r="227" spans="14:33">
      <c r="N227" s="13">
        <v>120</v>
      </c>
      <c r="O227" s="13">
        <f>N227*0.000000000001</f>
        <v>1.2E-10</v>
      </c>
      <c r="R227" s="13" t="s">
        <v>605</v>
      </c>
      <c r="S227" s="13" t="s">
        <v>1</v>
      </c>
      <c r="T227" s="13" t="s">
        <v>160</v>
      </c>
      <c r="U227" s="13" t="s">
        <v>2</v>
      </c>
      <c r="V227" s="13" t="s">
        <v>554</v>
      </c>
      <c r="W227" s="13">
        <v>0</v>
      </c>
      <c r="X227" s="13">
        <v>0</v>
      </c>
      <c r="Y227" s="13">
        <v>0</v>
      </c>
      <c r="Z227" s="13">
        <v>0</v>
      </c>
      <c r="AA227" s="63">
        <v>5.3332E-4</v>
      </c>
      <c r="AB227" s="13">
        <v>7.1028719999999997E-3</v>
      </c>
      <c r="AC227" s="13">
        <v>1.7860286E-2</v>
      </c>
      <c r="AD227" s="13">
        <v>2.9038598999999998E-2</v>
      </c>
      <c r="AE227" s="13">
        <v>3.9244190099999902E-2</v>
      </c>
      <c r="AF227" s="13">
        <v>4.2925350000000001E-2</v>
      </c>
      <c r="AG227" s="13">
        <v>4.3990179999999997E-2</v>
      </c>
    </row>
    <row r="228" spans="14:33">
      <c r="N228" s="13" t="s">
        <v>583</v>
      </c>
      <c r="O228" s="13" t="s">
        <v>578</v>
      </c>
      <c r="R228" s="13" t="s">
        <v>605</v>
      </c>
      <c r="S228" s="13" t="s">
        <v>1</v>
      </c>
      <c r="T228" s="13" t="s">
        <v>160</v>
      </c>
      <c r="U228" s="13" t="s">
        <v>2</v>
      </c>
      <c r="V228" s="13" t="s">
        <v>555</v>
      </c>
      <c r="W228" s="13">
        <v>0</v>
      </c>
      <c r="X228" s="13">
        <v>0</v>
      </c>
      <c r="Y228" s="13">
        <v>0</v>
      </c>
      <c r="Z228" s="13">
        <v>0</v>
      </c>
      <c r="AA228" s="63">
        <v>2.24515E-4</v>
      </c>
      <c r="AB228" s="13">
        <v>3.5342009999999998E-3</v>
      </c>
      <c r="AC228" s="13">
        <v>1.12316179999999E-2</v>
      </c>
      <c r="AD228" s="13">
        <v>2.2830057399999999E-2</v>
      </c>
      <c r="AE228" s="13">
        <v>3.8563384399999998E-2</v>
      </c>
      <c r="AF228" s="13">
        <v>5.0161611000000002E-2</v>
      </c>
      <c r="AG228" s="13">
        <v>6.1682729999999901E-2</v>
      </c>
    </row>
    <row r="229" spans="14:33">
      <c r="N229" s="13">
        <v>1</v>
      </c>
      <c r="O229" s="13">
        <v>1E-3</v>
      </c>
    </row>
    <row r="230" spans="14:33">
      <c r="O230" s="13">
        <f>O227/O229</f>
        <v>1.1999999999999999E-7</v>
      </c>
      <c r="P230" s="13" t="s">
        <v>584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A9E13-BC6C-49FD-B347-12FF15F3F308}">
  <dimension ref="A1:BP161"/>
  <sheetViews>
    <sheetView zoomScale="70" zoomScaleNormal="70" workbookViewId="0">
      <selection activeCell="AS82" sqref="AS80:AS82"/>
    </sheetView>
  </sheetViews>
  <sheetFormatPr defaultRowHeight="17.399999999999999"/>
  <cols>
    <col min="1" max="2" width="8.796875" style="62"/>
    <col min="3" max="3" width="19.796875" style="62" customWidth="1"/>
    <col min="4" max="4" width="15.69921875" style="62" bestFit="1" customWidth="1"/>
    <col min="5" max="5" width="13.296875" style="62" bestFit="1" customWidth="1"/>
    <col min="6" max="6" width="24.19921875" style="62" customWidth="1"/>
    <col min="7" max="11" width="13.296875" style="62" bestFit="1" customWidth="1"/>
    <col min="12" max="17" width="8.8984375" style="62" bestFit="1" customWidth="1"/>
    <col min="18" max="18" width="29.09765625" style="62" customWidth="1"/>
    <col min="19" max="22" width="11.09765625" style="62" bestFit="1" customWidth="1"/>
    <col min="23" max="29" width="8.8984375" style="62" bestFit="1" customWidth="1"/>
    <col min="30" max="30" width="28.296875" style="62" customWidth="1"/>
    <col min="31" max="31" width="8.8984375" style="62" bestFit="1" customWidth="1"/>
    <col min="32" max="32" width="10.59765625" style="62" customWidth="1"/>
    <col min="33" max="33" width="8.796875" style="62"/>
    <col min="34" max="44" width="10.09765625" style="62" bestFit="1" customWidth="1"/>
    <col min="45" max="48" width="8.796875" style="62"/>
    <col min="49" max="49" width="10.8984375" style="62" bestFit="1" customWidth="1"/>
    <col min="50" max="16384" width="8.796875" style="62"/>
  </cols>
  <sheetData>
    <row r="1" spans="1:17">
      <c r="A1" s="1" t="s">
        <v>18</v>
      </c>
      <c r="Q1" s="1"/>
    </row>
    <row r="2" spans="1:17">
      <c r="A2" s="62" t="s">
        <v>8</v>
      </c>
      <c r="B2" s="62" t="s">
        <v>9</v>
      </c>
      <c r="C2" s="62" t="s">
        <v>39</v>
      </c>
      <c r="D2" s="62" t="s">
        <v>40</v>
      </c>
      <c r="E2" s="62" t="s">
        <v>10</v>
      </c>
      <c r="F2" s="62" t="s">
        <v>42</v>
      </c>
      <c r="G2" s="62">
        <v>1990</v>
      </c>
      <c r="H2" s="62">
        <v>2005</v>
      </c>
      <c r="I2" s="62">
        <v>2010</v>
      </c>
      <c r="J2" s="62">
        <v>2015</v>
      </c>
      <c r="K2" s="62">
        <v>2020</v>
      </c>
      <c r="L2" s="62">
        <v>2025</v>
      </c>
      <c r="M2" s="62">
        <v>2030</v>
      </c>
      <c r="N2" s="62">
        <v>2035</v>
      </c>
      <c r="O2" s="62">
        <v>2040</v>
      </c>
      <c r="P2" s="62">
        <v>2045</v>
      </c>
      <c r="Q2" s="62">
        <v>2050</v>
      </c>
    </row>
    <row r="3" spans="1:17">
      <c r="A3" s="62" t="s">
        <v>606</v>
      </c>
      <c r="B3" s="62" t="s">
        <v>1</v>
      </c>
      <c r="C3" s="62" t="s">
        <v>63</v>
      </c>
      <c r="D3" s="62" t="s">
        <v>60</v>
      </c>
      <c r="E3" s="27" t="s">
        <v>7</v>
      </c>
      <c r="F3" s="27" t="s">
        <v>60</v>
      </c>
      <c r="G3" s="27">
        <v>4.1860899999999999E-3</v>
      </c>
      <c r="H3" s="27">
        <v>1.55318E-2</v>
      </c>
      <c r="I3" s="62">
        <v>1.25215E-2</v>
      </c>
      <c r="J3" s="62">
        <v>6.4959199999999996E-3</v>
      </c>
      <c r="K3" s="62">
        <v>6.7250909999999999E-3</v>
      </c>
      <c r="L3" s="62">
        <v>6.74407499999999E-3</v>
      </c>
      <c r="M3" s="62">
        <v>6.5620469999999997E-3</v>
      </c>
      <c r="N3" s="62">
        <v>6.0075160000000001E-3</v>
      </c>
      <c r="O3" s="62">
        <v>5.3749260000000004E-3</v>
      </c>
      <c r="P3" s="62">
        <v>5.0042483999999899E-3</v>
      </c>
      <c r="Q3" s="62">
        <v>4.7475436999999997E-3</v>
      </c>
    </row>
    <row r="4" spans="1:17">
      <c r="A4" s="62" t="s">
        <v>606</v>
      </c>
      <c r="B4" s="62" t="s">
        <v>1</v>
      </c>
      <c r="C4" s="62" t="s">
        <v>63</v>
      </c>
      <c r="D4" s="62" t="s">
        <v>19</v>
      </c>
      <c r="E4" s="27" t="s">
        <v>6</v>
      </c>
      <c r="F4" s="27" t="s">
        <v>19</v>
      </c>
      <c r="G4" s="27">
        <v>2.6574E-2</v>
      </c>
      <c r="H4" s="27">
        <v>0</v>
      </c>
      <c r="I4" s="62">
        <v>0</v>
      </c>
      <c r="J4" s="62">
        <v>0</v>
      </c>
      <c r="K4" s="62">
        <v>0</v>
      </c>
      <c r="L4" s="62">
        <v>0</v>
      </c>
      <c r="M4" s="62">
        <v>0</v>
      </c>
      <c r="N4" s="62">
        <v>0</v>
      </c>
      <c r="O4" s="62">
        <v>0</v>
      </c>
      <c r="P4" s="62">
        <v>0</v>
      </c>
      <c r="Q4" s="62">
        <v>0</v>
      </c>
    </row>
    <row r="5" spans="1:17">
      <c r="A5" s="62" t="s">
        <v>606</v>
      </c>
      <c r="B5" s="62" t="s">
        <v>1</v>
      </c>
      <c r="C5" s="62" t="s">
        <v>64</v>
      </c>
      <c r="D5" s="62" t="s">
        <v>57</v>
      </c>
      <c r="E5" s="27" t="s">
        <v>3</v>
      </c>
      <c r="F5" s="27" t="s">
        <v>57</v>
      </c>
      <c r="G5" s="27">
        <v>0</v>
      </c>
      <c r="H5" s="27">
        <v>0</v>
      </c>
      <c r="I5" s="62">
        <v>0</v>
      </c>
      <c r="J5" s="62">
        <v>2.7628000000000002E-3</v>
      </c>
      <c r="K5" s="62">
        <v>2.85321599999999E-3</v>
      </c>
      <c r="L5" s="62">
        <v>3.9167799999999999E-3</v>
      </c>
      <c r="M5" s="62">
        <v>4.9393309999999999E-3</v>
      </c>
      <c r="N5" s="62">
        <v>5.7010610000000003E-3</v>
      </c>
      <c r="O5" s="62">
        <v>6.1638370000000001E-3</v>
      </c>
      <c r="P5" s="62">
        <v>6.551365E-3</v>
      </c>
      <c r="Q5" s="62">
        <v>6.7117949999999996E-3</v>
      </c>
    </row>
    <row r="6" spans="1:17">
      <c r="A6" s="62" t="s">
        <v>606</v>
      </c>
      <c r="B6" s="62" t="s">
        <v>1</v>
      </c>
      <c r="C6" s="62" t="s">
        <v>64</v>
      </c>
      <c r="D6" s="62" t="s">
        <v>59</v>
      </c>
      <c r="E6" s="27" t="s">
        <v>5</v>
      </c>
      <c r="F6" s="27" t="s">
        <v>59</v>
      </c>
      <c r="G6" s="27">
        <v>5.2325000000000002E-3</v>
      </c>
      <c r="H6" s="27">
        <v>1.9004400000000001E-2</v>
      </c>
      <c r="I6" s="62">
        <v>2.8799700000000001E-2</v>
      </c>
      <c r="J6" s="62">
        <v>4.1901800000000003E-2</v>
      </c>
      <c r="K6" s="62">
        <v>3.9326239999999998E-2</v>
      </c>
      <c r="L6" s="62">
        <v>4.0191610000000003E-2</v>
      </c>
      <c r="M6" s="62">
        <v>3.6625110000000002E-2</v>
      </c>
      <c r="N6" s="62">
        <v>3.359243E-2</v>
      </c>
      <c r="O6" s="62">
        <v>3.2094749999999998E-2</v>
      </c>
      <c r="P6" s="62">
        <v>3.0825410000000001E-2</v>
      </c>
      <c r="Q6" s="62">
        <v>2.9881269999999901E-2</v>
      </c>
    </row>
    <row r="7" spans="1:17">
      <c r="A7" s="62" t="s">
        <v>606</v>
      </c>
      <c r="B7" s="62" t="s">
        <v>1</v>
      </c>
      <c r="C7" s="62" t="s">
        <v>64</v>
      </c>
      <c r="D7" s="62" t="s">
        <v>60</v>
      </c>
      <c r="E7" s="27" t="s">
        <v>7</v>
      </c>
      <c r="F7" s="27" t="s">
        <v>60</v>
      </c>
      <c r="G7" s="27">
        <v>0</v>
      </c>
      <c r="H7" s="27">
        <v>1.0464999999999999E-3</v>
      </c>
      <c r="I7" s="63">
        <v>1.674E-4</v>
      </c>
      <c r="J7" s="63">
        <v>1.2559999999999999E-4</v>
      </c>
      <c r="K7" s="63">
        <v>1.21790099999999E-4</v>
      </c>
      <c r="L7" s="63">
        <v>1.3410350000000001E-4</v>
      </c>
      <c r="M7" s="63">
        <v>1.3726727E-4</v>
      </c>
      <c r="N7" s="63">
        <v>1.34604839999999E-4</v>
      </c>
      <c r="O7" s="63">
        <v>1.2745970000000001E-4</v>
      </c>
      <c r="P7" s="63">
        <v>1.1941110000000001E-4</v>
      </c>
      <c r="Q7" s="63">
        <v>1.1056499E-4</v>
      </c>
    </row>
    <row r="8" spans="1:17">
      <c r="A8" s="62" t="s">
        <v>606</v>
      </c>
      <c r="B8" s="62" t="s">
        <v>1</v>
      </c>
      <c r="C8" s="62" t="s">
        <v>64</v>
      </c>
      <c r="D8" s="62" t="s">
        <v>65</v>
      </c>
      <c r="E8" s="27" t="s">
        <v>2</v>
      </c>
      <c r="F8" s="27" t="s">
        <v>65</v>
      </c>
      <c r="G8" s="27">
        <v>0</v>
      </c>
      <c r="H8" s="27">
        <v>0</v>
      </c>
      <c r="I8" s="62">
        <v>0</v>
      </c>
      <c r="J8" s="62">
        <v>0</v>
      </c>
      <c r="K8" s="63">
        <v>3.6187399999999998E-5</v>
      </c>
      <c r="L8" s="63">
        <v>2.4695700000000001E-4</v>
      </c>
      <c r="M8" s="63">
        <v>5.5515700000000002E-4</v>
      </c>
      <c r="N8" s="63">
        <v>8.6625790000000003E-4</v>
      </c>
      <c r="O8" s="62">
        <v>1.0585261E-3</v>
      </c>
      <c r="P8" s="62">
        <v>1.2887669999999999E-3</v>
      </c>
      <c r="Q8" s="62">
        <v>1.4777742999999999E-3</v>
      </c>
    </row>
    <row r="9" spans="1:17">
      <c r="A9" s="62" t="s">
        <v>606</v>
      </c>
      <c r="B9" s="62" t="s">
        <v>1</v>
      </c>
      <c r="C9" s="62" t="s">
        <v>64</v>
      </c>
      <c r="D9" s="62" t="s">
        <v>19</v>
      </c>
      <c r="E9" s="27" t="s">
        <v>6</v>
      </c>
      <c r="F9" s="27" t="s">
        <v>19</v>
      </c>
      <c r="G9" s="27">
        <v>6.4087699999999997E-2</v>
      </c>
      <c r="H9" s="27">
        <v>5.919E-2</v>
      </c>
      <c r="I9" s="62">
        <v>5.2492499999999997E-2</v>
      </c>
      <c r="J9" s="62">
        <v>1.9422999999999999E-2</v>
      </c>
      <c r="K9" s="62">
        <v>1.932791E-2</v>
      </c>
      <c r="L9" s="62">
        <v>2.2676579999999998E-2</v>
      </c>
      <c r="M9" s="62">
        <v>2.4193840000000001E-2</v>
      </c>
      <c r="N9" s="62">
        <v>2.4089348E-2</v>
      </c>
      <c r="O9" s="62">
        <v>2.3607429999999999E-2</v>
      </c>
      <c r="P9" s="62">
        <v>2.2727489999999999E-2</v>
      </c>
      <c r="Q9" s="62">
        <v>2.1781330000000002E-2</v>
      </c>
    </row>
    <row r="10" spans="1:17">
      <c r="A10" s="62" t="s">
        <v>606</v>
      </c>
      <c r="B10" s="62" t="s">
        <v>1</v>
      </c>
      <c r="C10" s="62" t="s">
        <v>61</v>
      </c>
      <c r="D10" s="62" t="s">
        <v>61</v>
      </c>
      <c r="E10" s="27" t="s">
        <v>5</v>
      </c>
      <c r="F10" s="27" t="s">
        <v>61</v>
      </c>
      <c r="G10" s="27">
        <v>1.39375E-2</v>
      </c>
      <c r="H10" s="27">
        <v>2.0152400000000001E-2</v>
      </c>
      <c r="I10" s="62">
        <v>1.9656400000000001E-2</v>
      </c>
      <c r="J10" s="62">
        <v>1.9656400000000001E-2</v>
      </c>
      <c r="K10" s="62">
        <v>2.0393643999999999E-2</v>
      </c>
      <c r="L10" s="62">
        <v>2.3707763999999999E-2</v>
      </c>
      <c r="M10" s="62">
        <v>2.4571488999999998E-2</v>
      </c>
      <c r="N10" s="62">
        <v>2.4714197E-2</v>
      </c>
      <c r="O10" s="62">
        <v>2.4835144999999999E-2</v>
      </c>
      <c r="P10" s="62">
        <v>2.5378276000000002E-2</v>
      </c>
      <c r="Q10" s="62">
        <v>2.6144399200000001E-2</v>
      </c>
    </row>
    <row r="11" spans="1:17">
      <c r="A11" s="62" t="s">
        <v>606</v>
      </c>
      <c r="B11" s="62" t="s">
        <v>1</v>
      </c>
      <c r="C11" s="62" t="s">
        <v>56</v>
      </c>
      <c r="D11" s="62" t="s">
        <v>57</v>
      </c>
      <c r="E11" s="27" t="s">
        <v>3</v>
      </c>
      <c r="F11" s="27" t="s">
        <v>57</v>
      </c>
      <c r="G11" s="27">
        <v>2.5953E-3</v>
      </c>
      <c r="H11" s="27">
        <v>5.4836900000000003E-3</v>
      </c>
      <c r="I11" s="62">
        <v>3.5999999999999999E-3</v>
      </c>
      <c r="J11" s="62">
        <v>1.1344099999999999E-2</v>
      </c>
      <c r="K11" s="62">
        <v>1.2378729999999999E-2</v>
      </c>
      <c r="L11" s="62">
        <v>1.5954240000000001E-2</v>
      </c>
      <c r="M11" s="62">
        <v>1.8907380000000001E-2</v>
      </c>
      <c r="N11" s="62">
        <v>2.3147838E-2</v>
      </c>
      <c r="O11" s="62">
        <v>2.8654427E-2</v>
      </c>
      <c r="P11" s="62">
        <v>3.2934755000000003E-2</v>
      </c>
      <c r="Q11" s="62">
        <v>3.65222376E-2</v>
      </c>
    </row>
    <row r="12" spans="1:17">
      <c r="A12" s="62" t="s">
        <v>606</v>
      </c>
      <c r="B12" s="62" t="s">
        <v>1</v>
      </c>
      <c r="C12" s="62" t="s">
        <v>56</v>
      </c>
      <c r="D12" s="62" t="s">
        <v>58</v>
      </c>
      <c r="E12" s="27" t="s">
        <v>4</v>
      </c>
      <c r="F12" s="27" t="s">
        <v>58</v>
      </c>
      <c r="G12" s="27">
        <v>1.8837000000000001E-3</v>
      </c>
      <c r="H12" s="27">
        <v>3.1814E-3</v>
      </c>
      <c r="I12" s="62">
        <v>4.2278999999999997E-3</v>
      </c>
      <c r="J12" s="62">
        <v>4.6464999999999996E-3</v>
      </c>
      <c r="K12" s="62">
        <v>5.0266099999999999E-3</v>
      </c>
      <c r="L12" s="62">
        <v>6.2833029999999996E-3</v>
      </c>
      <c r="M12" s="62">
        <v>7.2012320000000001E-3</v>
      </c>
      <c r="N12" s="62">
        <v>8.378445E-3</v>
      </c>
      <c r="O12" s="62">
        <v>1.00713E-2</v>
      </c>
      <c r="P12" s="62">
        <v>1.15589424999999E-2</v>
      </c>
      <c r="Q12" s="62">
        <v>1.2957587899999999E-2</v>
      </c>
    </row>
    <row r="13" spans="1:17">
      <c r="A13" s="62" t="s">
        <v>606</v>
      </c>
      <c r="B13" s="62" t="s">
        <v>1</v>
      </c>
      <c r="C13" s="62" t="s">
        <v>56</v>
      </c>
      <c r="D13" s="62" t="s">
        <v>59</v>
      </c>
      <c r="E13" s="27" t="s">
        <v>5</v>
      </c>
      <c r="F13" s="27" t="s">
        <v>59</v>
      </c>
      <c r="G13" s="27">
        <v>3.9306500000000001E-2</v>
      </c>
      <c r="H13" s="27">
        <v>0.143622</v>
      </c>
      <c r="I13" s="62">
        <v>0.14705399999999999</v>
      </c>
      <c r="J13" s="62">
        <v>0.17627200000000001</v>
      </c>
      <c r="K13" s="62">
        <v>0.1860851</v>
      </c>
      <c r="L13" s="62">
        <v>0.22395290000000001</v>
      </c>
      <c r="M13" s="62">
        <v>0.24429319999999999</v>
      </c>
      <c r="N13" s="62">
        <v>0.27028079999999999</v>
      </c>
      <c r="O13" s="62">
        <v>0.30377803999999903</v>
      </c>
      <c r="P13" s="62">
        <v>0.34101284999999998</v>
      </c>
      <c r="Q13" s="62">
        <v>0.38396806</v>
      </c>
    </row>
    <row r="14" spans="1:17">
      <c r="A14" s="62" t="s">
        <v>606</v>
      </c>
      <c r="B14" s="62" t="s">
        <v>1</v>
      </c>
      <c r="C14" s="62" t="s">
        <v>56</v>
      </c>
      <c r="D14" s="62" t="s">
        <v>60</v>
      </c>
      <c r="E14" s="27" t="s">
        <v>7</v>
      </c>
      <c r="F14" s="27" t="s">
        <v>60</v>
      </c>
      <c r="G14" s="27">
        <v>0</v>
      </c>
      <c r="H14" s="27">
        <v>2.2174E-3</v>
      </c>
      <c r="I14" s="62">
        <v>5.9310599999999998E-2</v>
      </c>
      <c r="J14" s="62">
        <v>5.4361800000000002E-2</v>
      </c>
      <c r="K14" s="62">
        <v>5.8544550000000001E-2</v>
      </c>
      <c r="L14" s="62">
        <v>7.3017059999999995E-2</v>
      </c>
      <c r="M14" s="62">
        <v>8.4488560000000004E-2</v>
      </c>
      <c r="N14" s="62">
        <v>0.10038295</v>
      </c>
      <c r="O14" s="62">
        <v>0.117798049999999</v>
      </c>
      <c r="P14" s="62">
        <v>0.13359601800000001</v>
      </c>
      <c r="Q14" s="62">
        <v>0.14771389499999901</v>
      </c>
    </row>
    <row r="15" spans="1:17">
      <c r="A15" s="62" t="s">
        <v>606</v>
      </c>
      <c r="B15" s="62" t="s">
        <v>1</v>
      </c>
      <c r="C15" s="62" t="s">
        <v>56</v>
      </c>
      <c r="D15" s="62" t="s">
        <v>65</v>
      </c>
      <c r="E15" s="27" t="s">
        <v>2</v>
      </c>
      <c r="F15" s="27" t="s">
        <v>65</v>
      </c>
      <c r="G15" s="27">
        <v>0</v>
      </c>
      <c r="H15" s="27">
        <v>0</v>
      </c>
      <c r="I15" s="62">
        <v>0</v>
      </c>
      <c r="J15" s="62">
        <v>0</v>
      </c>
      <c r="K15" s="63">
        <v>4.5020800000000001E-4</v>
      </c>
      <c r="L15" s="62">
        <v>3.7202509999999999E-3</v>
      </c>
      <c r="M15" s="62">
        <v>9.6094449999999994E-3</v>
      </c>
      <c r="N15" s="62">
        <v>2.4222681999999999E-2</v>
      </c>
      <c r="O15" s="62">
        <v>4.5396032000000003E-2</v>
      </c>
      <c r="P15" s="62">
        <v>6.6204000799999996E-2</v>
      </c>
      <c r="Q15" s="62">
        <v>8.8846513199999894E-2</v>
      </c>
    </row>
    <row r="16" spans="1:17">
      <c r="A16" s="62" t="s">
        <v>606</v>
      </c>
      <c r="B16" s="62" t="s">
        <v>1</v>
      </c>
      <c r="C16" s="62" t="s">
        <v>56</v>
      </c>
      <c r="D16" s="62" t="s">
        <v>19</v>
      </c>
      <c r="E16" s="27" t="s">
        <v>6</v>
      </c>
      <c r="F16" s="27" t="s">
        <v>19</v>
      </c>
      <c r="G16" s="27">
        <v>9.6065499999999998E-2</v>
      </c>
      <c r="H16" s="27">
        <v>7.1915400000000004E-2</v>
      </c>
      <c r="I16" s="62">
        <v>4.75948E-2</v>
      </c>
      <c r="J16" s="62">
        <v>2.2311399999999999E-2</v>
      </c>
      <c r="K16" s="62">
        <v>2.4399069999999998E-2</v>
      </c>
      <c r="L16" s="62">
        <v>3.20188E-2</v>
      </c>
      <c r="M16" s="62">
        <v>3.8661470000000003E-2</v>
      </c>
      <c r="N16" s="62">
        <v>4.8644560000000003E-2</v>
      </c>
      <c r="O16" s="62">
        <v>6.2147809999999998E-2</v>
      </c>
      <c r="P16" s="62">
        <v>7.3270552000000003E-2</v>
      </c>
      <c r="Q16" s="62">
        <v>8.4043622999999998E-2</v>
      </c>
    </row>
    <row r="17" spans="1:17">
      <c r="A17" s="62" t="s">
        <v>606</v>
      </c>
      <c r="B17" s="62" t="s">
        <v>1</v>
      </c>
      <c r="C17" s="62" t="s">
        <v>20</v>
      </c>
      <c r="D17" s="62" t="s">
        <v>58</v>
      </c>
      <c r="E17" s="27" t="s">
        <v>4</v>
      </c>
      <c r="F17" s="27" t="s">
        <v>58</v>
      </c>
      <c r="G17" s="27">
        <v>0</v>
      </c>
      <c r="H17" s="27">
        <v>0</v>
      </c>
      <c r="I17" s="62">
        <v>1.6953300000000001E-2</v>
      </c>
      <c r="J17" s="62">
        <v>2.3106700000000001E-2</v>
      </c>
      <c r="K17" s="62">
        <v>1.8826900000000001E-2</v>
      </c>
      <c r="L17" s="62">
        <v>1.99977E-2</v>
      </c>
      <c r="M17" s="62">
        <v>1.9488100000000001E-2</v>
      </c>
      <c r="N17" s="62">
        <v>2.0002900000000001E-2</v>
      </c>
      <c r="O17" s="62">
        <v>2.1653599999999999E-2</v>
      </c>
      <c r="P17" s="62">
        <v>2.3451300000000001E-2</v>
      </c>
      <c r="Q17" s="62">
        <v>2.3886899999999999E-2</v>
      </c>
    </row>
    <row r="18" spans="1:17">
      <c r="A18" s="62" t="s">
        <v>606</v>
      </c>
      <c r="B18" s="62" t="s">
        <v>1</v>
      </c>
      <c r="C18" s="62" t="s">
        <v>20</v>
      </c>
      <c r="D18" s="62" t="s">
        <v>19</v>
      </c>
      <c r="E18" s="27" t="s">
        <v>6</v>
      </c>
      <c r="F18" s="27" t="s">
        <v>19</v>
      </c>
      <c r="G18" s="27">
        <v>0.23639399999999999</v>
      </c>
      <c r="H18" s="27">
        <v>1.18882</v>
      </c>
      <c r="I18" s="62">
        <v>1.5032799999999999</v>
      </c>
      <c r="J18" s="62">
        <v>1.8793899999999999</v>
      </c>
      <c r="K18" s="62">
        <v>1.89863</v>
      </c>
      <c r="L18" s="62">
        <v>2.1570999999999998</v>
      </c>
      <c r="M18" s="62">
        <v>2.2750400000000002</v>
      </c>
      <c r="N18" s="62">
        <v>2.3559000000000001</v>
      </c>
      <c r="O18" s="62">
        <v>2.4420299999999999</v>
      </c>
      <c r="P18" s="62">
        <v>2.5479500000000002</v>
      </c>
      <c r="Q18" s="62">
        <v>2.6657500000000001</v>
      </c>
    </row>
    <row r="19" spans="1:17">
      <c r="A19" s="62" t="s">
        <v>606</v>
      </c>
      <c r="B19" s="62" t="s">
        <v>1</v>
      </c>
      <c r="C19" s="62" t="s">
        <v>67</v>
      </c>
      <c r="D19" s="62" t="s">
        <v>57</v>
      </c>
      <c r="E19" s="27" t="s">
        <v>3</v>
      </c>
      <c r="F19" s="27" t="s">
        <v>57</v>
      </c>
      <c r="G19" s="27">
        <v>0</v>
      </c>
      <c r="H19" s="27">
        <v>0</v>
      </c>
      <c r="I19" s="62">
        <v>0</v>
      </c>
      <c r="J19" s="62">
        <v>1.0884E-3</v>
      </c>
      <c r="K19" s="62">
        <v>1.5552259999999901E-3</v>
      </c>
      <c r="L19" s="62">
        <v>2.4376659999999998E-3</v>
      </c>
      <c r="M19" s="62">
        <v>3.400672E-3</v>
      </c>
      <c r="N19" s="62">
        <v>4.1087349999999996E-3</v>
      </c>
      <c r="O19" s="62">
        <v>4.332865E-3</v>
      </c>
      <c r="P19" s="62">
        <v>4.4239819999999999E-3</v>
      </c>
      <c r="Q19" s="62">
        <v>4.398094E-3</v>
      </c>
    </row>
    <row r="20" spans="1:17">
      <c r="A20" s="62" t="s">
        <v>606</v>
      </c>
      <c r="B20" s="62" t="s">
        <v>1</v>
      </c>
      <c r="C20" s="62" t="s">
        <v>67</v>
      </c>
      <c r="D20" s="62" t="s">
        <v>58</v>
      </c>
      <c r="E20" s="27" t="s">
        <v>4</v>
      </c>
      <c r="F20" s="27" t="s">
        <v>58</v>
      </c>
      <c r="G20" s="27">
        <v>0</v>
      </c>
      <c r="H20" s="27">
        <v>0</v>
      </c>
      <c r="I20" s="62">
        <v>0</v>
      </c>
      <c r="J20" s="62">
        <v>0</v>
      </c>
      <c r="K20" s="62">
        <v>2.11962E-3</v>
      </c>
      <c r="L20" s="62">
        <v>6.6346199999999999E-3</v>
      </c>
      <c r="M20" s="62">
        <v>1.16867E-2</v>
      </c>
      <c r="N20" s="62">
        <v>1.5419473E-2</v>
      </c>
      <c r="O20" s="62">
        <v>1.6862609000000001E-2</v>
      </c>
      <c r="P20" s="62">
        <v>1.805228E-2</v>
      </c>
      <c r="Q20" s="62">
        <v>1.883315E-2</v>
      </c>
    </row>
    <row r="21" spans="1:17">
      <c r="A21" s="62" t="s">
        <v>606</v>
      </c>
      <c r="B21" s="62" t="s">
        <v>1</v>
      </c>
      <c r="C21" s="62" t="s">
        <v>67</v>
      </c>
      <c r="D21" s="62" t="s">
        <v>59</v>
      </c>
      <c r="E21" s="27" t="s">
        <v>5</v>
      </c>
      <c r="F21" s="27" t="s">
        <v>59</v>
      </c>
      <c r="G21" s="27">
        <v>0</v>
      </c>
      <c r="H21" s="27">
        <v>0</v>
      </c>
      <c r="I21" s="62">
        <v>0</v>
      </c>
      <c r="J21" s="62">
        <v>0</v>
      </c>
      <c r="K21" s="63">
        <v>1.0941400000000001E-4</v>
      </c>
      <c r="L21" s="63">
        <v>3.4415889999999999E-4</v>
      </c>
      <c r="M21" s="63">
        <v>5.7363170000000003E-4</v>
      </c>
      <c r="N21" s="63">
        <v>7.5795029999999996E-4</v>
      </c>
      <c r="O21" s="63">
        <v>7.9547839999999999E-4</v>
      </c>
      <c r="P21" s="63">
        <v>8.4225819999999999E-4</v>
      </c>
      <c r="Q21" s="63">
        <v>8.9197229999999998E-4</v>
      </c>
    </row>
    <row r="22" spans="1:17">
      <c r="A22" s="62" t="s">
        <v>606</v>
      </c>
      <c r="B22" s="62" t="s">
        <v>1</v>
      </c>
      <c r="C22" s="62" t="s">
        <v>67</v>
      </c>
      <c r="D22" s="62" t="s">
        <v>60</v>
      </c>
      <c r="E22" s="27" t="s">
        <v>7</v>
      </c>
      <c r="F22" s="27" t="s">
        <v>60</v>
      </c>
      <c r="G22" s="27">
        <v>0</v>
      </c>
      <c r="H22" s="27">
        <v>0</v>
      </c>
      <c r="I22" s="62">
        <v>0</v>
      </c>
      <c r="J22" s="63">
        <v>3.3489899999999999E-4</v>
      </c>
      <c r="K22" s="62">
        <v>1.0345700000000001E-3</v>
      </c>
      <c r="L22" s="62">
        <v>2.5190329999999999E-3</v>
      </c>
      <c r="M22" s="62">
        <v>4.2741070999999997E-3</v>
      </c>
      <c r="N22" s="62">
        <v>5.6283569999999996E-3</v>
      </c>
      <c r="O22" s="62">
        <v>5.8665419999999998E-3</v>
      </c>
      <c r="P22" s="62">
        <v>6.0186749999999898E-3</v>
      </c>
      <c r="Q22" s="62">
        <v>6.0551349999999997E-3</v>
      </c>
    </row>
    <row r="23" spans="1:17">
      <c r="A23" s="62" t="s">
        <v>606</v>
      </c>
      <c r="B23" s="62" t="s">
        <v>1</v>
      </c>
      <c r="C23" s="62" t="s">
        <v>67</v>
      </c>
      <c r="D23" s="62" t="s">
        <v>65</v>
      </c>
      <c r="E23" s="27" t="s">
        <v>2</v>
      </c>
      <c r="F23" s="27" t="s">
        <v>65</v>
      </c>
      <c r="G23" s="27">
        <v>0</v>
      </c>
      <c r="H23" s="27">
        <v>0</v>
      </c>
      <c r="I23" s="62">
        <v>0</v>
      </c>
      <c r="J23" s="62">
        <v>0</v>
      </c>
      <c r="K23" s="63">
        <v>1.2988100000000001E-4</v>
      </c>
      <c r="L23" s="63">
        <v>4.1902500000000001E-4</v>
      </c>
      <c r="M23" s="63">
        <v>7.7712639999999997E-4</v>
      </c>
      <c r="N23" s="62">
        <v>1.0704065999999901E-3</v>
      </c>
      <c r="O23" s="62">
        <v>1.1471210999999999E-3</v>
      </c>
      <c r="P23" s="62">
        <v>1.2171039000000001E-3</v>
      </c>
      <c r="Q23" s="62">
        <v>1.2617658E-3</v>
      </c>
    </row>
    <row r="24" spans="1:17">
      <c r="A24" s="62" t="s">
        <v>606</v>
      </c>
      <c r="B24" s="62" t="s">
        <v>1</v>
      </c>
      <c r="C24" s="62" t="s">
        <v>67</v>
      </c>
      <c r="D24" s="62" t="s">
        <v>19</v>
      </c>
      <c r="E24" s="27" t="s">
        <v>6</v>
      </c>
      <c r="F24" s="27" t="s">
        <v>19</v>
      </c>
      <c r="G24" s="27">
        <v>2.1348599999999999E-2</v>
      </c>
      <c r="H24" s="27">
        <v>2.5199699999999998E-2</v>
      </c>
      <c r="I24" s="62">
        <v>3.4157800000000002E-2</v>
      </c>
      <c r="J24" s="62">
        <v>3.4408800000000003E-2</v>
      </c>
      <c r="K24" s="62">
        <v>3.3592449999999899E-2</v>
      </c>
      <c r="L24" s="62">
        <v>2.7982690000000001E-2</v>
      </c>
      <c r="M24" s="62">
        <v>1.9866499999999999E-2</v>
      </c>
      <c r="N24" s="62">
        <v>1.3293930000000001E-2</v>
      </c>
      <c r="O24" s="62">
        <v>1.084422E-2</v>
      </c>
      <c r="P24" s="62">
        <v>8.7495400000000001E-3</v>
      </c>
      <c r="Q24" s="62">
        <v>7.2285049999999997E-3</v>
      </c>
    </row>
    <row r="25" spans="1:17">
      <c r="A25" s="62" t="s">
        <v>606</v>
      </c>
      <c r="B25" s="62" t="s">
        <v>1</v>
      </c>
      <c r="C25" s="62" t="s">
        <v>21</v>
      </c>
      <c r="D25" s="62" t="s">
        <v>19</v>
      </c>
      <c r="E25" s="27" t="s">
        <v>6</v>
      </c>
      <c r="F25" s="27" t="s">
        <v>19</v>
      </c>
      <c r="G25" s="27">
        <v>3.2608900000000003E-2</v>
      </c>
      <c r="H25" s="27">
        <v>5.08599E-2</v>
      </c>
      <c r="I25" s="62">
        <v>5.3873799999999999E-2</v>
      </c>
      <c r="J25" s="62">
        <v>4.94367E-2</v>
      </c>
      <c r="K25" s="62">
        <v>5.4238799999999997E-2</v>
      </c>
      <c r="L25" s="62">
        <v>5.7499799999999997E-2</v>
      </c>
      <c r="M25" s="62">
        <v>5.8557600000000001E-2</v>
      </c>
      <c r="N25" s="62">
        <v>5.9224600000000002E-2</v>
      </c>
      <c r="O25" s="62">
        <v>6.0279899999999997E-2</v>
      </c>
      <c r="P25" s="62">
        <v>6.1346600000000001E-2</v>
      </c>
      <c r="Q25" s="62">
        <v>6.2424199999999999E-2</v>
      </c>
    </row>
    <row r="26" spans="1:17">
      <c r="A26" s="62" t="s">
        <v>606</v>
      </c>
      <c r="B26" s="62" t="s">
        <v>1</v>
      </c>
      <c r="C26" s="62" t="s">
        <v>465</v>
      </c>
      <c r="D26" s="62" t="s">
        <v>466</v>
      </c>
      <c r="E26" s="27" t="s">
        <v>5</v>
      </c>
      <c r="F26" s="27" t="s">
        <v>466</v>
      </c>
      <c r="G26" s="27">
        <v>0</v>
      </c>
      <c r="H26" s="27">
        <v>5.7160999999999997E-2</v>
      </c>
      <c r="I26" s="62">
        <v>6.5780599999999995E-2</v>
      </c>
      <c r="J26" s="62">
        <v>7.5700000000000003E-2</v>
      </c>
      <c r="K26" s="62">
        <v>7.5314499999999895E-2</v>
      </c>
      <c r="L26" s="62">
        <v>6.6825099999999998E-2</v>
      </c>
      <c r="M26" s="62">
        <v>5.3302040000000002E-2</v>
      </c>
      <c r="N26" s="62">
        <v>4.5862970000000003E-2</v>
      </c>
      <c r="O26" s="62">
        <v>4.8145300000000002E-2</v>
      </c>
      <c r="P26" s="62">
        <v>5.0483380000000001E-2</v>
      </c>
      <c r="Q26" s="62">
        <v>5.2943369999999997E-2</v>
      </c>
    </row>
    <row r="27" spans="1:17">
      <c r="A27" s="62" t="s">
        <v>606</v>
      </c>
      <c r="B27" s="62" t="s">
        <v>1</v>
      </c>
      <c r="C27" s="62" t="s">
        <v>465</v>
      </c>
      <c r="D27" s="62" t="s">
        <v>466</v>
      </c>
      <c r="E27" s="27" t="s">
        <v>5</v>
      </c>
      <c r="F27" s="27" t="s">
        <v>467</v>
      </c>
      <c r="G27" s="27">
        <v>0</v>
      </c>
      <c r="H27" s="27">
        <v>0</v>
      </c>
      <c r="I27" s="62">
        <v>0</v>
      </c>
      <c r="J27" s="62">
        <v>0</v>
      </c>
      <c r="K27" s="62">
        <v>1.34241E-2</v>
      </c>
      <c r="L27" s="62">
        <v>2.89750999999999E-2</v>
      </c>
      <c r="M27" s="62">
        <v>3.9492439999999997E-2</v>
      </c>
      <c r="N27" s="62">
        <v>4.5862970000000003E-2</v>
      </c>
      <c r="O27" s="62">
        <v>4.8145300000000002E-2</v>
      </c>
      <c r="P27" s="62">
        <v>5.0483380000000001E-2</v>
      </c>
      <c r="Q27" s="62">
        <v>5.2943369999999997E-2</v>
      </c>
    </row>
    <row r="28" spans="1:17">
      <c r="A28" s="62" t="s">
        <v>606</v>
      </c>
      <c r="B28" s="62" t="s">
        <v>1</v>
      </c>
      <c r="C28" s="62" t="s">
        <v>465</v>
      </c>
      <c r="D28" s="62" t="s">
        <v>466</v>
      </c>
      <c r="E28" s="27" t="s">
        <v>5</v>
      </c>
      <c r="F28" s="27" t="s">
        <v>468</v>
      </c>
      <c r="G28" s="27">
        <v>0</v>
      </c>
      <c r="H28" s="27">
        <v>0</v>
      </c>
      <c r="I28" s="62">
        <v>0</v>
      </c>
      <c r="J28" s="62">
        <v>0</v>
      </c>
      <c r="K28" s="62">
        <v>1.34241E-2</v>
      </c>
      <c r="L28" s="62">
        <v>2.89750999999999E-2</v>
      </c>
      <c r="M28" s="62">
        <v>3.9492439999999997E-2</v>
      </c>
      <c r="N28" s="62">
        <v>4.5862970000000003E-2</v>
      </c>
      <c r="O28" s="62">
        <v>4.8145300000000002E-2</v>
      </c>
      <c r="P28" s="62">
        <v>5.0483380000000001E-2</v>
      </c>
      <c r="Q28" s="62">
        <v>5.2943369999999997E-2</v>
      </c>
    </row>
    <row r="29" spans="1:17">
      <c r="A29" s="62" t="s">
        <v>606</v>
      </c>
      <c r="B29" s="62" t="s">
        <v>1</v>
      </c>
      <c r="C29" s="62" t="s">
        <v>465</v>
      </c>
      <c r="D29" s="62" t="s">
        <v>466</v>
      </c>
      <c r="E29" s="27" t="s">
        <v>7</v>
      </c>
      <c r="F29" s="27" t="s">
        <v>466</v>
      </c>
      <c r="G29" s="27">
        <v>0</v>
      </c>
      <c r="H29" s="27">
        <v>5.6251000000000001E-3</v>
      </c>
      <c r="I29" s="62">
        <v>7.9520300000000006E-3</v>
      </c>
      <c r="J29" s="62">
        <v>1.1241599999999999E-2</v>
      </c>
      <c r="K29" s="62">
        <v>1.1204260000000001E-2</v>
      </c>
      <c r="L29" s="62">
        <v>9.9937299999999993E-3</v>
      </c>
      <c r="M29" s="62">
        <v>8.0507500000000006E-3</v>
      </c>
      <c r="N29" s="62">
        <v>7.0263249999999999E-3</v>
      </c>
      <c r="O29" s="62">
        <v>7.4469779999999999E-3</v>
      </c>
      <c r="P29" s="62">
        <v>7.887448E-3</v>
      </c>
      <c r="Q29" s="62">
        <v>8.3546899999999997E-3</v>
      </c>
    </row>
    <row r="30" spans="1:17">
      <c r="A30" s="62" t="s">
        <v>606</v>
      </c>
      <c r="B30" s="62" t="s">
        <v>1</v>
      </c>
      <c r="C30" s="62" t="s">
        <v>465</v>
      </c>
      <c r="D30" s="62" t="s">
        <v>466</v>
      </c>
      <c r="E30" s="27" t="s">
        <v>7</v>
      </c>
      <c r="F30" s="27" t="s">
        <v>467</v>
      </c>
      <c r="G30" s="27">
        <v>0</v>
      </c>
      <c r="H30" s="27">
        <v>0</v>
      </c>
      <c r="I30" s="62">
        <v>0</v>
      </c>
      <c r="J30" s="62">
        <v>0</v>
      </c>
      <c r="K30" s="62">
        <v>2.01345E-3</v>
      </c>
      <c r="L30" s="62">
        <v>4.3729499999999996E-3</v>
      </c>
      <c r="M30" s="62">
        <v>6.0000000000000001E-3</v>
      </c>
      <c r="N30" s="62">
        <v>7.0263249999999999E-3</v>
      </c>
      <c r="O30" s="62">
        <v>7.4469779999999999E-3</v>
      </c>
      <c r="P30" s="62">
        <v>7.887448E-3</v>
      </c>
      <c r="Q30" s="62">
        <v>8.3546899999999997E-3</v>
      </c>
    </row>
    <row r="31" spans="1:17">
      <c r="A31" s="62" t="s">
        <v>606</v>
      </c>
      <c r="B31" s="62" t="s">
        <v>1</v>
      </c>
      <c r="C31" s="62" t="s">
        <v>465</v>
      </c>
      <c r="D31" s="62" t="s">
        <v>466</v>
      </c>
      <c r="E31" s="27" t="s">
        <v>7</v>
      </c>
      <c r="F31" s="27" t="s">
        <v>468</v>
      </c>
      <c r="G31" s="27">
        <v>0</v>
      </c>
      <c r="H31" s="27">
        <v>0</v>
      </c>
      <c r="I31" s="62">
        <v>0</v>
      </c>
      <c r="J31" s="62">
        <v>0</v>
      </c>
      <c r="K31" s="62">
        <v>2.01345E-3</v>
      </c>
      <c r="L31" s="62">
        <v>4.3729499999999996E-3</v>
      </c>
      <c r="M31" s="62">
        <v>6.0000000000000001E-3</v>
      </c>
      <c r="N31" s="62">
        <v>7.0263249999999999E-3</v>
      </c>
      <c r="O31" s="62">
        <v>7.4469779999999999E-3</v>
      </c>
      <c r="P31" s="62">
        <v>7.887448E-3</v>
      </c>
      <c r="Q31" s="62">
        <v>8.3546899999999997E-3</v>
      </c>
    </row>
    <row r="32" spans="1:17">
      <c r="A32" s="62" t="s">
        <v>606</v>
      </c>
      <c r="B32" s="62" t="s">
        <v>1</v>
      </c>
      <c r="C32" s="62" t="s">
        <v>32</v>
      </c>
      <c r="D32" s="62" t="s">
        <v>33</v>
      </c>
      <c r="E32" s="27" t="s">
        <v>4</v>
      </c>
      <c r="F32" s="27" t="s">
        <v>33</v>
      </c>
      <c r="G32" s="27">
        <v>0.230465</v>
      </c>
      <c r="H32" s="27">
        <v>0</v>
      </c>
      <c r="I32" s="62">
        <v>0</v>
      </c>
      <c r="J32" s="62">
        <v>0.82835599999999998</v>
      </c>
      <c r="K32" s="62">
        <v>0.78585799999999995</v>
      </c>
      <c r="L32" s="62">
        <v>0.84128740000000002</v>
      </c>
      <c r="M32" s="62">
        <v>0.80578869999999903</v>
      </c>
      <c r="N32" s="62">
        <v>0.74392320000000001</v>
      </c>
      <c r="O32" s="62">
        <v>0.68554820000000005</v>
      </c>
      <c r="P32" s="62">
        <v>0.58538570000000001</v>
      </c>
      <c r="Q32" s="62">
        <v>0.43830609999999998</v>
      </c>
    </row>
    <row r="33" spans="1:17">
      <c r="A33" s="62" t="s">
        <v>606</v>
      </c>
      <c r="B33" s="62" t="s">
        <v>1</v>
      </c>
      <c r="C33" s="62" t="s">
        <v>32</v>
      </c>
      <c r="D33" s="62" t="s">
        <v>33</v>
      </c>
      <c r="E33" s="27" t="s">
        <v>5</v>
      </c>
      <c r="F33" s="27" t="s">
        <v>33</v>
      </c>
      <c r="G33" s="27">
        <v>1.2258E-2</v>
      </c>
      <c r="H33" s="27">
        <v>5.09463E-2</v>
      </c>
      <c r="I33" s="62">
        <v>6.1189E-2</v>
      </c>
      <c r="J33" s="62">
        <v>9.1281799999999996E-2</v>
      </c>
      <c r="K33" s="62">
        <v>8.6598800000000004E-2</v>
      </c>
      <c r="L33" s="62">
        <v>9.2706869999999997E-2</v>
      </c>
      <c r="M33" s="62">
        <v>8.8794979999999996E-2</v>
      </c>
      <c r="N33" s="62">
        <v>8.1977709999999995E-2</v>
      </c>
      <c r="O33" s="62">
        <v>7.5545089999999995E-2</v>
      </c>
      <c r="P33" s="62">
        <v>6.4507419999999996E-2</v>
      </c>
      <c r="Q33" s="62">
        <v>4.8299889999999998E-2</v>
      </c>
    </row>
    <row r="34" spans="1:17">
      <c r="A34" s="62" t="s">
        <v>606</v>
      </c>
      <c r="B34" s="62" t="s">
        <v>1</v>
      </c>
      <c r="C34" s="62" t="s">
        <v>32</v>
      </c>
      <c r="D34" s="62" t="s">
        <v>33</v>
      </c>
      <c r="E34" s="27" t="s">
        <v>6</v>
      </c>
      <c r="F34" s="27" t="s">
        <v>33</v>
      </c>
      <c r="G34" s="27">
        <v>3.2850000000000002E-4</v>
      </c>
      <c r="H34" s="27">
        <v>2.0024999999999999E-4</v>
      </c>
      <c r="I34" s="63">
        <v>1.0230000000000001E-4</v>
      </c>
      <c r="J34" s="63">
        <v>6.3050000000000001E-5</v>
      </c>
      <c r="K34" s="63">
        <v>5.9815329999999998E-5</v>
      </c>
      <c r="L34" s="63">
        <v>6.4034269999999996E-5</v>
      </c>
      <c r="M34" s="63">
        <v>6.1332230000000004E-5</v>
      </c>
      <c r="N34" s="63">
        <v>5.6623509999999998E-5</v>
      </c>
      <c r="O34" s="63">
        <v>5.2180260000000003E-5</v>
      </c>
      <c r="P34" s="63">
        <v>4.4556389999999998E-5</v>
      </c>
      <c r="Q34" s="63">
        <v>3.336156E-5</v>
      </c>
    </row>
    <row r="35" spans="1:17">
      <c r="A35" s="62" t="s">
        <v>606</v>
      </c>
      <c r="B35" s="62" t="s">
        <v>1</v>
      </c>
      <c r="C35" s="62" t="s">
        <v>32</v>
      </c>
      <c r="D35" s="62" t="s">
        <v>33</v>
      </c>
      <c r="E35" s="27" t="s">
        <v>7</v>
      </c>
      <c r="F35" s="27" t="s">
        <v>33</v>
      </c>
      <c r="G35" s="27">
        <v>0</v>
      </c>
      <c r="H35" s="27">
        <v>6.6749999999999996E-5</v>
      </c>
      <c r="I35" s="63">
        <v>1.2957999999999999E-4</v>
      </c>
      <c r="J35" s="63">
        <v>2.0369999999999999E-4</v>
      </c>
      <c r="K35" s="63">
        <v>1.9324960000000001E-4</v>
      </c>
      <c r="L35" s="63">
        <v>2.068801E-4</v>
      </c>
      <c r="M35" s="63">
        <v>1.9815060000000001E-4</v>
      </c>
      <c r="N35" s="63">
        <v>1.8293716E-4</v>
      </c>
      <c r="O35" s="63">
        <v>1.6858239999999999E-4</v>
      </c>
      <c r="P35" s="63">
        <v>1.4395139999999999E-4</v>
      </c>
      <c r="Q35" s="63">
        <v>1.077834E-4</v>
      </c>
    </row>
    <row r="36" spans="1:17">
      <c r="A36" s="62" t="s">
        <v>606</v>
      </c>
      <c r="B36" s="62" t="s">
        <v>1</v>
      </c>
      <c r="C36" s="62" t="s">
        <v>32</v>
      </c>
      <c r="D36" s="62" t="s">
        <v>36</v>
      </c>
      <c r="E36" s="27" t="s">
        <v>4</v>
      </c>
      <c r="F36" s="27" t="s">
        <v>36</v>
      </c>
      <c r="G36" s="27">
        <v>1.2028799999999999E-2</v>
      </c>
      <c r="H36" s="27">
        <v>0</v>
      </c>
      <c r="I36" s="62">
        <v>0</v>
      </c>
      <c r="J36" s="62">
        <v>2.5251300000000001E-2</v>
      </c>
      <c r="K36" s="62">
        <v>2.44097299999999E-2</v>
      </c>
      <c r="L36" s="62">
        <v>2.9592719999999999E-2</v>
      </c>
      <c r="M36" s="62">
        <v>3.4226479999999997E-2</v>
      </c>
      <c r="N36" s="62">
        <v>3.9598949000000001E-2</v>
      </c>
      <c r="O36" s="62">
        <v>4.4860119999999899E-2</v>
      </c>
      <c r="P36" s="62">
        <v>5.3761000000000003E-2</v>
      </c>
      <c r="Q36" s="62">
        <v>6.7360709999999893E-2</v>
      </c>
    </row>
    <row r="37" spans="1:17">
      <c r="A37" s="62" t="s">
        <v>606</v>
      </c>
      <c r="B37" s="62" t="s">
        <v>1</v>
      </c>
      <c r="C37" s="62" t="s">
        <v>32</v>
      </c>
      <c r="D37" s="62" t="s">
        <v>36</v>
      </c>
      <c r="E37" s="27" t="s">
        <v>5</v>
      </c>
      <c r="F37" s="27" t="s">
        <v>36</v>
      </c>
      <c r="G37" s="27">
        <v>1.1003300000000001E-2</v>
      </c>
      <c r="H37" s="27">
        <v>4.8056399999999999E-2</v>
      </c>
      <c r="I37" s="62">
        <v>5.3370800000000003E-2</v>
      </c>
      <c r="J37" s="62">
        <v>4.7853699999999999E-2</v>
      </c>
      <c r="K37" s="62">
        <v>4.6258719999999899E-2</v>
      </c>
      <c r="L37" s="62">
        <v>5.6080930000000001E-2</v>
      </c>
      <c r="M37" s="62">
        <v>6.4862630000000004E-2</v>
      </c>
      <c r="N37" s="62">
        <v>7.5043730000000003E-2</v>
      </c>
      <c r="O37" s="62">
        <v>8.5014430000000002E-2</v>
      </c>
      <c r="P37" s="62">
        <v>0.10188216999999999</v>
      </c>
      <c r="Q37" s="62">
        <v>0.12765498</v>
      </c>
    </row>
    <row r="38" spans="1:17">
      <c r="A38" s="62" t="s">
        <v>606</v>
      </c>
      <c r="B38" s="62" t="s">
        <v>1</v>
      </c>
      <c r="C38" s="62" t="s">
        <v>32</v>
      </c>
      <c r="D38" s="62" t="s">
        <v>36</v>
      </c>
      <c r="E38" s="27" t="s">
        <v>6</v>
      </c>
      <c r="F38" s="27" t="s">
        <v>36</v>
      </c>
      <c r="G38" s="27">
        <v>3.1203700000000001E-2</v>
      </c>
      <c r="H38" s="27">
        <v>1.9871199999999999E-2</v>
      </c>
      <c r="I38" s="62">
        <v>9.5727999999999994E-3</v>
      </c>
      <c r="J38" s="62">
        <v>3.3750400000000002E-3</v>
      </c>
      <c r="K38" s="62">
        <v>3.2625479999999901E-3</v>
      </c>
      <c r="L38" s="62">
        <v>3.9553039999999998E-3</v>
      </c>
      <c r="M38" s="62">
        <v>4.5746459999999999E-3</v>
      </c>
      <c r="N38" s="62">
        <v>5.29271639999999E-3</v>
      </c>
      <c r="O38" s="62">
        <v>5.9959139999999998E-3</v>
      </c>
      <c r="P38" s="62">
        <v>7.1855740000000001E-3</v>
      </c>
      <c r="Q38" s="62">
        <v>9.0032859999999992E-3</v>
      </c>
    </row>
    <row r="39" spans="1:17">
      <c r="A39" s="62" t="s">
        <v>606</v>
      </c>
      <c r="B39" s="62" t="s">
        <v>1</v>
      </c>
      <c r="C39" s="62" t="s">
        <v>32</v>
      </c>
      <c r="D39" s="62" t="s">
        <v>36</v>
      </c>
      <c r="E39" s="27" t="s">
        <v>7</v>
      </c>
      <c r="F39" s="27" t="s">
        <v>36</v>
      </c>
      <c r="G39" s="27">
        <v>0</v>
      </c>
      <c r="H39" s="27">
        <v>3.8401600000000001E-2</v>
      </c>
      <c r="I39" s="62">
        <v>6.6848400000000002E-2</v>
      </c>
      <c r="J39" s="62">
        <v>6.3758999999999996E-2</v>
      </c>
      <c r="K39" s="62">
        <v>6.1633979999999998E-2</v>
      </c>
      <c r="L39" s="62">
        <v>7.4720829999999905E-2</v>
      </c>
      <c r="M39" s="62">
        <v>8.6421139999999994E-2</v>
      </c>
      <c r="N39" s="62">
        <v>9.9986379999999903E-2</v>
      </c>
      <c r="O39" s="62">
        <v>0.11327094</v>
      </c>
      <c r="P39" s="62">
        <v>0.13574522</v>
      </c>
      <c r="Q39" s="62">
        <v>0.17008421000000001</v>
      </c>
    </row>
    <row r="40" spans="1:17">
      <c r="A40" s="62" t="s">
        <v>606</v>
      </c>
      <c r="B40" s="62" t="s">
        <v>1</v>
      </c>
      <c r="C40" s="62" t="s">
        <v>32</v>
      </c>
      <c r="D40" s="62" t="s">
        <v>38</v>
      </c>
      <c r="E40" s="27" t="s">
        <v>5</v>
      </c>
      <c r="F40" s="27" t="s">
        <v>38</v>
      </c>
      <c r="G40" s="27">
        <v>1.29474E-2</v>
      </c>
      <c r="H40" s="27">
        <v>5.65499E-2</v>
      </c>
      <c r="I40" s="62">
        <v>6.2802300000000005E-2</v>
      </c>
      <c r="J40" s="62">
        <v>5.6310399999999997E-2</v>
      </c>
      <c r="K40" s="62">
        <v>5.1673039999999899E-2</v>
      </c>
      <c r="L40" s="62">
        <v>4.8791260000000003E-2</v>
      </c>
      <c r="M40" s="62">
        <v>3.8547720000000001E-2</v>
      </c>
      <c r="N40" s="62">
        <v>2.718835E-2</v>
      </c>
      <c r="O40" s="62">
        <v>2.3679229999999999E-2</v>
      </c>
      <c r="P40" s="62">
        <v>2.3820589999999999E-2</v>
      </c>
      <c r="Q40" s="62">
        <v>2.867803E-2</v>
      </c>
    </row>
    <row r="41" spans="1:17">
      <c r="A41" s="62" t="s">
        <v>606</v>
      </c>
      <c r="B41" s="62" t="s">
        <v>1</v>
      </c>
      <c r="C41" s="62" t="s">
        <v>32</v>
      </c>
      <c r="D41" s="62" t="s">
        <v>38</v>
      </c>
      <c r="E41" s="27" t="s">
        <v>6</v>
      </c>
      <c r="F41" s="27" t="s">
        <v>38</v>
      </c>
      <c r="G41" s="27">
        <v>6.9363999999999997E-3</v>
      </c>
      <c r="H41" s="27">
        <v>4.4173499999999996E-3</v>
      </c>
      <c r="I41" s="62">
        <v>2.1278400000000002E-3</v>
      </c>
      <c r="J41" s="63">
        <v>7.5047999999999998E-4</v>
      </c>
      <c r="K41" s="63">
        <v>6.8867559999999904E-4</v>
      </c>
      <c r="L41" s="63">
        <v>6.5026880000000002E-4</v>
      </c>
      <c r="M41" s="63">
        <v>5.1374769999999997E-4</v>
      </c>
      <c r="N41" s="63">
        <v>3.6235439999999998E-4</v>
      </c>
      <c r="O41" s="63">
        <v>3.155861E-4</v>
      </c>
      <c r="P41" s="63">
        <v>3.174699E-4</v>
      </c>
      <c r="Q41" s="63">
        <v>3.822082E-4</v>
      </c>
    </row>
    <row r="42" spans="1:17">
      <c r="A42" s="62" t="s">
        <v>606</v>
      </c>
      <c r="B42" s="62" t="s">
        <v>1</v>
      </c>
      <c r="C42" s="62" t="s">
        <v>66</v>
      </c>
      <c r="D42" s="62" t="s">
        <v>59</v>
      </c>
      <c r="E42" s="27" t="s">
        <v>5</v>
      </c>
      <c r="F42" s="27" t="s">
        <v>59</v>
      </c>
      <c r="G42" s="27">
        <v>3.6418100000000001E-3</v>
      </c>
      <c r="H42" s="27">
        <v>4.7302400000000001E-3</v>
      </c>
      <c r="I42" s="62">
        <v>6.0696700000000001E-3</v>
      </c>
      <c r="J42" s="62">
        <v>5.86039E-3</v>
      </c>
      <c r="K42" s="62">
        <v>5.1514029999999997E-3</v>
      </c>
      <c r="L42" s="62">
        <v>5.3415289999999898E-3</v>
      </c>
      <c r="M42" s="62">
        <v>4.872192E-3</v>
      </c>
      <c r="N42" s="62">
        <v>4.5324429000000001E-3</v>
      </c>
      <c r="O42" s="62">
        <v>4.3824010000000002E-3</v>
      </c>
      <c r="P42" s="62">
        <v>4.2516200000000002E-3</v>
      </c>
      <c r="Q42" s="62">
        <v>4.1525279999999999E-3</v>
      </c>
    </row>
    <row r="43" spans="1:17">
      <c r="A43" s="62" t="s">
        <v>606</v>
      </c>
      <c r="B43" s="62" t="s">
        <v>1</v>
      </c>
      <c r="C43" s="62" t="s">
        <v>66</v>
      </c>
      <c r="D43" s="62" t="s">
        <v>65</v>
      </c>
      <c r="E43" s="27" t="s">
        <v>2</v>
      </c>
      <c r="F43" s="27" t="s">
        <v>65</v>
      </c>
      <c r="G43" s="27">
        <v>0</v>
      </c>
      <c r="H43" s="27">
        <v>0</v>
      </c>
      <c r="I43" s="62">
        <v>0</v>
      </c>
      <c r="J43" s="62">
        <v>0</v>
      </c>
      <c r="K43" s="63">
        <v>2.6150299999999999E-6</v>
      </c>
      <c r="L43" s="63">
        <v>3.2607999999999997E-5</v>
      </c>
      <c r="M43" s="63">
        <v>7.4416620000000003E-5</v>
      </c>
      <c r="N43" s="63">
        <v>1.17734588E-4</v>
      </c>
      <c r="O43" s="63">
        <v>1.44453089999999E-4</v>
      </c>
      <c r="P43" s="63">
        <v>1.7814592000000001E-4</v>
      </c>
      <c r="Q43" s="63">
        <v>2.055514E-4</v>
      </c>
    </row>
    <row r="44" spans="1:17">
      <c r="A44" s="62" t="s">
        <v>606</v>
      </c>
      <c r="B44" s="62" t="s">
        <v>1</v>
      </c>
      <c r="C44" s="62" t="s">
        <v>66</v>
      </c>
      <c r="D44" s="62" t="s">
        <v>19</v>
      </c>
      <c r="E44" s="27" t="s">
        <v>6</v>
      </c>
      <c r="F44" s="27" t="s">
        <v>19</v>
      </c>
      <c r="G44" s="27">
        <v>4.7302200000000003E-3</v>
      </c>
      <c r="H44" s="27">
        <v>2.4697199999999999E-3</v>
      </c>
      <c r="I44" s="62">
        <v>3.5580799999999999E-3</v>
      </c>
      <c r="J44" s="62">
        <v>2.679E-3</v>
      </c>
      <c r="K44" s="62">
        <v>2.4352380000000002E-3</v>
      </c>
      <c r="L44" s="62">
        <v>2.9423269999999998E-3</v>
      </c>
      <c r="M44" s="62">
        <v>3.164133E-3</v>
      </c>
      <c r="N44" s="62">
        <v>3.2052394000000001E-3</v>
      </c>
      <c r="O44" s="62">
        <v>3.1769839999999999E-3</v>
      </c>
      <c r="P44" s="62">
        <v>3.0901290000000001E-3</v>
      </c>
      <c r="Q44" s="62">
        <v>2.984099E-3</v>
      </c>
    </row>
    <row r="45" spans="1:17">
      <c r="A45" s="62" t="s">
        <v>606</v>
      </c>
      <c r="B45" s="62" t="s">
        <v>1</v>
      </c>
      <c r="C45" s="62" t="s">
        <v>68</v>
      </c>
      <c r="D45" s="62" t="s">
        <v>57</v>
      </c>
      <c r="E45" s="27" t="s">
        <v>3</v>
      </c>
      <c r="F45" s="27" t="s">
        <v>57</v>
      </c>
      <c r="G45" s="27">
        <v>7.4416999999999999E-3</v>
      </c>
      <c r="H45" s="27">
        <v>6.0756999999999999E-2</v>
      </c>
      <c r="I45" s="62">
        <v>8.3468000000000001E-2</v>
      </c>
      <c r="J45" s="62">
        <v>0.105323</v>
      </c>
      <c r="K45" s="62">
        <v>0.11381624999999999</v>
      </c>
      <c r="L45" s="62">
        <v>0.12362645999999999</v>
      </c>
      <c r="M45" s="62">
        <v>0.13128874999999901</v>
      </c>
      <c r="N45" s="62">
        <v>0.14043518999999999</v>
      </c>
      <c r="O45" s="62">
        <v>0.14885662</v>
      </c>
      <c r="P45" s="62">
        <v>0.14969916</v>
      </c>
      <c r="Q45" s="62">
        <v>0.14793482599999999</v>
      </c>
    </row>
    <row r="46" spans="1:17">
      <c r="A46" s="62" t="s">
        <v>606</v>
      </c>
      <c r="B46" s="62" t="s">
        <v>1</v>
      </c>
      <c r="C46" s="62" t="s">
        <v>68</v>
      </c>
      <c r="D46" s="62" t="s">
        <v>57</v>
      </c>
      <c r="E46" s="27" t="s">
        <v>3</v>
      </c>
      <c r="F46" s="27" t="s">
        <v>69</v>
      </c>
      <c r="G46" s="27">
        <v>0</v>
      </c>
      <c r="H46" s="27">
        <v>2.1419999999999998E-3</v>
      </c>
      <c r="I46" s="62">
        <v>4.1219999999999998E-3</v>
      </c>
      <c r="J46" s="62">
        <v>4.248E-3</v>
      </c>
      <c r="K46" s="62">
        <v>4.8009759999999898E-3</v>
      </c>
      <c r="L46" s="62">
        <v>5.5716369999999999E-3</v>
      </c>
      <c r="M46" s="62">
        <v>6.8224919999999899E-3</v>
      </c>
      <c r="N46" s="62">
        <v>9.0487919999999999E-3</v>
      </c>
      <c r="O46" s="62">
        <v>1.1958556E-2</v>
      </c>
      <c r="P46" s="62">
        <v>1.31547259999999E-2</v>
      </c>
      <c r="Q46" s="62">
        <v>1.3523144799999999E-2</v>
      </c>
    </row>
    <row r="47" spans="1:17">
      <c r="A47" s="62" t="s">
        <v>606</v>
      </c>
      <c r="B47" s="62" t="s">
        <v>1</v>
      </c>
      <c r="C47" s="62" t="s">
        <v>68</v>
      </c>
      <c r="D47" s="62" t="s">
        <v>58</v>
      </c>
      <c r="E47" s="27" t="s">
        <v>4</v>
      </c>
      <c r="F47" s="27" t="s">
        <v>58</v>
      </c>
      <c r="G47" s="27">
        <v>0.16164100000000001</v>
      </c>
      <c r="H47" s="27">
        <v>0.48991299999999999</v>
      </c>
      <c r="I47" s="62">
        <v>0.63810900000000004</v>
      </c>
      <c r="J47" s="62">
        <v>2.1982600000000001E-2</v>
      </c>
      <c r="K47" s="62">
        <v>2.62458699999999E-2</v>
      </c>
      <c r="L47" s="62">
        <v>3.1381819999999998E-2</v>
      </c>
      <c r="M47" s="62">
        <v>3.5726910000000001E-2</v>
      </c>
      <c r="N47" s="62">
        <v>4.076975E-2</v>
      </c>
      <c r="O47" s="62">
        <v>4.2008530000000002E-2</v>
      </c>
      <c r="P47" s="62">
        <v>3.9302764999999899E-2</v>
      </c>
      <c r="Q47" s="62">
        <v>3.4839454999999998E-2</v>
      </c>
    </row>
    <row r="48" spans="1:17">
      <c r="A48" s="62" t="s">
        <v>606</v>
      </c>
      <c r="B48" s="62" t="s">
        <v>1</v>
      </c>
      <c r="C48" s="62" t="s">
        <v>68</v>
      </c>
      <c r="D48" s="62" t="s">
        <v>58</v>
      </c>
      <c r="E48" s="27" t="s">
        <v>4</v>
      </c>
      <c r="F48" s="27" t="s">
        <v>70</v>
      </c>
      <c r="G48" s="27">
        <v>8.48304E-2</v>
      </c>
      <c r="H48" s="27">
        <v>0.211954</v>
      </c>
      <c r="I48" s="62">
        <v>0.27050400000000002</v>
      </c>
      <c r="J48" s="62">
        <v>0.29669800000000002</v>
      </c>
      <c r="K48" s="62">
        <v>0.31077919999999998</v>
      </c>
      <c r="L48" s="62">
        <v>0.32563890000000001</v>
      </c>
      <c r="M48" s="62">
        <v>0.33062520000000001</v>
      </c>
      <c r="N48" s="62">
        <v>0.30962659999999997</v>
      </c>
      <c r="O48" s="62">
        <v>0.29733319000000002</v>
      </c>
      <c r="P48" s="62">
        <v>0.28099776999999998</v>
      </c>
      <c r="Q48" s="62">
        <v>0.26220265099999901</v>
      </c>
    </row>
    <row r="49" spans="1:17">
      <c r="A49" s="62" t="s">
        <v>606</v>
      </c>
      <c r="B49" s="62" t="s">
        <v>1</v>
      </c>
      <c r="C49" s="62" t="s">
        <v>68</v>
      </c>
      <c r="D49" s="62" t="s">
        <v>59</v>
      </c>
      <c r="E49" s="27" t="s">
        <v>5</v>
      </c>
      <c r="F49" s="27" t="s">
        <v>59</v>
      </c>
      <c r="G49" s="27">
        <v>0.11110399999999999</v>
      </c>
      <c r="H49" s="27">
        <v>0.23783899999999999</v>
      </c>
      <c r="I49" s="62">
        <v>0.35209299999999999</v>
      </c>
      <c r="J49" s="62">
        <v>0.39972200000000002</v>
      </c>
      <c r="K49" s="62">
        <v>0.41558309999999998</v>
      </c>
      <c r="L49" s="62">
        <v>0.43721369999999998</v>
      </c>
      <c r="M49" s="62">
        <v>0.4342471</v>
      </c>
      <c r="N49" s="62">
        <v>0.421701099999999</v>
      </c>
      <c r="O49" s="62">
        <v>0.3981498</v>
      </c>
      <c r="P49" s="62">
        <v>0.38535509999999901</v>
      </c>
      <c r="Q49" s="62">
        <v>0.38301595999999999</v>
      </c>
    </row>
    <row r="50" spans="1:17">
      <c r="A50" s="62" t="s">
        <v>606</v>
      </c>
      <c r="B50" s="62" t="s">
        <v>1</v>
      </c>
      <c r="C50" s="62" t="s">
        <v>68</v>
      </c>
      <c r="D50" s="62" t="s">
        <v>60</v>
      </c>
      <c r="E50" s="27" t="s">
        <v>7</v>
      </c>
      <c r="F50" s="27" t="s">
        <v>60</v>
      </c>
      <c r="G50" s="27">
        <v>0</v>
      </c>
      <c r="H50" s="27">
        <v>9.8074499999999995E-2</v>
      </c>
      <c r="I50" s="62">
        <v>0.128972</v>
      </c>
      <c r="J50" s="62">
        <v>0.158974</v>
      </c>
      <c r="K50" s="62">
        <v>0.16776279999999999</v>
      </c>
      <c r="L50" s="62">
        <v>0.1745497</v>
      </c>
      <c r="M50" s="62">
        <v>0.16952020000000001</v>
      </c>
      <c r="N50" s="62">
        <v>0.14395985</v>
      </c>
      <c r="O50" s="62">
        <v>0.10696638999999999</v>
      </c>
      <c r="P50" s="62">
        <v>8.2207619999999995E-2</v>
      </c>
      <c r="Q50" s="62">
        <v>6.4054145999999895E-2</v>
      </c>
    </row>
    <row r="51" spans="1:17">
      <c r="A51" s="62" t="s">
        <v>606</v>
      </c>
      <c r="B51" s="62" t="s">
        <v>1</v>
      </c>
      <c r="C51" s="62" t="s">
        <v>68</v>
      </c>
      <c r="D51" s="62" t="s">
        <v>60</v>
      </c>
      <c r="E51" s="27" t="s">
        <v>7</v>
      </c>
      <c r="F51" s="27" t="s">
        <v>71</v>
      </c>
      <c r="G51" s="27">
        <v>0</v>
      </c>
      <c r="H51" s="27">
        <v>4.4654399999999997E-2</v>
      </c>
      <c r="I51" s="62">
        <v>3.1607999999999997E-2</v>
      </c>
      <c r="J51" s="62">
        <v>4.32576E-2</v>
      </c>
      <c r="K51" s="62">
        <v>4.7126370000000001E-2</v>
      </c>
      <c r="L51" s="62">
        <v>5.1321419999999902E-2</v>
      </c>
      <c r="M51" s="62">
        <v>5.5338520000000002E-2</v>
      </c>
      <c r="N51" s="62">
        <v>5.692759E-2</v>
      </c>
      <c r="O51" s="62">
        <v>5.3250720000000001E-2</v>
      </c>
      <c r="P51" s="62">
        <v>4.7313631000000002E-2</v>
      </c>
      <c r="Q51" s="62">
        <v>3.9385806000000002E-2</v>
      </c>
    </row>
    <row r="52" spans="1:17">
      <c r="A52" s="62" t="s">
        <v>606</v>
      </c>
      <c r="B52" s="62" t="s">
        <v>1</v>
      </c>
      <c r="C52" s="62" t="s">
        <v>68</v>
      </c>
      <c r="D52" s="62" t="s">
        <v>65</v>
      </c>
      <c r="E52" s="27" t="s">
        <v>2</v>
      </c>
      <c r="F52" s="27" t="s">
        <v>65</v>
      </c>
      <c r="G52" s="27">
        <v>0</v>
      </c>
      <c r="H52" s="27">
        <v>0</v>
      </c>
      <c r="I52" s="62">
        <v>0</v>
      </c>
      <c r="J52" s="62">
        <v>0</v>
      </c>
      <c r="K52" s="63">
        <v>3.8017599999999997E-4</v>
      </c>
      <c r="L52" s="62">
        <v>1.1820820000000001E-3</v>
      </c>
      <c r="M52" s="62">
        <v>2.7594579999999998E-3</v>
      </c>
      <c r="N52" s="62">
        <v>6.5204390000000003E-3</v>
      </c>
      <c r="O52" s="62">
        <v>1.0342593000000001E-2</v>
      </c>
      <c r="P52" s="62">
        <v>1.2219207899999999E-2</v>
      </c>
      <c r="Q52" s="62">
        <v>1.31457297999999E-2</v>
      </c>
    </row>
    <row r="53" spans="1:17">
      <c r="A53" s="62" t="s">
        <v>606</v>
      </c>
      <c r="B53" s="62" t="s">
        <v>1</v>
      </c>
      <c r="C53" s="62" t="s">
        <v>68</v>
      </c>
      <c r="D53" s="62" t="s">
        <v>65</v>
      </c>
      <c r="E53" s="27" t="s">
        <v>2</v>
      </c>
      <c r="F53" s="27" t="s">
        <v>72</v>
      </c>
      <c r="G53" s="27">
        <v>0</v>
      </c>
      <c r="H53" s="27">
        <v>0</v>
      </c>
      <c r="I53" s="62">
        <v>0</v>
      </c>
      <c r="J53" s="62">
        <v>0</v>
      </c>
      <c r="K53" s="63">
        <v>9.7592799999999998E-5</v>
      </c>
      <c r="L53" s="63">
        <v>8.6544049999999896E-4</v>
      </c>
      <c r="M53" s="62">
        <v>4.7450393E-3</v>
      </c>
      <c r="N53" s="62">
        <v>1.9621960899999999E-2</v>
      </c>
      <c r="O53" s="62">
        <v>4.7324940699999998E-2</v>
      </c>
      <c r="P53" s="62">
        <v>7.3772021500000007E-2</v>
      </c>
      <c r="Q53" s="62">
        <v>0.10292041346</v>
      </c>
    </row>
    <row r="54" spans="1:17">
      <c r="A54" s="62" t="s">
        <v>606</v>
      </c>
      <c r="B54" s="62" t="s">
        <v>1</v>
      </c>
      <c r="C54" s="62" t="s">
        <v>68</v>
      </c>
      <c r="D54" s="62" t="s">
        <v>19</v>
      </c>
      <c r="E54" s="27" t="s">
        <v>6</v>
      </c>
      <c r="F54" s="27" t="s">
        <v>19</v>
      </c>
      <c r="G54" s="27">
        <v>0.26414799999999999</v>
      </c>
      <c r="H54" s="27">
        <v>0.25026999999999999</v>
      </c>
      <c r="I54" s="62">
        <v>0.194684</v>
      </c>
      <c r="J54" s="62">
        <v>0.14664099999999999</v>
      </c>
      <c r="K54" s="62">
        <v>0.1564818</v>
      </c>
      <c r="L54" s="62">
        <v>0.16636819999999999</v>
      </c>
      <c r="M54" s="62">
        <v>0.16764759999999901</v>
      </c>
      <c r="N54" s="62">
        <v>0.1553562</v>
      </c>
      <c r="O54" s="62">
        <v>0.13403482999999999</v>
      </c>
      <c r="P54" s="62">
        <v>0.11556123</v>
      </c>
      <c r="Q54" s="62">
        <v>9.9397879999999994E-2</v>
      </c>
    </row>
    <row r="55" spans="1:17">
      <c r="A55" s="62" t="s">
        <v>606</v>
      </c>
      <c r="B55" s="62" t="s">
        <v>1</v>
      </c>
      <c r="C55" s="62" t="s">
        <v>68</v>
      </c>
      <c r="D55" s="62" t="s">
        <v>19</v>
      </c>
      <c r="E55" s="27" t="s">
        <v>6</v>
      </c>
      <c r="F55" s="27" t="s">
        <v>73</v>
      </c>
      <c r="G55" s="27">
        <v>0</v>
      </c>
      <c r="H55" s="27">
        <v>7.1294399999999994E-2</v>
      </c>
      <c r="I55" s="62">
        <v>5.7196799999999999E-2</v>
      </c>
      <c r="J55" s="62">
        <v>2.7835200000000001E-2</v>
      </c>
      <c r="K55" s="62">
        <v>3.023149E-2</v>
      </c>
      <c r="L55" s="62">
        <v>3.3387720000000003E-2</v>
      </c>
      <c r="M55" s="62">
        <v>3.6353509999999999E-2</v>
      </c>
      <c r="N55" s="62">
        <v>3.858309E-2</v>
      </c>
      <c r="O55" s="62">
        <v>3.9424099999999997E-2</v>
      </c>
      <c r="P55" s="62">
        <v>3.7253898000000001E-2</v>
      </c>
      <c r="Q55" s="62">
        <v>3.3648040999999997E-2</v>
      </c>
    </row>
    <row r="56" spans="1:17">
      <c r="A56" s="62" t="s">
        <v>606</v>
      </c>
      <c r="B56" s="62" t="s">
        <v>1</v>
      </c>
      <c r="C56" s="62" t="s">
        <v>22</v>
      </c>
      <c r="D56" s="62" t="s">
        <v>19</v>
      </c>
      <c r="E56" s="27" t="s">
        <v>6</v>
      </c>
      <c r="F56" s="27" t="s">
        <v>19</v>
      </c>
      <c r="G56" s="27">
        <v>0</v>
      </c>
      <c r="H56" s="27">
        <v>3.1394999999999999E-2</v>
      </c>
      <c r="I56" s="62">
        <v>3.1520600000000003E-2</v>
      </c>
      <c r="J56" s="62">
        <v>2.9218299999999999E-2</v>
      </c>
      <c r="K56" s="62">
        <v>3.22203E-2</v>
      </c>
      <c r="L56" s="62">
        <v>3.8402800000000001E-2</v>
      </c>
      <c r="M56" s="62">
        <v>4.89063E-2</v>
      </c>
      <c r="N56" s="62">
        <v>7.4603199999999995E-2</v>
      </c>
      <c r="O56" s="62">
        <v>0.10693</v>
      </c>
      <c r="P56" s="62">
        <v>0.125863</v>
      </c>
      <c r="Q56" s="62">
        <v>0.139158</v>
      </c>
    </row>
    <row r="57" spans="1:17">
      <c r="A57" s="62" t="s">
        <v>606</v>
      </c>
      <c r="B57" s="62" t="s">
        <v>1</v>
      </c>
      <c r="C57" s="62" t="s">
        <v>62</v>
      </c>
      <c r="D57" s="62" t="s">
        <v>57</v>
      </c>
      <c r="E57" s="27" t="s">
        <v>3</v>
      </c>
      <c r="F57" s="27" t="s">
        <v>57</v>
      </c>
      <c r="G57" s="27">
        <v>3.6571800000000002E-2</v>
      </c>
      <c r="H57" s="27">
        <v>3.9287299999999997E-2</v>
      </c>
      <c r="I57" s="62">
        <v>4.2373099999999997E-2</v>
      </c>
      <c r="J57" s="62">
        <v>3.9861500000000001E-2</v>
      </c>
      <c r="K57" s="62">
        <v>4.2869159999999899E-2</v>
      </c>
      <c r="L57" s="62">
        <v>5.1275689999999999E-2</v>
      </c>
      <c r="M57" s="62">
        <v>5.3626339999999897E-2</v>
      </c>
      <c r="N57" s="62">
        <v>5.5506949999999999E-2</v>
      </c>
      <c r="O57" s="62">
        <v>5.8140299999999999E-2</v>
      </c>
      <c r="P57" s="62">
        <v>6.2524125E-2</v>
      </c>
      <c r="Q57" s="62">
        <v>7.1754316999999998E-2</v>
      </c>
    </row>
    <row r="58" spans="1:17">
      <c r="A58" s="62" t="s">
        <v>606</v>
      </c>
      <c r="B58" s="62" t="s">
        <v>1</v>
      </c>
      <c r="C58" s="62" t="s">
        <v>62</v>
      </c>
      <c r="D58" s="62" t="s">
        <v>58</v>
      </c>
      <c r="E58" s="27" t="s">
        <v>4</v>
      </c>
      <c r="F58" s="27" t="s">
        <v>58</v>
      </c>
      <c r="G58" s="27">
        <v>8.5812200000000005E-2</v>
      </c>
      <c r="H58" s="27">
        <v>0.118297</v>
      </c>
      <c r="I58" s="62">
        <v>0.112141</v>
      </c>
      <c r="J58" s="62">
        <v>0.114653</v>
      </c>
      <c r="K58" s="62">
        <v>0.12767510000000001</v>
      </c>
      <c r="L58" s="62">
        <v>0.16172510000000001</v>
      </c>
      <c r="M58" s="62">
        <v>0.17174709999999899</v>
      </c>
      <c r="N58" s="62">
        <v>0.17839740000000001</v>
      </c>
      <c r="O58" s="62">
        <v>0.18304139</v>
      </c>
      <c r="P58" s="62">
        <v>0.18492159999999999</v>
      </c>
      <c r="Q58" s="62">
        <v>0.180821379</v>
      </c>
    </row>
    <row r="59" spans="1:17">
      <c r="A59" s="62" t="s">
        <v>606</v>
      </c>
      <c r="B59" s="62" t="s">
        <v>1</v>
      </c>
      <c r="C59" s="62" t="s">
        <v>62</v>
      </c>
      <c r="D59" s="62" t="s">
        <v>65</v>
      </c>
      <c r="E59" s="27" t="s">
        <v>2</v>
      </c>
      <c r="F59" s="27" t="s">
        <v>65</v>
      </c>
      <c r="G59" s="27">
        <v>0</v>
      </c>
      <c r="H59" s="27">
        <v>0</v>
      </c>
      <c r="I59" s="62">
        <v>0</v>
      </c>
      <c r="J59" s="62">
        <v>0</v>
      </c>
      <c r="K59" s="63">
        <v>7.03035E-7</v>
      </c>
      <c r="L59" s="63">
        <v>4.9889570999999998E-6</v>
      </c>
      <c r="M59" s="63">
        <v>7.6182841999999998E-6</v>
      </c>
      <c r="N59" s="63">
        <v>2.39234179E-5</v>
      </c>
      <c r="O59" s="63">
        <v>4.1730794099999999E-5</v>
      </c>
      <c r="P59" s="63">
        <v>6.5954360199999994E-5</v>
      </c>
      <c r="Q59" s="63">
        <v>1.4197163123000001E-4</v>
      </c>
    </row>
    <row r="60" spans="1:17">
      <c r="A60" s="62" t="s">
        <v>606</v>
      </c>
      <c r="B60" s="62" t="s">
        <v>1</v>
      </c>
      <c r="C60" s="62" t="s">
        <v>62</v>
      </c>
      <c r="D60" s="62" t="s">
        <v>19</v>
      </c>
      <c r="E60" s="27" t="s">
        <v>6</v>
      </c>
      <c r="F60" s="27" t="s">
        <v>19</v>
      </c>
      <c r="G60" s="27">
        <v>1.6688700000000001E-2</v>
      </c>
      <c r="H60" s="27">
        <v>2.1488799999999999E-2</v>
      </c>
      <c r="I60" s="62">
        <v>2.1070200000000001E-2</v>
      </c>
      <c r="J60" s="62">
        <v>2.1070200000000001E-2</v>
      </c>
      <c r="K60" s="62">
        <v>1.24918799999999E-2</v>
      </c>
      <c r="L60" s="62">
        <v>4.1522449999999997E-3</v>
      </c>
      <c r="M60" s="62">
        <v>3.8133020000000002E-3</v>
      </c>
      <c r="N60" s="62">
        <v>3.54558E-3</v>
      </c>
      <c r="O60" s="62">
        <v>2.8582690000000001E-3</v>
      </c>
      <c r="P60" s="62">
        <v>2.2705734999999999E-3</v>
      </c>
      <c r="Q60" s="62">
        <v>2.2865235000000001E-3</v>
      </c>
    </row>
    <row r="61" spans="1:17">
      <c r="A61" s="62" t="s">
        <v>606</v>
      </c>
      <c r="B61" s="62" t="s">
        <v>1</v>
      </c>
      <c r="C61" s="62" t="s">
        <v>469</v>
      </c>
      <c r="D61" s="62" t="s">
        <v>470</v>
      </c>
      <c r="E61" s="27" t="s">
        <v>5</v>
      </c>
      <c r="F61" s="27" t="s">
        <v>470</v>
      </c>
      <c r="G61" s="27">
        <v>0</v>
      </c>
      <c r="H61" s="27">
        <v>3.3933699999999997E-2</v>
      </c>
      <c r="I61" s="62">
        <v>4.7037000000000002E-2</v>
      </c>
      <c r="J61" s="62">
        <v>6.5199999999999994E-2</v>
      </c>
      <c r="K61" s="62">
        <v>8.1128000000000006E-2</v>
      </c>
      <c r="L61" s="62">
        <v>9.2513700000000004E-2</v>
      </c>
      <c r="M61" s="62">
        <v>9.3548400000000004E-2</v>
      </c>
      <c r="N61" s="62">
        <v>9.4770549999999995E-2</v>
      </c>
      <c r="O61" s="62">
        <v>9.9712429999999894E-2</v>
      </c>
      <c r="P61" s="62">
        <v>0.10470014999999901</v>
      </c>
      <c r="Q61" s="62">
        <v>0.109459289999999</v>
      </c>
    </row>
    <row r="62" spans="1:17">
      <c r="A62" s="62" t="s">
        <v>606</v>
      </c>
      <c r="B62" s="62" t="s">
        <v>1</v>
      </c>
      <c r="C62" s="62" t="s">
        <v>469</v>
      </c>
      <c r="D62" s="62" t="s">
        <v>470</v>
      </c>
      <c r="E62" s="27" t="s">
        <v>5</v>
      </c>
      <c r="F62" s="27" t="s">
        <v>471</v>
      </c>
      <c r="G62" s="27">
        <v>0</v>
      </c>
      <c r="H62" s="27">
        <v>0</v>
      </c>
      <c r="I62" s="62">
        <v>0</v>
      </c>
      <c r="J62" s="62">
        <v>0</v>
      </c>
      <c r="K62" s="62">
        <v>4.3412499999999996E-3</v>
      </c>
      <c r="L62" s="62">
        <v>9.4064400000000003E-3</v>
      </c>
      <c r="M62" s="62">
        <v>1.28284E-2</v>
      </c>
      <c r="N62" s="62">
        <v>1.4959976E-2</v>
      </c>
      <c r="O62" s="62">
        <v>1.552629E-2</v>
      </c>
      <c r="P62" s="62">
        <v>1.6179159999999901E-2</v>
      </c>
      <c r="Q62" s="62">
        <v>1.7212539999999998E-2</v>
      </c>
    </row>
    <row r="63" spans="1:17">
      <c r="A63" s="62" t="s">
        <v>606</v>
      </c>
      <c r="B63" s="62" t="s">
        <v>1</v>
      </c>
      <c r="C63" s="62" t="s">
        <v>469</v>
      </c>
      <c r="D63" s="62" t="s">
        <v>470</v>
      </c>
      <c r="E63" s="27" t="s">
        <v>5</v>
      </c>
      <c r="F63" s="27" t="s">
        <v>472</v>
      </c>
      <c r="G63" s="27">
        <v>0</v>
      </c>
      <c r="H63" s="27">
        <v>0</v>
      </c>
      <c r="I63" s="62">
        <v>0</v>
      </c>
      <c r="J63" s="62">
        <v>0</v>
      </c>
      <c r="K63" s="62">
        <v>2.5229499999999999E-3</v>
      </c>
      <c r="L63" s="62">
        <v>5.5482099999999996E-3</v>
      </c>
      <c r="M63" s="62">
        <v>7.5612099999999996E-3</v>
      </c>
      <c r="N63" s="62">
        <v>8.7738109999999994E-3</v>
      </c>
      <c r="O63" s="62">
        <v>9.1631760000000003E-3</v>
      </c>
      <c r="P63" s="62">
        <v>9.5639809999999992E-3</v>
      </c>
      <c r="Q63" s="62">
        <v>1.0127707E-2</v>
      </c>
    </row>
    <row r="64" spans="1:17">
      <c r="A64" s="62" t="s">
        <v>606</v>
      </c>
      <c r="B64" s="62" t="s">
        <v>1</v>
      </c>
      <c r="C64" s="62" t="s">
        <v>469</v>
      </c>
      <c r="D64" s="62" t="s">
        <v>470</v>
      </c>
      <c r="E64" s="27" t="s">
        <v>7</v>
      </c>
      <c r="F64" s="27" t="s">
        <v>470</v>
      </c>
      <c r="G64" s="27">
        <v>0</v>
      </c>
      <c r="H64" s="27">
        <v>7.5847600000000003E-3</v>
      </c>
      <c r="I64" s="62">
        <v>9.4303900000000003E-3</v>
      </c>
      <c r="J64" s="62">
        <v>1.23E-2</v>
      </c>
      <c r="K64" s="62">
        <v>1.535738E-2</v>
      </c>
      <c r="L64" s="62">
        <v>1.763677E-2</v>
      </c>
      <c r="M64" s="62">
        <v>1.8003289999999901E-2</v>
      </c>
      <c r="N64" s="62">
        <v>1.8444450000000001E-2</v>
      </c>
      <c r="O64" s="62">
        <v>1.959348E-2</v>
      </c>
      <c r="P64" s="62">
        <v>2.0781089999999999E-2</v>
      </c>
      <c r="Q64" s="62">
        <v>2.1942449999999999E-2</v>
      </c>
    </row>
    <row r="65" spans="1:57">
      <c r="A65" s="62" t="s">
        <v>606</v>
      </c>
      <c r="B65" s="62" t="s">
        <v>1</v>
      </c>
      <c r="C65" s="62" t="s">
        <v>469</v>
      </c>
      <c r="D65" s="62" t="s">
        <v>470</v>
      </c>
      <c r="E65" s="27" t="s">
        <v>7</v>
      </c>
      <c r="F65" s="27" t="s">
        <v>471</v>
      </c>
      <c r="G65" s="27">
        <v>0</v>
      </c>
      <c r="H65" s="27">
        <v>0</v>
      </c>
      <c r="I65" s="62">
        <v>0</v>
      </c>
      <c r="J65" s="62">
        <v>0</v>
      </c>
      <c r="K65" s="63">
        <v>8.2717700000000001E-4</v>
      </c>
      <c r="L65" s="62">
        <v>1.8034589999999899E-3</v>
      </c>
      <c r="M65" s="62">
        <v>2.475943E-3</v>
      </c>
      <c r="N65" s="62">
        <v>2.9116539999999901E-3</v>
      </c>
      <c r="O65" s="62">
        <v>3.050545E-3</v>
      </c>
      <c r="P65" s="62">
        <v>3.2109819999999998E-3</v>
      </c>
      <c r="Q65" s="62">
        <v>3.4510470000000001E-3</v>
      </c>
    </row>
    <row r="66" spans="1:57">
      <c r="A66" s="62" t="s">
        <v>606</v>
      </c>
      <c r="B66" s="62" t="s">
        <v>1</v>
      </c>
      <c r="C66" s="62" t="s">
        <v>469</v>
      </c>
      <c r="D66" s="62" t="s">
        <v>470</v>
      </c>
      <c r="E66" s="27" t="s">
        <v>7</v>
      </c>
      <c r="F66" s="27" t="s">
        <v>472</v>
      </c>
      <c r="G66" s="27">
        <v>0</v>
      </c>
      <c r="H66" s="27">
        <v>0</v>
      </c>
      <c r="I66" s="62">
        <v>0</v>
      </c>
      <c r="J66" s="62">
        <v>0</v>
      </c>
      <c r="K66" s="63">
        <v>4.8072000000000002E-4</v>
      </c>
      <c r="L66" s="63">
        <v>1.0637960000000001E-3</v>
      </c>
      <c r="M66" s="62">
        <v>1.4593639999999899E-3</v>
      </c>
      <c r="N66" s="62">
        <v>1.7075606000000001E-3</v>
      </c>
      <c r="O66" s="62">
        <v>1.8004200000000001E-3</v>
      </c>
      <c r="P66" s="62">
        <v>1.8981779999999999E-3</v>
      </c>
      <c r="Q66" s="62">
        <v>2.0304659999999999E-3</v>
      </c>
    </row>
    <row r="67" spans="1:57">
      <c r="E67" s="27"/>
      <c r="F67" s="27"/>
      <c r="G67" s="27"/>
      <c r="H67" s="27"/>
    </row>
    <row r="68" spans="1:57">
      <c r="A68" s="115" t="s">
        <v>29</v>
      </c>
      <c r="B68" s="115"/>
      <c r="C68" s="115"/>
      <c r="D68" s="115"/>
      <c r="E68" s="115"/>
      <c r="F68" s="115"/>
      <c r="G68" s="62">
        <f t="shared" ref="G68:P68" si="0">SUM(G3:G67)</f>
        <v>1.63800122</v>
      </c>
      <c r="H68" s="62">
        <f t="shared" si="0"/>
        <v>3.6136052600000004</v>
      </c>
      <c r="I68" s="62">
        <f t="shared" si="0"/>
        <v>4.3475221900000003</v>
      </c>
      <c r="J68" s="91">
        <f t="shared" si="0"/>
        <v>5.0467366789999986</v>
      </c>
      <c r="K68" s="62">
        <f t="shared" si="0"/>
        <v>5.1647451268950002</v>
      </c>
      <c r="L68" s="62">
        <f t="shared" si="0"/>
        <v>5.7620272860270996</v>
      </c>
      <c r="M68" s="62">
        <f t="shared" si="0"/>
        <v>5.9678999502041989</v>
      </c>
      <c r="N68" s="62">
        <f t="shared" si="0"/>
        <v>6.0819009109158984</v>
      </c>
      <c r="O68" s="62">
        <f t="shared" si="0"/>
        <v>6.2233593136440986</v>
      </c>
      <c r="P68" s="62">
        <f t="shared" si="0"/>
        <v>6.3467657787701981</v>
      </c>
      <c r="Q68" s="62">
        <f>SUM(Q3:Q67)</f>
        <v>6.4692369777412244</v>
      </c>
      <c r="U68" s="62">
        <v>1990</v>
      </c>
      <c r="V68" s="62">
        <v>2005</v>
      </c>
      <c r="W68" s="62">
        <v>2010</v>
      </c>
      <c r="X68" s="62">
        <v>2015</v>
      </c>
      <c r="Y68" s="62">
        <v>2020</v>
      </c>
      <c r="Z68" s="62">
        <v>2025</v>
      </c>
      <c r="AA68" s="62">
        <v>2030</v>
      </c>
      <c r="AB68" s="62">
        <v>2035</v>
      </c>
      <c r="AC68" s="62">
        <v>2040</v>
      </c>
      <c r="AD68" s="62">
        <v>2045</v>
      </c>
      <c r="AE68" s="62">
        <v>2050</v>
      </c>
    </row>
    <row r="69" spans="1:57">
      <c r="T69" s="62">
        <f t="shared" ref="T69:W69" si="1">SUMIF($E$3:$E$67,$B80,F$3:F$67)</f>
        <v>0</v>
      </c>
      <c r="U69" s="62">
        <f t="shared" si="1"/>
        <v>0.20943100999999997</v>
      </c>
      <c r="V69" s="62">
        <f t="shared" si="1"/>
        <v>0.67199533999999994</v>
      </c>
      <c r="W69" s="62">
        <f t="shared" si="1"/>
        <v>0.84385246999999997</v>
      </c>
      <c r="X69" s="62">
        <f>SUMIF($E$3:$E$67,$B80,J$3:J$67)</f>
        <v>0.97975849000000015</v>
      </c>
      <c r="Y69" s="62">
        <f t="shared" ref="Y69:AE69" si="2">SUMIF($E$3:$E$67,$B80,K$3:K$67)</f>
        <v>1.0413343609999997</v>
      </c>
      <c r="Z69" s="62">
        <f t="shared" si="2"/>
        <v>1.1605743718999999</v>
      </c>
      <c r="AA69" s="62">
        <f t="shared" si="2"/>
        <v>1.1836129827000001</v>
      </c>
      <c r="AB69" s="62">
        <f t="shared" si="2"/>
        <v>1.195881957199999</v>
      </c>
      <c r="AC69" s="62">
        <f t="shared" si="2"/>
        <v>1.2171121603999988</v>
      </c>
      <c r="AD69" s="62">
        <f t="shared" si="2"/>
        <v>1.2597691251999978</v>
      </c>
      <c r="AE69" s="62">
        <f t="shared" si="2"/>
        <v>1.3283167364999993</v>
      </c>
    </row>
    <row r="70" spans="1:57">
      <c r="A70" s="1" t="s">
        <v>23</v>
      </c>
    </row>
    <row r="71" spans="1:57">
      <c r="A71" s="62" t="s">
        <v>8</v>
      </c>
      <c r="B71" s="62" t="s">
        <v>9</v>
      </c>
      <c r="C71" s="62" t="s">
        <v>24</v>
      </c>
      <c r="D71" s="62" t="s">
        <v>10</v>
      </c>
      <c r="E71" s="62">
        <v>1990</v>
      </c>
      <c r="F71" s="62">
        <v>2005</v>
      </c>
      <c r="G71" s="62">
        <v>2010</v>
      </c>
      <c r="H71" s="62">
        <v>2015</v>
      </c>
      <c r="I71" s="62">
        <v>2020</v>
      </c>
      <c r="J71" s="62">
        <v>2025</v>
      </c>
      <c r="K71" s="62">
        <v>2030</v>
      </c>
      <c r="L71" s="62">
        <v>2035</v>
      </c>
      <c r="M71" s="62">
        <v>2040</v>
      </c>
      <c r="N71" s="62">
        <v>2045</v>
      </c>
      <c r="O71" s="62">
        <v>2050</v>
      </c>
    </row>
    <row r="72" spans="1:57">
      <c r="A72" s="62" t="s">
        <v>606</v>
      </c>
      <c r="B72" s="62" t="s">
        <v>1</v>
      </c>
      <c r="C72" s="62" t="s">
        <v>20</v>
      </c>
      <c r="D72" s="62" t="s">
        <v>4</v>
      </c>
      <c r="E72" s="62">
        <v>0</v>
      </c>
      <c r="F72" s="62">
        <v>0</v>
      </c>
      <c r="G72" s="62">
        <v>1.6953300000000001E-2</v>
      </c>
      <c r="H72" s="62">
        <v>2.3106700000000001E-2</v>
      </c>
      <c r="I72" s="62">
        <v>1.8826900000000001E-2</v>
      </c>
      <c r="J72" s="62">
        <v>1.99977E-2</v>
      </c>
      <c r="K72" s="62">
        <v>1.9488100000000001E-2</v>
      </c>
      <c r="L72" s="62">
        <v>2.0002900000000001E-2</v>
      </c>
      <c r="M72" s="62">
        <v>2.1653599999999999E-2</v>
      </c>
      <c r="N72" s="62">
        <v>2.3451300000000001E-2</v>
      </c>
      <c r="O72" s="62">
        <v>2.3886899999999999E-2</v>
      </c>
    </row>
    <row r="73" spans="1:57">
      <c r="A73" s="62" t="s">
        <v>606</v>
      </c>
      <c r="B73" s="62" t="s">
        <v>1</v>
      </c>
      <c r="C73" s="62" t="s">
        <v>20</v>
      </c>
      <c r="D73" s="62" t="s">
        <v>6</v>
      </c>
      <c r="E73" s="62">
        <v>0.23639399999999999</v>
      </c>
      <c r="F73" s="62">
        <v>1.18882</v>
      </c>
      <c r="G73" s="62">
        <v>1.5032799999999999</v>
      </c>
      <c r="H73" s="62">
        <v>1.8793899999999999</v>
      </c>
      <c r="I73" s="62">
        <v>1.89863</v>
      </c>
      <c r="J73" s="62">
        <v>2.1570999999999998</v>
      </c>
      <c r="K73" s="62">
        <v>2.2750400000000002</v>
      </c>
      <c r="L73" s="62">
        <v>2.3559000000000001</v>
      </c>
      <c r="M73" s="62">
        <v>2.4420299999999999</v>
      </c>
      <c r="N73" s="62">
        <v>2.5479500000000002</v>
      </c>
      <c r="O73" s="62">
        <v>2.6657500000000001</v>
      </c>
    </row>
    <row r="74" spans="1:57">
      <c r="A74" s="62" t="s">
        <v>606</v>
      </c>
      <c r="B74" s="62" t="s">
        <v>1</v>
      </c>
      <c r="C74" s="62" t="s">
        <v>21</v>
      </c>
      <c r="D74" s="62" t="s">
        <v>6</v>
      </c>
      <c r="E74" s="62">
        <v>3.2608900000000003E-2</v>
      </c>
      <c r="F74" s="62">
        <v>5.08599E-2</v>
      </c>
      <c r="G74" s="62">
        <v>5.3873799999999999E-2</v>
      </c>
      <c r="H74" s="62">
        <v>4.94367E-2</v>
      </c>
      <c r="I74" s="62">
        <v>5.4238799999999997E-2</v>
      </c>
      <c r="J74" s="62">
        <v>5.7499799999999997E-2</v>
      </c>
      <c r="K74" s="62">
        <v>5.8557600000000001E-2</v>
      </c>
      <c r="L74" s="62">
        <v>5.9224600000000002E-2</v>
      </c>
      <c r="M74" s="62">
        <v>6.0279899999999997E-2</v>
      </c>
      <c r="N74" s="62">
        <v>6.1346600000000001E-2</v>
      </c>
      <c r="O74" s="62">
        <v>6.2424199999999999E-2</v>
      </c>
    </row>
    <row r="75" spans="1:57">
      <c r="A75" s="62" t="s">
        <v>606</v>
      </c>
      <c r="B75" s="62" t="s">
        <v>1</v>
      </c>
      <c r="C75" s="62" t="s">
        <v>22</v>
      </c>
      <c r="D75" s="62" t="s">
        <v>6</v>
      </c>
      <c r="E75" s="62">
        <v>0</v>
      </c>
      <c r="F75" s="62">
        <v>3.1394999999999999E-2</v>
      </c>
      <c r="G75" s="62">
        <v>3.1520600000000003E-2</v>
      </c>
      <c r="H75" s="62">
        <v>2.9218299999999999E-2</v>
      </c>
      <c r="I75" s="62">
        <v>3.22203E-2</v>
      </c>
      <c r="J75" s="62">
        <v>3.8402800000000001E-2</v>
      </c>
      <c r="K75" s="62">
        <v>4.89063E-2</v>
      </c>
      <c r="L75" s="62">
        <v>7.4603199999999995E-2</v>
      </c>
      <c r="M75" s="62">
        <v>0.10693</v>
      </c>
      <c r="N75" s="62">
        <v>0.125863</v>
      </c>
      <c r="O75" s="62">
        <v>0.139158</v>
      </c>
    </row>
    <row r="77" spans="1:57">
      <c r="A77" s="1" t="s">
        <v>11</v>
      </c>
      <c r="AB77" s="1" t="s">
        <v>537</v>
      </c>
      <c r="AH77" s="62">
        <v>1990</v>
      </c>
      <c r="AI77" s="62">
        <v>2005</v>
      </c>
      <c r="AJ77" s="62">
        <v>2010</v>
      </c>
      <c r="AK77" s="62">
        <v>2015</v>
      </c>
      <c r="AL77" s="62">
        <v>2020</v>
      </c>
      <c r="AM77" s="62">
        <v>2025</v>
      </c>
      <c r="AN77" s="62">
        <v>2030</v>
      </c>
      <c r="AO77" s="62">
        <v>2035</v>
      </c>
      <c r="AP77" s="62">
        <v>2040</v>
      </c>
      <c r="AQ77" s="62">
        <v>2045</v>
      </c>
      <c r="AR77" s="62">
        <v>2050</v>
      </c>
      <c r="AS77" s="62" t="s">
        <v>64</v>
      </c>
      <c r="AW77" s="62">
        <v>2015</v>
      </c>
      <c r="AX77" s="62">
        <v>2020</v>
      </c>
      <c r="AY77" s="62">
        <v>2025</v>
      </c>
      <c r="AZ77" s="62">
        <v>2030</v>
      </c>
      <c r="BA77" s="62">
        <v>2035</v>
      </c>
      <c r="BB77" s="62">
        <v>2040</v>
      </c>
      <c r="BC77" s="62">
        <v>2045</v>
      </c>
      <c r="BD77" s="62">
        <v>2050</v>
      </c>
    </row>
    <row r="78" spans="1:57">
      <c r="A78" s="65" t="s">
        <v>8</v>
      </c>
      <c r="B78" s="66" t="s">
        <v>9</v>
      </c>
      <c r="C78" s="66" t="s">
        <v>10</v>
      </c>
      <c r="D78" s="66">
        <v>2015</v>
      </c>
      <c r="E78" s="66">
        <v>2020</v>
      </c>
      <c r="F78" s="66">
        <v>2025</v>
      </c>
      <c r="G78" s="66">
        <v>2030</v>
      </c>
      <c r="H78" s="66">
        <v>2035</v>
      </c>
      <c r="I78" s="66">
        <v>2040</v>
      </c>
      <c r="J78" s="66">
        <v>2045</v>
      </c>
      <c r="K78" s="7">
        <v>2050</v>
      </c>
      <c r="AB78" s="62" t="s">
        <v>606</v>
      </c>
      <c r="AC78" s="62" t="s">
        <v>1</v>
      </c>
      <c r="AD78" s="85" t="s">
        <v>140</v>
      </c>
      <c r="AE78" s="62" t="s">
        <v>59</v>
      </c>
      <c r="AF78" s="62" t="s">
        <v>329</v>
      </c>
      <c r="AG78" s="62" t="s">
        <v>5</v>
      </c>
      <c r="AH78" s="62">
        <v>0</v>
      </c>
      <c r="AI78" s="62">
        <v>0</v>
      </c>
      <c r="AJ78" s="62">
        <v>0</v>
      </c>
      <c r="AK78" s="62">
        <v>0</v>
      </c>
      <c r="AL78" s="63">
        <v>2.3149499999999999E-5</v>
      </c>
      <c r="AM78" s="63">
        <v>1.8682599999999999E-4</v>
      </c>
      <c r="AN78" s="63">
        <v>4.7868900000000002E-4</v>
      </c>
      <c r="AO78" s="62">
        <v>1.25924E-3</v>
      </c>
      <c r="AP78" s="62">
        <v>2.4834499999999999E-3</v>
      </c>
      <c r="AQ78" s="62">
        <v>3.5561500000000001E-3</v>
      </c>
      <c r="AR78" s="62">
        <v>4.8146500000000002E-3</v>
      </c>
      <c r="AS78" s="62" t="s">
        <v>61</v>
      </c>
      <c r="AV78" s="62" t="s">
        <v>591</v>
      </c>
      <c r="AW78" s="62">
        <f>SUM(AK90:AK92)</f>
        <v>0.19544590000000001</v>
      </c>
      <c r="AX78" s="62">
        <f t="shared" ref="AX78:BD78" si="3">SUM(AL90:AL92)</f>
        <v>0.18453055999999979</v>
      </c>
      <c r="AY78" s="62">
        <f t="shared" si="3"/>
        <v>0.19757906</v>
      </c>
      <c r="AZ78" s="62">
        <f t="shared" si="3"/>
        <v>0.19220533000000001</v>
      </c>
      <c r="BA78" s="62">
        <f t="shared" si="3"/>
        <v>0.18420979000000001</v>
      </c>
      <c r="BB78" s="62">
        <f t="shared" si="3"/>
        <v>0.18423875000000001</v>
      </c>
      <c r="BC78" s="62">
        <f t="shared" si="3"/>
        <v>0.19021017999999998</v>
      </c>
      <c r="BD78" s="62">
        <f t="shared" si="3"/>
        <v>0.20463289999999998</v>
      </c>
      <c r="BE78" s="62" t="s">
        <v>595</v>
      </c>
    </row>
    <row r="79" spans="1:57">
      <c r="A79" s="8" t="s">
        <v>0</v>
      </c>
      <c r="B79" s="45" t="s">
        <v>2</v>
      </c>
      <c r="C79" s="45" t="s">
        <v>12</v>
      </c>
      <c r="D79" s="45">
        <f>SUMIF($E$3:$E$67,$B79,J$3:J$67)</f>
        <v>0</v>
      </c>
      <c r="E79" s="45">
        <f t="shared" ref="E79:K84" si="4">SUMIF($E$3:$E$67,$B79,K$3:K$67)</f>
        <v>1.0973632649999999E-3</v>
      </c>
      <c r="F79" s="45">
        <f t="shared" si="4"/>
        <v>6.471352457099999E-3</v>
      </c>
      <c r="G79" s="45">
        <f t="shared" si="4"/>
        <v>1.85282606042E-2</v>
      </c>
      <c r="H79" s="45">
        <f t="shared" si="4"/>
        <v>5.2443404405899993E-2</v>
      </c>
      <c r="I79" s="45">
        <f t="shared" si="4"/>
        <v>0.1054553967841</v>
      </c>
      <c r="J79" s="45">
        <f t="shared" si="4"/>
        <v>0.15494520138019999</v>
      </c>
      <c r="K79" s="9">
        <f t="shared" si="4"/>
        <v>0.20799971959122979</v>
      </c>
      <c r="O79" s="65"/>
      <c r="P79" s="66">
        <v>2015</v>
      </c>
      <c r="Q79" s="66">
        <v>2020</v>
      </c>
      <c r="R79" s="66">
        <v>2025</v>
      </c>
      <c r="S79" s="66">
        <v>2030</v>
      </c>
      <c r="T79" s="66">
        <v>2035</v>
      </c>
      <c r="U79" s="66">
        <v>2040</v>
      </c>
      <c r="V79" s="66">
        <v>2045</v>
      </c>
      <c r="W79" s="7">
        <v>2050</v>
      </c>
      <c r="AB79" s="62" t="s">
        <v>606</v>
      </c>
      <c r="AC79" s="62" t="s">
        <v>1</v>
      </c>
      <c r="AD79" s="85" t="s">
        <v>64</v>
      </c>
      <c r="AE79" s="62" t="s">
        <v>59</v>
      </c>
      <c r="AF79" s="62" t="s">
        <v>59</v>
      </c>
      <c r="AG79" s="62" t="s">
        <v>5</v>
      </c>
      <c r="AH79" s="62">
        <v>5.2325000000000002E-3</v>
      </c>
      <c r="AI79" s="62">
        <v>1.9004400000000001E-2</v>
      </c>
      <c r="AJ79" s="62">
        <v>2.8799700000000001E-2</v>
      </c>
      <c r="AK79" s="62">
        <v>4.1901800000000003E-2</v>
      </c>
      <c r="AL79" s="62">
        <v>3.9326239999999998E-2</v>
      </c>
      <c r="AM79" s="62">
        <v>4.0191610000000003E-2</v>
      </c>
      <c r="AN79" s="62">
        <v>3.6625110000000002E-2</v>
      </c>
      <c r="AO79" s="62">
        <v>3.359243E-2</v>
      </c>
      <c r="AP79" s="62">
        <v>3.2094749999999998E-2</v>
      </c>
      <c r="AQ79" s="62">
        <v>3.0825410000000001E-2</v>
      </c>
      <c r="AR79" s="62">
        <v>2.9881269999999901E-2</v>
      </c>
      <c r="AS79" s="62" t="s">
        <v>56</v>
      </c>
      <c r="AV79" s="62" t="s">
        <v>592</v>
      </c>
      <c r="AW79" s="62">
        <f>AK81</f>
        <v>0.17627200000000001</v>
      </c>
      <c r="AX79" s="62">
        <f t="shared" ref="AX79:BD79" si="5">AL81</f>
        <v>0.1860851</v>
      </c>
      <c r="AY79" s="62">
        <f t="shared" si="5"/>
        <v>0.22395290000000001</v>
      </c>
      <c r="AZ79" s="62">
        <f t="shared" si="5"/>
        <v>0.24429319999999999</v>
      </c>
      <c r="BA79" s="62">
        <f t="shared" si="5"/>
        <v>0.27028079999999999</v>
      </c>
      <c r="BB79" s="62">
        <f t="shared" si="5"/>
        <v>0.30377803999999903</v>
      </c>
      <c r="BC79" s="62">
        <f t="shared" si="5"/>
        <v>0.34101284999999998</v>
      </c>
      <c r="BD79" s="62">
        <f t="shared" si="5"/>
        <v>0.38396806</v>
      </c>
    </row>
    <row r="80" spans="1:57">
      <c r="A80" s="8" t="s">
        <v>0</v>
      </c>
      <c r="B80" s="45" t="s">
        <v>5</v>
      </c>
      <c r="C80" s="45" t="s">
        <v>17</v>
      </c>
      <c r="D80" s="74">
        <f t="shared" ref="D80" si="6">SUMIF($E$3:$E$67,$B80,J$3:J$67)+AK101</f>
        <v>0.99548382320000017</v>
      </c>
      <c r="E80" s="74">
        <f t="shared" ref="E80" si="7">SUMIF($E$3:$E$67,$B80,K$3:K$67)+AL101</f>
        <v>1.0594386492799996</v>
      </c>
      <c r="F80" s="74">
        <f t="shared" ref="F80:K80" si="8">SUMIF($E$3:$E$67,$B80,L$3:L$67)+AM101</f>
        <v>1.1809540183499998</v>
      </c>
      <c r="G80" s="74">
        <f t="shared" si="8"/>
        <v>1.2054159267400002</v>
      </c>
      <c r="H80" s="74">
        <f t="shared" si="8"/>
        <v>1.2188123106599991</v>
      </c>
      <c r="I80" s="74">
        <f t="shared" si="8"/>
        <v>1.2408604874699989</v>
      </c>
      <c r="J80" s="74">
        <f t="shared" si="8"/>
        <v>1.2836595204399979</v>
      </c>
      <c r="K80" s="74">
        <f t="shared" si="8"/>
        <v>1.3521601895699993</v>
      </c>
      <c r="O80" s="8" t="s">
        <v>676</v>
      </c>
      <c r="P80" s="45">
        <f>D80*$O$83</f>
        <v>276.52328422222149</v>
      </c>
      <c r="Q80" s="45">
        <f t="shared" ref="Q80:W80" si="9">E80*$O$83</f>
        <v>294.28851368888792</v>
      </c>
      <c r="R80" s="45">
        <f t="shared" si="9"/>
        <v>328.04278287499898</v>
      </c>
      <c r="S80" s="45">
        <f t="shared" si="9"/>
        <v>334.83775742777686</v>
      </c>
      <c r="T80" s="45">
        <f t="shared" si="9"/>
        <v>338.55897518333211</v>
      </c>
      <c r="U80" s="45">
        <f t="shared" si="9"/>
        <v>344.68346874166537</v>
      </c>
      <c r="V80" s="45">
        <f t="shared" si="9"/>
        <v>356.57208901110948</v>
      </c>
      <c r="W80" s="45">
        <f t="shared" si="9"/>
        <v>375.60005265833206</v>
      </c>
      <c r="AB80" s="62" t="s">
        <v>606</v>
      </c>
      <c r="AC80" s="62" t="s">
        <v>1</v>
      </c>
      <c r="AD80" s="85" t="s">
        <v>61</v>
      </c>
      <c r="AE80" s="62" t="s">
        <v>61</v>
      </c>
      <c r="AF80" s="62" t="s">
        <v>61</v>
      </c>
      <c r="AG80" s="62" t="s">
        <v>5</v>
      </c>
      <c r="AH80" s="62">
        <v>1.39375E-2</v>
      </c>
      <c r="AI80" s="62">
        <v>2.0152400000000001E-2</v>
      </c>
      <c r="AJ80" s="62">
        <v>1.9656400000000001E-2</v>
      </c>
      <c r="AK80" s="62">
        <v>1.9656400000000001E-2</v>
      </c>
      <c r="AL80" s="62">
        <v>2.0393643999999999E-2</v>
      </c>
      <c r="AM80" s="62">
        <v>2.3707763999999999E-2</v>
      </c>
      <c r="AN80" s="62">
        <v>2.4571488999999998E-2</v>
      </c>
      <c r="AO80" s="62">
        <v>2.4714197E-2</v>
      </c>
      <c r="AP80" s="62">
        <v>2.4835144999999999E-2</v>
      </c>
      <c r="AQ80" s="62">
        <v>2.5378276000000002E-2</v>
      </c>
      <c r="AR80" s="62">
        <v>2.6144399200000001E-2</v>
      </c>
      <c r="AV80" s="62" t="s">
        <v>593</v>
      </c>
      <c r="AW80" s="62">
        <f>SUM(AK84:AK86,AK98:AK100)</f>
        <v>0.1409</v>
      </c>
      <c r="AX80" s="62">
        <f t="shared" ref="AX80:BD80" si="10">SUM(AL84:AL86,AL98:AL100)</f>
        <v>0.19015489999999988</v>
      </c>
      <c r="AY80" s="62">
        <f t="shared" si="10"/>
        <v>0.23224364999999977</v>
      </c>
      <c r="AZ80" s="62">
        <f t="shared" si="10"/>
        <v>0.24622493000000001</v>
      </c>
      <c r="BA80" s="62">
        <f t="shared" si="10"/>
        <v>0.25609324700000002</v>
      </c>
      <c r="BB80" s="62">
        <f t="shared" si="10"/>
        <v>0.26883779599999991</v>
      </c>
      <c r="BC80" s="62">
        <f t="shared" si="10"/>
        <v>0.28189343099999892</v>
      </c>
      <c r="BD80" s="62">
        <f t="shared" si="10"/>
        <v>0.295629646999999</v>
      </c>
    </row>
    <row r="81" spans="1:57">
      <c r="A81" s="8" t="s">
        <v>0</v>
      </c>
      <c r="B81" s="45" t="s">
        <v>3</v>
      </c>
      <c r="C81" s="45" t="s">
        <v>13</v>
      </c>
      <c r="D81" s="45">
        <f>SUMIF($E$3:$E$67,$B81,J$3:J$67)</f>
        <v>0.16462779999999999</v>
      </c>
      <c r="E81" s="45">
        <f>SUMIF($E$3:$E$67,$B81,K$3:K$67)</f>
        <v>0.17827355799999986</v>
      </c>
      <c r="F81" s="45">
        <f t="shared" si="4"/>
        <v>0.20278247299999996</v>
      </c>
      <c r="G81" s="45">
        <f t="shared" si="4"/>
        <v>0.21898496499999892</v>
      </c>
      <c r="H81" s="45">
        <f t="shared" si="4"/>
        <v>0.237948566</v>
      </c>
      <c r="I81" s="45">
        <f t="shared" si="4"/>
        <v>0.25810660499999999</v>
      </c>
      <c r="J81" s="45">
        <f t="shared" si="4"/>
        <v>0.26928811299999988</v>
      </c>
      <c r="K81" s="9">
        <f t="shared" si="4"/>
        <v>0.28084441439999996</v>
      </c>
      <c r="O81" s="8" t="s">
        <v>473</v>
      </c>
      <c r="P81" s="45">
        <v>265.68080231002131</v>
      </c>
      <c r="Q81" s="45">
        <v>268.7407250900215</v>
      </c>
      <c r="R81" s="45"/>
      <c r="S81" s="45"/>
      <c r="T81" s="45"/>
      <c r="U81" s="45"/>
      <c r="V81" s="45"/>
      <c r="W81" s="9"/>
      <c r="AB81" s="62" t="s">
        <v>606</v>
      </c>
      <c r="AC81" s="62" t="s">
        <v>1</v>
      </c>
      <c r="AD81" s="85" t="s">
        <v>56</v>
      </c>
      <c r="AE81" s="62" t="s">
        <v>59</v>
      </c>
      <c r="AF81" s="62" t="s">
        <v>59</v>
      </c>
      <c r="AG81" s="62" t="s">
        <v>5</v>
      </c>
      <c r="AH81" s="62">
        <v>3.9306500000000001E-2</v>
      </c>
      <c r="AI81" s="62">
        <v>0.143622</v>
      </c>
      <c r="AJ81" s="62">
        <v>0.14705399999999999</v>
      </c>
      <c r="AK81" s="62">
        <v>0.17627200000000001</v>
      </c>
      <c r="AL81" s="62">
        <v>0.1860851</v>
      </c>
      <c r="AM81" s="62">
        <v>0.22395290000000001</v>
      </c>
      <c r="AN81" s="62">
        <v>0.24429319999999999</v>
      </c>
      <c r="AO81" s="62">
        <v>0.27028079999999999</v>
      </c>
      <c r="AP81" s="62">
        <v>0.30377803999999903</v>
      </c>
      <c r="AQ81" s="62">
        <v>0.34101284999999998</v>
      </c>
      <c r="AR81" s="62">
        <v>0.38396806</v>
      </c>
      <c r="AV81" s="62" t="s">
        <v>633</v>
      </c>
      <c r="AW81" s="62">
        <f>AK80</f>
        <v>1.9656400000000001E-2</v>
      </c>
      <c r="AX81" s="62">
        <f t="shared" ref="AX81:BD81" si="11">AL80</f>
        <v>2.0393643999999999E-2</v>
      </c>
      <c r="AY81" s="62">
        <f t="shared" si="11"/>
        <v>2.3707763999999999E-2</v>
      </c>
      <c r="AZ81" s="62">
        <f t="shared" si="11"/>
        <v>2.4571488999999998E-2</v>
      </c>
      <c r="BA81" s="62">
        <f t="shared" si="11"/>
        <v>2.4714197E-2</v>
      </c>
      <c r="BB81" s="62">
        <f t="shared" si="11"/>
        <v>2.4835144999999999E-2</v>
      </c>
      <c r="BC81" s="62">
        <f t="shared" si="11"/>
        <v>2.5378276000000002E-2</v>
      </c>
      <c r="BD81" s="62">
        <f t="shared" si="11"/>
        <v>2.6144399200000001E-2</v>
      </c>
    </row>
    <row r="82" spans="1:57">
      <c r="A82" s="8" t="s">
        <v>0</v>
      </c>
      <c r="B82" s="45" t="s">
        <v>7</v>
      </c>
      <c r="C82" s="45" t="s">
        <v>15</v>
      </c>
      <c r="D82" s="45">
        <f t="shared" ref="D82:D84" si="12">SUMIF($E$3:$E$67,$B82,J$3:J$67)</f>
        <v>0.351054119</v>
      </c>
      <c r="E82" s="45">
        <f t="shared" si="4"/>
        <v>0.37503883769999991</v>
      </c>
      <c r="F82" s="45">
        <f t="shared" si="4"/>
        <v>0.42245675659999982</v>
      </c>
      <c r="G82" s="45">
        <f t="shared" si="4"/>
        <v>0.44892933896999987</v>
      </c>
      <c r="H82" s="45">
        <f t="shared" si="4"/>
        <v>0.45735282459999993</v>
      </c>
      <c r="I82" s="45">
        <f t="shared" si="4"/>
        <v>0.44960898909999897</v>
      </c>
      <c r="J82" s="45">
        <f t="shared" si="4"/>
        <v>0.45970136889999996</v>
      </c>
      <c r="K82" s="9">
        <f t="shared" si="4"/>
        <v>0.48474711708999896</v>
      </c>
      <c r="O82" s="8" t="s">
        <v>474</v>
      </c>
      <c r="P82" s="45"/>
      <c r="Q82" s="45"/>
      <c r="R82" s="45">
        <v>302.38000000002415</v>
      </c>
      <c r="S82" s="45">
        <v>337.27000000002698</v>
      </c>
      <c r="T82" s="45">
        <v>348.90000000002794</v>
      </c>
      <c r="U82" s="45"/>
      <c r="V82" s="45"/>
      <c r="W82" s="9"/>
      <c r="AB82" s="62" t="s">
        <v>606</v>
      </c>
      <c r="AC82" s="62" t="s">
        <v>1</v>
      </c>
      <c r="AD82" s="85" t="s">
        <v>67</v>
      </c>
      <c r="AE82" s="62" t="s">
        <v>59</v>
      </c>
      <c r="AF82" s="62" t="s">
        <v>59</v>
      </c>
      <c r="AG82" s="62" t="s">
        <v>5</v>
      </c>
      <c r="AH82" s="62">
        <v>0</v>
      </c>
      <c r="AI82" s="62">
        <v>0</v>
      </c>
      <c r="AJ82" s="62">
        <v>0</v>
      </c>
      <c r="AK82" s="62">
        <v>0</v>
      </c>
      <c r="AL82" s="63">
        <v>1.0941400000000001E-4</v>
      </c>
      <c r="AM82" s="63">
        <v>3.4415889999999999E-4</v>
      </c>
      <c r="AN82" s="63">
        <v>5.7363170000000003E-4</v>
      </c>
      <c r="AO82" s="63">
        <v>7.5795029999999996E-4</v>
      </c>
      <c r="AP82" s="63">
        <v>7.9547839999999999E-4</v>
      </c>
      <c r="AQ82" s="63">
        <v>8.4225819999999999E-4</v>
      </c>
      <c r="AR82" s="63">
        <v>8.9197229999999998E-4</v>
      </c>
      <c r="AV82" s="62" t="s">
        <v>594</v>
      </c>
    </row>
    <row r="83" spans="1:57">
      <c r="A83" s="8" t="s">
        <v>0</v>
      </c>
      <c r="B83" s="45" t="s">
        <v>4</v>
      </c>
      <c r="C83" s="45" t="s">
        <v>14</v>
      </c>
      <c r="D83" s="45">
        <f t="shared" si="12"/>
        <v>1.3146941000000001</v>
      </c>
      <c r="E83" s="45">
        <f t="shared" si="4"/>
        <v>1.3009410299999997</v>
      </c>
      <c r="F83" s="45">
        <f t="shared" si="4"/>
        <v>1.422541563</v>
      </c>
      <c r="G83" s="45">
        <f t="shared" si="4"/>
        <v>1.4164904219999981</v>
      </c>
      <c r="H83" s="45">
        <f t="shared" si="4"/>
        <v>1.3561167170000001</v>
      </c>
      <c r="I83" s="45">
        <f t="shared" si="4"/>
        <v>1.3013789390000001</v>
      </c>
      <c r="J83" s="45">
        <f t="shared" si="4"/>
        <v>1.1974313574999997</v>
      </c>
      <c r="K83" s="9">
        <f t="shared" si="4"/>
        <v>1.0392079328999988</v>
      </c>
      <c r="O83" s="70">
        <v>277.77777777777698</v>
      </c>
      <c r="P83" s="71">
        <v>0.9797585900000001</v>
      </c>
      <c r="Q83" s="71">
        <v>1.0338013420000001</v>
      </c>
      <c r="R83" s="71">
        <v>1.1746905747999987</v>
      </c>
      <c r="S83" s="71">
        <v>1.1997719969999996</v>
      </c>
      <c r="T83" s="71">
        <v>1.2122899546999981</v>
      </c>
      <c r="U83" s="71">
        <v>1.2387189905999998</v>
      </c>
      <c r="V83" s="71">
        <v>1.2985974637000004</v>
      </c>
      <c r="W83" s="10">
        <v>1.3910537504</v>
      </c>
      <c r="X83" s="62" t="s">
        <v>78</v>
      </c>
      <c r="AB83" s="62" t="s">
        <v>606</v>
      </c>
      <c r="AC83" s="62" t="s">
        <v>1</v>
      </c>
      <c r="AD83" s="12" t="s">
        <v>146</v>
      </c>
      <c r="AE83" s="62" t="s">
        <v>59</v>
      </c>
      <c r="AF83" s="62" t="s">
        <v>568</v>
      </c>
      <c r="AG83" s="62" t="s">
        <v>5</v>
      </c>
      <c r="AH83" s="63">
        <v>2.1996800000000002E-6</v>
      </c>
      <c r="AI83" s="63">
        <v>2.9346600000000002E-6</v>
      </c>
      <c r="AJ83" s="63">
        <v>2.2989300000000001E-6</v>
      </c>
      <c r="AK83" s="63">
        <v>1.6632E-6</v>
      </c>
      <c r="AL83" s="63">
        <v>3.1082799999999998E-6</v>
      </c>
      <c r="AM83" s="63">
        <v>4.4884500000000002E-6</v>
      </c>
      <c r="AN83" s="63">
        <v>5.1500400000000001E-6</v>
      </c>
      <c r="AO83" s="63">
        <v>5.6894600000000001E-6</v>
      </c>
      <c r="AP83" s="63">
        <v>6.3250700000000002E-6</v>
      </c>
      <c r="AQ83" s="63">
        <v>6.6612400000000001E-6</v>
      </c>
      <c r="AR83" s="63">
        <v>6.8710699999999998E-6</v>
      </c>
      <c r="AS83" s="62" t="s">
        <v>67</v>
      </c>
    </row>
    <row r="84" spans="1:57">
      <c r="A84" s="8" t="s">
        <v>26</v>
      </c>
      <c r="B84" s="45"/>
      <c r="C84" s="45" t="s">
        <v>30</v>
      </c>
      <c r="D84" s="45">
        <f t="shared" si="12"/>
        <v>0</v>
      </c>
      <c r="E84" s="45">
        <f t="shared" si="4"/>
        <v>0</v>
      </c>
      <c r="F84" s="45">
        <f t="shared" si="4"/>
        <v>0</v>
      </c>
      <c r="G84" s="45">
        <f t="shared" si="4"/>
        <v>0</v>
      </c>
      <c r="H84" s="45">
        <f t="shared" si="4"/>
        <v>0</v>
      </c>
      <c r="I84" s="45">
        <f t="shared" si="4"/>
        <v>0</v>
      </c>
      <c r="J84" s="45">
        <f t="shared" si="4"/>
        <v>0</v>
      </c>
      <c r="K84" s="9">
        <f t="shared" si="4"/>
        <v>0</v>
      </c>
      <c r="AB84" s="62" t="s">
        <v>606</v>
      </c>
      <c r="AC84" s="62" t="s">
        <v>1</v>
      </c>
      <c r="AD84" s="85" t="s">
        <v>465</v>
      </c>
      <c r="AE84" s="62" t="s">
        <v>466</v>
      </c>
      <c r="AF84" s="62" t="s">
        <v>466</v>
      </c>
      <c r="AG84" s="62" t="s">
        <v>5</v>
      </c>
      <c r="AH84" s="62">
        <v>0</v>
      </c>
      <c r="AI84" s="62">
        <v>5.7160999999999997E-2</v>
      </c>
      <c r="AJ84" s="62">
        <v>6.5780599999999995E-2</v>
      </c>
      <c r="AK84" s="62">
        <v>7.5700000000000003E-2</v>
      </c>
      <c r="AL84" s="62">
        <v>7.5314499999999895E-2</v>
      </c>
      <c r="AM84" s="62">
        <v>6.6825099999999998E-2</v>
      </c>
      <c r="AN84" s="62">
        <v>5.3302040000000002E-2</v>
      </c>
      <c r="AO84" s="62">
        <v>4.5862970000000003E-2</v>
      </c>
      <c r="AP84" s="62">
        <v>4.8145300000000002E-2</v>
      </c>
      <c r="AQ84" s="62">
        <v>5.0483380000000001E-2</v>
      </c>
      <c r="AR84" s="62">
        <v>5.2943369999999997E-2</v>
      </c>
      <c r="AS84" s="62" t="s">
        <v>146</v>
      </c>
      <c r="AW84" s="62">
        <v>2015</v>
      </c>
      <c r="AX84" s="62">
        <v>2020</v>
      </c>
      <c r="AY84" s="62">
        <v>2025</v>
      </c>
      <c r="AZ84" s="62">
        <v>2030</v>
      </c>
      <c r="BA84" s="62">
        <v>2035</v>
      </c>
      <c r="BB84" s="62">
        <v>2040</v>
      </c>
      <c r="BC84" s="62">
        <v>2045</v>
      </c>
      <c r="BD84" s="62">
        <v>2050</v>
      </c>
    </row>
    <row r="85" spans="1:57">
      <c r="A85" s="8" t="s">
        <v>27</v>
      </c>
      <c r="B85" s="45" t="s">
        <v>6</v>
      </c>
      <c r="C85" s="45" t="s">
        <v>305</v>
      </c>
      <c r="D85" s="78">
        <f>SUMIF($E$3:$E$67,$B85,J$3:J$67)-D86</f>
        <v>0.27855717000000046</v>
      </c>
      <c r="E85" s="78">
        <f t="shared" ref="E85:K85" si="13">SUMIF($E$3:$E$67,$B85,K$3:K$67)-E86</f>
        <v>0.28297087692999945</v>
      </c>
      <c r="F85" s="78">
        <f t="shared" si="13"/>
        <v>0.29419816906999996</v>
      </c>
      <c r="G85" s="78">
        <f t="shared" si="13"/>
        <v>0.29885008092999943</v>
      </c>
      <c r="H85" s="78">
        <f t="shared" si="13"/>
        <v>0.29242964171000008</v>
      </c>
      <c r="I85" s="78">
        <f t="shared" si="13"/>
        <v>0.28245732336000051</v>
      </c>
      <c r="J85" s="78">
        <f t="shared" si="13"/>
        <v>0.2704710127900003</v>
      </c>
      <c r="K85" s="79">
        <f t="shared" si="13"/>
        <v>0.26078885726000012</v>
      </c>
      <c r="AB85" s="62" t="s">
        <v>606</v>
      </c>
      <c r="AC85" s="62" t="s">
        <v>1</v>
      </c>
      <c r="AD85" s="85" t="s">
        <v>465</v>
      </c>
      <c r="AE85" s="62" t="s">
        <v>466</v>
      </c>
      <c r="AF85" s="62" t="s">
        <v>467</v>
      </c>
      <c r="AG85" s="62" t="s">
        <v>5</v>
      </c>
      <c r="AH85" s="62">
        <v>0</v>
      </c>
      <c r="AI85" s="62">
        <v>0</v>
      </c>
      <c r="AJ85" s="62">
        <v>0</v>
      </c>
      <c r="AK85" s="62">
        <v>0</v>
      </c>
      <c r="AL85" s="62">
        <v>1.34241E-2</v>
      </c>
      <c r="AM85" s="62">
        <v>2.89750999999999E-2</v>
      </c>
      <c r="AN85" s="62">
        <v>3.9492439999999997E-2</v>
      </c>
      <c r="AO85" s="62">
        <v>4.5862970000000003E-2</v>
      </c>
      <c r="AP85" s="62">
        <v>4.8145300000000002E-2</v>
      </c>
      <c r="AQ85" s="62">
        <v>5.0483380000000001E-2</v>
      </c>
      <c r="AR85" s="62">
        <v>5.2943369999999997E-2</v>
      </c>
      <c r="AS85" s="62" t="s">
        <v>465</v>
      </c>
      <c r="AV85" s="62" t="s">
        <v>597</v>
      </c>
      <c r="AW85" s="62">
        <f t="shared" ref="AW85:BD87" si="14">AW78*$O$83</f>
        <v>54.290527777777619</v>
      </c>
      <c r="AX85" s="62">
        <f t="shared" si="14"/>
        <v>51.258488888888685</v>
      </c>
      <c r="AY85" s="62">
        <f t="shared" si="14"/>
        <v>54.883072222222061</v>
      </c>
      <c r="AZ85" s="62">
        <f t="shared" si="14"/>
        <v>53.390369444444289</v>
      </c>
      <c r="BA85" s="62">
        <f t="shared" si="14"/>
        <v>51.169386111110967</v>
      </c>
      <c r="BB85" s="62">
        <f t="shared" si="14"/>
        <v>51.177430555555411</v>
      </c>
      <c r="BC85" s="62">
        <f t="shared" si="14"/>
        <v>52.836161111110954</v>
      </c>
      <c r="BD85" s="62">
        <f t="shared" si="14"/>
        <v>56.84247222222205</v>
      </c>
      <c r="BE85" s="62" t="s">
        <v>596</v>
      </c>
    </row>
    <row r="86" spans="1:57">
      <c r="A86" s="8" t="s">
        <v>28</v>
      </c>
      <c r="B86" s="45" t="s">
        <v>25</v>
      </c>
      <c r="C86" s="45" t="s">
        <v>320</v>
      </c>
      <c r="D86" s="45">
        <f>SUM(H73:H75)</f>
        <v>1.9580449999999998</v>
      </c>
      <c r="E86" s="45">
        <f t="shared" ref="E86:K86" si="15">SUM(I73:I75)</f>
        <v>1.9850891000000002</v>
      </c>
      <c r="F86" s="45">
        <f t="shared" si="15"/>
        <v>2.2530025999999999</v>
      </c>
      <c r="G86" s="45">
        <f t="shared" si="15"/>
        <v>2.3825039000000001</v>
      </c>
      <c r="H86" s="45">
        <f t="shared" si="15"/>
        <v>2.4897277999999998</v>
      </c>
      <c r="I86" s="45">
        <f t="shared" si="15"/>
        <v>2.6092398999999999</v>
      </c>
      <c r="J86" s="45">
        <f t="shared" si="15"/>
        <v>2.7351595999999998</v>
      </c>
      <c r="K86" s="9">
        <f t="shared" si="15"/>
        <v>2.8673322000000003</v>
      </c>
      <c r="AB86" s="62" t="s">
        <v>606</v>
      </c>
      <c r="AC86" s="62" t="s">
        <v>1</v>
      </c>
      <c r="AD86" s="85" t="s">
        <v>465</v>
      </c>
      <c r="AE86" s="62" t="s">
        <v>466</v>
      </c>
      <c r="AF86" s="62" t="s">
        <v>468</v>
      </c>
      <c r="AG86" s="62" t="s">
        <v>5</v>
      </c>
      <c r="AH86" s="62">
        <v>0</v>
      </c>
      <c r="AI86" s="62">
        <v>0</v>
      </c>
      <c r="AJ86" s="62">
        <v>0</v>
      </c>
      <c r="AK86" s="62">
        <v>0</v>
      </c>
      <c r="AL86" s="62">
        <v>1.34241E-2</v>
      </c>
      <c r="AM86" s="62">
        <v>2.89750999999999E-2</v>
      </c>
      <c r="AN86" s="62">
        <v>3.9492439999999997E-2</v>
      </c>
      <c r="AO86" s="62">
        <v>4.5862970000000003E-2</v>
      </c>
      <c r="AP86" s="62">
        <v>4.8145300000000002E-2</v>
      </c>
      <c r="AQ86" s="62">
        <v>5.0483380000000001E-2</v>
      </c>
      <c r="AR86" s="62">
        <v>5.2943369999999997E-2</v>
      </c>
      <c r="AS86" s="62" t="s">
        <v>564</v>
      </c>
      <c r="AV86" s="62" t="s">
        <v>598</v>
      </c>
      <c r="AW86" s="62">
        <f t="shared" si="14"/>
        <v>48.964444444444304</v>
      </c>
      <c r="AX86" s="62">
        <f t="shared" si="14"/>
        <v>51.690305555555405</v>
      </c>
      <c r="AY86" s="62">
        <f t="shared" si="14"/>
        <v>62.20913888888871</v>
      </c>
      <c r="AZ86" s="62">
        <f t="shared" si="14"/>
        <v>67.85922222222203</v>
      </c>
      <c r="BA86" s="62">
        <f t="shared" si="14"/>
        <v>75.077999999999776</v>
      </c>
      <c r="BB86" s="62">
        <f t="shared" si="14"/>
        <v>84.382788888888371</v>
      </c>
      <c r="BC86" s="62">
        <f t="shared" si="14"/>
        <v>94.725791666666382</v>
      </c>
      <c r="BD86" s="62">
        <f t="shared" si="14"/>
        <v>106.65779444444414</v>
      </c>
    </row>
    <row r="87" spans="1:57">
      <c r="A87" s="116" t="s">
        <v>29</v>
      </c>
      <c r="B87" s="117"/>
      <c r="C87" s="117"/>
      <c r="D87" s="45">
        <f t="shared" ref="D87:J87" si="16">SUM(D79:D86)</f>
        <v>5.062462012200001</v>
      </c>
      <c r="E87" s="45">
        <f t="shared" si="16"/>
        <v>5.1828494151749993</v>
      </c>
      <c r="F87" s="45">
        <f t="shared" si="16"/>
        <v>5.7824069324770999</v>
      </c>
      <c r="G87" s="45">
        <f t="shared" si="16"/>
        <v>5.9897028942441963</v>
      </c>
      <c r="H87" s="45">
        <f t="shared" si="16"/>
        <v>6.1048312643758988</v>
      </c>
      <c r="I87" s="45">
        <f t="shared" si="16"/>
        <v>6.2471076407140984</v>
      </c>
      <c r="J87" s="45">
        <f t="shared" si="16"/>
        <v>6.3706561740101968</v>
      </c>
      <c r="K87" s="9">
        <f>SUM(K79:K86)</f>
        <v>6.4930804308112275</v>
      </c>
      <c r="AB87" s="62" t="s">
        <v>606</v>
      </c>
      <c r="AC87" s="62" t="s">
        <v>1</v>
      </c>
      <c r="AD87" s="12" t="s">
        <v>564</v>
      </c>
      <c r="AE87" s="62" t="s">
        <v>59</v>
      </c>
      <c r="AF87" s="62" t="s">
        <v>59</v>
      </c>
      <c r="AG87" s="62" t="s">
        <v>5</v>
      </c>
      <c r="AH87" s="62">
        <v>1.91998E-3</v>
      </c>
      <c r="AI87" s="62">
        <v>6.0208400000000004E-3</v>
      </c>
      <c r="AJ87" s="62">
        <v>7.9883000000000003E-3</v>
      </c>
      <c r="AK87" s="62">
        <v>9.2105599999999996E-3</v>
      </c>
      <c r="AL87" s="62">
        <v>1.1199300000000001E-2</v>
      </c>
      <c r="AM87" s="62">
        <v>1.2980800000000001E-2</v>
      </c>
      <c r="AN87" s="62">
        <v>1.4124599999999999E-2</v>
      </c>
      <c r="AO87" s="62">
        <v>1.50221E-2</v>
      </c>
      <c r="AP87" s="62">
        <v>1.5684799999999999E-2</v>
      </c>
      <c r="AQ87" s="62">
        <v>1.5877100000000002E-2</v>
      </c>
      <c r="AR87" s="62">
        <v>1.5925700000000001E-2</v>
      </c>
      <c r="AS87" s="62" t="s">
        <v>565</v>
      </c>
      <c r="AV87" s="62" t="s">
        <v>599</v>
      </c>
      <c r="AW87" s="62">
        <f t="shared" si="14"/>
        <v>39.138888888888772</v>
      </c>
      <c r="AX87" s="62">
        <f t="shared" si="14"/>
        <v>52.820805555555367</v>
      </c>
      <c r="AY87" s="62">
        <f t="shared" si="14"/>
        <v>64.512124999999756</v>
      </c>
      <c r="AZ87" s="62">
        <f t="shared" si="14"/>
        <v>68.395813888888696</v>
      </c>
      <c r="BA87" s="62">
        <f t="shared" si="14"/>
        <v>71.137013055555357</v>
      </c>
      <c r="BB87" s="62">
        <f t="shared" si="14"/>
        <v>74.67716555555532</v>
      </c>
      <c r="BC87" s="62">
        <f t="shared" si="14"/>
        <v>78.303730833332807</v>
      </c>
      <c r="BD87" s="62">
        <f t="shared" si="14"/>
        <v>82.119346388888374</v>
      </c>
    </row>
    <row r="88" spans="1:57">
      <c r="A88" s="8"/>
      <c r="B88" s="45"/>
      <c r="C88" s="45" t="s">
        <v>473</v>
      </c>
      <c r="D88" s="45">
        <v>5.2851150156959275</v>
      </c>
      <c r="E88" s="45">
        <v>5.443129143795634</v>
      </c>
      <c r="F88" s="45"/>
      <c r="G88" s="45"/>
      <c r="H88" s="45"/>
      <c r="I88" s="45"/>
      <c r="J88" s="45"/>
      <c r="K88" s="9"/>
      <c r="AB88" s="62" t="s">
        <v>606</v>
      </c>
      <c r="AC88" s="62" t="s">
        <v>1</v>
      </c>
      <c r="AD88" s="12" t="s">
        <v>565</v>
      </c>
      <c r="AE88" s="62" t="s">
        <v>59</v>
      </c>
      <c r="AF88" s="62" t="s">
        <v>59</v>
      </c>
      <c r="AG88" s="62" t="s">
        <v>5</v>
      </c>
      <c r="AH88" s="63">
        <v>6.2593100000000004E-4</v>
      </c>
      <c r="AI88" s="62">
        <v>1.61177E-3</v>
      </c>
      <c r="AJ88" s="62">
        <v>1.9979300000000002E-3</v>
      </c>
      <c r="AK88" s="62">
        <v>2.3036300000000001E-3</v>
      </c>
      <c r="AL88" s="62">
        <v>2.4442000000000001E-3</v>
      </c>
      <c r="AM88" s="62">
        <v>2.62451E-3</v>
      </c>
      <c r="AN88" s="62">
        <v>2.72653E-3</v>
      </c>
      <c r="AO88" s="62">
        <v>2.8106300000000002E-3</v>
      </c>
      <c r="AP88" s="62">
        <v>2.8679199999999999E-3</v>
      </c>
      <c r="AQ88" s="62">
        <v>2.8507900000000002E-3</v>
      </c>
      <c r="AR88" s="62">
        <v>2.8178999999999999E-3</v>
      </c>
      <c r="AS88" s="62" t="s">
        <v>566</v>
      </c>
      <c r="AV88" s="62" t="s">
        <v>634</v>
      </c>
      <c r="AW88" s="62">
        <f>AW81*$O$83</f>
        <v>5.4601111111110958</v>
      </c>
      <c r="AX88" s="62">
        <f t="shared" ref="AX88:BD88" si="17">AX81*$O$83</f>
        <v>5.6649011111110941</v>
      </c>
      <c r="AY88" s="62">
        <f t="shared" si="17"/>
        <v>6.5854899999999805</v>
      </c>
      <c r="AZ88" s="62">
        <f t="shared" si="17"/>
        <v>6.8254136111110908</v>
      </c>
      <c r="BA88" s="62">
        <f t="shared" si="17"/>
        <v>6.8650547222222027</v>
      </c>
      <c r="BB88" s="62">
        <f t="shared" si="17"/>
        <v>6.8986513888888688</v>
      </c>
      <c r="BC88" s="62">
        <f t="shared" si="17"/>
        <v>7.0495211111110914</v>
      </c>
      <c r="BD88" s="62">
        <f t="shared" si="17"/>
        <v>7.2623331111110909</v>
      </c>
    </row>
    <row r="89" spans="1:57">
      <c r="A89" s="70"/>
      <c r="B89" s="71"/>
      <c r="C89" s="71" t="s">
        <v>474</v>
      </c>
      <c r="D89" s="71"/>
      <c r="E89" s="71"/>
      <c r="F89" s="71">
        <v>6.2173980000000002</v>
      </c>
      <c r="G89" s="71">
        <v>6.6988799999999999</v>
      </c>
      <c r="H89" s="71">
        <v>6.7616820000000004</v>
      </c>
      <c r="I89" s="71">
        <v>6.824484</v>
      </c>
      <c r="J89" s="71">
        <v>6.7826160000000009</v>
      </c>
      <c r="K89" s="10">
        <v>6.7407480000000009</v>
      </c>
      <c r="AB89" s="62" t="s">
        <v>606</v>
      </c>
      <c r="AC89" s="62" t="s">
        <v>1</v>
      </c>
      <c r="AD89" s="12" t="s">
        <v>566</v>
      </c>
      <c r="AE89" s="62" t="s">
        <v>59</v>
      </c>
      <c r="AF89" s="62" t="s">
        <v>59</v>
      </c>
      <c r="AG89" s="62" t="s">
        <v>5</v>
      </c>
      <c r="AH89" s="62">
        <v>1.08628E-3</v>
      </c>
      <c r="AI89" s="62">
        <v>2.7971699999999999E-3</v>
      </c>
      <c r="AJ89" s="62">
        <v>3.4673400000000002E-3</v>
      </c>
      <c r="AK89" s="62">
        <v>3.9978699999999997E-3</v>
      </c>
      <c r="AL89" s="62">
        <v>4.2418400000000002E-3</v>
      </c>
      <c r="AM89" s="62">
        <v>4.5547599999999997E-3</v>
      </c>
      <c r="AN89" s="62">
        <v>4.7318000000000004E-3</v>
      </c>
      <c r="AO89" s="62">
        <v>4.8777600000000001E-3</v>
      </c>
      <c r="AP89" s="62">
        <v>4.9771900000000003E-3</v>
      </c>
      <c r="AQ89" s="62">
        <v>4.9474699999999998E-3</v>
      </c>
      <c r="AR89" s="62">
        <v>4.8903799999999997E-3</v>
      </c>
      <c r="AS89" s="62" t="s">
        <v>32</v>
      </c>
      <c r="AV89" s="62" t="s">
        <v>600</v>
      </c>
      <c r="AW89" s="62">
        <f>P80-AW85-AW86-AW87-AW88</f>
        <v>128.66931199999971</v>
      </c>
      <c r="AX89" s="62">
        <f t="shared" ref="AX89:BD89" si="18">Q80-AX85-AX86-AX87-AX88</f>
        <v>132.85401257777735</v>
      </c>
      <c r="AY89" s="62">
        <f t="shared" si="18"/>
        <v>139.85295676388847</v>
      </c>
      <c r="AZ89" s="62">
        <f t="shared" si="18"/>
        <v>138.36693826111079</v>
      </c>
      <c r="BA89" s="62">
        <f t="shared" si="18"/>
        <v>134.30952129444384</v>
      </c>
      <c r="BB89" s="62">
        <f t="shared" si="18"/>
        <v>127.54743235277739</v>
      </c>
      <c r="BC89" s="62">
        <f t="shared" si="18"/>
        <v>123.65688428888822</v>
      </c>
      <c r="BD89" s="62">
        <f t="shared" si="18"/>
        <v>122.7181064916664</v>
      </c>
    </row>
    <row r="90" spans="1:57">
      <c r="AB90" s="62" t="s">
        <v>606</v>
      </c>
      <c r="AC90" s="62" t="s">
        <v>1</v>
      </c>
      <c r="AD90" s="85" t="s">
        <v>32</v>
      </c>
      <c r="AE90" s="62" t="s">
        <v>33</v>
      </c>
      <c r="AF90" s="62" t="s">
        <v>33</v>
      </c>
      <c r="AG90" s="62" t="s">
        <v>5</v>
      </c>
      <c r="AH90" s="62">
        <v>1.2258E-2</v>
      </c>
      <c r="AI90" s="62">
        <v>5.09463E-2</v>
      </c>
      <c r="AJ90" s="62">
        <v>6.1189E-2</v>
      </c>
      <c r="AK90" s="62">
        <v>9.1281799999999996E-2</v>
      </c>
      <c r="AL90" s="62">
        <v>8.6598800000000004E-2</v>
      </c>
      <c r="AM90" s="62">
        <v>9.2706869999999997E-2</v>
      </c>
      <c r="AN90" s="62">
        <v>8.8794979999999996E-2</v>
      </c>
      <c r="AO90" s="62">
        <v>8.1977709999999995E-2</v>
      </c>
      <c r="AP90" s="62">
        <v>7.5545089999999995E-2</v>
      </c>
      <c r="AQ90" s="62">
        <v>6.4507419999999996E-2</v>
      </c>
      <c r="AR90" s="62">
        <v>4.8299889999999998E-2</v>
      </c>
      <c r="AS90" s="62" t="s">
        <v>567</v>
      </c>
      <c r="AW90" s="62">
        <v>128.66931199999971</v>
      </c>
      <c r="AX90" s="62">
        <v>132.85401257777735</v>
      </c>
      <c r="AY90" s="62">
        <v>139.85295676388847</v>
      </c>
      <c r="AZ90" s="62">
        <v>138.36693826111079</v>
      </c>
      <c r="BA90" s="62">
        <v>134.30952129444384</v>
      </c>
      <c r="BB90" s="62">
        <v>127.54743235277739</v>
      </c>
      <c r="BC90" s="62">
        <v>123.65688428888822</v>
      </c>
      <c r="BD90" s="62">
        <v>122.7181064916664</v>
      </c>
    </row>
    <row r="91" spans="1:57">
      <c r="R91" s="36"/>
      <c r="S91" s="36"/>
      <c r="T91" s="36"/>
      <c r="U91" s="36"/>
      <c r="V91" s="36"/>
      <c r="AB91" s="62" t="s">
        <v>606</v>
      </c>
      <c r="AC91" s="62" t="s">
        <v>1</v>
      </c>
      <c r="AD91" s="85" t="s">
        <v>32</v>
      </c>
      <c r="AE91" s="62" t="s">
        <v>36</v>
      </c>
      <c r="AF91" s="62" t="s">
        <v>36</v>
      </c>
      <c r="AG91" s="62" t="s">
        <v>5</v>
      </c>
      <c r="AH91" s="62">
        <v>1.1003300000000001E-2</v>
      </c>
      <c r="AI91" s="62">
        <v>4.8056399999999999E-2</v>
      </c>
      <c r="AJ91" s="62">
        <v>5.3370800000000003E-2</v>
      </c>
      <c r="AK91" s="62">
        <v>4.7853699999999999E-2</v>
      </c>
      <c r="AL91" s="62">
        <v>4.6258719999999899E-2</v>
      </c>
      <c r="AM91" s="62">
        <v>5.6080930000000001E-2</v>
      </c>
      <c r="AN91" s="62">
        <v>6.4862630000000004E-2</v>
      </c>
      <c r="AO91" s="62">
        <v>7.5043730000000003E-2</v>
      </c>
      <c r="AP91" s="62">
        <v>8.5014430000000002E-2</v>
      </c>
      <c r="AQ91" s="62">
        <v>0.10188216999999999</v>
      </c>
      <c r="AR91" s="62">
        <v>0.12765498</v>
      </c>
      <c r="AS91" s="62" t="s">
        <v>66</v>
      </c>
      <c r="AW91" s="27">
        <v>54.290527777777619</v>
      </c>
      <c r="AX91" s="27">
        <v>48.964444444444304</v>
      </c>
      <c r="AY91" s="27">
        <v>39.138888888888772</v>
      </c>
      <c r="AZ91" s="27">
        <v>5.4601111111110958</v>
      </c>
      <c r="BA91" s="27">
        <v>128.66931199999971</v>
      </c>
    </row>
    <row r="92" spans="1:57">
      <c r="AB92" s="62" t="s">
        <v>606</v>
      </c>
      <c r="AC92" s="62" t="s">
        <v>1</v>
      </c>
      <c r="AD92" s="85" t="s">
        <v>32</v>
      </c>
      <c r="AE92" s="62" t="s">
        <v>38</v>
      </c>
      <c r="AF92" s="62" t="s">
        <v>38</v>
      </c>
      <c r="AG92" s="62" t="s">
        <v>5</v>
      </c>
      <c r="AH92" s="62">
        <v>1.29474E-2</v>
      </c>
      <c r="AI92" s="62">
        <v>5.65499E-2</v>
      </c>
      <c r="AJ92" s="62">
        <v>6.2802300000000005E-2</v>
      </c>
      <c r="AK92" s="62">
        <v>5.6310399999999997E-2</v>
      </c>
      <c r="AL92" s="62">
        <v>5.1673039999999899E-2</v>
      </c>
      <c r="AM92" s="62">
        <v>4.8791260000000003E-2</v>
      </c>
      <c r="AN92" s="62">
        <v>3.8547720000000001E-2</v>
      </c>
      <c r="AO92" s="62">
        <v>2.718835E-2</v>
      </c>
      <c r="AP92" s="62">
        <v>2.3679229999999999E-2</v>
      </c>
      <c r="AQ92" s="62">
        <v>2.3820589999999999E-2</v>
      </c>
      <c r="AR92" s="62">
        <v>2.867803E-2</v>
      </c>
      <c r="AS92" s="62" t="s">
        <v>729</v>
      </c>
      <c r="AW92" s="27">
        <v>51.258488888888685</v>
      </c>
      <c r="AX92" s="27">
        <v>51.690305555555405</v>
      </c>
      <c r="AY92" s="27">
        <v>52.820805555555367</v>
      </c>
      <c r="AZ92" s="27">
        <v>5.6649011111110941</v>
      </c>
      <c r="BA92" s="27">
        <v>132.85401257777735</v>
      </c>
    </row>
    <row r="93" spans="1:57">
      <c r="AB93" s="62" t="s">
        <v>606</v>
      </c>
      <c r="AC93" s="62" t="s">
        <v>1</v>
      </c>
      <c r="AD93" s="12" t="s">
        <v>567</v>
      </c>
      <c r="AE93" s="62" t="s">
        <v>59</v>
      </c>
      <c r="AF93" s="62" t="s">
        <v>59</v>
      </c>
      <c r="AG93" s="62" t="s">
        <v>5</v>
      </c>
      <c r="AH93" s="63">
        <v>2.5149599999999998E-4</v>
      </c>
      <c r="AI93" s="63">
        <v>2.12485E-4</v>
      </c>
      <c r="AJ93" s="63">
        <v>2.1838599999999999E-4</v>
      </c>
      <c r="AK93" s="63">
        <v>2.1160999999999999E-4</v>
      </c>
      <c r="AL93" s="63">
        <v>2.1583999999999999E-4</v>
      </c>
      <c r="AM93" s="63">
        <v>2.15088E-4</v>
      </c>
      <c r="AN93" s="63">
        <v>2.1486399999999999E-4</v>
      </c>
      <c r="AO93" s="63">
        <v>2.14174E-4</v>
      </c>
      <c r="AP93" s="63">
        <v>2.1209199999999999E-4</v>
      </c>
      <c r="AQ93" s="63">
        <v>2.0837399999999999E-4</v>
      </c>
      <c r="AR93" s="63">
        <v>2.02602E-4</v>
      </c>
      <c r="AS93" s="62" t="s">
        <v>730</v>
      </c>
      <c r="AW93" s="27">
        <v>54.883072222222061</v>
      </c>
      <c r="AX93" s="27">
        <v>62.20913888888871</v>
      </c>
      <c r="AY93" s="27">
        <v>64.512124999999756</v>
      </c>
      <c r="AZ93" s="27">
        <v>6.5854899999999805</v>
      </c>
      <c r="BA93" s="27">
        <v>139.85295676388847</v>
      </c>
    </row>
    <row r="94" spans="1:57">
      <c r="AB94" s="62" t="s">
        <v>606</v>
      </c>
      <c r="AC94" s="62" t="s">
        <v>1</v>
      </c>
      <c r="AD94" s="85" t="s">
        <v>66</v>
      </c>
      <c r="AE94" s="62" t="s">
        <v>59</v>
      </c>
      <c r="AF94" s="62" t="s">
        <v>59</v>
      </c>
      <c r="AG94" s="62" t="s">
        <v>5</v>
      </c>
      <c r="AH94" s="62">
        <v>3.6418100000000001E-3</v>
      </c>
      <c r="AI94" s="62">
        <v>4.7302400000000001E-3</v>
      </c>
      <c r="AJ94" s="62">
        <v>6.0696700000000001E-3</v>
      </c>
      <c r="AK94" s="62">
        <v>5.86039E-3</v>
      </c>
      <c r="AL94" s="62">
        <v>5.1514029999999997E-3</v>
      </c>
      <c r="AM94" s="62">
        <v>5.3415289999999898E-3</v>
      </c>
      <c r="AN94" s="62">
        <v>4.872192E-3</v>
      </c>
      <c r="AO94" s="62">
        <v>4.5324429000000001E-3</v>
      </c>
      <c r="AP94" s="62">
        <v>4.3824010000000002E-3</v>
      </c>
      <c r="AQ94" s="62">
        <v>4.2516200000000002E-3</v>
      </c>
      <c r="AR94" s="62">
        <v>4.1525279999999999E-3</v>
      </c>
      <c r="AS94" s="62" t="s">
        <v>731</v>
      </c>
      <c r="AW94" s="27">
        <v>53.390369444444289</v>
      </c>
      <c r="AX94" s="27">
        <v>67.85922222222203</v>
      </c>
      <c r="AY94" s="27">
        <v>68.395813888888696</v>
      </c>
      <c r="AZ94" s="27">
        <v>6.8254136111110908</v>
      </c>
      <c r="BA94" s="27">
        <v>138.36693826111079</v>
      </c>
    </row>
    <row r="95" spans="1:57">
      <c r="AB95" s="62" t="s">
        <v>606</v>
      </c>
      <c r="AC95" s="62" t="s">
        <v>1</v>
      </c>
      <c r="AD95" s="85" t="s">
        <v>68</v>
      </c>
      <c r="AE95" s="62" t="s">
        <v>59</v>
      </c>
      <c r="AF95" s="62" t="s">
        <v>59</v>
      </c>
      <c r="AG95" s="62" t="s">
        <v>5</v>
      </c>
      <c r="AH95" s="62">
        <v>0.11110399999999999</v>
      </c>
      <c r="AI95" s="62">
        <v>0.23783899999999999</v>
      </c>
      <c r="AJ95" s="62">
        <v>0.35209299999999999</v>
      </c>
      <c r="AK95" s="62">
        <v>0.39972200000000002</v>
      </c>
      <c r="AL95" s="62">
        <v>0.41558309999999998</v>
      </c>
      <c r="AM95" s="62">
        <v>0.43721369999999998</v>
      </c>
      <c r="AN95" s="62">
        <v>0.4342471</v>
      </c>
      <c r="AO95" s="62">
        <v>0.421701099999999</v>
      </c>
      <c r="AP95" s="62">
        <v>0.3981498</v>
      </c>
      <c r="AQ95" s="62">
        <v>0.38535509999999901</v>
      </c>
      <c r="AR95" s="62">
        <v>0.38301595999999999</v>
      </c>
      <c r="AS95" s="62" t="s">
        <v>732</v>
      </c>
      <c r="AW95" s="27">
        <v>51.169386111110967</v>
      </c>
      <c r="AX95" s="27">
        <v>75.077999999999776</v>
      </c>
      <c r="AY95" s="27">
        <v>71.137013055555357</v>
      </c>
      <c r="AZ95" s="27">
        <v>6.8650547222222027</v>
      </c>
      <c r="BA95" s="27">
        <v>134.30952129444384</v>
      </c>
    </row>
    <row r="96" spans="1:57">
      <c r="AB96" s="62" t="s">
        <v>606</v>
      </c>
      <c r="AC96" s="62" t="s">
        <v>1</v>
      </c>
      <c r="AD96" s="12" t="s">
        <v>148</v>
      </c>
      <c r="AE96" s="62" t="s">
        <v>389</v>
      </c>
      <c r="AF96" s="62" t="s">
        <v>437</v>
      </c>
      <c r="AG96" s="62" t="s">
        <v>5</v>
      </c>
      <c r="AH96" s="62">
        <v>0</v>
      </c>
      <c r="AI96" s="62">
        <v>0</v>
      </c>
      <c r="AJ96" s="62">
        <v>0</v>
      </c>
      <c r="AK96" s="62">
        <v>0</v>
      </c>
      <c r="AL96" s="63">
        <v>2.2940699999999999E-5</v>
      </c>
      <c r="AM96" s="63">
        <v>5.3508000000000003E-5</v>
      </c>
      <c r="AN96" s="63">
        <v>7.3858699999999896E-5</v>
      </c>
      <c r="AO96" s="63">
        <v>1.38703E-4</v>
      </c>
      <c r="AP96" s="63">
        <v>3.3982039999999998E-4</v>
      </c>
      <c r="AQ96" s="63">
        <v>6.9855679999999997E-4</v>
      </c>
      <c r="AR96" s="62">
        <v>1.0889213E-3</v>
      </c>
      <c r="AS96" s="62" t="s">
        <v>68</v>
      </c>
      <c r="AW96" s="27">
        <v>51.177430555555411</v>
      </c>
      <c r="AX96" s="27">
        <v>84.382788888888371</v>
      </c>
      <c r="AY96" s="27">
        <v>74.67716555555532</v>
      </c>
      <c r="AZ96" s="27">
        <v>6.8986513888888688</v>
      </c>
      <c r="BA96" s="27">
        <v>127.54743235277739</v>
      </c>
    </row>
    <row r="97" spans="18:53">
      <c r="AB97" s="62" t="s">
        <v>606</v>
      </c>
      <c r="AC97" s="62" t="s">
        <v>1</v>
      </c>
      <c r="AD97" s="12" t="s">
        <v>148</v>
      </c>
      <c r="AE97" s="62" t="s">
        <v>439</v>
      </c>
      <c r="AF97" s="62" t="s">
        <v>439</v>
      </c>
      <c r="AG97" s="62" t="s">
        <v>5</v>
      </c>
      <c r="AH97" s="62">
        <v>0</v>
      </c>
      <c r="AI97" s="62">
        <v>0</v>
      </c>
      <c r="AJ97" s="62">
        <v>3.28583E-2</v>
      </c>
      <c r="AK97" s="62">
        <v>4.0810899999999997E-2</v>
      </c>
      <c r="AL97" s="62">
        <v>3.8937139999999898E-2</v>
      </c>
      <c r="AM97" s="62">
        <v>4.008809E-2</v>
      </c>
      <c r="AN97" s="62">
        <v>3.9586835000000001E-2</v>
      </c>
      <c r="AO97" s="62">
        <v>3.7988354000000002E-2</v>
      </c>
      <c r="AP97" s="62">
        <v>3.4912055999999997E-2</v>
      </c>
      <c r="AQ97" s="62">
        <v>3.0144384999999999E-2</v>
      </c>
      <c r="AR97" s="62">
        <v>2.53542259999999E-2</v>
      </c>
      <c r="AW97" s="27">
        <v>52.836161111110954</v>
      </c>
      <c r="AX97" s="27">
        <v>94.725791666666382</v>
      </c>
      <c r="AY97" s="27">
        <v>78.303730833332807</v>
      </c>
      <c r="AZ97" s="27">
        <v>7.0495211111110914</v>
      </c>
      <c r="BA97" s="27">
        <v>123.65688428888822</v>
      </c>
    </row>
    <row r="98" spans="18:53">
      <c r="AB98" s="62" t="s">
        <v>606</v>
      </c>
      <c r="AC98" s="62" t="s">
        <v>1</v>
      </c>
      <c r="AD98" s="85" t="s">
        <v>469</v>
      </c>
      <c r="AE98" s="62" t="s">
        <v>470</v>
      </c>
      <c r="AF98" s="62" t="s">
        <v>470</v>
      </c>
      <c r="AG98" s="62" t="s">
        <v>5</v>
      </c>
      <c r="AH98" s="62">
        <v>0</v>
      </c>
      <c r="AI98" s="62">
        <v>3.3933699999999997E-2</v>
      </c>
      <c r="AJ98" s="62">
        <v>4.7037000000000002E-2</v>
      </c>
      <c r="AK98" s="62">
        <v>6.5199999999999994E-2</v>
      </c>
      <c r="AL98" s="62">
        <v>8.1128000000000006E-2</v>
      </c>
      <c r="AM98" s="62">
        <v>9.2513700000000004E-2</v>
      </c>
      <c r="AN98" s="62">
        <v>9.3548400000000004E-2</v>
      </c>
      <c r="AO98" s="62">
        <v>9.4770549999999995E-2</v>
      </c>
      <c r="AP98" s="62">
        <v>9.9712429999999894E-2</v>
      </c>
      <c r="AQ98" s="62">
        <v>0.10470014999999901</v>
      </c>
      <c r="AR98" s="62">
        <v>0.109459289999999</v>
      </c>
      <c r="AW98" s="27">
        <v>56.84247222222205</v>
      </c>
      <c r="AX98" s="27">
        <v>106.65779444444414</v>
      </c>
      <c r="AY98" s="27">
        <v>82.119346388888374</v>
      </c>
      <c r="AZ98" s="27">
        <v>7.2623331111110909</v>
      </c>
      <c r="BA98" s="27">
        <v>122.7181064916664</v>
      </c>
    </row>
    <row r="99" spans="18:53">
      <c r="AB99" s="62" t="s">
        <v>606</v>
      </c>
      <c r="AC99" s="62" t="s">
        <v>1</v>
      </c>
      <c r="AD99" s="85" t="s">
        <v>469</v>
      </c>
      <c r="AE99" s="62" t="s">
        <v>470</v>
      </c>
      <c r="AF99" s="62" t="s">
        <v>471</v>
      </c>
      <c r="AG99" s="62" t="s">
        <v>5</v>
      </c>
      <c r="AH99" s="62">
        <v>0</v>
      </c>
      <c r="AI99" s="62">
        <v>0</v>
      </c>
      <c r="AJ99" s="62">
        <v>0</v>
      </c>
      <c r="AK99" s="62">
        <v>0</v>
      </c>
      <c r="AL99" s="62">
        <v>4.3412499999999996E-3</v>
      </c>
      <c r="AM99" s="62">
        <v>9.4064400000000003E-3</v>
      </c>
      <c r="AN99" s="62">
        <v>1.28284E-2</v>
      </c>
      <c r="AO99" s="62">
        <v>1.4959976E-2</v>
      </c>
      <c r="AP99" s="62">
        <v>1.552629E-2</v>
      </c>
      <c r="AQ99" s="62">
        <v>1.6179159999999901E-2</v>
      </c>
      <c r="AR99" s="62">
        <v>1.7212539999999998E-2</v>
      </c>
    </row>
    <row r="100" spans="18:53">
      <c r="AB100" s="62" t="s">
        <v>606</v>
      </c>
      <c r="AC100" s="62" t="s">
        <v>1</v>
      </c>
      <c r="AD100" s="85" t="s">
        <v>469</v>
      </c>
      <c r="AE100" s="62" t="s">
        <v>470</v>
      </c>
      <c r="AF100" s="62" t="s">
        <v>472</v>
      </c>
      <c r="AG100" s="62" t="s">
        <v>5</v>
      </c>
      <c r="AH100" s="62">
        <v>0</v>
      </c>
      <c r="AI100" s="62">
        <v>0</v>
      </c>
      <c r="AJ100" s="62">
        <v>0</v>
      </c>
      <c r="AK100" s="62">
        <v>0</v>
      </c>
      <c r="AL100" s="62">
        <v>2.5229499999999999E-3</v>
      </c>
      <c r="AM100" s="62">
        <v>5.5482099999999996E-3</v>
      </c>
      <c r="AN100" s="62">
        <v>7.5612099999999996E-3</v>
      </c>
      <c r="AO100" s="62">
        <v>8.7738109999999994E-3</v>
      </c>
      <c r="AP100" s="62">
        <v>9.1631760000000003E-3</v>
      </c>
      <c r="AQ100" s="62">
        <v>9.5639809999999992E-3</v>
      </c>
      <c r="AR100" s="62">
        <v>1.0127707E-2</v>
      </c>
      <c r="AS100" s="62" t="s">
        <v>469</v>
      </c>
    </row>
    <row r="101" spans="18:53">
      <c r="AJ101" s="62" t="s">
        <v>569</v>
      </c>
      <c r="AK101" s="63">
        <f>SUM(AK83,AK87:AK89,AK93)</f>
        <v>1.57253332E-2</v>
      </c>
      <c r="AL101" s="63">
        <f t="shared" ref="AL101:AR101" si="19">SUM(AL83,AL87:AL89,AL93)</f>
        <v>1.8104288280000002E-2</v>
      </c>
      <c r="AM101" s="63">
        <f t="shared" si="19"/>
        <v>2.037964645E-2</v>
      </c>
      <c r="AN101" s="63">
        <f t="shared" si="19"/>
        <v>2.1802944040000001E-2</v>
      </c>
      <c r="AO101" s="63">
        <f t="shared" si="19"/>
        <v>2.293035346E-2</v>
      </c>
      <c r="AP101" s="63">
        <f t="shared" si="19"/>
        <v>2.3748327069999998E-2</v>
      </c>
      <c r="AQ101" s="63">
        <f t="shared" si="19"/>
        <v>2.3890395240000001E-2</v>
      </c>
      <c r="AR101" s="63">
        <f t="shared" si="19"/>
        <v>2.3843453070000003E-2</v>
      </c>
    </row>
    <row r="102" spans="18:53">
      <c r="R102" s="62">
        <v>276.52328422222149</v>
      </c>
      <c r="S102" s="62">
        <v>294.28851368888792</v>
      </c>
      <c r="T102" s="62">
        <v>328.04278287499898</v>
      </c>
      <c r="U102" s="62">
        <v>334.83775742777686</v>
      </c>
      <c r="V102" s="62">
        <v>338.55897518333211</v>
      </c>
      <c r="W102" s="62">
        <v>344.68346874166537</v>
      </c>
      <c r="X102" s="62">
        <v>356.57208901110948</v>
      </c>
      <c r="Y102" s="62">
        <v>375.60005265833206</v>
      </c>
    </row>
    <row r="103" spans="18:53">
      <c r="R103" s="27">
        <v>276.52328422222149</v>
      </c>
    </row>
    <row r="104" spans="18:53">
      <c r="R104" s="27">
        <v>294.28851368888792</v>
      </c>
    </row>
    <row r="105" spans="18:53">
      <c r="R105" s="27">
        <v>328.04278287499898</v>
      </c>
    </row>
    <row r="106" spans="18:53">
      <c r="R106" s="27">
        <v>334.83775742777686</v>
      </c>
    </row>
    <row r="107" spans="18:53">
      <c r="R107" s="27">
        <v>338.55897518333211</v>
      </c>
    </row>
    <row r="108" spans="18:53">
      <c r="R108" s="27">
        <v>344.68346874166537</v>
      </c>
    </row>
    <row r="109" spans="18:53">
      <c r="R109" s="27">
        <v>356.57208901110948</v>
      </c>
    </row>
    <row r="110" spans="18:53">
      <c r="R110" s="27">
        <v>375.60005265833206</v>
      </c>
    </row>
    <row r="117" spans="1:36">
      <c r="A117" s="62" t="s">
        <v>586</v>
      </c>
      <c r="B117" s="62" t="s">
        <v>1</v>
      </c>
      <c r="C117" s="62" t="s">
        <v>63</v>
      </c>
      <c r="D117" s="62" t="s">
        <v>6</v>
      </c>
      <c r="E117" s="62">
        <v>2.6574E-2</v>
      </c>
      <c r="F117" s="62">
        <v>0</v>
      </c>
      <c r="G117" s="62">
        <v>0</v>
      </c>
      <c r="H117" s="62">
        <v>0</v>
      </c>
      <c r="I117" s="62">
        <v>0</v>
      </c>
      <c r="J117" s="62">
        <v>0</v>
      </c>
      <c r="K117" s="62">
        <v>0</v>
      </c>
      <c r="L117" s="62">
        <v>0</v>
      </c>
      <c r="M117" s="62">
        <v>0</v>
      </c>
      <c r="N117" s="62">
        <v>0</v>
      </c>
      <c r="O117" s="62">
        <v>0</v>
      </c>
      <c r="R117" s="62" t="s">
        <v>63</v>
      </c>
    </row>
    <row r="118" spans="1:36">
      <c r="A118" s="62" t="s">
        <v>586</v>
      </c>
      <c r="B118" s="62" t="s">
        <v>1</v>
      </c>
      <c r="C118" s="62" t="s">
        <v>63</v>
      </c>
      <c r="D118" s="62" t="s">
        <v>7</v>
      </c>
      <c r="E118" s="62">
        <v>4.1860899999999999E-3</v>
      </c>
      <c r="F118" s="62">
        <v>1.55318E-2</v>
      </c>
      <c r="G118" s="62">
        <v>1.25215E-2</v>
      </c>
      <c r="H118" s="62">
        <v>6.4959199999999996E-3</v>
      </c>
      <c r="I118" s="62">
        <v>6.725043E-3</v>
      </c>
      <c r="J118" s="62">
        <v>6.7442020000000004E-3</v>
      </c>
      <c r="K118" s="62">
        <v>6.5626209999999898E-3</v>
      </c>
      <c r="L118" s="62">
        <v>6.00842499999999E-3</v>
      </c>
      <c r="M118" s="62">
        <v>5.3763099999999996E-3</v>
      </c>
      <c r="N118" s="62">
        <v>5.0066677999999996E-3</v>
      </c>
      <c r="O118" s="62">
        <v>4.7511339999999997E-3</v>
      </c>
      <c r="R118" s="62" t="s">
        <v>64</v>
      </c>
    </row>
    <row r="119" spans="1:36">
      <c r="A119" s="62" t="s">
        <v>586</v>
      </c>
      <c r="B119" s="62" t="s">
        <v>1</v>
      </c>
      <c r="C119" s="62" t="s">
        <v>64</v>
      </c>
      <c r="D119" s="62" t="s">
        <v>2</v>
      </c>
      <c r="E119" s="62">
        <v>0</v>
      </c>
      <c r="F119" s="62">
        <v>0</v>
      </c>
      <c r="G119" s="62">
        <v>0</v>
      </c>
      <c r="H119" s="62">
        <v>0</v>
      </c>
      <c r="I119" s="63">
        <v>3.6202000000000003E-5</v>
      </c>
      <c r="J119" s="63">
        <v>2.4712710000000001E-4</v>
      </c>
      <c r="K119" s="63">
        <v>5.5535229999999897E-4</v>
      </c>
      <c r="L119" s="63">
        <v>8.6644958E-4</v>
      </c>
      <c r="M119" s="62">
        <v>1.0587197999999999E-3</v>
      </c>
      <c r="N119" s="62">
        <v>1.2893649E-3</v>
      </c>
      <c r="O119" s="62">
        <v>1.4790258E-3</v>
      </c>
      <c r="R119" s="62" t="s">
        <v>61</v>
      </c>
      <c r="S119" s="62">
        <f>SUM(E124:E128)</f>
        <v>0.15301020000000001</v>
      </c>
      <c r="T119" s="62">
        <f t="shared" ref="T119:AJ119" si="20">SUM(F124:F128)</f>
        <v>0.19922550000000003</v>
      </c>
      <c r="U119" s="62">
        <f t="shared" si="20"/>
        <v>0.19524069999999999</v>
      </c>
      <c r="V119" s="62">
        <f t="shared" si="20"/>
        <v>0.1952411</v>
      </c>
      <c r="W119" s="62">
        <f t="shared" si="20"/>
        <v>0.20343040221300002</v>
      </c>
      <c r="X119" s="62">
        <f t="shared" si="20"/>
        <v>0.24086521238749997</v>
      </c>
      <c r="Y119" s="62">
        <f t="shared" si="20"/>
        <v>0.25376528378769991</v>
      </c>
      <c r="Z119" s="62">
        <f t="shared" si="20"/>
        <v>0.26218788161989992</v>
      </c>
      <c r="AA119" s="62">
        <f t="shared" si="20"/>
        <v>0.26891672773149999</v>
      </c>
      <c r="AB119" s="62">
        <f t="shared" si="20"/>
        <v>0.27516076123199901</v>
      </c>
      <c r="AC119" s="62">
        <f t="shared" si="20"/>
        <v>0.281148798700669</v>
      </c>
      <c r="AD119" s="62">
        <f t="shared" si="20"/>
        <v>0</v>
      </c>
      <c r="AE119" s="62">
        <f t="shared" si="20"/>
        <v>0</v>
      </c>
      <c r="AF119" s="62">
        <f t="shared" si="20"/>
        <v>0</v>
      </c>
      <c r="AG119" s="62">
        <f t="shared" si="20"/>
        <v>0</v>
      </c>
      <c r="AH119" s="62">
        <f t="shared" si="20"/>
        <v>4.151846E-2</v>
      </c>
      <c r="AI119" s="62">
        <f t="shared" si="20"/>
        <v>5.6467390000000006E-2</v>
      </c>
      <c r="AJ119" s="62">
        <f t="shared" si="20"/>
        <v>7.7499999999999999E-2</v>
      </c>
    </row>
    <row r="120" spans="1:36">
      <c r="A120" s="62" t="s">
        <v>586</v>
      </c>
      <c r="B120" s="62" t="s">
        <v>1</v>
      </c>
      <c r="C120" s="62" t="s">
        <v>64</v>
      </c>
      <c r="D120" s="62" t="s">
        <v>3</v>
      </c>
      <c r="E120" s="62">
        <v>0</v>
      </c>
      <c r="F120" s="62">
        <v>0</v>
      </c>
      <c r="G120" s="62">
        <v>0</v>
      </c>
      <c r="H120" s="62">
        <v>2.7628000000000002E-3</v>
      </c>
      <c r="I120" s="62">
        <v>2.8530789999999901E-3</v>
      </c>
      <c r="J120" s="62">
        <v>3.9131979999999997E-3</v>
      </c>
      <c r="K120" s="62">
        <v>4.9298220000000004E-3</v>
      </c>
      <c r="L120" s="62">
        <v>5.6892260000000004E-3</v>
      </c>
      <c r="M120" s="62">
        <v>6.1538740000000001E-3</v>
      </c>
      <c r="N120" s="62">
        <v>6.5469299999999899E-3</v>
      </c>
      <c r="O120" s="62">
        <v>6.7142740000000001E-3</v>
      </c>
      <c r="R120" s="62" t="s">
        <v>56</v>
      </c>
    </row>
    <row r="121" spans="1:36">
      <c r="A121" s="62" t="s">
        <v>586</v>
      </c>
      <c r="B121" s="62" t="s">
        <v>1</v>
      </c>
      <c r="C121" s="62" t="s">
        <v>64</v>
      </c>
      <c r="D121" s="62" t="s">
        <v>5</v>
      </c>
      <c r="E121" s="62">
        <v>5.2325000000000002E-3</v>
      </c>
      <c r="F121" s="62">
        <v>1.9004400000000001E-2</v>
      </c>
      <c r="G121" s="62">
        <v>2.8799700000000001E-2</v>
      </c>
      <c r="H121" s="62">
        <v>4.1901800000000003E-2</v>
      </c>
      <c r="I121" s="62">
        <v>3.932534E-2</v>
      </c>
      <c r="J121" s="62">
        <v>4.0187939999999998E-2</v>
      </c>
      <c r="K121" s="62">
        <v>3.6626560000000002E-2</v>
      </c>
      <c r="L121" s="62">
        <v>3.3599679E-2</v>
      </c>
      <c r="M121" s="62">
        <v>3.2105750000000002E-2</v>
      </c>
      <c r="N121" s="62">
        <v>3.0832809999999999E-2</v>
      </c>
      <c r="O121" s="62">
        <v>2.988265E-2</v>
      </c>
      <c r="R121" s="62" t="s">
        <v>20</v>
      </c>
    </row>
    <row r="122" spans="1:36">
      <c r="A122" s="62" t="s">
        <v>586</v>
      </c>
      <c r="B122" s="62" t="s">
        <v>1</v>
      </c>
      <c r="C122" s="62" t="s">
        <v>64</v>
      </c>
      <c r="D122" s="62" t="s">
        <v>6</v>
      </c>
      <c r="E122" s="62">
        <v>6.4087699999999997E-2</v>
      </c>
      <c r="F122" s="62">
        <v>5.919E-2</v>
      </c>
      <c r="G122" s="62">
        <v>5.2492499999999997E-2</v>
      </c>
      <c r="H122" s="62">
        <v>1.9422999999999999E-2</v>
      </c>
      <c r="I122" s="62">
        <v>1.9328919999999999E-2</v>
      </c>
      <c r="J122" s="62">
        <v>2.2683109999999999E-2</v>
      </c>
      <c r="K122" s="62">
        <v>2.4199600000000002E-2</v>
      </c>
      <c r="L122" s="62">
        <v>2.4090570999999901E-2</v>
      </c>
      <c r="M122" s="62">
        <v>2.3603010000000001E-2</v>
      </c>
      <c r="N122" s="62">
        <v>2.2722180000000002E-2</v>
      </c>
      <c r="O122" s="62">
        <v>2.1776509999999999E-2</v>
      </c>
      <c r="R122" s="62" t="s">
        <v>67</v>
      </c>
    </row>
    <row r="123" spans="1:36">
      <c r="A123" s="62" t="s">
        <v>586</v>
      </c>
      <c r="B123" s="62" t="s">
        <v>1</v>
      </c>
      <c r="C123" s="62" t="s">
        <v>64</v>
      </c>
      <c r="D123" s="62" t="s">
        <v>7</v>
      </c>
      <c r="E123" s="62">
        <v>0</v>
      </c>
      <c r="F123" s="62">
        <v>1.0464999999999999E-3</v>
      </c>
      <c r="G123" s="63">
        <v>1.674E-4</v>
      </c>
      <c r="H123" s="63">
        <v>1.2559999999999999E-4</v>
      </c>
      <c r="I123" s="63">
        <v>1.217986E-4</v>
      </c>
      <c r="J123" s="63">
        <v>1.34158E-4</v>
      </c>
      <c r="K123" s="63">
        <v>1.3733273999999999E-4</v>
      </c>
      <c r="L123" s="63">
        <v>1.3466549999999999E-4</v>
      </c>
      <c r="M123" s="63">
        <v>1.27508E-4</v>
      </c>
      <c r="N123" s="63">
        <v>1.19473099999999E-4</v>
      </c>
      <c r="O123" s="63">
        <v>1.1065349999999999E-4</v>
      </c>
      <c r="R123" s="62" t="s">
        <v>465</v>
      </c>
      <c r="S123" s="62">
        <f>SUM(E144:E145)</f>
        <v>0</v>
      </c>
      <c r="T123" s="62">
        <f t="shared" ref="T123:AJ123" si="21">SUM(F144:F145)</f>
        <v>6.2786099999999997E-2</v>
      </c>
      <c r="U123" s="62">
        <f t="shared" si="21"/>
        <v>7.3732629999999993E-2</v>
      </c>
      <c r="V123" s="62">
        <f t="shared" si="21"/>
        <v>8.6941600000000008E-2</v>
      </c>
      <c r="W123" s="62">
        <f t="shared" si="21"/>
        <v>0.1030414699999999</v>
      </c>
      <c r="X123" s="62">
        <f t="shared" si="21"/>
        <v>0.1178716799999999</v>
      </c>
      <c r="Y123" s="62">
        <f t="shared" si="21"/>
        <v>0.11791869999999999</v>
      </c>
      <c r="Z123" s="62">
        <f t="shared" si="21"/>
        <v>0.11539684799999889</v>
      </c>
      <c r="AA123" s="62">
        <f t="shared" si="21"/>
        <v>0.1141565249999999</v>
      </c>
      <c r="AB123" s="62">
        <f t="shared" si="21"/>
        <v>0.112676844</v>
      </c>
      <c r="AC123" s="62">
        <f t="shared" si="21"/>
        <v>0.111245736</v>
      </c>
      <c r="AD123" s="62">
        <f t="shared" si="21"/>
        <v>0</v>
      </c>
      <c r="AE123" s="62">
        <f t="shared" si="21"/>
        <v>0</v>
      </c>
      <c r="AF123" s="62" t="e">
        <f>SUM(#REF!)</f>
        <v>#REF!</v>
      </c>
      <c r="AG123" s="62" t="e">
        <f>SUM(#REF!)</f>
        <v>#REF!</v>
      </c>
      <c r="AH123" s="62">
        <f t="shared" si="21"/>
        <v>0.11110399999999999</v>
      </c>
      <c r="AI123" s="62">
        <f t="shared" si="21"/>
        <v>0.27177269999999998</v>
      </c>
      <c r="AJ123" s="62">
        <f t="shared" si="21"/>
        <v>0.39912999999999998</v>
      </c>
    </row>
    <row r="124" spans="1:36">
      <c r="A124" s="62" t="s">
        <v>586</v>
      </c>
      <c r="B124" s="62" t="s">
        <v>1</v>
      </c>
      <c r="C124" s="62" t="s">
        <v>61</v>
      </c>
      <c r="D124" s="62" t="s">
        <v>2</v>
      </c>
      <c r="E124" s="62">
        <v>0</v>
      </c>
      <c r="F124" s="62">
        <v>0</v>
      </c>
      <c r="G124" s="62">
        <v>0</v>
      </c>
      <c r="H124" s="62">
        <v>0</v>
      </c>
      <c r="I124" s="63">
        <v>7.0321300000000004E-7</v>
      </c>
      <c r="J124" s="63">
        <v>4.9943875E-6</v>
      </c>
      <c r="K124" s="63">
        <v>7.6277876999999999E-6</v>
      </c>
      <c r="L124" s="63">
        <v>2.3947619900000001E-5</v>
      </c>
      <c r="M124" s="63">
        <v>4.1763731499999997E-5</v>
      </c>
      <c r="N124" s="63">
        <v>6.6034932000000001E-5</v>
      </c>
      <c r="O124" s="63">
        <v>1.4220950067E-4</v>
      </c>
      <c r="R124" s="62" t="s">
        <v>32</v>
      </c>
    </row>
    <row r="125" spans="1:36">
      <c r="A125" s="62" t="s">
        <v>586</v>
      </c>
      <c r="B125" s="62" t="s">
        <v>1</v>
      </c>
      <c r="C125" s="62" t="s">
        <v>61</v>
      </c>
      <c r="D125" s="62" t="s">
        <v>3</v>
      </c>
      <c r="E125" s="62">
        <v>3.6571800000000002E-2</v>
      </c>
      <c r="F125" s="62">
        <v>3.9287299999999997E-2</v>
      </c>
      <c r="G125" s="62">
        <v>4.2373099999999997E-2</v>
      </c>
      <c r="H125" s="62">
        <v>3.9861500000000001E-2</v>
      </c>
      <c r="I125" s="62">
        <v>4.2865859999999999E-2</v>
      </c>
      <c r="J125" s="62">
        <v>5.1234750000000003E-2</v>
      </c>
      <c r="K125" s="62">
        <v>5.3557039999999903E-2</v>
      </c>
      <c r="L125" s="62">
        <v>5.5408559999999898E-2</v>
      </c>
      <c r="M125" s="62">
        <v>5.803109E-2</v>
      </c>
      <c r="N125" s="62">
        <v>6.2436059000000002E-2</v>
      </c>
      <c r="O125" s="62">
        <v>7.1720937999999998E-2</v>
      </c>
      <c r="R125" s="62" t="s">
        <v>66</v>
      </c>
    </row>
    <row r="126" spans="1:36">
      <c r="A126" s="62" t="s">
        <v>586</v>
      </c>
      <c r="B126" s="62" t="s">
        <v>1</v>
      </c>
      <c r="C126" s="62" t="s">
        <v>61</v>
      </c>
      <c r="D126" s="62" t="s">
        <v>4</v>
      </c>
      <c r="E126" s="62">
        <v>8.5812200000000005E-2</v>
      </c>
      <c r="F126" s="62">
        <v>0.118297</v>
      </c>
      <c r="G126" s="62">
        <v>0.112141</v>
      </c>
      <c r="H126" s="62">
        <v>0.114653</v>
      </c>
      <c r="I126" s="62">
        <v>0.12767829999999999</v>
      </c>
      <c r="J126" s="62">
        <v>0.16176399999999999</v>
      </c>
      <c r="K126" s="62">
        <v>0.17181350000000001</v>
      </c>
      <c r="L126" s="62">
        <v>0.17849499999999999</v>
      </c>
      <c r="M126" s="62">
        <v>0.18315149999999999</v>
      </c>
      <c r="N126" s="62">
        <v>0.185010279999999</v>
      </c>
      <c r="O126" s="62">
        <v>0.180855551999999</v>
      </c>
      <c r="R126" s="62" t="s">
        <v>68</v>
      </c>
    </row>
    <row r="127" spans="1:36">
      <c r="A127" s="62" t="s">
        <v>586</v>
      </c>
      <c r="B127" s="62" t="s">
        <v>1</v>
      </c>
      <c r="C127" s="62" t="s">
        <v>61</v>
      </c>
      <c r="D127" s="62" t="s">
        <v>5</v>
      </c>
      <c r="E127" s="62">
        <v>1.39375E-2</v>
      </c>
      <c r="F127" s="62">
        <v>2.0152400000000001E-2</v>
      </c>
      <c r="G127" s="62">
        <v>1.9656400000000001E-2</v>
      </c>
      <c r="H127" s="62">
        <v>1.9656400000000001E-2</v>
      </c>
      <c r="I127" s="62">
        <v>2.0393649E-2</v>
      </c>
      <c r="J127" s="62">
        <v>2.3707777999999999E-2</v>
      </c>
      <c r="K127" s="62">
        <v>2.4571493E-2</v>
      </c>
      <c r="L127" s="62">
        <v>2.4714199999999999E-2</v>
      </c>
      <c r="M127" s="62">
        <v>2.4835126999999999E-2</v>
      </c>
      <c r="N127" s="62">
        <v>2.5378274999999999E-2</v>
      </c>
      <c r="O127" s="62">
        <v>2.61443962E-2</v>
      </c>
      <c r="R127" s="62" t="s">
        <v>22</v>
      </c>
    </row>
    <row r="128" spans="1:36">
      <c r="A128" s="62" t="s">
        <v>586</v>
      </c>
      <c r="B128" s="62" t="s">
        <v>1</v>
      </c>
      <c r="C128" s="62" t="s">
        <v>61</v>
      </c>
      <c r="D128" s="62" t="s">
        <v>6</v>
      </c>
      <c r="E128" s="62">
        <v>1.6688700000000001E-2</v>
      </c>
      <c r="F128" s="62">
        <v>2.1488799999999999E-2</v>
      </c>
      <c r="G128" s="62">
        <v>2.1070200000000001E-2</v>
      </c>
      <c r="H128" s="62">
        <v>2.1070200000000001E-2</v>
      </c>
      <c r="I128" s="62">
        <v>1.249189E-2</v>
      </c>
      <c r="J128" s="62">
        <v>4.1536899999999998E-3</v>
      </c>
      <c r="K128" s="62">
        <v>3.8156229999999902E-3</v>
      </c>
      <c r="L128" s="62">
        <v>3.546174E-3</v>
      </c>
      <c r="M128" s="62">
        <v>2.8572469999999998E-3</v>
      </c>
      <c r="N128" s="62">
        <v>2.2701123E-3</v>
      </c>
      <c r="O128" s="62">
        <v>2.285703E-3</v>
      </c>
      <c r="R128" s="62" t="s">
        <v>469</v>
      </c>
      <c r="S128" s="62">
        <f>SUM(E160:E161)</f>
        <v>0</v>
      </c>
      <c r="T128" s="62">
        <f t="shared" ref="T128:AJ128" si="22">SUM(F160:F161)</f>
        <v>4.151846E-2</v>
      </c>
      <c r="U128" s="62">
        <f t="shared" si="22"/>
        <v>5.6467390000000006E-2</v>
      </c>
      <c r="V128" s="62">
        <f t="shared" si="22"/>
        <v>7.7499999999999999E-2</v>
      </c>
      <c r="W128" s="62">
        <f t="shared" si="22"/>
        <v>9.1859997999999901E-2</v>
      </c>
      <c r="X128" s="62">
        <f t="shared" si="22"/>
        <v>0.10510354199999999</v>
      </c>
      <c r="Y128" s="62">
        <f t="shared" si="22"/>
        <v>0.105174953</v>
      </c>
      <c r="Z128" s="62">
        <f t="shared" si="22"/>
        <v>0.1029595366</v>
      </c>
      <c r="AA128" s="62">
        <f t="shared" si="22"/>
        <v>0.1018811858</v>
      </c>
      <c r="AB128" s="62">
        <f t="shared" si="22"/>
        <v>0.1005919431</v>
      </c>
      <c r="AC128" s="62">
        <f t="shared" si="22"/>
        <v>9.9344489500000008E-2</v>
      </c>
      <c r="AD128" s="62">
        <f t="shared" si="22"/>
        <v>0</v>
      </c>
      <c r="AE128" s="62">
        <f t="shared" si="22"/>
        <v>0</v>
      </c>
      <c r="AF128" s="62">
        <f t="shared" si="22"/>
        <v>0</v>
      </c>
      <c r="AG128" s="62">
        <f t="shared" si="22"/>
        <v>0</v>
      </c>
      <c r="AH128" s="62">
        <f t="shared" si="22"/>
        <v>0</v>
      </c>
      <c r="AI128" s="62">
        <f t="shared" si="22"/>
        <v>0</v>
      </c>
      <c r="AJ128" s="62">
        <f t="shared" si="22"/>
        <v>0</v>
      </c>
    </row>
    <row r="129" spans="1:68">
      <c r="A129" s="62" t="s">
        <v>586</v>
      </c>
      <c r="B129" s="62" t="s">
        <v>1</v>
      </c>
      <c r="C129" s="62" t="s">
        <v>56</v>
      </c>
      <c r="D129" s="62" t="s">
        <v>2</v>
      </c>
      <c r="E129" s="62">
        <v>0</v>
      </c>
      <c r="F129" s="62">
        <v>0</v>
      </c>
      <c r="G129" s="62">
        <v>0</v>
      </c>
      <c r="H129" s="62">
        <v>0</v>
      </c>
      <c r="I129" s="63">
        <v>4.50397E-4</v>
      </c>
      <c r="J129" s="62">
        <v>3.7225890000000001E-3</v>
      </c>
      <c r="K129" s="62">
        <v>9.6117849999999994E-3</v>
      </c>
      <c r="L129" s="62">
        <v>2.4224216E-2</v>
      </c>
      <c r="M129" s="62">
        <v>4.5396416000000002E-2</v>
      </c>
      <c r="N129" s="62">
        <v>6.6216855399999996E-2</v>
      </c>
      <c r="O129" s="62">
        <v>8.8884045299999895E-2</v>
      </c>
    </row>
    <row r="130" spans="1:68">
      <c r="A130" s="62" t="s">
        <v>586</v>
      </c>
      <c r="B130" s="62" t="s">
        <v>1</v>
      </c>
      <c r="C130" s="62" t="s">
        <v>56</v>
      </c>
      <c r="D130" s="62" t="s">
        <v>3</v>
      </c>
      <c r="E130" s="62">
        <v>2.5953E-3</v>
      </c>
      <c r="F130" s="62">
        <v>5.4836900000000003E-3</v>
      </c>
      <c r="G130" s="62">
        <v>3.5999999999999999E-3</v>
      </c>
      <c r="H130" s="62">
        <v>1.1344099999999999E-2</v>
      </c>
      <c r="I130" s="62">
        <v>1.237837E-2</v>
      </c>
      <c r="J130" s="62">
        <v>1.5945589999999999E-2</v>
      </c>
      <c r="K130" s="62">
        <v>1.8884390000000001E-2</v>
      </c>
      <c r="L130" s="62">
        <v>2.3107242E-2</v>
      </c>
      <c r="M130" s="62">
        <v>2.8603285999999999E-2</v>
      </c>
      <c r="N130" s="62">
        <v>3.2889308999999999E-2</v>
      </c>
      <c r="O130" s="62">
        <v>3.6495578399999999E-2</v>
      </c>
    </row>
    <row r="131" spans="1:68">
      <c r="A131" s="62" t="s">
        <v>586</v>
      </c>
      <c r="B131" s="62" t="s">
        <v>1</v>
      </c>
      <c r="C131" s="62" t="s">
        <v>56</v>
      </c>
      <c r="D131" s="62" t="s">
        <v>4</v>
      </c>
      <c r="E131" s="62">
        <v>1.8837000000000001E-3</v>
      </c>
      <c r="F131" s="62">
        <v>3.1814E-3</v>
      </c>
      <c r="G131" s="62">
        <v>4.2278999999999997E-3</v>
      </c>
      <c r="H131" s="62">
        <v>4.6464999999999996E-3</v>
      </c>
      <c r="I131" s="62">
        <v>5.0267869999999996E-3</v>
      </c>
      <c r="J131" s="62">
        <v>6.2843270000000001E-3</v>
      </c>
      <c r="K131" s="62">
        <v>7.2021999999999997E-3</v>
      </c>
      <c r="L131" s="62">
        <v>8.3790099999999992E-3</v>
      </c>
      <c r="M131" s="62">
        <v>1.0071218E-2</v>
      </c>
      <c r="N131" s="62">
        <v>1.1558698799999999E-2</v>
      </c>
      <c r="O131" s="62">
        <v>1.2956583299999901E-2</v>
      </c>
    </row>
    <row r="132" spans="1:68">
      <c r="A132" s="62" t="s">
        <v>586</v>
      </c>
      <c r="B132" s="62" t="s">
        <v>1</v>
      </c>
      <c r="C132" s="62" t="s">
        <v>56</v>
      </c>
      <c r="D132" s="62" t="s">
        <v>5</v>
      </c>
      <c r="E132" s="62">
        <v>3.9306500000000001E-2</v>
      </c>
      <c r="F132" s="62">
        <v>0.143622</v>
      </c>
      <c r="G132" s="62">
        <v>0.14705399999999999</v>
      </c>
      <c r="H132" s="62">
        <v>0.17627200000000001</v>
      </c>
      <c r="I132" s="62">
        <v>0.18608239999999901</v>
      </c>
      <c r="J132" s="62">
        <v>0.2239381</v>
      </c>
      <c r="K132" s="62">
        <v>0.244287</v>
      </c>
      <c r="L132" s="62">
        <v>0.27029449999999999</v>
      </c>
      <c r="M132" s="62">
        <v>0.30381501999999999</v>
      </c>
      <c r="N132" s="62">
        <v>0.34102740999999998</v>
      </c>
      <c r="O132" s="62">
        <v>0.38393299999999903</v>
      </c>
    </row>
    <row r="133" spans="1:68">
      <c r="A133" s="62" t="s">
        <v>586</v>
      </c>
      <c r="B133" s="62" t="s">
        <v>1</v>
      </c>
      <c r="C133" s="62" t="s">
        <v>56</v>
      </c>
      <c r="D133" s="62" t="s">
        <v>6</v>
      </c>
      <c r="E133" s="62">
        <v>9.6065499999999998E-2</v>
      </c>
      <c r="F133" s="62">
        <v>7.1915400000000004E-2</v>
      </c>
      <c r="G133" s="62">
        <v>4.75948E-2</v>
      </c>
      <c r="H133" s="62">
        <v>2.2311399999999999E-2</v>
      </c>
      <c r="I133" s="62">
        <v>2.4399799999999999E-2</v>
      </c>
      <c r="J133" s="62">
        <v>3.2023749999999997E-2</v>
      </c>
      <c r="K133" s="62">
        <v>3.8665389999999897E-2</v>
      </c>
      <c r="L133" s="62">
        <v>4.8641209999999997E-2</v>
      </c>
      <c r="M133" s="62">
        <v>6.2129160000000003E-2</v>
      </c>
      <c r="N133" s="62">
        <v>7.3244683000000005E-2</v>
      </c>
      <c r="O133" s="62">
        <v>8.4009434999999993E-2</v>
      </c>
    </row>
    <row r="134" spans="1:68">
      <c r="A134" s="62" t="s">
        <v>586</v>
      </c>
      <c r="B134" s="62" t="s">
        <v>1</v>
      </c>
      <c r="C134" s="62" t="s">
        <v>56</v>
      </c>
      <c r="D134" s="62" t="s">
        <v>7</v>
      </c>
      <c r="E134" s="62">
        <v>0</v>
      </c>
      <c r="F134" s="62">
        <v>2.2174E-3</v>
      </c>
      <c r="G134" s="62">
        <v>5.9310599999999998E-2</v>
      </c>
      <c r="H134" s="62">
        <v>5.4361800000000002E-2</v>
      </c>
      <c r="I134" s="62">
        <v>5.8546749999999897E-2</v>
      </c>
      <c r="J134" s="62">
        <v>7.3032139999999995E-2</v>
      </c>
      <c r="K134" s="62">
        <v>8.4507559999999995E-2</v>
      </c>
      <c r="L134" s="62">
        <v>0.10040534999999901</v>
      </c>
      <c r="M134" s="62">
        <v>0.11782255</v>
      </c>
      <c r="N134" s="62">
        <v>0.13363466999999901</v>
      </c>
      <c r="O134" s="62">
        <v>0.14777429</v>
      </c>
    </row>
    <row r="135" spans="1:68">
      <c r="A135" s="62" t="s">
        <v>586</v>
      </c>
      <c r="B135" s="62" t="s">
        <v>1</v>
      </c>
      <c r="C135" s="62" t="s">
        <v>20</v>
      </c>
      <c r="D135" s="62" t="s">
        <v>4</v>
      </c>
      <c r="E135" s="62">
        <v>0</v>
      </c>
      <c r="F135" s="62">
        <v>0</v>
      </c>
      <c r="G135" s="62">
        <v>1.6953300000000001E-2</v>
      </c>
      <c r="H135" s="62">
        <v>2.3106700000000001E-2</v>
      </c>
      <c r="I135" s="62">
        <v>1.88287E-2</v>
      </c>
      <c r="J135" s="62">
        <v>1.9993799999999999E-2</v>
      </c>
      <c r="K135" s="62">
        <v>1.9481999999999999E-2</v>
      </c>
      <c r="L135" s="62">
        <v>0.02</v>
      </c>
      <c r="M135" s="62">
        <v>2.1652899999999999E-2</v>
      </c>
      <c r="N135" s="62">
        <v>2.3418700000000001E-2</v>
      </c>
      <c r="O135" s="62">
        <v>2.3806000000000001E-2</v>
      </c>
    </row>
    <row r="136" spans="1:68">
      <c r="A136" s="62" t="s">
        <v>586</v>
      </c>
      <c r="B136" s="62" t="s">
        <v>1</v>
      </c>
      <c r="C136" s="62" t="s">
        <v>20</v>
      </c>
      <c r="D136" s="62" t="s">
        <v>6</v>
      </c>
      <c r="E136" s="62">
        <v>0.23639399999999999</v>
      </c>
      <c r="F136" s="62">
        <v>1.18882</v>
      </c>
      <c r="G136" s="62">
        <v>1.5032799999999999</v>
      </c>
      <c r="H136" s="62">
        <v>1.8793899999999999</v>
      </c>
      <c r="I136" s="62">
        <v>1.89863</v>
      </c>
      <c r="J136" s="62">
        <v>2.1570999999999998</v>
      </c>
      <c r="K136" s="62">
        <v>2.2750499999999998</v>
      </c>
      <c r="L136" s="62">
        <v>2.3559100000000002</v>
      </c>
      <c r="M136" s="62">
        <v>2.4420299999999999</v>
      </c>
      <c r="N136" s="62">
        <v>2.54799</v>
      </c>
      <c r="O136" s="62">
        <v>2.6658300000000001</v>
      </c>
      <c r="T136" s="62">
        <v>1990</v>
      </c>
      <c r="U136" s="62">
        <v>2005</v>
      </c>
      <c r="V136" s="62">
        <v>2010</v>
      </c>
      <c r="W136" s="62">
        <v>2015</v>
      </c>
      <c r="X136" s="62">
        <v>2020</v>
      </c>
      <c r="Y136" s="62">
        <v>2025</v>
      </c>
      <c r="Z136" s="62">
        <v>2030</v>
      </c>
      <c r="AA136" s="62">
        <v>2035</v>
      </c>
      <c r="AB136" s="62">
        <v>2040</v>
      </c>
      <c r="AC136" s="62">
        <v>2045</v>
      </c>
      <c r="AD136" s="62">
        <v>2050</v>
      </c>
      <c r="AM136" s="62">
        <v>1990</v>
      </c>
      <c r="AN136" s="62">
        <v>2005</v>
      </c>
      <c r="AO136" s="62">
        <v>2010</v>
      </c>
      <c r="AP136" s="62">
        <v>2015</v>
      </c>
      <c r="AQ136" s="62">
        <v>2020</v>
      </c>
      <c r="AR136" s="62">
        <v>2025</v>
      </c>
      <c r="AS136" s="62">
        <v>2030</v>
      </c>
      <c r="AT136" s="62">
        <v>2035</v>
      </c>
      <c r="AU136" s="62">
        <v>2040</v>
      </c>
      <c r="AV136" s="62">
        <v>2045</v>
      </c>
      <c r="AW136" s="62">
        <v>2050</v>
      </c>
      <c r="BF136" s="62">
        <v>1990</v>
      </c>
      <c r="BG136" s="62">
        <v>2005</v>
      </c>
      <c r="BH136" s="62">
        <v>2010</v>
      </c>
      <c r="BI136" s="62">
        <v>2015</v>
      </c>
      <c r="BJ136" s="62">
        <v>2020</v>
      </c>
      <c r="BK136" s="62">
        <v>2025</v>
      </c>
      <c r="BL136" s="62">
        <v>2030</v>
      </c>
      <c r="BM136" s="62">
        <v>2035</v>
      </c>
      <c r="BN136" s="62">
        <v>2040</v>
      </c>
      <c r="BO136" s="62">
        <v>2045</v>
      </c>
      <c r="BP136" s="62">
        <v>2050</v>
      </c>
    </row>
    <row r="137" spans="1:68">
      <c r="A137" s="62" t="s">
        <v>586</v>
      </c>
      <c r="B137" s="62" t="s">
        <v>1</v>
      </c>
      <c r="C137" s="62" t="s">
        <v>67</v>
      </c>
      <c r="D137" s="62" t="s">
        <v>2</v>
      </c>
      <c r="E137" s="62">
        <v>0</v>
      </c>
      <c r="F137" s="62">
        <v>0</v>
      </c>
      <c r="G137" s="62">
        <v>0</v>
      </c>
      <c r="H137" s="62">
        <v>0</v>
      </c>
      <c r="I137" s="63">
        <v>1.29896E-4</v>
      </c>
      <c r="J137" s="63">
        <v>4.19128E-4</v>
      </c>
      <c r="K137" s="63">
        <v>7.7733320000000002E-4</v>
      </c>
      <c r="L137" s="62">
        <v>1.0707144999999999E-3</v>
      </c>
      <c r="M137" s="62">
        <v>1.1474612999999999E-3</v>
      </c>
      <c r="N137" s="62">
        <v>1.2176017999999901E-3</v>
      </c>
      <c r="O137" s="62">
        <v>1.2625882000000001E-3</v>
      </c>
      <c r="S137" s="62" t="s">
        <v>64</v>
      </c>
      <c r="T137" s="62">
        <v>5.2325000000000002E-3</v>
      </c>
      <c r="U137" s="62">
        <v>1.9004400000000001E-2</v>
      </c>
      <c r="V137" s="62">
        <v>2.8799700000000001E-2</v>
      </c>
      <c r="W137" s="62">
        <v>4.1901800000000003E-2</v>
      </c>
      <c r="X137" s="62">
        <v>3.932534E-2</v>
      </c>
      <c r="Y137" s="62">
        <v>4.0187939999999998E-2</v>
      </c>
      <c r="Z137" s="62">
        <v>3.6626560000000002E-2</v>
      </c>
      <c r="AA137" s="62">
        <v>3.3599679E-2</v>
      </c>
      <c r="AB137" s="62">
        <v>3.2105750000000002E-2</v>
      </c>
      <c r="AC137" s="62">
        <v>3.0832809999999999E-2</v>
      </c>
      <c r="AD137" s="62">
        <v>2.988265E-2</v>
      </c>
      <c r="AK137" s="62" t="s">
        <v>64</v>
      </c>
      <c r="AL137" s="62" t="s">
        <v>64</v>
      </c>
      <c r="AM137" s="62">
        <v>5.2325000000000002E-3</v>
      </c>
      <c r="AN137" s="62">
        <v>1.9004400000000001E-2</v>
      </c>
      <c r="AO137" s="62">
        <v>2.8799700000000001E-2</v>
      </c>
      <c r="AP137" s="62">
        <v>4.1901800000000003E-2</v>
      </c>
      <c r="AQ137" s="62">
        <v>3.9323339999999998E-2</v>
      </c>
      <c r="AR137" s="62">
        <v>4.018497E-2</v>
      </c>
      <c r="AS137" s="62">
        <v>3.6626590000000001E-2</v>
      </c>
      <c r="AT137" s="62">
        <v>3.3607671999999998E-2</v>
      </c>
      <c r="AU137" s="62">
        <v>3.2123779999999998E-2</v>
      </c>
      <c r="AV137" s="62">
        <v>3.0852459999999901E-2</v>
      </c>
      <c r="AW137" s="62">
        <v>2.9899539999999999E-2</v>
      </c>
      <c r="BD137" s="62" t="s">
        <v>64</v>
      </c>
      <c r="BE137" s="62" t="s">
        <v>64</v>
      </c>
      <c r="BF137" s="62">
        <v>5.2325000000000002E-3</v>
      </c>
      <c r="BG137" s="62">
        <v>1.9004400000000001E-2</v>
      </c>
      <c r="BH137" s="62">
        <v>2.8799700000000001E-2</v>
      </c>
      <c r="BI137" s="62">
        <v>4.1901800000000003E-2</v>
      </c>
      <c r="BJ137" s="62">
        <v>3.9326350000000003E-2</v>
      </c>
      <c r="BK137" s="62">
        <v>4.0193710000000001E-2</v>
      </c>
      <c r="BL137" s="62">
        <v>3.6636099999999998E-2</v>
      </c>
      <c r="BM137" s="62">
        <v>3.3612615999999998E-2</v>
      </c>
      <c r="BN137" s="62">
        <v>3.2120929999999999E-2</v>
      </c>
      <c r="BO137" s="62">
        <v>3.0846419999999999E-2</v>
      </c>
      <c r="BP137" s="62">
        <v>2.9897690000000001E-2</v>
      </c>
    </row>
    <row r="138" spans="1:68">
      <c r="A138" s="62" t="s">
        <v>586</v>
      </c>
      <c r="B138" s="62" t="s">
        <v>1</v>
      </c>
      <c r="C138" s="62" t="s">
        <v>67</v>
      </c>
      <c r="D138" s="62" t="s">
        <v>3</v>
      </c>
      <c r="E138" s="62">
        <v>0</v>
      </c>
      <c r="F138" s="62">
        <v>0</v>
      </c>
      <c r="G138" s="62">
        <v>0</v>
      </c>
      <c r="H138" s="62">
        <v>1.0884E-3</v>
      </c>
      <c r="I138" s="62">
        <v>1.5548809999999999E-3</v>
      </c>
      <c r="J138" s="62">
        <v>2.4345119999999998E-3</v>
      </c>
      <c r="K138" s="62">
        <v>3.3935989999999902E-3</v>
      </c>
      <c r="L138" s="62">
        <v>4.1004149999999996E-3</v>
      </c>
      <c r="M138" s="62">
        <v>4.3262370000000001E-3</v>
      </c>
      <c r="N138" s="62">
        <v>4.4206519999999997E-3</v>
      </c>
      <c r="O138" s="62">
        <v>4.3988079999999997E-3</v>
      </c>
      <c r="S138" s="62" t="s">
        <v>61</v>
      </c>
      <c r="T138" s="62">
        <v>1.39375E-2</v>
      </c>
      <c r="U138" s="62">
        <v>2.0152400000000001E-2</v>
      </c>
      <c r="V138" s="62">
        <v>1.9656400000000001E-2</v>
      </c>
      <c r="W138" s="62">
        <v>1.9656400000000001E-2</v>
      </c>
      <c r="X138" s="62">
        <v>2.0393649E-2</v>
      </c>
      <c r="Y138" s="62">
        <v>2.3707777999999999E-2</v>
      </c>
      <c r="Z138" s="62">
        <v>2.4571493E-2</v>
      </c>
      <c r="AA138" s="62">
        <v>2.4714199999999999E-2</v>
      </c>
      <c r="AB138" s="62">
        <v>2.4835126999999999E-2</v>
      </c>
      <c r="AC138" s="62">
        <v>2.5378274999999999E-2</v>
      </c>
      <c r="AD138" s="62">
        <v>2.61443962E-2</v>
      </c>
      <c r="AK138" s="62" t="s">
        <v>61</v>
      </c>
      <c r="AL138" s="62" t="s">
        <v>61</v>
      </c>
      <c r="AM138" s="62">
        <v>1.39375E-2</v>
      </c>
      <c r="AN138" s="62">
        <v>2.0152400000000001E-2</v>
      </c>
      <c r="AO138" s="62">
        <v>1.9656400000000001E-2</v>
      </c>
      <c r="AP138" s="62">
        <v>1.9656400000000001E-2</v>
      </c>
      <c r="AQ138" s="62">
        <v>2.0393663999999999E-2</v>
      </c>
      <c r="AR138" s="62">
        <v>2.37077819999999E-2</v>
      </c>
      <c r="AS138" s="62">
        <v>2.4571496999999901E-2</v>
      </c>
      <c r="AT138" s="62">
        <v>2.4714192999999999E-2</v>
      </c>
      <c r="AU138" s="62">
        <v>2.4835136000000001E-2</v>
      </c>
      <c r="AV138" s="62">
        <v>2.5378268999999998E-2</v>
      </c>
      <c r="AW138" s="62">
        <v>2.61443991E-2</v>
      </c>
      <c r="BD138" s="62" t="s">
        <v>61</v>
      </c>
      <c r="BE138" s="62" t="s">
        <v>61</v>
      </c>
      <c r="BF138" s="62">
        <v>1.39375E-2</v>
      </c>
      <c r="BG138" s="62">
        <v>2.0152400000000001E-2</v>
      </c>
      <c r="BH138" s="62">
        <v>1.9656400000000001E-2</v>
      </c>
      <c r="BI138" s="62">
        <v>1.9656400000000001E-2</v>
      </c>
      <c r="BJ138" s="62">
        <v>2.0393641000000001E-2</v>
      </c>
      <c r="BK138" s="62">
        <v>2.37077609999999E-2</v>
      </c>
      <c r="BL138" s="62">
        <v>2.4571478000000001E-2</v>
      </c>
      <c r="BM138" s="62">
        <v>2.4714196000000001E-2</v>
      </c>
      <c r="BN138" s="62">
        <v>2.4835135000000001E-2</v>
      </c>
      <c r="BO138" s="62">
        <v>2.5378275999999901E-2</v>
      </c>
      <c r="BP138" s="62">
        <v>2.61443991E-2</v>
      </c>
    </row>
    <row r="139" spans="1:68">
      <c r="A139" s="62" t="s">
        <v>586</v>
      </c>
      <c r="B139" s="62" t="s">
        <v>1</v>
      </c>
      <c r="C139" s="62" t="s">
        <v>67</v>
      </c>
      <c r="D139" s="62" t="s">
        <v>4</v>
      </c>
      <c r="E139" s="62">
        <v>0</v>
      </c>
      <c r="F139" s="62">
        <v>0</v>
      </c>
      <c r="G139" s="62">
        <v>0</v>
      </c>
      <c r="H139" s="62">
        <v>0</v>
      </c>
      <c r="I139" s="62">
        <v>2.1198499999999999E-3</v>
      </c>
      <c r="J139" s="62">
        <v>6.6358600000000004E-3</v>
      </c>
      <c r="K139" s="62">
        <v>1.16892E-2</v>
      </c>
      <c r="L139" s="62">
        <v>1.5422744999999899E-2</v>
      </c>
      <c r="M139" s="62">
        <v>1.6865872000000001E-2</v>
      </c>
      <c r="N139" s="62">
        <v>1.8053759999999999E-2</v>
      </c>
      <c r="O139" s="62">
        <v>1.8830889999999999E-2</v>
      </c>
      <c r="S139" s="62" t="s">
        <v>56</v>
      </c>
      <c r="T139" s="62">
        <v>3.9306500000000001E-2</v>
      </c>
      <c r="U139" s="62">
        <v>0.143622</v>
      </c>
      <c r="V139" s="62">
        <v>0.14705399999999999</v>
      </c>
      <c r="W139" s="62">
        <v>0.17627200000000001</v>
      </c>
      <c r="X139" s="62">
        <v>0.18608239999999901</v>
      </c>
      <c r="Y139" s="62">
        <v>0.2239381</v>
      </c>
      <c r="Z139" s="62">
        <v>0.244287</v>
      </c>
      <c r="AA139" s="62">
        <v>0.27029449999999999</v>
      </c>
      <c r="AB139" s="62">
        <v>0.30381501999999999</v>
      </c>
      <c r="AC139" s="62">
        <v>0.34102740999999998</v>
      </c>
      <c r="AD139" s="62">
        <v>0.38393299999999903</v>
      </c>
      <c r="AK139" s="62" t="s">
        <v>56</v>
      </c>
      <c r="AL139" s="62" t="s">
        <v>56</v>
      </c>
      <c r="AM139" s="62">
        <v>3.9306500000000001E-2</v>
      </c>
      <c r="AN139" s="62">
        <v>0.143622</v>
      </c>
      <c r="AO139" s="62">
        <v>0.14705399999999999</v>
      </c>
      <c r="AP139" s="62">
        <v>0.17627200000000001</v>
      </c>
      <c r="AQ139" s="62">
        <v>0.18607669999999901</v>
      </c>
      <c r="AR139" s="62">
        <v>0.2239266</v>
      </c>
      <c r="AS139" s="62">
        <v>0.24428179999999999</v>
      </c>
      <c r="AT139" s="62">
        <v>0.27033509999999999</v>
      </c>
      <c r="AU139" s="62">
        <v>0.30395797000000002</v>
      </c>
      <c r="AV139" s="62">
        <v>0.34121603</v>
      </c>
      <c r="AW139" s="62">
        <v>0.384161484</v>
      </c>
      <c r="BD139" s="62" t="s">
        <v>56</v>
      </c>
      <c r="BE139" s="62" t="s">
        <v>56</v>
      </c>
      <c r="BF139" s="62">
        <v>3.9306500000000001E-2</v>
      </c>
      <c r="BG139" s="62">
        <v>0.143622</v>
      </c>
      <c r="BH139" s="62">
        <v>0.14705399999999999</v>
      </c>
      <c r="BI139" s="62">
        <v>0.17627200000000001</v>
      </c>
      <c r="BJ139" s="62">
        <v>0.18608529999999901</v>
      </c>
      <c r="BK139" s="62">
        <v>0.22395889999999999</v>
      </c>
      <c r="BL139" s="62">
        <v>0.24432969999999901</v>
      </c>
      <c r="BM139" s="62">
        <v>0.27039029999999997</v>
      </c>
      <c r="BN139" s="62">
        <v>0.30398018999999998</v>
      </c>
      <c r="BO139" s="62">
        <v>0.34121824000000001</v>
      </c>
      <c r="BP139" s="62">
        <v>0.384177508</v>
      </c>
    </row>
    <row r="140" spans="1:68">
      <c r="A140" s="62" t="s">
        <v>586</v>
      </c>
      <c r="B140" s="62" t="s">
        <v>1</v>
      </c>
      <c r="C140" s="62" t="s">
        <v>67</v>
      </c>
      <c r="D140" s="62" t="s">
        <v>5</v>
      </c>
      <c r="E140" s="62">
        <v>0</v>
      </c>
      <c r="F140" s="62">
        <v>0</v>
      </c>
      <c r="G140" s="62">
        <v>0</v>
      </c>
      <c r="H140" s="62">
        <v>0</v>
      </c>
      <c r="I140" s="63">
        <v>1.09366E-4</v>
      </c>
      <c r="J140" s="63">
        <v>3.4395509999999999E-4</v>
      </c>
      <c r="K140" s="63">
        <v>5.7361719999999997E-4</v>
      </c>
      <c r="L140" s="63">
        <v>7.5818999999999995E-4</v>
      </c>
      <c r="M140" s="63">
        <v>7.9587280000000004E-4</v>
      </c>
      <c r="N140" s="63">
        <v>8.4237750000000001E-4</v>
      </c>
      <c r="O140" s="63">
        <v>8.9176739999999896E-4</v>
      </c>
      <c r="S140" s="62" t="s">
        <v>67</v>
      </c>
      <c r="T140" s="62">
        <v>0</v>
      </c>
      <c r="U140" s="62">
        <v>0</v>
      </c>
      <c r="V140" s="62">
        <v>0</v>
      </c>
      <c r="W140" s="62">
        <v>0</v>
      </c>
      <c r="X140" s="63">
        <v>1.09366E-4</v>
      </c>
      <c r="Y140" s="63">
        <v>3.4395509999999999E-4</v>
      </c>
      <c r="Z140" s="63">
        <v>5.7361719999999997E-4</v>
      </c>
      <c r="AA140" s="63">
        <v>7.5818999999999995E-4</v>
      </c>
      <c r="AB140" s="63">
        <v>7.9587280000000004E-4</v>
      </c>
      <c r="AC140" s="63">
        <v>8.4237750000000001E-4</v>
      </c>
      <c r="AD140" s="63">
        <v>8.9176739999999896E-4</v>
      </c>
      <c r="AK140" s="62" t="s">
        <v>67</v>
      </c>
      <c r="AL140" s="62" t="s">
        <v>67</v>
      </c>
      <c r="AM140" s="62">
        <v>0</v>
      </c>
      <c r="AN140" s="62">
        <v>0</v>
      </c>
      <c r="AO140" s="62">
        <v>0</v>
      </c>
      <c r="AP140" s="62">
        <v>0</v>
      </c>
      <c r="AQ140" s="63">
        <v>1.09256E-4</v>
      </c>
      <c r="AR140" s="63">
        <v>3.4377149999999999E-4</v>
      </c>
      <c r="AS140" s="63">
        <v>5.7358089999999995E-4</v>
      </c>
      <c r="AT140" s="63">
        <v>7.5866720000000005E-4</v>
      </c>
      <c r="AU140" s="63">
        <v>7.9706630000000002E-4</v>
      </c>
      <c r="AV140" s="63">
        <v>8.4363760000000004E-4</v>
      </c>
      <c r="AW140" s="63">
        <v>8.9290309999999896E-4</v>
      </c>
      <c r="BD140" s="62" t="s">
        <v>67</v>
      </c>
      <c r="BE140" s="62" t="s">
        <v>67</v>
      </c>
      <c r="BF140" s="62">
        <v>0</v>
      </c>
      <c r="BG140" s="62">
        <v>0</v>
      </c>
      <c r="BH140" s="62">
        <v>0</v>
      </c>
      <c r="BI140" s="62">
        <v>0</v>
      </c>
      <c r="BJ140" s="63">
        <v>1.09422E-4</v>
      </c>
      <c r="BK140" s="63">
        <v>3.4424149999999899E-4</v>
      </c>
      <c r="BL140" s="63">
        <v>5.7418269999999895E-4</v>
      </c>
      <c r="BM140" s="63">
        <v>7.5910099999999998E-4</v>
      </c>
      <c r="BN140" s="63">
        <v>7.9705909999999995E-4</v>
      </c>
      <c r="BO140" s="63">
        <v>8.4340979999999999E-4</v>
      </c>
      <c r="BP140" s="63">
        <v>8.9295909999999995E-4</v>
      </c>
    </row>
    <row r="141" spans="1:68">
      <c r="A141" s="62" t="s">
        <v>586</v>
      </c>
      <c r="B141" s="62" t="s">
        <v>1</v>
      </c>
      <c r="C141" s="62" t="s">
        <v>67</v>
      </c>
      <c r="D141" s="62" t="s">
        <v>6</v>
      </c>
      <c r="E141" s="62">
        <v>2.1348599999999999E-2</v>
      </c>
      <c r="F141" s="62">
        <v>2.5199699999999998E-2</v>
      </c>
      <c r="G141" s="62">
        <v>3.4157800000000002E-2</v>
      </c>
      <c r="H141" s="62">
        <v>3.4408800000000003E-2</v>
      </c>
      <c r="I141" s="62">
        <v>3.3592369999999899E-2</v>
      </c>
      <c r="J141" s="62">
        <v>2.798349E-2</v>
      </c>
      <c r="K141" s="62">
        <v>1.986808E-2</v>
      </c>
      <c r="L141" s="62">
        <v>1.329469E-2</v>
      </c>
      <c r="M141" s="62">
        <v>1.084329E-2</v>
      </c>
      <c r="N141" s="62">
        <v>8.7473800000000008E-3</v>
      </c>
      <c r="O141" s="62">
        <v>7.2255770000000004E-3</v>
      </c>
      <c r="S141" s="62" t="s">
        <v>465</v>
      </c>
      <c r="T141" s="62">
        <v>0</v>
      </c>
      <c r="U141" s="62">
        <v>5.7160999999999997E-2</v>
      </c>
      <c r="V141" s="62">
        <v>6.5780599999999995E-2</v>
      </c>
      <c r="W141" s="62">
        <v>7.5700000000000003E-2</v>
      </c>
      <c r="X141" s="62">
        <v>8.9682219999999896E-2</v>
      </c>
      <c r="Y141" s="62">
        <v>0.10249237999999999</v>
      </c>
      <c r="Z141" s="62">
        <v>0.10240610999999999</v>
      </c>
      <c r="AA141" s="62">
        <v>0.10006991999999899</v>
      </c>
      <c r="AB141" s="62">
        <v>9.887319E-2</v>
      </c>
      <c r="AC141" s="62">
        <v>9.7458630000000004E-2</v>
      </c>
      <c r="AD141" s="62">
        <v>9.6089999999999995E-2</v>
      </c>
      <c r="AK141" s="62" t="s">
        <v>465</v>
      </c>
      <c r="AL141" s="62" t="s">
        <v>465</v>
      </c>
      <c r="AM141" s="62">
        <v>0</v>
      </c>
      <c r="AN141" s="62">
        <v>5.7160999999999997E-2</v>
      </c>
      <c r="AO141" s="62">
        <v>6.5780599999999995E-2</v>
      </c>
      <c r="AP141" s="62">
        <v>7.5700000000000003E-2</v>
      </c>
      <c r="AQ141" s="62">
        <v>8.9682219999999896E-2</v>
      </c>
      <c r="AR141" s="62">
        <v>0.10249237999999999</v>
      </c>
      <c r="AS141" s="62">
        <v>0.10240610999999999</v>
      </c>
      <c r="AT141" s="62">
        <v>0.10006991999999899</v>
      </c>
      <c r="AU141" s="62">
        <v>9.887319E-2</v>
      </c>
      <c r="AV141" s="62">
        <v>9.7458630000000004E-2</v>
      </c>
      <c r="AW141" s="62">
        <v>9.6089999999999995E-2</v>
      </c>
      <c r="BD141" s="62" t="s">
        <v>465</v>
      </c>
      <c r="BE141" s="62" t="s">
        <v>465</v>
      </c>
      <c r="BF141" s="62">
        <v>0</v>
      </c>
      <c r="BG141" s="62">
        <v>5.7160999999999997E-2</v>
      </c>
      <c r="BH141" s="62">
        <v>6.5780599999999995E-2</v>
      </c>
      <c r="BI141" s="62">
        <v>7.5700000000000003E-2</v>
      </c>
      <c r="BJ141" s="62">
        <v>8.9682219999999896E-2</v>
      </c>
      <c r="BK141" s="62">
        <v>0.10249237999999999</v>
      </c>
      <c r="BL141" s="62">
        <v>0.10240610999999999</v>
      </c>
      <c r="BM141" s="62">
        <v>0.10006991999999899</v>
      </c>
      <c r="BN141" s="62">
        <v>9.887319E-2</v>
      </c>
      <c r="BO141" s="62">
        <v>9.7458630000000004E-2</v>
      </c>
      <c r="BP141" s="62">
        <v>9.6089999999999995E-2</v>
      </c>
    </row>
    <row r="142" spans="1:68">
      <c r="A142" s="62" t="s">
        <v>586</v>
      </c>
      <c r="B142" s="62" t="s">
        <v>1</v>
      </c>
      <c r="C142" s="62" t="s">
        <v>67</v>
      </c>
      <c r="D142" s="62" t="s">
        <v>7</v>
      </c>
      <c r="E142" s="62">
        <v>0</v>
      </c>
      <c r="F142" s="62">
        <v>0</v>
      </c>
      <c r="G142" s="62">
        <v>0</v>
      </c>
      <c r="H142" s="63">
        <v>3.3489899999999999E-4</v>
      </c>
      <c r="I142" s="62">
        <v>1.0346909999999999E-3</v>
      </c>
      <c r="J142" s="62">
        <v>2.5198519999999999E-3</v>
      </c>
      <c r="K142" s="62">
        <v>4.2759280999999996E-3</v>
      </c>
      <c r="L142" s="62">
        <v>5.6309589999999996E-3</v>
      </c>
      <c r="M142" s="62">
        <v>5.8692739999999998E-3</v>
      </c>
      <c r="N142" s="62">
        <v>6.0217079999999997E-3</v>
      </c>
      <c r="O142" s="62">
        <v>6.0590169999999999E-3</v>
      </c>
      <c r="S142" s="62" t="s">
        <v>32</v>
      </c>
      <c r="T142" s="62">
        <v>3.6208699999999899E-2</v>
      </c>
      <c r="U142" s="62">
        <v>0.15555259999999899</v>
      </c>
      <c r="V142" s="62">
        <v>0.17736209999999999</v>
      </c>
      <c r="W142" s="62">
        <v>0.19544590000000001</v>
      </c>
      <c r="X142" s="62">
        <v>0.18452989</v>
      </c>
      <c r="Y142" s="62">
        <v>0.19757669</v>
      </c>
      <c r="Z142" s="62">
        <v>0.19220639</v>
      </c>
      <c r="AA142" s="62">
        <v>0.18421467</v>
      </c>
      <c r="AB142" s="62">
        <v>0.18424691000000001</v>
      </c>
      <c r="AC142" s="62">
        <v>0.19022449999999899</v>
      </c>
      <c r="AD142" s="62">
        <v>0.20465512999999999</v>
      </c>
      <c r="AK142" s="62" t="s">
        <v>32</v>
      </c>
      <c r="AL142" s="62" t="s">
        <v>32</v>
      </c>
      <c r="AM142" s="62">
        <v>3.6208699999999899E-2</v>
      </c>
      <c r="AN142" s="62">
        <v>0.15555249999999901</v>
      </c>
      <c r="AO142" s="62">
        <v>0.17736209999999999</v>
      </c>
      <c r="AP142" s="62">
        <v>0.19544600000000001</v>
      </c>
      <c r="AQ142" s="62">
        <v>0.184528739999999</v>
      </c>
      <c r="AR142" s="62">
        <v>0.19757532999999999</v>
      </c>
      <c r="AS142" s="62">
        <v>0.19220746999999999</v>
      </c>
      <c r="AT142" s="62">
        <v>0.18421932999999999</v>
      </c>
      <c r="AU142" s="62">
        <v>0.18425576999999899</v>
      </c>
      <c r="AV142" s="62">
        <v>0.19023208</v>
      </c>
      <c r="AW142" s="62">
        <v>0.20465508999999901</v>
      </c>
      <c r="BD142" s="62" t="s">
        <v>32</v>
      </c>
      <c r="BE142" s="62" t="s">
        <v>32</v>
      </c>
      <c r="BF142" s="62">
        <v>3.6208699999999899E-2</v>
      </c>
      <c r="BG142" s="62">
        <v>0.15555259999999899</v>
      </c>
      <c r="BH142" s="62">
        <v>0.17736209999999999</v>
      </c>
      <c r="BI142" s="62">
        <v>0.19544590000000001</v>
      </c>
      <c r="BJ142" s="62">
        <v>0.18453038999999999</v>
      </c>
      <c r="BK142" s="62">
        <v>0.19757933999999999</v>
      </c>
      <c r="BL142" s="62">
        <v>0.19220928999999901</v>
      </c>
      <c r="BM142" s="62">
        <v>0.18421606999999901</v>
      </c>
      <c r="BN142" s="62">
        <v>0.18424774999999999</v>
      </c>
      <c r="BO142" s="62">
        <v>0.19021616999999999</v>
      </c>
      <c r="BP142" s="62">
        <v>0.20463892</v>
      </c>
    </row>
    <row r="143" spans="1:68">
      <c r="A143" s="62" t="s">
        <v>586</v>
      </c>
      <c r="B143" s="62" t="s">
        <v>1</v>
      </c>
      <c r="C143" s="62" t="s">
        <v>21</v>
      </c>
      <c r="D143" s="62" t="s">
        <v>6</v>
      </c>
      <c r="E143" s="62">
        <v>3.2608900000000003E-2</v>
      </c>
      <c r="F143" s="62">
        <v>5.08599E-2</v>
      </c>
      <c r="G143" s="62">
        <v>5.3873799999999999E-2</v>
      </c>
      <c r="H143" s="62">
        <v>4.94367E-2</v>
      </c>
      <c r="I143" s="62">
        <v>5.4238799999999997E-2</v>
      </c>
      <c r="J143" s="62">
        <v>5.7499799999999997E-2</v>
      </c>
      <c r="K143" s="62">
        <v>5.8557600000000001E-2</v>
      </c>
      <c r="L143" s="62">
        <v>5.9224600000000002E-2</v>
      </c>
      <c r="M143" s="62">
        <v>6.0279899999999997E-2</v>
      </c>
      <c r="N143" s="62">
        <v>6.1346600000000001E-2</v>
      </c>
      <c r="O143" s="62">
        <v>6.2424199999999999E-2</v>
      </c>
      <c r="S143" s="62" t="s">
        <v>66</v>
      </c>
      <c r="T143" s="62">
        <v>3.6418100000000001E-3</v>
      </c>
      <c r="U143" s="62">
        <v>4.7302400000000001E-3</v>
      </c>
      <c r="V143" s="62">
        <v>6.0696700000000001E-3</v>
      </c>
      <c r="W143" s="62">
        <v>5.86039E-3</v>
      </c>
      <c r="X143" s="62">
        <v>5.1513339999999996E-3</v>
      </c>
      <c r="Y143" s="62">
        <v>5.3408500000000003E-3</v>
      </c>
      <c r="Z143" s="62">
        <v>4.8718329999999999E-3</v>
      </c>
      <c r="AA143" s="62">
        <v>4.5327325E-3</v>
      </c>
      <c r="AB143" s="62">
        <v>4.3833020000000004E-3</v>
      </c>
      <c r="AC143" s="62">
        <v>4.2523680000000003E-3</v>
      </c>
      <c r="AD143" s="62">
        <v>4.1528470000000003E-3</v>
      </c>
      <c r="AK143" s="62" t="s">
        <v>66</v>
      </c>
      <c r="AL143" s="62" t="s">
        <v>66</v>
      </c>
      <c r="AM143" s="62">
        <v>3.6418100000000001E-3</v>
      </c>
      <c r="AN143" s="62">
        <v>4.7302400000000001E-3</v>
      </c>
      <c r="AO143" s="62">
        <v>6.0696700000000001E-3</v>
      </c>
      <c r="AP143" s="62">
        <v>5.86039E-3</v>
      </c>
      <c r="AQ143" s="62">
        <v>5.1511600000000001E-3</v>
      </c>
      <c r="AR143" s="62">
        <v>5.3402709999999997E-3</v>
      </c>
      <c r="AS143" s="62">
        <v>4.8715920000000001E-3</v>
      </c>
      <c r="AT143" s="62">
        <v>4.5335769999999996E-3</v>
      </c>
      <c r="AU143" s="62">
        <v>4.3855159999999999E-3</v>
      </c>
      <c r="AV143" s="62">
        <v>4.2548209999999998E-3</v>
      </c>
      <c r="AW143" s="62">
        <v>4.1548619999999996E-3</v>
      </c>
      <c r="BD143" s="62" t="s">
        <v>66</v>
      </c>
      <c r="BE143" s="62" t="s">
        <v>66</v>
      </c>
      <c r="BF143" s="62">
        <v>3.6418100000000001E-3</v>
      </c>
      <c r="BG143" s="62">
        <v>4.7302400000000001E-3</v>
      </c>
      <c r="BH143" s="62">
        <v>6.0696700000000001E-3</v>
      </c>
      <c r="BI143" s="62">
        <v>5.86039E-3</v>
      </c>
      <c r="BJ143" s="62">
        <v>5.1514170000000001E-3</v>
      </c>
      <c r="BK143" s="62">
        <v>5.3418609999999998E-3</v>
      </c>
      <c r="BL143" s="62">
        <v>4.8737019999999997E-3</v>
      </c>
      <c r="BM143" s="62">
        <v>4.5351165999999998E-3</v>
      </c>
      <c r="BN143" s="62">
        <v>4.3857760000000001E-3</v>
      </c>
      <c r="BO143" s="62">
        <v>4.2543060000000002E-3</v>
      </c>
      <c r="BP143" s="62">
        <v>4.1545920000000004E-3</v>
      </c>
    </row>
    <row r="144" spans="1:68">
      <c r="A144" s="62" t="s">
        <v>586</v>
      </c>
      <c r="B144" s="62" t="s">
        <v>1</v>
      </c>
      <c r="C144" s="62" t="s">
        <v>465</v>
      </c>
      <c r="D144" s="62" t="s">
        <v>5</v>
      </c>
      <c r="E144" s="62">
        <v>0</v>
      </c>
      <c r="F144" s="62">
        <v>5.7160999999999997E-2</v>
      </c>
      <c r="G144" s="62">
        <v>6.5780599999999995E-2</v>
      </c>
      <c r="H144" s="62">
        <v>7.5700000000000003E-2</v>
      </c>
      <c r="I144" s="62">
        <v>8.9682219999999896E-2</v>
      </c>
      <c r="J144" s="62">
        <v>0.10249237999999999</v>
      </c>
      <c r="K144" s="62">
        <v>0.10240610999999999</v>
      </c>
      <c r="L144" s="62">
        <v>0.10006991999999899</v>
      </c>
      <c r="M144" s="62">
        <v>9.887319E-2</v>
      </c>
      <c r="N144" s="62">
        <v>9.7458630000000004E-2</v>
      </c>
      <c r="O144" s="62">
        <v>9.6089999999999995E-2</v>
      </c>
      <c r="S144" s="62" t="s">
        <v>68</v>
      </c>
      <c r="T144" s="62">
        <v>0.11110399999999999</v>
      </c>
      <c r="U144" s="62">
        <v>0.23783899999999999</v>
      </c>
      <c r="V144" s="62">
        <v>0.35209299999999999</v>
      </c>
      <c r="W144" s="62">
        <v>0.39972200000000002</v>
      </c>
      <c r="X144" s="63">
        <v>0.43010739999999997</v>
      </c>
      <c r="Y144" s="63">
        <v>0.48831639999999998</v>
      </c>
      <c r="Z144" s="63">
        <v>0.49728329999999998</v>
      </c>
      <c r="AA144" s="63">
        <v>0.49420189999999897</v>
      </c>
      <c r="AB144" s="63">
        <v>0.48643809999999998</v>
      </c>
      <c r="AC144" s="63">
        <v>0.50218598999999997</v>
      </c>
      <c r="AD144" s="63">
        <v>0.53537871000000004</v>
      </c>
      <c r="AK144" s="62" t="s">
        <v>68</v>
      </c>
      <c r="AL144" s="62" t="s">
        <v>68</v>
      </c>
      <c r="AM144" s="62">
        <v>0.11110399999999999</v>
      </c>
      <c r="AN144" s="62">
        <v>0.23783899999999999</v>
      </c>
      <c r="AO144" s="62">
        <v>0.35209299999999999</v>
      </c>
      <c r="AP144" s="62">
        <v>0.39972200000000002</v>
      </c>
      <c r="AQ144" s="62">
        <v>0.4597407</v>
      </c>
      <c r="AR144" s="62">
        <v>0.51904859999999997</v>
      </c>
      <c r="AS144" s="62">
        <v>0.51176290000000002</v>
      </c>
      <c r="AT144" s="62">
        <v>0.48978479999999902</v>
      </c>
      <c r="AU144" s="62">
        <v>0.4623351</v>
      </c>
      <c r="AV144" s="62">
        <v>0.456281299999999</v>
      </c>
      <c r="AW144" s="62">
        <v>0.46463643999999998</v>
      </c>
      <c r="BD144" s="62" t="s">
        <v>68</v>
      </c>
      <c r="BE144" s="62" t="s">
        <v>68</v>
      </c>
      <c r="BF144" s="62">
        <v>0.11110399999999999</v>
      </c>
      <c r="BG144" s="62">
        <v>0.23783899999999999</v>
      </c>
      <c r="BH144" s="62">
        <v>0.35209299999999999</v>
      </c>
      <c r="BI144" s="62">
        <v>0.39972200000000002</v>
      </c>
      <c r="BJ144" s="62">
        <v>0.41558430000000002</v>
      </c>
      <c r="BK144" s="62">
        <v>0.43722759999999999</v>
      </c>
      <c r="BL144" s="62">
        <v>0.43437540000000002</v>
      </c>
      <c r="BM144" s="62">
        <v>0.42202279999999998</v>
      </c>
      <c r="BN144" s="62">
        <v>0.3987424</v>
      </c>
      <c r="BO144" s="62">
        <v>0.38593607000000002</v>
      </c>
      <c r="BP144" s="62">
        <v>0.38358747999999998</v>
      </c>
    </row>
    <row r="145" spans="1:68">
      <c r="A145" s="62" t="s">
        <v>586</v>
      </c>
      <c r="B145" s="62" t="s">
        <v>1</v>
      </c>
      <c r="C145" s="62" t="s">
        <v>465</v>
      </c>
      <c r="D145" s="62" t="s">
        <v>7</v>
      </c>
      <c r="E145" s="62">
        <v>0</v>
      </c>
      <c r="F145" s="62">
        <v>5.6251000000000001E-3</v>
      </c>
      <c r="G145" s="62">
        <v>7.9520300000000006E-3</v>
      </c>
      <c r="H145" s="62">
        <v>1.1241599999999999E-2</v>
      </c>
      <c r="I145" s="62">
        <v>1.335925E-2</v>
      </c>
      <c r="J145" s="62">
        <v>1.53792999999999E-2</v>
      </c>
      <c r="K145" s="62">
        <v>1.551259E-2</v>
      </c>
      <c r="L145" s="62">
        <v>1.5326927999999899E-2</v>
      </c>
      <c r="M145" s="62">
        <v>1.52833349999999E-2</v>
      </c>
      <c r="N145" s="62">
        <v>1.5218214000000001E-2</v>
      </c>
      <c r="O145" s="62">
        <v>1.5155736E-2</v>
      </c>
      <c r="S145" s="62" t="s">
        <v>469</v>
      </c>
      <c r="T145" s="62">
        <v>0</v>
      </c>
      <c r="U145" s="62">
        <v>3.3933699999999997E-2</v>
      </c>
      <c r="V145" s="62">
        <v>4.7037000000000002E-2</v>
      </c>
      <c r="W145" s="62">
        <v>6.5199999999999994E-2</v>
      </c>
      <c r="X145" s="62">
        <v>7.724288E-2</v>
      </c>
      <c r="Y145" s="62">
        <v>8.8276220000000002E-2</v>
      </c>
      <c r="Z145" s="62">
        <v>8.8201772999999997E-2</v>
      </c>
      <c r="AA145" s="62">
        <v>8.6189505E-2</v>
      </c>
      <c r="AB145" s="62">
        <v>8.5158871999999997E-2</v>
      </c>
      <c r="AC145" s="62">
        <v>8.3940871E-2</v>
      </c>
      <c r="AD145" s="62">
        <v>8.2761782000000006E-2</v>
      </c>
      <c r="AK145" s="62" t="s">
        <v>469</v>
      </c>
      <c r="AL145" s="62" t="s">
        <v>469</v>
      </c>
      <c r="AM145" s="62">
        <v>0</v>
      </c>
      <c r="AN145" s="62">
        <v>3.3933699999999997E-2</v>
      </c>
      <c r="AO145" s="62">
        <v>4.7037000000000002E-2</v>
      </c>
      <c r="AP145" s="62">
        <v>6.5199999999999994E-2</v>
      </c>
      <c r="AQ145" s="62">
        <v>7.724288E-2</v>
      </c>
      <c r="AR145" s="62">
        <v>8.8276220000000002E-2</v>
      </c>
      <c r="AS145" s="62">
        <v>8.8201772999999997E-2</v>
      </c>
      <c r="AT145" s="62">
        <v>8.6189505E-2</v>
      </c>
      <c r="AU145" s="62">
        <v>8.5158871999999997E-2</v>
      </c>
      <c r="AV145" s="62">
        <v>8.3940871E-2</v>
      </c>
      <c r="AW145" s="62">
        <v>8.2761782000000006E-2</v>
      </c>
      <c r="BD145" s="62" t="s">
        <v>469</v>
      </c>
      <c r="BE145" s="62" t="s">
        <v>469</v>
      </c>
      <c r="BF145" s="62">
        <v>0</v>
      </c>
      <c r="BG145" s="62">
        <v>3.3933699999999997E-2</v>
      </c>
      <c r="BH145" s="62">
        <v>4.7037000000000002E-2</v>
      </c>
      <c r="BI145" s="62">
        <v>6.5199999999999994E-2</v>
      </c>
      <c r="BJ145" s="62">
        <v>7.724288E-2</v>
      </c>
      <c r="BK145" s="62">
        <v>8.8276220000000002E-2</v>
      </c>
      <c r="BL145" s="62">
        <v>8.8201772999999997E-2</v>
      </c>
      <c r="BM145" s="62">
        <v>8.6189505E-2</v>
      </c>
      <c r="BN145" s="62">
        <v>8.5158871999999997E-2</v>
      </c>
      <c r="BO145" s="62">
        <v>8.3940871E-2</v>
      </c>
      <c r="BP145" s="62">
        <v>8.2761782000000006E-2</v>
      </c>
    </row>
    <row r="146" spans="1:68">
      <c r="A146" s="62" t="s">
        <v>586</v>
      </c>
      <c r="B146" s="62" t="s">
        <v>1</v>
      </c>
      <c r="C146" s="62" t="s">
        <v>32</v>
      </c>
      <c r="D146" s="62" t="s">
        <v>4</v>
      </c>
      <c r="E146" s="62">
        <v>0.24249380000000001</v>
      </c>
      <c r="F146" s="62">
        <v>0</v>
      </c>
      <c r="G146" s="62">
        <v>0</v>
      </c>
      <c r="H146" s="62">
        <v>0.85360729999999996</v>
      </c>
      <c r="I146" s="62">
        <v>0.81027191999999904</v>
      </c>
      <c r="J146" s="62">
        <v>0.87089096999999904</v>
      </c>
      <c r="K146" s="62">
        <v>0.84000838999999905</v>
      </c>
      <c r="L146" s="62">
        <v>0.78349462400000003</v>
      </c>
      <c r="M146" s="62">
        <v>0.73036256999999905</v>
      </c>
      <c r="N146" s="62">
        <v>0.63906560999999995</v>
      </c>
      <c r="O146" s="62">
        <v>0.50554023999999997</v>
      </c>
    </row>
    <row r="147" spans="1:68">
      <c r="A147" s="62" t="s">
        <v>586</v>
      </c>
      <c r="B147" s="62" t="s">
        <v>1</v>
      </c>
      <c r="C147" s="62" t="s">
        <v>32</v>
      </c>
      <c r="D147" s="62" t="s">
        <v>5</v>
      </c>
      <c r="E147" s="62">
        <v>3.6208699999999899E-2</v>
      </c>
      <c r="F147" s="62">
        <v>0.15555259999999899</v>
      </c>
      <c r="G147" s="62">
        <v>0.17736209999999999</v>
      </c>
      <c r="H147" s="62">
        <v>0.19544590000000001</v>
      </c>
      <c r="I147" s="62">
        <v>0.18452989</v>
      </c>
      <c r="J147" s="62">
        <v>0.19757669</v>
      </c>
      <c r="K147" s="62">
        <v>0.19220639</v>
      </c>
      <c r="L147" s="62">
        <v>0.18421467</v>
      </c>
      <c r="M147" s="62">
        <v>0.18424691000000001</v>
      </c>
      <c r="N147" s="62">
        <v>0.19022449999999899</v>
      </c>
      <c r="O147" s="62">
        <v>0.20465512999999999</v>
      </c>
    </row>
    <row r="148" spans="1:68">
      <c r="A148" s="62" t="s">
        <v>586</v>
      </c>
      <c r="B148" s="62" t="s">
        <v>1</v>
      </c>
      <c r="C148" s="62" t="s">
        <v>32</v>
      </c>
      <c r="D148" s="62" t="s">
        <v>6</v>
      </c>
      <c r="E148" s="62">
        <v>3.8468599999999999E-2</v>
      </c>
      <c r="F148" s="62">
        <v>2.4488799999999901E-2</v>
      </c>
      <c r="G148" s="62">
        <v>1.180294E-2</v>
      </c>
      <c r="H148" s="62">
        <v>4.18857E-3</v>
      </c>
      <c r="I148" s="62">
        <v>4.0110451899999996E-3</v>
      </c>
      <c r="J148" s="62">
        <v>4.6697711799999998E-3</v>
      </c>
      <c r="K148" s="62">
        <v>5.1501295599999898E-3</v>
      </c>
      <c r="L148" s="62">
        <v>5.7123249499999897E-3</v>
      </c>
      <c r="M148" s="62">
        <v>6.36451724E-3</v>
      </c>
      <c r="N148" s="62">
        <v>7.5492438499999998E-3</v>
      </c>
      <c r="O148" s="62">
        <v>9.4218187099999896E-3</v>
      </c>
    </row>
    <row r="149" spans="1:68">
      <c r="A149" s="62" t="s">
        <v>586</v>
      </c>
      <c r="B149" s="62" t="s">
        <v>1</v>
      </c>
      <c r="C149" s="62" t="s">
        <v>32</v>
      </c>
      <c r="D149" s="62" t="s">
        <v>7</v>
      </c>
      <c r="E149" s="62">
        <v>0</v>
      </c>
      <c r="F149" s="62">
        <v>3.8468349999999998E-2</v>
      </c>
      <c r="G149" s="62">
        <v>6.6977980000000006E-2</v>
      </c>
      <c r="H149" s="62">
        <v>6.3962699999999997E-2</v>
      </c>
      <c r="I149" s="62">
        <v>6.1827610399999899E-2</v>
      </c>
      <c r="J149" s="62">
        <v>7.4932892299999998E-2</v>
      </c>
      <c r="K149" s="62">
        <v>8.6628027900000001E-2</v>
      </c>
      <c r="L149" s="62">
        <v>0.10018148921</v>
      </c>
      <c r="M149" s="62">
        <v>0.1134546798</v>
      </c>
      <c r="N149" s="62">
        <v>0.13591987890000001</v>
      </c>
      <c r="O149" s="62">
        <v>0.1702489468</v>
      </c>
    </row>
    <row r="150" spans="1:68">
      <c r="A150" s="62" t="s">
        <v>586</v>
      </c>
      <c r="B150" s="62" t="s">
        <v>1</v>
      </c>
      <c r="C150" s="62" t="s">
        <v>66</v>
      </c>
      <c r="D150" s="62" t="s">
        <v>2</v>
      </c>
      <c r="E150" s="62">
        <v>0</v>
      </c>
      <c r="F150" s="62">
        <v>0</v>
      </c>
      <c r="G150" s="62">
        <v>0</v>
      </c>
      <c r="H150" s="62">
        <v>0</v>
      </c>
      <c r="I150" s="63">
        <v>2.61609E-6</v>
      </c>
      <c r="J150" s="63">
        <v>3.2627759999999997E-5</v>
      </c>
      <c r="K150" s="63">
        <v>7.4430740000000002E-5</v>
      </c>
      <c r="L150" s="63">
        <v>1.17741679999999E-4</v>
      </c>
      <c r="M150" s="63">
        <v>1.4446123999999999E-4</v>
      </c>
      <c r="N150" s="63">
        <v>1.7822091999999999E-4</v>
      </c>
      <c r="O150" s="63">
        <v>2.057359E-4</v>
      </c>
    </row>
    <row r="151" spans="1:68">
      <c r="A151" s="62" t="s">
        <v>586</v>
      </c>
      <c r="B151" s="62" t="s">
        <v>1</v>
      </c>
      <c r="C151" s="62" t="s">
        <v>66</v>
      </c>
      <c r="D151" s="62" t="s">
        <v>5</v>
      </c>
      <c r="E151" s="62">
        <v>3.6418100000000001E-3</v>
      </c>
      <c r="F151" s="62">
        <v>4.7302400000000001E-3</v>
      </c>
      <c r="G151" s="62">
        <v>6.0696700000000001E-3</v>
      </c>
      <c r="H151" s="62">
        <v>5.86039E-3</v>
      </c>
      <c r="I151" s="62">
        <v>5.1513339999999996E-3</v>
      </c>
      <c r="J151" s="62">
        <v>5.3408500000000003E-3</v>
      </c>
      <c r="K151" s="62">
        <v>4.8718329999999999E-3</v>
      </c>
      <c r="L151" s="62">
        <v>4.5327325E-3</v>
      </c>
      <c r="M151" s="62">
        <v>4.3833020000000004E-3</v>
      </c>
      <c r="N151" s="62">
        <v>4.2523680000000003E-3</v>
      </c>
      <c r="O151" s="62">
        <v>4.1528470000000003E-3</v>
      </c>
    </row>
    <row r="152" spans="1:68">
      <c r="A152" s="62" t="s">
        <v>586</v>
      </c>
      <c r="B152" s="62" t="s">
        <v>1</v>
      </c>
      <c r="C152" s="62" t="s">
        <v>66</v>
      </c>
      <c r="D152" s="62" t="s">
        <v>6</v>
      </c>
      <c r="E152" s="62">
        <v>4.7302200000000003E-3</v>
      </c>
      <c r="F152" s="62">
        <v>2.4697199999999999E-3</v>
      </c>
      <c r="G152" s="62">
        <v>3.5580799999999999E-3</v>
      </c>
      <c r="H152" s="62">
        <v>2.679E-3</v>
      </c>
      <c r="I152" s="62">
        <v>2.43531E-3</v>
      </c>
      <c r="J152" s="62">
        <v>2.9430259999999901E-3</v>
      </c>
      <c r="K152" s="62">
        <v>3.164479E-3</v>
      </c>
      <c r="L152" s="62">
        <v>3.2049034E-3</v>
      </c>
      <c r="M152" s="62">
        <v>3.175967E-3</v>
      </c>
      <c r="N152" s="62">
        <v>3.0892239999999998E-3</v>
      </c>
      <c r="O152" s="62">
        <v>2.9835370000000001E-3</v>
      </c>
    </row>
    <row r="153" spans="1:68">
      <c r="A153" s="62" t="s">
        <v>586</v>
      </c>
      <c r="B153" s="62" t="s">
        <v>1</v>
      </c>
      <c r="C153" s="62" t="s">
        <v>68</v>
      </c>
      <c r="D153" s="62" t="s">
        <v>2</v>
      </c>
      <c r="E153" s="62">
        <v>0</v>
      </c>
      <c r="F153" s="62">
        <v>0</v>
      </c>
      <c r="G153" s="62">
        <v>0</v>
      </c>
      <c r="H153" s="62">
        <v>0</v>
      </c>
      <c r="I153" s="63">
        <v>7.4258199999999999E-4</v>
      </c>
      <c r="J153" s="62">
        <v>3.8451010000000001E-3</v>
      </c>
      <c r="K153" s="62">
        <v>1.0603487E-2</v>
      </c>
      <c r="L153" s="62">
        <v>3.1219191E-2</v>
      </c>
      <c r="M153" s="62">
        <v>6.9480726100000001E-2</v>
      </c>
      <c r="N153" s="62">
        <v>0.11695822339999901</v>
      </c>
      <c r="O153" s="62">
        <v>0.17734429484</v>
      </c>
    </row>
    <row r="154" spans="1:68">
      <c r="A154" s="62" t="s">
        <v>586</v>
      </c>
      <c r="B154" s="62" t="s">
        <v>1</v>
      </c>
      <c r="C154" s="62" t="s">
        <v>68</v>
      </c>
      <c r="D154" s="62" t="s">
        <v>3</v>
      </c>
      <c r="E154" s="62">
        <v>7.4416999999999999E-3</v>
      </c>
      <c r="F154" s="62">
        <v>6.2898999999999997E-2</v>
      </c>
      <c r="G154" s="62">
        <v>8.7590000000000001E-2</v>
      </c>
      <c r="H154" s="62">
        <v>0.109571</v>
      </c>
      <c r="I154" s="62">
        <v>0.124288206</v>
      </c>
      <c r="J154" s="62">
        <v>0.149021345</v>
      </c>
      <c r="K154" s="62">
        <v>0.163364183</v>
      </c>
      <c r="L154" s="62">
        <v>0.178646059</v>
      </c>
      <c r="M154" s="62">
        <v>0.19751843599999999</v>
      </c>
      <c r="N154" s="62">
        <v>0.21179110100000001</v>
      </c>
      <c r="O154" s="62">
        <v>0.22387480770000001</v>
      </c>
    </row>
    <row r="155" spans="1:68">
      <c r="A155" s="62" t="s">
        <v>586</v>
      </c>
      <c r="B155" s="62" t="s">
        <v>1</v>
      </c>
      <c r="C155" s="62" t="s">
        <v>68</v>
      </c>
      <c r="D155" s="62" t="s">
        <v>4</v>
      </c>
      <c r="E155" s="62">
        <v>0.24647140000000001</v>
      </c>
      <c r="F155" s="62">
        <v>0.70186700000000002</v>
      </c>
      <c r="G155" s="62">
        <v>0.908613</v>
      </c>
      <c r="H155" s="62">
        <v>0.31868059999999998</v>
      </c>
      <c r="I155" s="62">
        <v>0.34915375999999998</v>
      </c>
      <c r="J155" s="62">
        <v>0.40008316999999999</v>
      </c>
      <c r="K155" s="62">
        <v>0.42162498999999998</v>
      </c>
      <c r="L155" s="62">
        <v>0.41271476000000001</v>
      </c>
      <c r="M155" s="62">
        <v>0.41591781999999999</v>
      </c>
      <c r="N155" s="62">
        <v>0.41496302000000002</v>
      </c>
      <c r="O155" s="62">
        <v>0.40404234499999903</v>
      </c>
    </row>
    <row r="156" spans="1:68">
      <c r="A156" s="62" t="s">
        <v>586</v>
      </c>
      <c r="B156" s="62" t="s">
        <v>1</v>
      </c>
      <c r="C156" s="62" t="s">
        <v>68</v>
      </c>
      <c r="D156" s="62" t="s">
        <v>5</v>
      </c>
      <c r="E156" s="62">
        <v>0.11110399999999999</v>
      </c>
      <c r="F156" s="62">
        <v>0.23783899999999999</v>
      </c>
      <c r="G156" s="62">
        <v>0.35209299999999999</v>
      </c>
      <c r="H156" s="62">
        <v>0.39972200000000002</v>
      </c>
      <c r="I156" s="62">
        <v>0.43010739999999997</v>
      </c>
      <c r="J156" s="62">
        <v>0.48831639999999998</v>
      </c>
      <c r="K156" s="62">
        <v>0.49728329999999998</v>
      </c>
      <c r="L156" s="62">
        <v>0.49420189999999897</v>
      </c>
      <c r="M156" s="62">
        <v>0.48643809999999998</v>
      </c>
      <c r="N156" s="62">
        <v>0.50218598999999997</v>
      </c>
      <c r="O156" s="62">
        <v>0.53537871000000004</v>
      </c>
    </row>
    <row r="157" spans="1:68">
      <c r="A157" s="62" t="s">
        <v>586</v>
      </c>
      <c r="B157" s="62" t="s">
        <v>1</v>
      </c>
      <c r="C157" s="62" t="s">
        <v>68</v>
      </c>
      <c r="D157" s="62" t="s">
        <v>6</v>
      </c>
      <c r="E157" s="62">
        <v>0.26414799999999999</v>
      </c>
      <c r="F157" s="62">
        <v>0.32156439999999997</v>
      </c>
      <c r="G157" s="62">
        <v>0.25188080000000002</v>
      </c>
      <c r="H157" s="62">
        <v>0.1744762</v>
      </c>
      <c r="I157" s="62">
        <v>0.19509858999999999</v>
      </c>
      <c r="J157" s="62">
        <v>0.22720103999999999</v>
      </c>
      <c r="K157" s="62">
        <v>0.23778608000000001</v>
      </c>
      <c r="L157" s="62">
        <v>0.231134689999999</v>
      </c>
      <c r="M157" s="62">
        <v>0.214678429999999</v>
      </c>
      <c r="N157" s="62">
        <v>0.19695650000000001</v>
      </c>
      <c r="O157" s="62">
        <v>0.17712784300000001</v>
      </c>
    </row>
    <row r="158" spans="1:68">
      <c r="A158" s="62" t="s">
        <v>586</v>
      </c>
      <c r="B158" s="62" t="s">
        <v>1</v>
      </c>
      <c r="C158" s="62" t="s">
        <v>68</v>
      </c>
      <c r="D158" s="62" t="s">
        <v>7</v>
      </c>
      <c r="E158" s="62">
        <v>0</v>
      </c>
      <c r="F158" s="62">
        <v>0.14272889999999999</v>
      </c>
      <c r="G158" s="62">
        <v>0.16058</v>
      </c>
      <c r="H158" s="62">
        <v>0.20223160000000001</v>
      </c>
      <c r="I158" s="62">
        <v>0.22314434999999999</v>
      </c>
      <c r="J158" s="62">
        <v>0.25207170000000001</v>
      </c>
      <c r="K158" s="62">
        <v>0.25713879000000001</v>
      </c>
      <c r="L158" s="62">
        <v>0.23613772999999999</v>
      </c>
      <c r="M158" s="62">
        <v>0.19721517999999999</v>
      </c>
      <c r="N158" s="62">
        <v>0.16532445999999901</v>
      </c>
      <c r="O158" s="62">
        <v>0.13360719299999901</v>
      </c>
    </row>
    <row r="159" spans="1:68">
      <c r="A159" s="62" t="s">
        <v>586</v>
      </c>
      <c r="B159" s="62" t="s">
        <v>1</v>
      </c>
      <c r="C159" s="62" t="s">
        <v>22</v>
      </c>
      <c r="D159" s="62" t="s">
        <v>6</v>
      </c>
      <c r="E159" s="62">
        <v>0</v>
      </c>
      <c r="F159" s="62">
        <v>3.1394999999999999E-2</v>
      </c>
      <c r="G159" s="62">
        <v>3.1520600000000003E-2</v>
      </c>
      <c r="H159" s="62">
        <v>2.9218299999999999E-2</v>
      </c>
      <c r="I159" s="62">
        <v>3.4235799999999997E-2</v>
      </c>
      <c r="J159" s="62">
        <v>4.7574199999999997E-2</v>
      </c>
      <c r="K159" s="62">
        <v>6.1484799999999999E-2</v>
      </c>
      <c r="L159" s="62">
        <v>9.0543700000000005E-2</v>
      </c>
      <c r="M159" s="62">
        <v>0.130883</v>
      </c>
      <c r="N159" s="62">
        <v>0.16576299999999999</v>
      </c>
      <c r="O159" s="62">
        <v>0.19927600000000001</v>
      </c>
    </row>
    <row r="160" spans="1:68">
      <c r="A160" s="62" t="s">
        <v>586</v>
      </c>
      <c r="B160" s="62" t="s">
        <v>1</v>
      </c>
      <c r="C160" s="62" t="s">
        <v>469</v>
      </c>
      <c r="D160" s="62" t="s">
        <v>5</v>
      </c>
      <c r="E160" s="62">
        <v>0</v>
      </c>
      <c r="F160" s="62">
        <v>3.3933699999999997E-2</v>
      </c>
      <c r="G160" s="62">
        <v>4.7037000000000002E-2</v>
      </c>
      <c r="H160" s="62">
        <v>6.5199999999999994E-2</v>
      </c>
      <c r="I160" s="62">
        <v>7.724288E-2</v>
      </c>
      <c r="J160" s="62">
        <v>8.8276220000000002E-2</v>
      </c>
      <c r="K160" s="62">
        <v>8.8201772999999997E-2</v>
      </c>
      <c r="L160" s="62">
        <v>8.6189505E-2</v>
      </c>
      <c r="M160" s="62">
        <v>8.5158871999999997E-2</v>
      </c>
      <c r="N160" s="62">
        <v>8.3940871E-2</v>
      </c>
      <c r="O160" s="62">
        <v>8.2761782000000006E-2</v>
      </c>
    </row>
    <row r="161" spans="1:15">
      <c r="A161" s="62" t="s">
        <v>586</v>
      </c>
      <c r="B161" s="62" t="s">
        <v>1</v>
      </c>
      <c r="C161" s="62" t="s">
        <v>469</v>
      </c>
      <c r="D161" s="62" t="s">
        <v>7</v>
      </c>
      <c r="E161" s="62">
        <v>0</v>
      </c>
      <c r="F161" s="62">
        <v>7.5847600000000003E-3</v>
      </c>
      <c r="G161" s="62">
        <v>9.4303900000000003E-3</v>
      </c>
      <c r="H161" s="62">
        <v>1.23E-2</v>
      </c>
      <c r="I161" s="62">
        <v>1.46171179999999E-2</v>
      </c>
      <c r="J161" s="62">
        <v>1.6827321999999999E-2</v>
      </c>
      <c r="K161" s="62">
        <v>1.6973180000000001E-2</v>
      </c>
      <c r="L161" s="62">
        <v>1.6770031599999999E-2</v>
      </c>
      <c r="M161" s="62">
        <v>1.6722313799999999E-2</v>
      </c>
      <c r="N161" s="62">
        <v>1.6651072100000001E-2</v>
      </c>
      <c r="O161" s="62">
        <v>1.6582707499999998E-2</v>
      </c>
    </row>
  </sheetData>
  <autoFilter ref="E2:E66" xr:uid="{EE85FA2B-BCD5-4A9E-BC1F-2F9EE6E75058}"/>
  <mergeCells count="2">
    <mergeCell ref="A68:F68"/>
    <mergeCell ref="A87:C8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C7375-E0B8-4416-A1CA-4E1FBEF05496}">
  <dimension ref="A1:BB219"/>
  <sheetViews>
    <sheetView topLeftCell="A91" zoomScale="40" zoomScaleNormal="40" workbookViewId="0">
      <selection activeCell="C109" sqref="C109:N120"/>
    </sheetView>
  </sheetViews>
  <sheetFormatPr defaultColWidth="8.69921875" defaultRowHeight="17.399999999999999"/>
  <cols>
    <col min="1" max="2" width="8.69921875" style="13"/>
    <col min="3" max="3" width="24.8984375" style="13" bestFit="1" customWidth="1"/>
    <col min="4" max="6" width="24.8984375" style="62" customWidth="1"/>
    <col min="7" max="7" width="22.69921875" style="13" bestFit="1" customWidth="1"/>
    <col min="8" max="8" width="22.5" style="13" bestFit="1" customWidth="1"/>
    <col min="9" max="9" width="23.296875" style="13" bestFit="1" customWidth="1"/>
    <col min="10" max="12" width="8.69921875" style="13"/>
    <col min="13" max="13" width="13.69921875" style="13" bestFit="1" customWidth="1"/>
    <col min="14" max="18" width="8.69921875" style="13"/>
    <col min="19" max="19" width="30.3984375" style="13" customWidth="1"/>
    <col min="20" max="20" width="24.296875" style="13" customWidth="1"/>
    <col min="21" max="23" width="11" style="13" bestFit="1" customWidth="1"/>
    <col min="24" max="24" width="13.3984375" style="13" bestFit="1" customWidth="1"/>
    <col min="25" max="25" width="11" style="13" bestFit="1" customWidth="1"/>
    <col min="26" max="16384" width="8.69921875" style="13"/>
  </cols>
  <sheetData>
    <row r="1" spans="1:22">
      <c r="A1" s="1" t="s">
        <v>18</v>
      </c>
    </row>
    <row r="2" spans="1:22">
      <c r="D2" s="62" t="s">
        <v>8</v>
      </c>
      <c r="E2" s="62" t="s">
        <v>9</v>
      </c>
      <c r="F2" s="62" t="s">
        <v>39</v>
      </c>
      <c r="G2" s="13" t="s">
        <v>40</v>
      </c>
      <c r="H2" s="13" t="s">
        <v>10</v>
      </c>
      <c r="I2" s="13" t="s">
        <v>42</v>
      </c>
      <c r="J2" s="13">
        <v>1990</v>
      </c>
      <c r="K2" s="13">
        <v>2005</v>
      </c>
      <c r="L2" s="13">
        <v>2010</v>
      </c>
      <c r="M2" s="13">
        <v>2015</v>
      </c>
      <c r="N2" s="13">
        <v>2020</v>
      </c>
      <c r="O2" s="13">
        <v>2025</v>
      </c>
      <c r="P2" s="13">
        <v>2030</v>
      </c>
      <c r="Q2" s="13">
        <v>2035</v>
      </c>
      <c r="R2" s="13">
        <v>2040</v>
      </c>
      <c r="S2" s="13">
        <v>2045</v>
      </c>
      <c r="T2" s="13">
        <v>2050</v>
      </c>
      <c r="V2" s="62"/>
    </row>
    <row r="3" spans="1:22">
      <c r="A3" s="31" t="s">
        <v>532</v>
      </c>
      <c r="B3" s="62" t="s">
        <v>1</v>
      </c>
      <c r="C3" s="62" t="s">
        <v>63</v>
      </c>
      <c r="D3" s="62" t="s">
        <v>607</v>
      </c>
      <c r="E3" s="62" t="s">
        <v>1</v>
      </c>
      <c r="F3" s="62" t="s">
        <v>63</v>
      </c>
      <c r="G3" s="62" t="s">
        <v>60</v>
      </c>
      <c r="H3" s="62" t="s">
        <v>7</v>
      </c>
      <c r="I3" s="62" t="s">
        <v>60</v>
      </c>
      <c r="J3" s="62">
        <v>4.1860899999999999E-3</v>
      </c>
      <c r="K3" s="62">
        <v>1.55318E-2</v>
      </c>
      <c r="L3" s="62">
        <v>1.25215E-2</v>
      </c>
      <c r="M3" s="62">
        <v>6.4959199999999996E-3</v>
      </c>
      <c r="N3" s="63">
        <v>6.7863180000000004E-3</v>
      </c>
      <c r="O3" s="63">
        <v>6.8908179999999999E-3</v>
      </c>
      <c r="P3" s="63">
        <v>6.6945950000000002E-3</v>
      </c>
      <c r="Q3" s="63">
        <v>5.7252779999999899E-3</v>
      </c>
      <c r="R3" s="63">
        <v>4.0148739999999999E-3</v>
      </c>
      <c r="S3" s="62">
        <v>2.83344239999999E-3</v>
      </c>
      <c r="T3" s="63">
        <v>1.58912175E-3</v>
      </c>
      <c r="V3" s="62"/>
    </row>
    <row r="4" spans="1:22">
      <c r="A4" s="62" t="s">
        <v>532</v>
      </c>
      <c r="B4" s="62" t="s">
        <v>1</v>
      </c>
      <c r="C4" s="62" t="s">
        <v>63</v>
      </c>
      <c r="D4" s="62" t="s">
        <v>607</v>
      </c>
      <c r="E4" s="62" t="s">
        <v>1</v>
      </c>
      <c r="F4" s="62" t="s">
        <v>63</v>
      </c>
      <c r="G4" s="62" t="s">
        <v>60</v>
      </c>
      <c r="H4" s="62" t="s">
        <v>7</v>
      </c>
      <c r="I4" s="62" t="s">
        <v>111</v>
      </c>
      <c r="J4" s="62">
        <v>0</v>
      </c>
      <c r="K4" s="62">
        <v>0</v>
      </c>
      <c r="L4" s="62">
        <v>0</v>
      </c>
      <c r="M4" s="62">
        <v>0</v>
      </c>
      <c r="N4" s="63">
        <v>0</v>
      </c>
      <c r="O4" s="63">
        <v>5.5648100000000003E-6</v>
      </c>
      <c r="P4" s="63">
        <v>6.0751310000000003E-5</v>
      </c>
      <c r="Q4" s="63">
        <v>5.7699165000000001E-4</v>
      </c>
      <c r="R4" s="62">
        <v>1.8523799799999999E-3</v>
      </c>
      <c r="S4" s="62">
        <v>2.8353002399999902E-3</v>
      </c>
      <c r="T4" s="62">
        <v>3.9918900300000004E-3</v>
      </c>
      <c r="V4" s="62"/>
    </row>
    <row r="5" spans="1:22">
      <c r="A5" s="62" t="s">
        <v>532</v>
      </c>
      <c r="B5" s="62" t="s">
        <v>1</v>
      </c>
      <c r="C5" s="62" t="s">
        <v>63</v>
      </c>
      <c r="D5" s="62" t="s">
        <v>607</v>
      </c>
      <c r="E5" s="62" t="s">
        <v>1</v>
      </c>
      <c r="F5" s="62" t="s">
        <v>63</v>
      </c>
      <c r="G5" s="62" t="s">
        <v>19</v>
      </c>
      <c r="H5" s="62" t="s">
        <v>6</v>
      </c>
      <c r="I5" s="62" t="s">
        <v>19</v>
      </c>
      <c r="J5" s="62">
        <v>2.6574E-2</v>
      </c>
      <c r="K5" s="62">
        <v>0</v>
      </c>
      <c r="L5" s="62">
        <v>0</v>
      </c>
      <c r="M5" s="62">
        <v>0</v>
      </c>
      <c r="N5" s="62">
        <v>0</v>
      </c>
      <c r="O5" s="63">
        <v>0</v>
      </c>
      <c r="P5" s="62">
        <v>0</v>
      </c>
      <c r="Q5" s="62">
        <v>0</v>
      </c>
      <c r="R5" s="62">
        <v>0</v>
      </c>
      <c r="S5" s="62">
        <v>0</v>
      </c>
      <c r="T5" s="62">
        <v>0</v>
      </c>
      <c r="V5" s="62"/>
    </row>
    <row r="6" spans="1:22">
      <c r="A6" s="62" t="s">
        <v>532</v>
      </c>
      <c r="B6" s="62" t="s">
        <v>1</v>
      </c>
      <c r="C6" s="62" t="s">
        <v>64</v>
      </c>
      <c r="D6" s="62" t="s">
        <v>607</v>
      </c>
      <c r="E6" s="62" t="s">
        <v>1</v>
      </c>
      <c r="F6" s="62" t="s">
        <v>64</v>
      </c>
      <c r="G6" s="62" t="s">
        <v>57</v>
      </c>
      <c r="H6" s="62" t="s">
        <v>3</v>
      </c>
      <c r="I6" s="62" t="s">
        <v>57</v>
      </c>
      <c r="J6" s="62">
        <v>0</v>
      </c>
      <c r="K6" s="62">
        <v>0</v>
      </c>
      <c r="L6" s="62">
        <v>0</v>
      </c>
      <c r="M6" s="62">
        <v>2.7628000000000002E-3</v>
      </c>
      <c r="N6" s="62">
        <v>2.835148E-3</v>
      </c>
      <c r="O6" s="62">
        <v>5.3337990000000002E-3</v>
      </c>
      <c r="P6" s="62">
        <v>7.2116949999999997E-3</v>
      </c>
      <c r="Q6" s="62">
        <v>7.8185019999999997E-3</v>
      </c>
      <c r="R6" s="62">
        <v>6.4949349999999899E-3</v>
      </c>
      <c r="S6" s="62">
        <v>4.4229489999999998E-3</v>
      </c>
      <c r="T6" s="63">
        <v>1.1555490000000001E-3</v>
      </c>
      <c r="V6" s="6"/>
    </row>
    <row r="7" spans="1:22">
      <c r="A7" s="62" t="s">
        <v>532</v>
      </c>
      <c r="B7" s="62" t="s">
        <v>1</v>
      </c>
      <c r="C7" s="62" t="s">
        <v>64</v>
      </c>
      <c r="D7" s="62" t="s">
        <v>607</v>
      </c>
      <c r="E7" s="62" t="s">
        <v>1</v>
      </c>
      <c r="F7" s="62" t="s">
        <v>64</v>
      </c>
      <c r="G7" s="62" t="s">
        <v>59</v>
      </c>
      <c r="H7" s="62" t="s">
        <v>5</v>
      </c>
      <c r="I7" s="62" t="s">
        <v>59</v>
      </c>
      <c r="J7" s="62">
        <v>5.2325000000000002E-3</v>
      </c>
      <c r="K7" s="62">
        <v>1.9004400000000001E-2</v>
      </c>
      <c r="L7" s="62">
        <v>2.8799700000000001E-2</v>
      </c>
      <c r="M7" s="62">
        <v>4.1901800000000003E-2</v>
      </c>
      <c r="N7" s="63">
        <v>3.936812E-2</v>
      </c>
      <c r="O7" s="63">
        <v>3.8983610000000002E-2</v>
      </c>
      <c r="P7" s="63">
        <v>3.3719399999999997E-2</v>
      </c>
      <c r="Q7" s="63">
        <v>2.9909667000000001E-2</v>
      </c>
      <c r="R7" s="63">
        <v>3.0121490000000001E-2</v>
      </c>
      <c r="S7" s="63">
        <v>3.3299700000000002E-2</v>
      </c>
      <c r="T7" s="63">
        <v>4.1750280000000001E-2</v>
      </c>
      <c r="V7" s="27"/>
    </row>
    <row r="8" spans="1:22" ht="17.399999999999999" customHeight="1">
      <c r="A8" s="62" t="s">
        <v>532</v>
      </c>
      <c r="B8" s="62" t="s">
        <v>1</v>
      </c>
      <c r="C8" s="62" t="s">
        <v>64</v>
      </c>
      <c r="D8" s="62" t="s">
        <v>607</v>
      </c>
      <c r="E8" s="62" t="s">
        <v>1</v>
      </c>
      <c r="F8" s="62" t="s">
        <v>64</v>
      </c>
      <c r="G8" s="62" t="s">
        <v>60</v>
      </c>
      <c r="H8" s="62" t="s">
        <v>7</v>
      </c>
      <c r="I8" s="62" t="s">
        <v>60</v>
      </c>
      <c r="J8" s="62">
        <v>0</v>
      </c>
      <c r="K8" s="62">
        <v>1.0464999999999999E-3</v>
      </c>
      <c r="L8" s="63">
        <v>1.674E-4</v>
      </c>
      <c r="M8" s="63">
        <v>1.2559999999999999E-4</v>
      </c>
      <c r="N8" s="63">
        <v>1.217007E-4</v>
      </c>
      <c r="O8" s="63">
        <v>1.292582E-4</v>
      </c>
      <c r="P8" s="63">
        <v>1.1673186E-4</v>
      </c>
      <c r="Q8" s="63">
        <v>9.7170239999999996E-5</v>
      </c>
      <c r="R8" s="63">
        <v>7.8190500000000003E-5</v>
      </c>
      <c r="S8" s="63">
        <v>5.6674839999999998E-5</v>
      </c>
      <c r="T8" s="63">
        <v>3.0050219999999899E-5</v>
      </c>
      <c r="V8" s="64"/>
    </row>
    <row r="9" spans="1:22" ht="17.399999999999999" customHeight="1">
      <c r="A9" s="62" t="s">
        <v>532</v>
      </c>
      <c r="B9" s="62" t="s">
        <v>1</v>
      </c>
      <c r="C9" s="62" t="s">
        <v>64</v>
      </c>
      <c r="D9" s="62" t="s">
        <v>607</v>
      </c>
      <c r="E9" s="62" t="s">
        <v>1</v>
      </c>
      <c r="F9" s="62" t="s">
        <v>64</v>
      </c>
      <c r="G9" s="62" t="s">
        <v>65</v>
      </c>
      <c r="H9" s="62" t="s">
        <v>2</v>
      </c>
      <c r="I9" s="62" t="s">
        <v>65</v>
      </c>
      <c r="J9" s="62">
        <v>0</v>
      </c>
      <c r="K9" s="62">
        <v>0</v>
      </c>
      <c r="L9" s="62">
        <v>0</v>
      </c>
      <c r="M9" s="62">
        <v>0</v>
      </c>
      <c r="N9" s="63">
        <v>3.5954600000000003E-5</v>
      </c>
      <c r="O9" s="63">
        <v>2.3787459999999999E-4</v>
      </c>
      <c r="P9" s="63">
        <v>4.7837889999999999E-4</v>
      </c>
      <c r="Q9" s="63">
        <v>7.4836730999999995E-4</v>
      </c>
      <c r="R9" s="63">
        <v>1.0357242000000001E-3</v>
      </c>
      <c r="S9" s="62">
        <v>1.5412107999999999E-3</v>
      </c>
      <c r="T9" s="62">
        <v>2.39602E-3</v>
      </c>
      <c r="V9" s="62"/>
    </row>
    <row r="10" spans="1:22" ht="17.399999999999999" customHeight="1">
      <c r="A10" s="62" t="s">
        <v>532</v>
      </c>
      <c r="B10" s="62" t="s">
        <v>1</v>
      </c>
      <c r="C10" s="62" t="s">
        <v>64</v>
      </c>
      <c r="D10" s="62" t="s">
        <v>607</v>
      </c>
      <c r="E10" s="62" t="s">
        <v>1</v>
      </c>
      <c r="F10" s="62" t="s">
        <v>64</v>
      </c>
      <c r="G10" s="62" t="s">
        <v>19</v>
      </c>
      <c r="H10" s="62" t="s">
        <v>6</v>
      </c>
      <c r="I10" s="62" t="s">
        <v>19</v>
      </c>
      <c r="J10" s="62">
        <v>6.4087699999999997E-2</v>
      </c>
      <c r="K10" s="62">
        <v>5.919E-2</v>
      </c>
      <c r="L10" s="62">
        <v>5.2492499999999997E-2</v>
      </c>
      <c r="M10" s="62">
        <v>1.9422999999999999E-2</v>
      </c>
      <c r="N10" s="62">
        <v>1.9299429999999999E-2</v>
      </c>
      <c r="O10" s="62">
        <v>2.2816779999999998E-2</v>
      </c>
      <c r="P10" s="62">
        <v>2.252094E-2</v>
      </c>
      <c r="Q10" s="62">
        <v>2.0122989000000001E-2</v>
      </c>
      <c r="R10" s="62">
        <v>1.6708509999999999E-2</v>
      </c>
      <c r="S10" s="62">
        <v>1.236046E-2</v>
      </c>
      <c r="T10" s="62">
        <v>4.0351929999999899E-3</v>
      </c>
      <c r="V10" s="63"/>
    </row>
    <row r="11" spans="1:22">
      <c r="A11" s="62" t="s">
        <v>532</v>
      </c>
      <c r="B11" s="62" t="s">
        <v>1</v>
      </c>
      <c r="C11" s="62" t="s">
        <v>61</v>
      </c>
      <c r="D11" s="62" t="s">
        <v>607</v>
      </c>
      <c r="E11" s="62" t="s">
        <v>1</v>
      </c>
      <c r="F11" s="62" t="s">
        <v>61</v>
      </c>
      <c r="G11" s="62" t="s">
        <v>61</v>
      </c>
      <c r="H11" s="62" t="s">
        <v>5</v>
      </c>
      <c r="I11" s="62" t="s">
        <v>61</v>
      </c>
      <c r="J11" s="62">
        <v>1.39375E-2</v>
      </c>
      <c r="K11" s="62">
        <v>2.0152400000000001E-2</v>
      </c>
      <c r="L11" s="62">
        <v>1.9656400000000001E-2</v>
      </c>
      <c r="M11" s="62">
        <v>1.9656400000000001E-2</v>
      </c>
      <c r="N11" s="62">
        <v>2.0393651999999901E-2</v>
      </c>
      <c r="O11" s="62">
        <v>2.0707868000000001E-2</v>
      </c>
      <c r="P11" s="62">
        <v>1.8533211000000001E-2</v>
      </c>
      <c r="Q11" s="62">
        <v>1.4279807E-2</v>
      </c>
      <c r="R11" s="62">
        <v>8.0898059999999997E-3</v>
      </c>
      <c r="S11" s="62">
        <v>4.4730018999999998E-3</v>
      </c>
      <c r="T11" s="62">
        <v>1.4198320860000001E-3</v>
      </c>
      <c r="V11" s="62"/>
    </row>
    <row r="12" spans="1:22">
      <c r="A12" s="62" t="s">
        <v>532</v>
      </c>
      <c r="B12" s="62" t="s">
        <v>1</v>
      </c>
      <c r="C12" s="62" t="s">
        <v>61</v>
      </c>
      <c r="D12" s="62" t="s">
        <v>607</v>
      </c>
      <c r="E12" s="62" t="s">
        <v>1</v>
      </c>
      <c r="F12" s="62" t="s">
        <v>61</v>
      </c>
      <c r="G12" s="62" t="s">
        <v>61</v>
      </c>
      <c r="H12" s="62" t="s">
        <v>5</v>
      </c>
      <c r="I12" s="62" t="s">
        <v>116</v>
      </c>
      <c r="J12" s="62">
        <v>0</v>
      </c>
      <c r="K12" s="62">
        <v>0</v>
      </c>
      <c r="L12" s="62">
        <v>0</v>
      </c>
      <c r="M12" s="62">
        <v>0</v>
      </c>
      <c r="N12" s="62">
        <v>0</v>
      </c>
      <c r="O12" s="63">
        <v>5.3379799999999998E-6</v>
      </c>
      <c r="P12" s="63">
        <v>3.8975179999999998E-5</v>
      </c>
      <c r="Q12" s="63">
        <v>2.0266897699999999E-3</v>
      </c>
      <c r="R12" s="62">
        <v>8.0122759699999997E-3</v>
      </c>
      <c r="S12" s="62">
        <v>1.1550499440000001E-2</v>
      </c>
      <c r="T12" s="62">
        <v>1.2808461431E-2</v>
      </c>
      <c r="V12" s="62"/>
    </row>
    <row r="13" spans="1:22">
      <c r="A13" s="62" t="s">
        <v>532</v>
      </c>
      <c r="B13" s="62" t="s">
        <v>1</v>
      </c>
      <c r="C13" s="62" t="s">
        <v>191</v>
      </c>
      <c r="D13" s="62" t="s">
        <v>607</v>
      </c>
      <c r="E13" s="62" t="s">
        <v>1</v>
      </c>
      <c r="F13" s="62" t="s">
        <v>191</v>
      </c>
      <c r="G13" s="62" t="s">
        <v>338</v>
      </c>
      <c r="H13" s="62" t="s">
        <v>5</v>
      </c>
      <c r="I13" s="62" t="s">
        <v>339</v>
      </c>
      <c r="J13" s="62">
        <v>0</v>
      </c>
      <c r="K13" s="62">
        <v>0</v>
      </c>
      <c r="L13" s="62">
        <v>0</v>
      </c>
      <c r="M13" s="6">
        <v>0</v>
      </c>
      <c r="N13" s="62">
        <v>0</v>
      </c>
      <c r="O13" s="62">
        <v>0</v>
      </c>
      <c r="P13" s="62">
        <v>0</v>
      </c>
      <c r="Q13" s="62">
        <v>0</v>
      </c>
      <c r="R13" s="63">
        <v>0</v>
      </c>
      <c r="S13" s="63">
        <v>0</v>
      </c>
      <c r="T13" s="63">
        <v>6.6967499999999996E-3</v>
      </c>
      <c r="V13" s="62"/>
    </row>
    <row r="14" spans="1:22">
      <c r="A14" s="62" t="s">
        <v>532</v>
      </c>
      <c r="B14" s="62" t="s">
        <v>1</v>
      </c>
      <c r="C14" s="62" t="s">
        <v>191</v>
      </c>
      <c r="D14" s="62" t="s">
        <v>607</v>
      </c>
      <c r="E14" s="62" t="s">
        <v>1</v>
      </c>
      <c r="F14" s="62" t="s">
        <v>191</v>
      </c>
      <c r="G14" s="62" t="s">
        <v>338</v>
      </c>
      <c r="H14" s="62" t="s">
        <v>5</v>
      </c>
      <c r="I14" s="62" t="s">
        <v>340</v>
      </c>
      <c r="J14" s="62">
        <v>0</v>
      </c>
      <c r="K14" s="62">
        <v>0</v>
      </c>
      <c r="L14" s="62">
        <v>0</v>
      </c>
      <c r="M14" s="27">
        <v>0</v>
      </c>
      <c r="N14" s="62">
        <v>0</v>
      </c>
      <c r="O14" s="62">
        <v>0</v>
      </c>
      <c r="P14" s="62">
        <v>0</v>
      </c>
      <c r="Q14" s="62">
        <v>0</v>
      </c>
      <c r="R14" s="63">
        <v>0</v>
      </c>
      <c r="S14" s="63">
        <v>0</v>
      </c>
      <c r="T14" s="63">
        <v>8.9248000000000001E-7</v>
      </c>
      <c r="V14" s="62"/>
    </row>
    <row r="15" spans="1:22">
      <c r="A15" s="62" t="s">
        <v>532</v>
      </c>
      <c r="B15" s="62" t="s">
        <v>1</v>
      </c>
      <c r="C15" s="62" t="s">
        <v>191</v>
      </c>
      <c r="D15" s="62" t="s">
        <v>607</v>
      </c>
      <c r="E15" s="62" t="s">
        <v>1</v>
      </c>
      <c r="F15" s="62" t="s">
        <v>191</v>
      </c>
      <c r="G15" s="62" t="s">
        <v>338</v>
      </c>
      <c r="H15" s="62" t="s">
        <v>5</v>
      </c>
      <c r="I15" s="62" t="s">
        <v>341</v>
      </c>
      <c r="J15" s="62">
        <v>0</v>
      </c>
      <c r="K15" s="62">
        <v>0</v>
      </c>
      <c r="L15" s="62">
        <v>0</v>
      </c>
      <c r="M15" s="64">
        <v>0</v>
      </c>
      <c r="N15" s="62">
        <v>0</v>
      </c>
      <c r="O15" s="62">
        <v>0</v>
      </c>
      <c r="P15" s="62">
        <v>0</v>
      </c>
      <c r="Q15" s="62">
        <v>0</v>
      </c>
      <c r="R15" s="63">
        <v>0</v>
      </c>
      <c r="S15" s="63">
        <v>0</v>
      </c>
      <c r="T15" s="63">
        <v>2.2980199999999999E-8</v>
      </c>
      <c r="V15" s="62"/>
    </row>
    <row r="16" spans="1:22" ht="17.399999999999999" customHeight="1">
      <c r="A16" s="62" t="s">
        <v>532</v>
      </c>
      <c r="B16" s="62" t="s">
        <v>1</v>
      </c>
      <c r="C16" s="62" t="s">
        <v>56</v>
      </c>
      <c r="D16" s="62" t="s">
        <v>607</v>
      </c>
      <c r="E16" s="62" t="s">
        <v>1</v>
      </c>
      <c r="F16" s="62" t="s">
        <v>56</v>
      </c>
      <c r="G16" s="62" t="s">
        <v>57</v>
      </c>
      <c r="H16" s="62" t="s">
        <v>3</v>
      </c>
      <c r="I16" s="62" t="s">
        <v>57</v>
      </c>
      <c r="J16" s="62">
        <v>2.5953E-3</v>
      </c>
      <c r="K16" s="62">
        <v>5.4836900000000003E-3</v>
      </c>
      <c r="L16" s="62">
        <v>3.5999999999999999E-3</v>
      </c>
      <c r="M16" s="62">
        <v>1.1344099999999999E-2</v>
      </c>
      <c r="N16" s="62">
        <v>1.233681E-2</v>
      </c>
      <c r="O16" s="62">
        <v>1.6084330000000001E-2</v>
      </c>
      <c r="P16" s="62">
        <v>2.048695E-2</v>
      </c>
      <c r="Q16" s="62">
        <v>2.2287951E-2</v>
      </c>
      <c r="R16" s="62">
        <v>1.9297135E-2</v>
      </c>
      <c r="S16" s="62">
        <v>1.527919E-2</v>
      </c>
      <c r="T16" s="62">
        <v>4.4383550600000004E-3</v>
      </c>
      <c r="V16" s="62"/>
    </row>
    <row r="17" spans="1:22" ht="17.399999999999999" customHeight="1">
      <c r="A17" s="62" t="s">
        <v>532</v>
      </c>
      <c r="B17" s="62" t="s">
        <v>1</v>
      </c>
      <c r="C17" s="62" t="s">
        <v>56</v>
      </c>
      <c r="D17" s="62" t="s">
        <v>607</v>
      </c>
      <c r="E17" s="62" t="s">
        <v>1</v>
      </c>
      <c r="F17" s="62" t="s">
        <v>56</v>
      </c>
      <c r="G17" s="62" t="s">
        <v>57</v>
      </c>
      <c r="H17" s="62" t="s">
        <v>3</v>
      </c>
      <c r="I17" s="62" t="s">
        <v>109</v>
      </c>
      <c r="J17" s="62">
        <v>0</v>
      </c>
      <c r="K17" s="62">
        <v>0</v>
      </c>
      <c r="L17" s="62">
        <v>0</v>
      </c>
      <c r="M17" s="62">
        <v>0</v>
      </c>
      <c r="N17" s="62">
        <v>0</v>
      </c>
      <c r="O17" s="63">
        <v>1.20481E-4</v>
      </c>
      <c r="P17" s="63">
        <v>1.1075E-3</v>
      </c>
      <c r="Q17" s="62">
        <v>8.6422600000000006E-3</v>
      </c>
      <c r="R17" s="62">
        <v>2.4456311099999999E-2</v>
      </c>
      <c r="S17" s="63">
        <v>3.82185024E-2</v>
      </c>
      <c r="T17" s="63">
        <v>4.6706898199999999E-2</v>
      </c>
      <c r="V17" s="62"/>
    </row>
    <row r="18" spans="1:22" ht="17.399999999999999" customHeight="1">
      <c r="A18" s="62" t="s">
        <v>532</v>
      </c>
      <c r="B18" s="62" t="s">
        <v>1</v>
      </c>
      <c r="C18" s="62" t="s">
        <v>56</v>
      </c>
      <c r="D18" s="62" t="s">
        <v>607</v>
      </c>
      <c r="E18" s="62" t="s">
        <v>1</v>
      </c>
      <c r="F18" s="62" t="s">
        <v>56</v>
      </c>
      <c r="G18" s="62" t="s">
        <v>58</v>
      </c>
      <c r="H18" s="62" t="s">
        <v>4</v>
      </c>
      <c r="I18" s="62" t="s">
        <v>58</v>
      </c>
      <c r="J18" s="62">
        <v>1.8837000000000001E-3</v>
      </c>
      <c r="K18" s="62">
        <v>3.1814E-3</v>
      </c>
      <c r="L18" s="62">
        <v>4.2278999999999997E-3</v>
      </c>
      <c r="M18" s="62">
        <v>4.6464999999999996E-3</v>
      </c>
      <c r="N18" s="62">
        <v>5.0284020000000004E-3</v>
      </c>
      <c r="O18" s="63">
        <v>5.1862389999999996E-3</v>
      </c>
      <c r="P18" s="63">
        <v>4.8643030000000004E-3</v>
      </c>
      <c r="Q18" s="63">
        <v>3.5774269999999898E-3</v>
      </c>
      <c r="R18" s="63">
        <v>2.006931E-3</v>
      </c>
      <c r="S18" s="63">
        <v>1.0760766E-3</v>
      </c>
      <c r="T18" s="63">
        <v>1.0820072E-4</v>
      </c>
      <c r="V18" s="63"/>
    </row>
    <row r="19" spans="1:22" ht="17.399999999999999" customHeight="1">
      <c r="A19" s="62" t="s">
        <v>532</v>
      </c>
      <c r="B19" s="62" t="s">
        <v>1</v>
      </c>
      <c r="C19" s="62" t="s">
        <v>56</v>
      </c>
      <c r="D19" s="62" t="s">
        <v>607</v>
      </c>
      <c r="E19" s="62" t="s">
        <v>1</v>
      </c>
      <c r="F19" s="62" t="s">
        <v>56</v>
      </c>
      <c r="G19" s="62" t="s">
        <v>58</v>
      </c>
      <c r="H19" s="62" t="s">
        <v>4</v>
      </c>
      <c r="I19" s="62" t="s">
        <v>110</v>
      </c>
      <c r="J19" s="62">
        <v>0</v>
      </c>
      <c r="K19" s="62">
        <v>0</v>
      </c>
      <c r="L19" s="62">
        <v>0</v>
      </c>
      <c r="M19" s="62">
        <v>0</v>
      </c>
      <c r="N19" s="62">
        <v>0</v>
      </c>
      <c r="O19" s="63">
        <v>1.1409999999999999E-5</v>
      </c>
      <c r="P19" s="63">
        <v>7.45547E-5</v>
      </c>
      <c r="Q19" s="63">
        <v>3.5170829999999999E-4</v>
      </c>
      <c r="R19" s="63">
        <v>8.6634843999999897E-4</v>
      </c>
      <c r="S19" s="63">
        <v>1.3245953499999999E-3</v>
      </c>
      <c r="T19" s="63">
        <v>1.61949584E-3</v>
      </c>
      <c r="V19" s="62"/>
    </row>
    <row r="20" spans="1:22">
      <c r="A20" s="62" t="s">
        <v>532</v>
      </c>
      <c r="B20" s="62" t="s">
        <v>1</v>
      </c>
      <c r="C20" s="62" t="s">
        <v>56</v>
      </c>
      <c r="D20" s="62" t="s">
        <v>607</v>
      </c>
      <c r="E20" s="62" t="s">
        <v>1</v>
      </c>
      <c r="F20" s="62" t="s">
        <v>56</v>
      </c>
      <c r="G20" s="62" t="s">
        <v>59</v>
      </c>
      <c r="H20" s="62" t="s">
        <v>5</v>
      </c>
      <c r="I20" s="62" t="s">
        <v>59</v>
      </c>
      <c r="J20" s="62">
        <v>3.9306500000000001E-2</v>
      </c>
      <c r="K20" s="62">
        <v>0.143622</v>
      </c>
      <c r="L20" s="62">
        <v>0.14705399999999999</v>
      </c>
      <c r="M20" s="62">
        <v>0.17627200000000001</v>
      </c>
      <c r="N20" s="62">
        <v>0.18617799999999901</v>
      </c>
      <c r="O20" s="62">
        <v>0.20609259999999999</v>
      </c>
      <c r="P20" s="62">
        <v>0.2279157</v>
      </c>
      <c r="Q20" s="62">
        <v>0.25670769999999998</v>
      </c>
      <c r="R20" s="62">
        <v>0.29568918</v>
      </c>
      <c r="S20" s="62">
        <v>0.33893118999999999</v>
      </c>
      <c r="T20" s="62">
        <v>0.39745271799999998</v>
      </c>
      <c r="V20" s="62"/>
    </row>
    <row r="21" spans="1:22" ht="17.399999999999999" customHeight="1">
      <c r="A21" s="62" t="s">
        <v>532</v>
      </c>
      <c r="B21" s="62" t="s">
        <v>1</v>
      </c>
      <c r="C21" s="62" t="s">
        <v>56</v>
      </c>
      <c r="D21" s="62" t="s">
        <v>607</v>
      </c>
      <c r="E21" s="62" t="s">
        <v>1</v>
      </c>
      <c r="F21" s="62" t="s">
        <v>56</v>
      </c>
      <c r="G21" s="62" t="s">
        <v>60</v>
      </c>
      <c r="H21" s="62" t="s">
        <v>7</v>
      </c>
      <c r="I21" s="62" t="s">
        <v>60</v>
      </c>
      <c r="J21" s="62">
        <v>0</v>
      </c>
      <c r="K21" s="62">
        <v>2.2174E-3</v>
      </c>
      <c r="L21" s="62">
        <v>5.9310599999999998E-2</v>
      </c>
      <c r="M21" s="62">
        <v>5.4361800000000002E-2</v>
      </c>
      <c r="N21" s="62">
        <v>5.8510349999999899E-2</v>
      </c>
      <c r="O21" s="62">
        <v>6.5875920000000004E-2</v>
      </c>
      <c r="P21" s="62">
        <v>7.1550009999999997E-2</v>
      </c>
      <c r="Q21" s="62">
        <v>6.9225330000000002E-2</v>
      </c>
      <c r="R21" s="62">
        <v>5.7954859999999997E-2</v>
      </c>
      <c r="S21" s="62">
        <v>4.6938425999999998E-2</v>
      </c>
      <c r="T21" s="62">
        <v>2.9799375999999999E-2</v>
      </c>
      <c r="V21" s="62"/>
    </row>
    <row r="22" spans="1:22" ht="17.399999999999999" customHeight="1">
      <c r="A22" s="62" t="s">
        <v>532</v>
      </c>
      <c r="B22" s="62" t="s">
        <v>1</v>
      </c>
      <c r="C22" s="62" t="s">
        <v>56</v>
      </c>
      <c r="D22" s="62" t="s">
        <v>607</v>
      </c>
      <c r="E22" s="62" t="s">
        <v>1</v>
      </c>
      <c r="F22" s="62" t="s">
        <v>56</v>
      </c>
      <c r="G22" s="62" t="s">
        <v>60</v>
      </c>
      <c r="H22" s="62" t="s">
        <v>7</v>
      </c>
      <c r="I22" s="62" t="s">
        <v>111</v>
      </c>
      <c r="J22" s="62">
        <v>0</v>
      </c>
      <c r="K22" s="62">
        <v>0</v>
      </c>
      <c r="L22" s="62">
        <v>0</v>
      </c>
      <c r="M22" s="62">
        <v>0</v>
      </c>
      <c r="N22" s="62">
        <v>0</v>
      </c>
      <c r="O22" s="63">
        <v>6.0678900000000005E-4</v>
      </c>
      <c r="P22" s="63">
        <v>3.4086490000000001E-3</v>
      </c>
      <c r="Q22" s="62">
        <v>1.40432059999999E-2</v>
      </c>
      <c r="R22" s="62">
        <v>3.1662882000000003E-2</v>
      </c>
      <c r="S22" s="62">
        <v>4.8863589999999998E-2</v>
      </c>
      <c r="T22" s="62">
        <v>6.5602020999999996E-2</v>
      </c>
      <c r="V22" s="62"/>
    </row>
    <row r="23" spans="1:22" ht="17.399999999999999" customHeight="1">
      <c r="A23" s="62" t="s">
        <v>532</v>
      </c>
      <c r="B23" s="62" t="s">
        <v>1</v>
      </c>
      <c r="C23" s="62" t="s">
        <v>56</v>
      </c>
      <c r="D23" s="62" t="s">
        <v>607</v>
      </c>
      <c r="E23" s="62" t="s">
        <v>1</v>
      </c>
      <c r="F23" s="62" t="s">
        <v>56</v>
      </c>
      <c r="G23" s="62" t="s">
        <v>65</v>
      </c>
      <c r="H23" s="62" t="s">
        <v>2</v>
      </c>
      <c r="I23" s="62" t="s">
        <v>65</v>
      </c>
      <c r="J23" s="62">
        <v>0</v>
      </c>
      <c r="K23" s="62">
        <v>0</v>
      </c>
      <c r="L23" s="62">
        <v>0</v>
      </c>
      <c r="M23" s="62">
        <v>0</v>
      </c>
      <c r="N23" s="63">
        <v>4.46217E-4</v>
      </c>
      <c r="O23" s="63">
        <v>2.5756959999999902E-3</v>
      </c>
      <c r="P23" s="62">
        <v>8.2967909999999995E-3</v>
      </c>
      <c r="Q23" s="62">
        <v>2.3364777E-2</v>
      </c>
      <c r="R23" s="62">
        <v>4.7715868000000002E-2</v>
      </c>
      <c r="S23" s="62">
        <v>7.2179282499999997E-2</v>
      </c>
      <c r="T23" s="62">
        <v>0.10373313469999999</v>
      </c>
      <c r="V23" s="63"/>
    </row>
    <row r="24" spans="1:22" ht="17.399999999999999" customHeight="1">
      <c r="A24" s="62" t="s">
        <v>532</v>
      </c>
      <c r="B24" s="62" t="s">
        <v>1</v>
      </c>
      <c r="C24" s="62" t="s">
        <v>56</v>
      </c>
      <c r="D24" s="62" t="s">
        <v>607</v>
      </c>
      <c r="E24" s="62" t="s">
        <v>1</v>
      </c>
      <c r="F24" s="62" t="s">
        <v>56</v>
      </c>
      <c r="G24" s="62" t="s">
        <v>19</v>
      </c>
      <c r="H24" s="62" t="s">
        <v>6</v>
      </c>
      <c r="I24" s="62" t="s">
        <v>19</v>
      </c>
      <c r="J24" s="62">
        <v>9.6065499999999998E-2</v>
      </c>
      <c r="K24" s="62">
        <v>7.1915400000000004E-2</v>
      </c>
      <c r="L24" s="62">
        <v>4.75948E-2</v>
      </c>
      <c r="M24" s="62">
        <v>2.2311399999999999E-2</v>
      </c>
      <c r="N24" s="62">
        <v>2.4373530000000001E-2</v>
      </c>
      <c r="O24" s="63">
        <v>2.87533899999999E-2</v>
      </c>
      <c r="P24" s="62">
        <v>3.3271179999999997E-2</v>
      </c>
      <c r="Q24" s="62">
        <v>3.5414210000000002E-2</v>
      </c>
      <c r="R24" s="62">
        <v>3.2732539999999997E-2</v>
      </c>
      <c r="S24" s="62">
        <v>2.7650905999999999E-2</v>
      </c>
      <c r="T24" s="62">
        <v>9.51474179999999E-3</v>
      </c>
      <c r="V24" s="62"/>
    </row>
    <row r="25" spans="1:22" ht="17.399999999999999" customHeight="1">
      <c r="A25" s="62" t="s">
        <v>532</v>
      </c>
      <c r="B25" s="62" t="s">
        <v>1</v>
      </c>
      <c r="C25" s="62" t="s">
        <v>56</v>
      </c>
      <c r="D25" s="62" t="s">
        <v>607</v>
      </c>
      <c r="E25" s="62" t="s">
        <v>1</v>
      </c>
      <c r="F25" s="62" t="s">
        <v>56</v>
      </c>
      <c r="G25" s="62" t="s">
        <v>19</v>
      </c>
      <c r="H25" s="62" t="s">
        <v>6</v>
      </c>
      <c r="I25" s="62" t="s">
        <v>112</v>
      </c>
      <c r="J25" s="62">
        <v>0</v>
      </c>
      <c r="K25" s="62">
        <v>0</v>
      </c>
      <c r="L25" s="62">
        <v>0</v>
      </c>
      <c r="M25" s="62">
        <v>0</v>
      </c>
      <c r="N25" s="62">
        <v>0</v>
      </c>
      <c r="O25" s="63">
        <v>4.2380800000000002E-4</v>
      </c>
      <c r="P25" s="63">
        <v>2.2768739999999999E-3</v>
      </c>
      <c r="Q25" s="63">
        <v>8.9516349999999995E-3</v>
      </c>
      <c r="R25" s="63">
        <v>2.0077441000000001E-2</v>
      </c>
      <c r="S25" s="63">
        <v>3.0239005999999999E-2</v>
      </c>
      <c r="T25" s="63">
        <v>3.9249225700000001E-2</v>
      </c>
      <c r="V25" s="62"/>
    </row>
    <row r="26" spans="1:22" ht="17.399999999999999" customHeight="1">
      <c r="A26" s="62" t="s">
        <v>532</v>
      </c>
      <c r="B26" s="62" t="s">
        <v>1</v>
      </c>
      <c r="C26" s="62" t="s">
        <v>20</v>
      </c>
      <c r="D26" s="62" t="s">
        <v>607</v>
      </c>
      <c r="E26" s="62" t="s">
        <v>1</v>
      </c>
      <c r="F26" s="62" t="s">
        <v>20</v>
      </c>
      <c r="G26" s="62" t="s">
        <v>58</v>
      </c>
      <c r="H26" s="62" t="s">
        <v>4</v>
      </c>
      <c r="I26" s="62" t="s">
        <v>58</v>
      </c>
      <c r="J26" s="62">
        <v>0</v>
      </c>
      <c r="K26" s="62">
        <v>0</v>
      </c>
      <c r="L26" s="62">
        <v>1.6953300000000001E-2</v>
      </c>
      <c r="M26" s="62">
        <v>2.3106700000000001E-2</v>
      </c>
      <c r="N26" s="62">
        <v>1.99516E-2</v>
      </c>
      <c r="O26" s="63">
        <v>2.8079100000000002E-4</v>
      </c>
      <c r="P26" s="63">
        <v>1.09905E-4</v>
      </c>
      <c r="Q26" s="63">
        <v>4.41366E-5</v>
      </c>
      <c r="R26" s="63">
        <v>2.0372000000000001E-5</v>
      </c>
      <c r="S26" s="63">
        <v>9.3468300000000004E-6</v>
      </c>
      <c r="T26" s="63">
        <v>1.38328E-6</v>
      </c>
    </row>
    <row r="27" spans="1:22" ht="17.399999999999999" customHeight="1">
      <c r="A27" s="62" t="s">
        <v>532</v>
      </c>
      <c r="B27" s="62" t="s">
        <v>1</v>
      </c>
      <c r="C27" s="62" t="s">
        <v>20</v>
      </c>
      <c r="D27" s="62" t="s">
        <v>607</v>
      </c>
      <c r="E27" s="62" t="s">
        <v>1</v>
      </c>
      <c r="F27" s="62" t="s">
        <v>20</v>
      </c>
      <c r="G27" s="62" t="s">
        <v>19</v>
      </c>
      <c r="H27" s="62" t="s">
        <v>6</v>
      </c>
      <c r="I27" s="62" t="s">
        <v>19</v>
      </c>
      <c r="J27" s="62">
        <v>0.23639399999999999</v>
      </c>
      <c r="K27" s="62">
        <v>1.18882</v>
      </c>
      <c r="L27" s="62">
        <v>1.5032799999999999</v>
      </c>
      <c r="M27" s="62">
        <v>1.8793899999999999</v>
      </c>
      <c r="N27" s="62">
        <v>1.89751</v>
      </c>
      <c r="O27" s="62">
        <v>2.02014</v>
      </c>
      <c r="P27" s="62">
        <v>2.13828</v>
      </c>
      <c r="Q27" s="62">
        <v>2.2135099999999999</v>
      </c>
      <c r="R27" s="62">
        <v>2.2987000000000002</v>
      </c>
      <c r="S27" s="62">
        <v>2.41574</v>
      </c>
      <c r="T27" s="62">
        <v>2.5107900000000001</v>
      </c>
    </row>
    <row r="28" spans="1:22" ht="17.399999999999999" customHeight="1">
      <c r="A28" s="62" t="s">
        <v>532</v>
      </c>
      <c r="B28" s="62" t="s">
        <v>1</v>
      </c>
      <c r="C28" s="62" t="s">
        <v>67</v>
      </c>
      <c r="D28" s="62" t="s">
        <v>607</v>
      </c>
      <c r="E28" s="62" t="s">
        <v>1</v>
      </c>
      <c r="F28" s="62" t="s">
        <v>67</v>
      </c>
      <c r="G28" s="62" t="s">
        <v>57</v>
      </c>
      <c r="H28" s="62" t="s">
        <v>3</v>
      </c>
      <c r="I28" s="62" t="s">
        <v>57</v>
      </c>
      <c r="J28" s="62">
        <v>0</v>
      </c>
      <c r="K28" s="62">
        <v>0</v>
      </c>
      <c r="L28" s="62">
        <v>0</v>
      </c>
      <c r="M28" s="62">
        <v>1.0884E-3</v>
      </c>
      <c r="N28" s="62">
        <v>1.5388419999999999E-3</v>
      </c>
      <c r="O28" s="62">
        <v>3.7876379999999999E-3</v>
      </c>
      <c r="P28" s="62">
        <v>6.6018069999999899E-3</v>
      </c>
      <c r="Q28" s="62">
        <v>8.597548E-3</v>
      </c>
      <c r="R28" s="62">
        <v>8.1992339999999997E-3</v>
      </c>
      <c r="S28" s="62">
        <v>6.6886699999999903E-3</v>
      </c>
      <c r="T28" s="62">
        <v>2.8847509999999901E-3</v>
      </c>
    </row>
    <row r="29" spans="1:22" ht="17.399999999999999" customHeight="1">
      <c r="A29" s="62" t="s">
        <v>532</v>
      </c>
      <c r="B29" s="62" t="s">
        <v>1</v>
      </c>
      <c r="C29" s="62" t="s">
        <v>67</v>
      </c>
      <c r="D29" s="62" t="s">
        <v>607</v>
      </c>
      <c r="E29" s="62" t="s">
        <v>1</v>
      </c>
      <c r="F29" s="62" t="s">
        <v>67</v>
      </c>
      <c r="G29" s="62" t="s">
        <v>58</v>
      </c>
      <c r="H29" s="62" t="s">
        <v>4</v>
      </c>
      <c r="I29" s="62" t="s">
        <v>58</v>
      </c>
      <c r="J29" s="62">
        <v>0</v>
      </c>
      <c r="K29" s="62">
        <v>0</v>
      </c>
      <c r="L29" s="62">
        <v>0</v>
      </c>
      <c r="M29" s="62">
        <v>0</v>
      </c>
      <c r="N29" s="63">
        <v>2.14737E-3</v>
      </c>
      <c r="O29" s="63">
        <v>3.7194300000000001E-3</v>
      </c>
      <c r="P29" s="63">
        <v>4.6038699999999899E-3</v>
      </c>
      <c r="Q29" s="63">
        <v>4.4662019999999998E-3</v>
      </c>
      <c r="R29" s="62">
        <v>3.6086709999999999E-3</v>
      </c>
      <c r="S29" s="62">
        <v>2.83183E-3</v>
      </c>
      <c r="T29" s="63">
        <v>8.45913E-4</v>
      </c>
    </row>
    <row r="30" spans="1:22">
      <c r="A30" s="62" t="s">
        <v>532</v>
      </c>
      <c r="B30" s="62" t="s">
        <v>1</v>
      </c>
      <c r="C30" s="62" t="s">
        <v>67</v>
      </c>
      <c r="D30" s="62" t="s">
        <v>607</v>
      </c>
      <c r="E30" s="62" t="s">
        <v>1</v>
      </c>
      <c r="F30" s="62" t="s">
        <v>67</v>
      </c>
      <c r="G30" s="62" t="s">
        <v>59</v>
      </c>
      <c r="H30" s="62" t="s">
        <v>5</v>
      </c>
      <c r="I30" s="62" t="s">
        <v>59</v>
      </c>
      <c r="J30" s="62">
        <v>0</v>
      </c>
      <c r="K30" s="62">
        <v>0</v>
      </c>
      <c r="L30" s="62">
        <v>0</v>
      </c>
      <c r="M30" s="63">
        <v>0</v>
      </c>
      <c r="N30" s="63">
        <v>1.10882E-4</v>
      </c>
      <c r="O30" s="63">
        <v>3.6963969999999899E-4</v>
      </c>
      <c r="P30" s="63">
        <v>6.9368209999999997E-4</v>
      </c>
      <c r="Q30" s="63">
        <v>1.0684035000000001E-3</v>
      </c>
      <c r="R30" s="62">
        <v>1.5069216E-3</v>
      </c>
      <c r="S30" s="62">
        <v>2.4672666999999999E-3</v>
      </c>
      <c r="T30" s="62">
        <v>5.9299519999999996E-3</v>
      </c>
    </row>
    <row r="31" spans="1:22" ht="17.399999999999999" customHeight="1">
      <c r="A31" s="62" t="s">
        <v>532</v>
      </c>
      <c r="B31" s="62" t="s">
        <v>1</v>
      </c>
      <c r="C31" s="62" t="s">
        <v>67</v>
      </c>
      <c r="D31" s="62" t="s">
        <v>607</v>
      </c>
      <c r="E31" s="62" t="s">
        <v>1</v>
      </c>
      <c r="F31" s="62" t="s">
        <v>67</v>
      </c>
      <c r="G31" s="62" t="s">
        <v>60</v>
      </c>
      <c r="H31" s="62" t="s">
        <v>7</v>
      </c>
      <c r="I31" s="62" t="s">
        <v>60</v>
      </c>
      <c r="J31" s="62">
        <v>0</v>
      </c>
      <c r="K31" s="62">
        <v>0</v>
      </c>
      <c r="L31" s="62">
        <v>0</v>
      </c>
      <c r="M31" s="63">
        <v>3.3489899999999999E-4</v>
      </c>
      <c r="N31" s="63">
        <v>1.0355239999999999E-3</v>
      </c>
      <c r="O31" s="63">
        <v>2.6617099999999999E-3</v>
      </c>
      <c r="P31" s="63">
        <v>4.5956634E-3</v>
      </c>
      <c r="Q31" s="63">
        <v>6.0811720000000001E-3</v>
      </c>
      <c r="R31" s="62">
        <v>6.4311330000000003E-3</v>
      </c>
      <c r="S31" s="62">
        <v>6.5402029999999996E-3</v>
      </c>
      <c r="T31" s="62">
        <v>5.027704E-3</v>
      </c>
    </row>
    <row r="32" spans="1:22" ht="17.399999999999999" customHeight="1">
      <c r="A32" s="62" t="s">
        <v>532</v>
      </c>
      <c r="B32" s="62" t="s">
        <v>1</v>
      </c>
      <c r="C32" s="62" t="s">
        <v>67</v>
      </c>
      <c r="D32" s="62" t="s">
        <v>607</v>
      </c>
      <c r="E32" s="62" t="s">
        <v>1</v>
      </c>
      <c r="F32" s="62" t="s">
        <v>67</v>
      </c>
      <c r="G32" s="62" t="s">
        <v>65</v>
      </c>
      <c r="H32" s="62" t="s">
        <v>2</v>
      </c>
      <c r="I32" s="62" t="s">
        <v>65</v>
      </c>
      <c r="J32" s="62">
        <v>0</v>
      </c>
      <c r="K32" s="62">
        <v>0</v>
      </c>
      <c r="L32" s="62">
        <v>0</v>
      </c>
      <c r="M32" s="62">
        <v>0</v>
      </c>
      <c r="N32" s="63">
        <v>1.29815E-4</v>
      </c>
      <c r="O32" s="63">
        <v>4.6142099999999902E-4</v>
      </c>
      <c r="P32" s="63">
        <v>9.1166679999999897E-4</v>
      </c>
      <c r="Q32" s="62">
        <v>1.4676439999999999E-3</v>
      </c>
      <c r="R32" s="63">
        <v>2.2049047E-3</v>
      </c>
      <c r="S32" s="63">
        <v>3.7816999999999998E-3</v>
      </c>
      <c r="T32" s="62">
        <v>9.2594900000000004E-3</v>
      </c>
    </row>
    <row r="33" spans="1:20" ht="17.399999999999999" customHeight="1">
      <c r="A33" s="62" t="s">
        <v>532</v>
      </c>
      <c r="B33" s="62" t="s">
        <v>1</v>
      </c>
      <c r="C33" s="62" t="s">
        <v>67</v>
      </c>
      <c r="D33" s="62" t="s">
        <v>607</v>
      </c>
      <c r="E33" s="62" t="s">
        <v>1</v>
      </c>
      <c r="F33" s="62" t="s">
        <v>67</v>
      </c>
      <c r="G33" s="62" t="s">
        <v>19</v>
      </c>
      <c r="H33" s="62" t="s">
        <v>6</v>
      </c>
      <c r="I33" s="62" t="s">
        <v>19</v>
      </c>
      <c r="J33" s="62">
        <v>2.1348599999999999E-2</v>
      </c>
      <c r="K33" s="62">
        <v>2.5199699999999998E-2</v>
      </c>
      <c r="L33" s="62">
        <v>3.4157800000000002E-2</v>
      </c>
      <c r="M33" s="62">
        <v>3.4408800000000003E-2</v>
      </c>
      <c r="N33" s="62">
        <v>3.35786E-2</v>
      </c>
      <c r="O33" s="62">
        <v>2.9275369999999998E-2</v>
      </c>
      <c r="P33" s="62">
        <v>2.2376569999999998E-2</v>
      </c>
      <c r="Q33" s="62">
        <v>1.6510170000000001E-2</v>
      </c>
      <c r="R33" s="63">
        <v>1.386486E-2</v>
      </c>
      <c r="S33" s="63">
        <v>1.114339E-2</v>
      </c>
      <c r="T33" s="62">
        <v>5.6781999999999996E-3</v>
      </c>
    </row>
    <row r="34" spans="1:20" ht="17.399999999999999" customHeight="1">
      <c r="A34" s="62" t="s">
        <v>532</v>
      </c>
      <c r="B34" s="36" t="s">
        <v>1</v>
      </c>
      <c r="C34" s="36" t="s">
        <v>21</v>
      </c>
      <c r="D34" s="36" t="s">
        <v>607</v>
      </c>
      <c r="E34" s="36" t="s">
        <v>1</v>
      </c>
      <c r="F34" s="36" t="s">
        <v>21</v>
      </c>
      <c r="G34" s="36" t="s">
        <v>19</v>
      </c>
      <c r="H34" s="36" t="s">
        <v>6</v>
      </c>
      <c r="I34" s="36" t="s">
        <v>19</v>
      </c>
      <c r="J34" s="62">
        <v>3.2608900000000003E-2</v>
      </c>
      <c r="K34" s="62">
        <v>5.08599E-2</v>
      </c>
      <c r="L34" s="62">
        <v>5.3873799999999999E-2</v>
      </c>
      <c r="M34" s="62">
        <v>4.94367E-2</v>
      </c>
      <c r="N34" s="62">
        <v>5.4238799999999997E-2</v>
      </c>
      <c r="O34" s="63">
        <v>5.7499799999999997E-2</v>
      </c>
      <c r="P34" s="62">
        <v>5.7588500000000001E-2</v>
      </c>
      <c r="Q34" s="62">
        <v>5.6500700000000001E-2</v>
      </c>
      <c r="R34" s="63">
        <v>5.5040899999999997E-2</v>
      </c>
      <c r="S34" s="63">
        <v>5.4190099999999998E-2</v>
      </c>
      <c r="T34" s="62">
        <v>5.3248700000000003E-2</v>
      </c>
    </row>
    <row r="35" spans="1:20">
      <c r="A35" s="62" t="s">
        <v>532</v>
      </c>
      <c r="B35" s="62" t="s">
        <v>1</v>
      </c>
      <c r="C35" s="62" t="s">
        <v>465</v>
      </c>
      <c r="D35" s="62" t="s">
        <v>607</v>
      </c>
      <c r="E35" s="62" t="s">
        <v>1</v>
      </c>
      <c r="F35" s="62" t="s">
        <v>465</v>
      </c>
      <c r="G35" s="62" t="s">
        <v>466</v>
      </c>
      <c r="H35" s="62" t="s">
        <v>5</v>
      </c>
      <c r="I35" s="62" t="s">
        <v>466</v>
      </c>
      <c r="J35" s="62">
        <v>0</v>
      </c>
      <c r="K35" s="62">
        <v>5.7160999999999997E-2</v>
      </c>
      <c r="L35" s="62">
        <v>6.5780599999999995E-2</v>
      </c>
      <c r="M35" s="62">
        <v>7.5700000000000003E-2</v>
      </c>
      <c r="N35" s="62">
        <v>7.5314499999999895E-2</v>
      </c>
      <c r="O35" s="62">
        <v>6.2769400000000003E-2</v>
      </c>
      <c r="P35" s="62">
        <v>5.3031839999999997E-2</v>
      </c>
      <c r="Q35" s="62">
        <v>4.6823999999999998E-2</v>
      </c>
      <c r="R35" s="62">
        <v>5.050988E-2</v>
      </c>
      <c r="S35" s="62">
        <v>5.4392459999999997E-2</v>
      </c>
      <c r="T35" s="62">
        <v>5.8533519999999999E-2</v>
      </c>
    </row>
    <row r="36" spans="1:20">
      <c r="A36" s="62" t="s">
        <v>532</v>
      </c>
      <c r="B36" s="62" t="s">
        <v>1</v>
      </c>
      <c r="C36" s="62" t="s">
        <v>465</v>
      </c>
      <c r="D36" s="62" t="s">
        <v>607</v>
      </c>
      <c r="E36" s="62" t="s">
        <v>1</v>
      </c>
      <c r="F36" s="62" t="s">
        <v>465</v>
      </c>
      <c r="G36" s="62" t="s">
        <v>466</v>
      </c>
      <c r="H36" s="62" t="s">
        <v>5</v>
      </c>
      <c r="I36" s="62" t="s">
        <v>467</v>
      </c>
      <c r="J36" s="62">
        <v>0</v>
      </c>
      <c r="K36" s="62">
        <v>0</v>
      </c>
      <c r="L36" s="62">
        <v>0</v>
      </c>
      <c r="M36" s="62">
        <v>0</v>
      </c>
      <c r="N36" s="63">
        <v>1.34241E-2</v>
      </c>
      <c r="O36" s="63">
        <v>2.4919400000000001E-2</v>
      </c>
      <c r="P36" s="63">
        <v>3.9222239999999998E-2</v>
      </c>
      <c r="Q36" s="63">
        <v>4.6823999999999998E-2</v>
      </c>
      <c r="R36" s="62">
        <v>5.050988E-2</v>
      </c>
      <c r="S36" s="62">
        <v>5.4392459999999997E-2</v>
      </c>
      <c r="T36" s="62">
        <v>5.8533519999999999E-2</v>
      </c>
    </row>
    <row r="37" spans="1:20">
      <c r="A37" s="62" t="s">
        <v>532</v>
      </c>
      <c r="B37" s="62" t="s">
        <v>1</v>
      </c>
      <c r="C37" s="62" t="s">
        <v>465</v>
      </c>
      <c r="D37" s="62" t="s">
        <v>607</v>
      </c>
      <c r="E37" s="62" t="s">
        <v>1</v>
      </c>
      <c r="F37" s="62" t="s">
        <v>465</v>
      </c>
      <c r="G37" s="62" t="s">
        <v>466</v>
      </c>
      <c r="H37" s="62" t="s">
        <v>5</v>
      </c>
      <c r="I37" s="62" t="s">
        <v>468</v>
      </c>
      <c r="J37" s="62">
        <v>0</v>
      </c>
      <c r="K37" s="62">
        <v>0</v>
      </c>
      <c r="L37" s="62">
        <v>0</v>
      </c>
      <c r="M37" s="62">
        <v>0</v>
      </c>
      <c r="N37" s="62">
        <v>1.34241E-2</v>
      </c>
      <c r="O37" s="62">
        <v>2.4919400000000001E-2</v>
      </c>
      <c r="P37" s="62">
        <v>3.9222239999999998E-2</v>
      </c>
      <c r="Q37" s="62">
        <v>4.6823999999999998E-2</v>
      </c>
      <c r="R37" s="62">
        <v>5.050988E-2</v>
      </c>
      <c r="S37" s="62">
        <v>5.4392459999999997E-2</v>
      </c>
      <c r="T37" s="62">
        <v>5.8533519999999999E-2</v>
      </c>
    </row>
    <row r="38" spans="1:20" ht="17.399999999999999" customHeight="1">
      <c r="A38" s="62" t="s">
        <v>532</v>
      </c>
      <c r="B38" s="62" t="s">
        <v>1</v>
      </c>
      <c r="C38" s="62" t="s">
        <v>465</v>
      </c>
      <c r="D38" s="62" t="s">
        <v>607</v>
      </c>
      <c r="E38" s="62" t="s">
        <v>1</v>
      </c>
      <c r="F38" s="62" t="s">
        <v>465</v>
      </c>
      <c r="G38" s="62" t="s">
        <v>466</v>
      </c>
      <c r="H38" s="62" t="s">
        <v>7</v>
      </c>
      <c r="I38" s="62" t="s">
        <v>466</v>
      </c>
      <c r="J38" s="62">
        <v>0</v>
      </c>
      <c r="K38" s="62">
        <v>5.6251000000000001E-3</v>
      </c>
      <c r="L38" s="62">
        <v>7.9520300000000006E-3</v>
      </c>
      <c r="M38" s="62">
        <v>1.1241599999999999E-2</v>
      </c>
      <c r="N38" s="62">
        <v>1.1204260000000001E-2</v>
      </c>
      <c r="O38" s="63">
        <v>9.37933E-3</v>
      </c>
      <c r="P38" s="63">
        <v>8.0144299999999995E-3</v>
      </c>
      <c r="Q38" s="62">
        <v>7.1772349999999997E-3</v>
      </c>
      <c r="R38" s="62">
        <v>7.8141349999999998E-3</v>
      </c>
      <c r="S38" s="62">
        <v>8.4988389999999994E-3</v>
      </c>
      <c r="T38" s="62">
        <v>9.2397460000000001E-3</v>
      </c>
    </row>
    <row r="39" spans="1:20" ht="17.399999999999999" customHeight="1">
      <c r="A39" s="62" t="s">
        <v>532</v>
      </c>
      <c r="B39" s="62" t="s">
        <v>1</v>
      </c>
      <c r="C39" s="62" t="s">
        <v>465</v>
      </c>
      <c r="D39" s="62" t="s">
        <v>607</v>
      </c>
      <c r="E39" s="62" t="s">
        <v>1</v>
      </c>
      <c r="F39" s="62" t="s">
        <v>465</v>
      </c>
      <c r="G39" s="62" t="s">
        <v>466</v>
      </c>
      <c r="H39" s="62" t="s">
        <v>7</v>
      </c>
      <c r="I39" s="62" t="s">
        <v>467</v>
      </c>
      <c r="J39" s="62">
        <v>0</v>
      </c>
      <c r="K39" s="62">
        <v>0</v>
      </c>
      <c r="L39" s="62">
        <v>0</v>
      </c>
      <c r="M39" s="62">
        <v>0</v>
      </c>
      <c r="N39" s="63">
        <v>2.01345E-3</v>
      </c>
      <c r="O39" s="63">
        <v>3.7585499999999998E-3</v>
      </c>
      <c r="P39" s="63">
        <v>5.9636799999999998E-3</v>
      </c>
      <c r="Q39" s="63">
        <v>7.1772349999999997E-3</v>
      </c>
      <c r="R39" s="63">
        <v>7.8141349999999998E-3</v>
      </c>
      <c r="S39" s="63">
        <v>8.4988389999999994E-3</v>
      </c>
      <c r="T39" s="63">
        <v>9.2397460000000001E-3</v>
      </c>
    </row>
    <row r="40" spans="1:20" ht="17.399999999999999" customHeight="1">
      <c r="A40" s="62" t="s">
        <v>532</v>
      </c>
      <c r="B40" s="62" t="s">
        <v>1</v>
      </c>
      <c r="C40" s="62" t="s">
        <v>465</v>
      </c>
      <c r="D40" s="62" t="s">
        <v>607</v>
      </c>
      <c r="E40" s="62" t="s">
        <v>1</v>
      </c>
      <c r="F40" s="62" t="s">
        <v>465</v>
      </c>
      <c r="G40" s="62" t="s">
        <v>466</v>
      </c>
      <c r="H40" s="62" t="s">
        <v>7</v>
      </c>
      <c r="I40" s="62" t="s">
        <v>468</v>
      </c>
      <c r="J40" s="62">
        <v>0</v>
      </c>
      <c r="K40" s="62">
        <v>0</v>
      </c>
      <c r="L40" s="62">
        <v>0</v>
      </c>
      <c r="M40" s="62">
        <v>0</v>
      </c>
      <c r="N40" s="63">
        <v>2.01345E-3</v>
      </c>
      <c r="O40" s="63">
        <v>3.7585499999999998E-3</v>
      </c>
      <c r="P40" s="63">
        <v>5.9636799999999998E-3</v>
      </c>
      <c r="Q40" s="63">
        <v>7.1772349999999997E-3</v>
      </c>
      <c r="R40" s="63">
        <v>7.8141349999999998E-3</v>
      </c>
      <c r="S40" s="63">
        <v>8.4988389999999994E-3</v>
      </c>
      <c r="T40" s="63">
        <v>9.2397460000000001E-3</v>
      </c>
    </row>
    <row r="41" spans="1:20" ht="17.399999999999999" customHeight="1">
      <c r="A41" s="62" t="s">
        <v>532</v>
      </c>
      <c r="B41" s="62" t="s">
        <v>1</v>
      </c>
      <c r="C41" s="62" t="s">
        <v>32</v>
      </c>
      <c r="D41" s="62" t="s">
        <v>607</v>
      </c>
      <c r="E41" s="62" t="s">
        <v>1</v>
      </c>
      <c r="F41" s="62" t="s">
        <v>32</v>
      </c>
      <c r="G41" s="62" t="s">
        <v>33</v>
      </c>
      <c r="H41" s="62" t="s">
        <v>2</v>
      </c>
      <c r="I41" s="62" t="s">
        <v>34</v>
      </c>
      <c r="J41" s="63">
        <v>0</v>
      </c>
      <c r="K41" s="63">
        <v>0</v>
      </c>
      <c r="L41" s="63">
        <v>0</v>
      </c>
      <c r="M41" s="63">
        <v>0</v>
      </c>
      <c r="N41" s="63">
        <v>0</v>
      </c>
      <c r="O41" s="63">
        <v>2.3053799999999999E-4</v>
      </c>
      <c r="P41" s="63">
        <v>9.6761199999999996E-4</v>
      </c>
      <c r="Q41" s="63">
        <v>2.3822000000000001E-3</v>
      </c>
      <c r="R41" s="63">
        <v>3.5230316E-3</v>
      </c>
      <c r="S41" s="63">
        <v>3.1855069999999902E-3</v>
      </c>
      <c r="T41" s="63">
        <v>6.4921049999999995E-4</v>
      </c>
    </row>
    <row r="42" spans="1:20" ht="17.399999999999999" customHeight="1">
      <c r="A42" s="62" t="s">
        <v>532</v>
      </c>
      <c r="B42" s="62" t="s">
        <v>1</v>
      </c>
      <c r="C42" s="62" t="s">
        <v>32</v>
      </c>
      <c r="D42" s="62" t="s">
        <v>607</v>
      </c>
      <c r="E42" s="62" t="s">
        <v>1</v>
      </c>
      <c r="F42" s="62" t="s">
        <v>32</v>
      </c>
      <c r="G42" s="62" t="s">
        <v>33</v>
      </c>
      <c r="H42" s="62" t="s">
        <v>4</v>
      </c>
      <c r="I42" s="62" t="s">
        <v>33</v>
      </c>
      <c r="J42" s="62">
        <v>0.230465</v>
      </c>
      <c r="K42" s="62">
        <v>0</v>
      </c>
      <c r="L42" s="62">
        <v>0</v>
      </c>
      <c r="M42" s="62">
        <v>0.82835599999999998</v>
      </c>
      <c r="N42" s="62">
        <v>0.78616200000000003</v>
      </c>
      <c r="O42" s="63">
        <v>0.64812369999999997</v>
      </c>
      <c r="P42" s="63">
        <v>0.42369639999999997</v>
      </c>
      <c r="Q42" s="63">
        <v>0.22737389999999999</v>
      </c>
      <c r="R42" s="63">
        <v>0.13610849999999999</v>
      </c>
      <c r="S42" s="63">
        <v>6.1055289999999998E-2</v>
      </c>
      <c r="T42" s="63">
        <v>3.2978064999999901E-3</v>
      </c>
    </row>
    <row r="43" spans="1:20" ht="17.399999999999999" customHeight="1">
      <c r="A43" s="62" t="s">
        <v>532</v>
      </c>
      <c r="B43" s="62" t="s">
        <v>1</v>
      </c>
      <c r="C43" s="62" t="s">
        <v>32</v>
      </c>
      <c r="D43" s="62" t="s">
        <v>607</v>
      </c>
      <c r="E43" s="62" t="s">
        <v>1</v>
      </c>
      <c r="F43" s="62" t="s">
        <v>32</v>
      </c>
      <c r="G43" s="62" t="s">
        <v>33</v>
      </c>
      <c r="H43" s="62" t="s">
        <v>4</v>
      </c>
      <c r="I43" s="62" t="s">
        <v>79</v>
      </c>
      <c r="J43" s="62">
        <v>0</v>
      </c>
      <c r="K43" s="62">
        <v>0</v>
      </c>
      <c r="L43" s="62">
        <v>0</v>
      </c>
      <c r="M43" s="62">
        <v>0</v>
      </c>
      <c r="N43" s="62">
        <v>0</v>
      </c>
      <c r="O43" s="63">
        <v>1.83428E-3</v>
      </c>
      <c r="P43" s="63">
        <v>8.8489499999999995E-3</v>
      </c>
      <c r="Q43" s="63">
        <v>2.7383107E-2</v>
      </c>
      <c r="R43" s="63">
        <v>4.9223019E-2</v>
      </c>
      <c r="S43" s="63">
        <v>7.1287240000000002E-2</v>
      </c>
      <c r="T43" s="63">
        <v>6.7920030000000006E-2</v>
      </c>
    </row>
    <row r="44" spans="1:20" ht="17.399999999999999" customHeight="1">
      <c r="A44" s="62" t="s">
        <v>532</v>
      </c>
      <c r="B44" s="62" t="s">
        <v>1</v>
      </c>
      <c r="C44" s="62" t="s">
        <v>32</v>
      </c>
      <c r="D44" s="62" t="s">
        <v>607</v>
      </c>
      <c r="E44" s="62" t="s">
        <v>1</v>
      </c>
      <c r="F44" s="62" t="s">
        <v>32</v>
      </c>
      <c r="G44" s="62" t="s">
        <v>33</v>
      </c>
      <c r="H44" s="62" t="s">
        <v>4</v>
      </c>
      <c r="I44" s="62" t="s">
        <v>34</v>
      </c>
      <c r="J44" s="62">
        <v>0</v>
      </c>
      <c r="K44" s="63">
        <v>0</v>
      </c>
      <c r="L44" s="63">
        <v>0</v>
      </c>
      <c r="M44" s="63">
        <v>0</v>
      </c>
      <c r="N44" s="63">
        <v>0</v>
      </c>
      <c r="O44" s="63">
        <v>9.5445999999999997E-4</v>
      </c>
      <c r="P44" s="63">
        <v>4.0060490000000002E-3</v>
      </c>
      <c r="Q44" s="63">
        <v>9.8626519999999995E-3</v>
      </c>
      <c r="R44" s="63">
        <v>1.4585871E-2</v>
      </c>
      <c r="S44" s="63">
        <v>1.3188449E-2</v>
      </c>
      <c r="T44" s="63">
        <v>2.6878169999999999E-3</v>
      </c>
    </row>
    <row r="45" spans="1:20">
      <c r="A45" s="62" t="s">
        <v>532</v>
      </c>
      <c r="B45" s="62" t="s">
        <v>1</v>
      </c>
      <c r="C45" s="62" t="s">
        <v>32</v>
      </c>
      <c r="D45" s="62" t="s">
        <v>607</v>
      </c>
      <c r="E45" s="62" t="s">
        <v>1</v>
      </c>
      <c r="F45" s="62" t="s">
        <v>32</v>
      </c>
      <c r="G45" s="62" t="s">
        <v>33</v>
      </c>
      <c r="H45" s="62" t="s">
        <v>5</v>
      </c>
      <c r="I45" s="62" t="s">
        <v>33</v>
      </c>
      <c r="J45" s="62">
        <v>1.2258E-2</v>
      </c>
      <c r="K45" s="62">
        <v>5.09463E-2</v>
      </c>
      <c r="L45" s="62">
        <v>6.1189E-2</v>
      </c>
      <c r="M45" s="62">
        <v>9.1281799999999996E-2</v>
      </c>
      <c r="N45" s="62">
        <v>8.6632199999999895E-2</v>
      </c>
      <c r="O45" s="63">
        <v>7.1420789999999998E-2</v>
      </c>
      <c r="P45" s="63">
        <v>4.6689939999999999E-2</v>
      </c>
      <c r="Q45" s="63">
        <v>2.505578E-2</v>
      </c>
      <c r="R45" s="63">
        <v>1.499867E-2</v>
      </c>
      <c r="S45" s="63">
        <v>6.7280700000000001E-3</v>
      </c>
      <c r="T45" s="63">
        <v>3.6340599999999998E-4</v>
      </c>
    </row>
    <row r="46" spans="1:20">
      <c r="A46" s="62" t="s">
        <v>532</v>
      </c>
      <c r="B46" s="62" t="s">
        <v>1</v>
      </c>
      <c r="C46" s="62" t="s">
        <v>32</v>
      </c>
      <c r="D46" s="62" t="s">
        <v>607</v>
      </c>
      <c r="E46" s="62" t="s">
        <v>1</v>
      </c>
      <c r="F46" s="62" t="s">
        <v>32</v>
      </c>
      <c r="G46" s="62" t="s">
        <v>33</v>
      </c>
      <c r="H46" s="62" t="s">
        <v>5</v>
      </c>
      <c r="I46" s="62" t="s">
        <v>79</v>
      </c>
      <c r="J46" s="62">
        <v>0</v>
      </c>
      <c r="K46" s="62">
        <v>0</v>
      </c>
      <c r="L46" s="62">
        <v>0</v>
      </c>
      <c r="M46" s="62">
        <v>0</v>
      </c>
      <c r="N46" s="62">
        <v>0</v>
      </c>
      <c r="O46" s="63">
        <v>2.0213100000000001E-4</v>
      </c>
      <c r="P46" s="63">
        <v>9.7512300000000005E-4</v>
      </c>
      <c r="Q46" s="63">
        <v>3.017512E-3</v>
      </c>
      <c r="R46" s="63">
        <v>5.4241964999999998E-3</v>
      </c>
      <c r="S46" s="63">
        <v>7.8555910000000003E-3</v>
      </c>
      <c r="T46" s="63">
        <v>7.4845550000000004E-3</v>
      </c>
    </row>
    <row r="47" spans="1:20">
      <c r="A47" s="62" t="s">
        <v>532</v>
      </c>
      <c r="B47" s="62" t="s">
        <v>1</v>
      </c>
      <c r="C47" s="62" t="s">
        <v>32</v>
      </c>
      <c r="D47" s="62" t="s">
        <v>607</v>
      </c>
      <c r="E47" s="62" t="s">
        <v>1</v>
      </c>
      <c r="F47" s="62" t="s">
        <v>32</v>
      </c>
      <c r="G47" s="62" t="s">
        <v>33</v>
      </c>
      <c r="H47" s="62" t="s">
        <v>5</v>
      </c>
      <c r="I47" s="62" t="s">
        <v>34</v>
      </c>
      <c r="J47" s="62">
        <v>0</v>
      </c>
      <c r="K47" s="62">
        <v>0</v>
      </c>
      <c r="L47" s="62">
        <v>0</v>
      </c>
      <c r="M47" s="62">
        <v>0</v>
      </c>
      <c r="N47" s="62">
        <v>0</v>
      </c>
      <c r="O47" s="63">
        <v>3.8309999999999997E-5</v>
      </c>
      <c r="P47" s="63">
        <v>1.60794199999999E-4</v>
      </c>
      <c r="Q47" s="63">
        <v>3.9586569999999999E-4</v>
      </c>
      <c r="R47" s="63">
        <v>5.8544612000000005E-4</v>
      </c>
      <c r="S47" s="63">
        <v>5.2935820000000002E-4</v>
      </c>
      <c r="T47" s="63">
        <v>1.0788357E-4</v>
      </c>
    </row>
    <row r="48" spans="1:20" ht="17.399999999999999" customHeight="1">
      <c r="A48" s="62" t="s">
        <v>532</v>
      </c>
      <c r="B48" s="62" t="s">
        <v>1</v>
      </c>
      <c r="C48" s="62" t="s">
        <v>32</v>
      </c>
      <c r="D48" s="62" t="s">
        <v>607</v>
      </c>
      <c r="E48" s="62" t="s">
        <v>1</v>
      </c>
      <c r="F48" s="62" t="s">
        <v>32</v>
      </c>
      <c r="G48" s="62" t="s">
        <v>33</v>
      </c>
      <c r="H48" s="62" t="s">
        <v>6</v>
      </c>
      <c r="I48" s="62" t="s">
        <v>33</v>
      </c>
      <c r="J48" s="63">
        <v>3.2850000000000002E-4</v>
      </c>
      <c r="K48" s="63">
        <v>2.0024999999999999E-4</v>
      </c>
      <c r="L48" s="63">
        <v>1.0230000000000001E-4</v>
      </c>
      <c r="M48" s="63">
        <v>6.3050000000000001E-5</v>
      </c>
      <c r="N48" s="63">
        <v>5.9838389999999999E-5</v>
      </c>
      <c r="O48" s="63">
        <v>4.9331579999999999E-5</v>
      </c>
      <c r="P48" s="63">
        <v>3.224955E-5</v>
      </c>
      <c r="Q48" s="63">
        <v>1.730648E-5</v>
      </c>
      <c r="R48" s="63">
        <v>1.035985E-5</v>
      </c>
      <c r="S48" s="63">
        <v>4.647203E-6</v>
      </c>
      <c r="T48" s="63">
        <v>2.5101118000000001E-7</v>
      </c>
    </row>
    <row r="49" spans="1:20" ht="17.399999999999999" customHeight="1">
      <c r="A49" s="62" t="s">
        <v>532</v>
      </c>
      <c r="B49" s="62" t="s">
        <v>1</v>
      </c>
      <c r="C49" s="62" t="s">
        <v>32</v>
      </c>
      <c r="D49" s="62" t="s">
        <v>607</v>
      </c>
      <c r="E49" s="62" t="s">
        <v>1</v>
      </c>
      <c r="F49" s="62" t="s">
        <v>32</v>
      </c>
      <c r="G49" s="62" t="s">
        <v>33</v>
      </c>
      <c r="H49" s="62" t="s">
        <v>6</v>
      </c>
      <c r="I49" s="62" t="s">
        <v>79</v>
      </c>
      <c r="J49" s="62">
        <v>0</v>
      </c>
      <c r="K49" s="62">
        <v>0</v>
      </c>
      <c r="L49" s="62">
        <v>0</v>
      </c>
      <c r="M49" s="62">
        <v>0</v>
      </c>
      <c r="N49" s="62">
        <v>0</v>
      </c>
      <c r="O49" s="63">
        <v>1.39615E-7</v>
      </c>
      <c r="P49" s="63">
        <v>6.7353399999999997E-7</v>
      </c>
      <c r="Q49" s="63">
        <v>2.0842553000000002E-6</v>
      </c>
      <c r="R49" s="63">
        <v>3.7465897000000002E-6</v>
      </c>
      <c r="S49" s="63">
        <v>5.426006E-6</v>
      </c>
      <c r="T49" s="63">
        <v>5.169722E-6</v>
      </c>
    </row>
    <row r="50" spans="1:20" ht="17.399999999999999" customHeight="1">
      <c r="A50" s="62" t="s">
        <v>532</v>
      </c>
      <c r="B50" s="62" t="s">
        <v>1</v>
      </c>
      <c r="C50" s="62" t="s">
        <v>32</v>
      </c>
      <c r="D50" s="62" t="s">
        <v>607</v>
      </c>
      <c r="E50" s="62" t="s">
        <v>1</v>
      </c>
      <c r="F50" s="62" t="s">
        <v>32</v>
      </c>
      <c r="G50" s="62" t="s">
        <v>33</v>
      </c>
      <c r="H50" s="62" t="s">
        <v>6</v>
      </c>
      <c r="I50" s="62" t="s">
        <v>34</v>
      </c>
      <c r="J50" s="62">
        <v>0</v>
      </c>
      <c r="K50" s="62">
        <v>0</v>
      </c>
      <c r="L50" s="62">
        <v>0</v>
      </c>
      <c r="M50" s="62">
        <v>0</v>
      </c>
      <c r="N50" s="62">
        <v>0</v>
      </c>
      <c r="O50" s="63">
        <v>6.9883300000000005E-7</v>
      </c>
      <c r="P50" s="63">
        <v>2.9331369999999999E-6</v>
      </c>
      <c r="Q50" s="63">
        <v>7.2212079999999998E-6</v>
      </c>
      <c r="R50" s="63">
        <v>1.06794329999999E-5</v>
      </c>
      <c r="S50" s="63">
        <v>9.6562829999999995E-6</v>
      </c>
      <c r="T50" s="63">
        <v>1.96796069999999E-6</v>
      </c>
    </row>
    <row r="51" spans="1:20" ht="17.399999999999999" customHeight="1">
      <c r="A51" s="62" t="s">
        <v>532</v>
      </c>
      <c r="B51" s="62" t="s">
        <v>1</v>
      </c>
      <c r="C51" s="62" t="s">
        <v>32</v>
      </c>
      <c r="D51" s="62" t="s">
        <v>607</v>
      </c>
      <c r="E51" s="62" t="s">
        <v>1</v>
      </c>
      <c r="F51" s="62" t="s">
        <v>32</v>
      </c>
      <c r="G51" s="62" t="s">
        <v>33</v>
      </c>
      <c r="H51" s="62" t="s">
        <v>7</v>
      </c>
      <c r="I51" s="62" t="s">
        <v>33</v>
      </c>
      <c r="J51" s="62">
        <v>0</v>
      </c>
      <c r="K51" s="63">
        <v>6.6749999999999996E-5</v>
      </c>
      <c r="L51" s="63">
        <v>1.2957999999999999E-4</v>
      </c>
      <c r="M51" s="63">
        <v>2.0369999999999999E-4</v>
      </c>
      <c r="N51" s="63">
        <v>1.9332379999999999E-4</v>
      </c>
      <c r="O51" s="63">
        <v>1.5937939999999999E-4</v>
      </c>
      <c r="P51" s="63">
        <v>1.041909E-4</v>
      </c>
      <c r="Q51" s="63">
        <v>5.5913189999999998E-5</v>
      </c>
      <c r="R51" s="63">
        <v>3.3470299999999997E-5</v>
      </c>
      <c r="S51" s="63">
        <v>1.501402E-5</v>
      </c>
      <c r="T51" s="63">
        <v>8.1095929999999905E-7</v>
      </c>
    </row>
    <row r="52" spans="1:20" ht="17.399999999999999" customHeight="1">
      <c r="A52" s="62" t="s">
        <v>532</v>
      </c>
      <c r="B52" s="62" t="s">
        <v>1</v>
      </c>
      <c r="C52" s="62" t="s">
        <v>32</v>
      </c>
      <c r="D52" s="62" t="s">
        <v>607</v>
      </c>
      <c r="E52" s="62" t="s">
        <v>1</v>
      </c>
      <c r="F52" s="62" t="s">
        <v>32</v>
      </c>
      <c r="G52" s="62" t="s">
        <v>33</v>
      </c>
      <c r="H52" s="62" t="s">
        <v>7</v>
      </c>
      <c r="I52" s="62" t="s">
        <v>79</v>
      </c>
      <c r="J52" s="62">
        <v>0</v>
      </c>
      <c r="K52" s="62">
        <v>0</v>
      </c>
      <c r="L52" s="62">
        <v>0</v>
      </c>
      <c r="M52" s="62">
        <v>0</v>
      </c>
      <c r="N52" s="62">
        <v>0</v>
      </c>
      <c r="O52" s="63">
        <v>4.5106400000000002E-7</v>
      </c>
      <c r="P52" s="63">
        <v>2.1760309999999998E-6</v>
      </c>
      <c r="Q52" s="63">
        <v>6.733737E-6</v>
      </c>
      <c r="R52" s="63">
        <v>1.21043681E-5</v>
      </c>
      <c r="S52" s="63">
        <v>1.7530146999999999E-5</v>
      </c>
      <c r="T52" s="63">
        <v>1.6702169999999999E-5</v>
      </c>
    </row>
    <row r="53" spans="1:20" ht="17.399999999999999" customHeight="1">
      <c r="A53" s="62" t="s">
        <v>532</v>
      </c>
      <c r="B53" s="62" t="s">
        <v>1</v>
      </c>
      <c r="C53" s="62" t="s">
        <v>32</v>
      </c>
      <c r="D53" s="62" t="s">
        <v>607</v>
      </c>
      <c r="E53" s="62" t="s">
        <v>1</v>
      </c>
      <c r="F53" s="62" t="s">
        <v>32</v>
      </c>
      <c r="G53" s="62" t="s">
        <v>33</v>
      </c>
      <c r="H53" s="62" t="s">
        <v>7</v>
      </c>
      <c r="I53" s="62" t="s">
        <v>34</v>
      </c>
      <c r="J53" s="63">
        <v>0</v>
      </c>
      <c r="K53" s="63">
        <v>0</v>
      </c>
      <c r="L53" s="63">
        <v>0</v>
      </c>
      <c r="M53" s="63">
        <v>0</v>
      </c>
      <c r="N53" s="63">
        <v>0</v>
      </c>
      <c r="O53" s="63">
        <v>6.9883300000000005E-7</v>
      </c>
      <c r="P53" s="63">
        <v>2.9331369999999999E-6</v>
      </c>
      <c r="Q53" s="63">
        <v>7.2212079999999998E-6</v>
      </c>
      <c r="R53" s="63">
        <v>1.06794329999999E-5</v>
      </c>
      <c r="S53" s="63">
        <v>9.6562829999999995E-6</v>
      </c>
      <c r="T53" s="63">
        <v>1.96796069999999E-6</v>
      </c>
    </row>
    <row r="54" spans="1:20" ht="17.399999999999999" customHeight="1">
      <c r="A54" s="62" t="s">
        <v>532</v>
      </c>
      <c r="B54" s="62" t="s">
        <v>1</v>
      </c>
      <c r="C54" s="62" t="s">
        <v>32</v>
      </c>
      <c r="D54" s="62" t="s">
        <v>607</v>
      </c>
      <c r="E54" s="62" t="s">
        <v>1</v>
      </c>
      <c r="F54" s="62" t="s">
        <v>32</v>
      </c>
      <c r="G54" s="62" t="s">
        <v>36</v>
      </c>
      <c r="H54" s="62" t="s">
        <v>2</v>
      </c>
      <c r="I54" s="62" t="s">
        <v>37</v>
      </c>
      <c r="J54" s="62">
        <v>0</v>
      </c>
      <c r="K54" s="62">
        <v>0</v>
      </c>
      <c r="L54" s="62">
        <v>0</v>
      </c>
      <c r="M54" s="62">
        <v>0</v>
      </c>
      <c r="N54" s="62">
        <v>0</v>
      </c>
      <c r="O54" s="63">
        <v>0</v>
      </c>
      <c r="P54" s="63">
        <v>2.60675E-2</v>
      </c>
      <c r="Q54" s="63">
        <v>7.7773299999999906E-2</v>
      </c>
      <c r="R54" s="63">
        <v>0.12974160000000001</v>
      </c>
      <c r="S54" s="63">
        <v>0.19579004999999999</v>
      </c>
      <c r="T54" s="63">
        <v>0.28995110000000002</v>
      </c>
    </row>
    <row r="55" spans="1:20" ht="17.399999999999999" customHeight="1">
      <c r="A55" s="62" t="s">
        <v>532</v>
      </c>
      <c r="B55" s="62" t="s">
        <v>1</v>
      </c>
      <c r="C55" s="62" t="s">
        <v>32</v>
      </c>
      <c r="D55" s="62" t="s">
        <v>607</v>
      </c>
      <c r="E55" s="62" t="s">
        <v>1</v>
      </c>
      <c r="F55" s="62" t="s">
        <v>32</v>
      </c>
      <c r="G55" s="62" t="s">
        <v>36</v>
      </c>
      <c r="H55" s="62" t="s">
        <v>4</v>
      </c>
      <c r="I55" s="62" t="s">
        <v>36</v>
      </c>
      <c r="J55" s="62">
        <v>1.2028799999999999E-2</v>
      </c>
      <c r="K55" s="62">
        <v>0</v>
      </c>
      <c r="L55" s="62">
        <v>0</v>
      </c>
      <c r="M55" s="62">
        <v>2.5251300000000001E-2</v>
      </c>
      <c r="N55" s="62">
        <v>2.4374779999999999E-2</v>
      </c>
      <c r="O55" s="63">
        <v>3.7583239999999997E-2</v>
      </c>
      <c r="P55" s="63">
        <v>4.3173589999999998E-2</v>
      </c>
      <c r="Q55" s="63">
        <v>4.2535631999999997E-2</v>
      </c>
      <c r="R55" s="63">
        <v>3.7145440000000002E-2</v>
      </c>
      <c r="S55" s="63">
        <v>2.854932E-2</v>
      </c>
      <c r="T55" s="63">
        <v>1.5839039999999999E-2</v>
      </c>
    </row>
    <row r="56" spans="1:20" ht="17.399999999999999" customHeight="1">
      <c r="A56" s="62" t="s">
        <v>532</v>
      </c>
      <c r="B56" s="62" t="s">
        <v>1</v>
      </c>
      <c r="C56" s="62" t="s">
        <v>32</v>
      </c>
      <c r="D56" s="62" t="s">
        <v>607</v>
      </c>
      <c r="E56" s="62" t="s">
        <v>1</v>
      </c>
      <c r="F56" s="62" t="s">
        <v>32</v>
      </c>
      <c r="G56" s="62" t="s">
        <v>36</v>
      </c>
      <c r="H56" s="62" t="s">
        <v>4</v>
      </c>
      <c r="I56" s="62" t="s">
        <v>80</v>
      </c>
      <c r="J56" s="62">
        <v>0</v>
      </c>
      <c r="K56" s="62">
        <v>0</v>
      </c>
      <c r="L56" s="62">
        <v>0</v>
      </c>
      <c r="M56" s="62">
        <v>0</v>
      </c>
      <c r="N56" s="62">
        <v>0</v>
      </c>
      <c r="O56" s="63">
        <v>6.7944000000000001E-4</v>
      </c>
      <c r="P56" s="62">
        <v>2.0663309999999998E-3</v>
      </c>
      <c r="Q56" s="62">
        <v>4.2469969999999998E-3</v>
      </c>
      <c r="R56" s="62">
        <v>6.7832799999999896E-3</v>
      </c>
      <c r="S56" s="62">
        <v>1.0216975E-2</v>
      </c>
      <c r="T56" s="62">
        <v>1.3285170000000001E-2</v>
      </c>
    </row>
    <row r="57" spans="1:20">
      <c r="A57" s="62" t="s">
        <v>532</v>
      </c>
      <c r="B57" s="62" t="s">
        <v>1</v>
      </c>
      <c r="C57" s="62" t="s">
        <v>32</v>
      </c>
      <c r="D57" s="62" t="s">
        <v>607</v>
      </c>
      <c r="E57" s="62" t="s">
        <v>1</v>
      </c>
      <c r="F57" s="62" t="s">
        <v>32</v>
      </c>
      <c r="G57" s="62" t="s">
        <v>36</v>
      </c>
      <c r="H57" s="62" t="s">
        <v>5</v>
      </c>
      <c r="I57" s="62" t="s">
        <v>36</v>
      </c>
      <c r="J57" s="62">
        <v>1.1003300000000001E-2</v>
      </c>
      <c r="K57" s="62">
        <v>4.8056399999999999E-2</v>
      </c>
      <c r="L57" s="62">
        <v>5.3370800000000003E-2</v>
      </c>
      <c r="M57" s="62">
        <v>4.7853699999999999E-2</v>
      </c>
      <c r="N57" s="62">
        <v>4.619268E-2</v>
      </c>
      <c r="O57" s="63">
        <v>7.1223930000000005E-2</v>
      </c>
      <c r="P57" s="63">
        <v>8.1818100000000005E-2</v>
      </c>
      <c r="Q57" s="63">
        <v>8.0608949999999999E-2</v>
      </c>
      <c r="R57" s="62">
        <v>7.0394309999999904E-2</v>
      </c>
      <c r="S57" s="62">
        <v>5.4103779999999997E-2</v>
      </c>
      <c r="T57" s="62">
        <v>3.001653E-2</v>
      </c>
    </row>
    <row r="58" spans="1:20">
      <c r="A58" s="62" t="s">
        <v>532</v>
      </c>
      <c r="B58" s="62" t="s">
        <v>1</v>
      </c>
      <c r="C58" s="62" t="s">
        <v>32</v>
      </c>
      <c r="D58" s="62" t="s">
        <v>607</v>
      </c>
      <c r="E58" s="62" t="s">
        <v>1</v>
      </c>
      <c r="F58" s="62" t="s">
        <v>32</v>
      </c>
      <c r="G58" s="62" t="s">
        <v>36</v>
      </c>
      <c r="H58" s="62" t="s">
        <v>5</v>
      </c>
      <c r="I58" s="62" t="s">
        <v>80</v>
      </c>
      <c r="J58" s="62">
        <v>0</v>
      </c>
      <c r="K58" s="62">
        <v>0</v>
      </c>
      <c r="L58" s="62">
        <v>0</v>
      </c>
      <c r="M58" s="63">
        <v>0</v>
      </c>
      <c r="N58" s="63">
        <v>0</v>
      </c>
      <c r="O58" s="63">
        <v>1.28761E-3</v>
      </c>
      <c r="P58" s="63">
        <v>3.91589E-3</v>
      </c>
      <c r="Q58" s="63">
        <v>8.0484619999999993E-3</v>
      </c>
      <c r="R58" s="63">
        <v>1.2854983E-2</v>
      </c>
      <c r="S58" s="63">
        <v>1.9362132000000001E-2</v>
      </c>
      <c r="T58" s="63">
        <v>2.5176693E-2</v>
      </c>
    </row>
    <row r="59" spans="1:20">
      <c r="A59" s="62" t="s">
        <v>532</v>
      </c>
      <c r="B59" s="62" t="s">
        <v>1</v>
      </c>
      <c r="C59" s="62" t="s">
        <v>32</v>
      </c>
      <c r="D59" s="62" t="s">
        <v>607</v>
      </c>
      <c r="E59" s="62" t="s">
        <v>1</v>
      </c>
      <c r="F59" s="62" t="s">
        <v>32</v>
      </c>
      <c r="G59" s="62" t="s">
        <v>36</v>
      </c>
      <c r="H59" s="62" t="s">
        <v>5</v>
      </c>
      <c r="I59" s="62" t="s">
        <v>37</v>
      </c>
      <c r="J59" s="62">
        <v>0</v>
      </c>
      <c r="K59" s="62">
        <v>0</v>
      </c>
      <c r="L59" s="62">
        <v>0</v>
      </c>
      <c r="M59" s="62">
        <v>0</v>
      </c>
      <c r="N59" s="62">
        <v>0</v>
      </c>
      <c r="O59" s="62">
        <v>0</v>
      </c>
      <c r="P59" s="62">
        <v>8.1898100000000005E-3</v>
      </c>
      <c r="Q59" s="62">
        <v>2.4434499999999901E-2</v>
      </c>
      <c r="R59" s="62">
        <v>4.0761800000000001E-2</v>
      </c>
      <c r="S59" s="62">
        <v>6.1512570000000003E-2</v>
      </c>
      <c r="T59" s="62">
        <v>9.1095719999999894E-2</v>
      </c>
    </row>
    <row r="60" spans="1:20" ht="17.399999999999999" customHeight="1">
      <c r="A60" s="62" t="s">
        <v>532</v>
      </c>
      <c r="B60" s="62" t="s">
        <v>1</v>
      </c>
      <c r="C60" s="62" t="s">
        <v>32</v>
      </c>
      <c r="D60" s="62" t="s">
        <v>607</v>
      </c>
      <c r="E60" s="62" t="s">
        <v>1</v>
      </c>
      <c r="F60" s="62" t="s">
        <v>32</v>
      </c>
      <c r="G60" s="62" t="s">
        <v>36</v>
      </c>
      <c r="H60" s="62" t="s">
        <v>6</v>
      </c>
      <c r="I60" s="62" t="s">
        <v>36</v>
      </c>
      <c r="J60" s="62">
        <v>3.1203700000000001E-2</v>
      </c>
      <c r="K60" s="62">
        <v>1.9871300000000001E-2</v>
      </c>
      <c r="L60" s="62">
        <v>9.5727999999999994E-3</v>
      </c>
      <c r="M60" s="62">
        <v>3.3750400000000002E-3</v>
      </c>
      <c r="N60" s="63">
        <v>3.2578939999999999E-3</v>
      </c>
      <c r="O60" s="63">
        <v>5.0232979999999998E-3</v>
      </c>
      <c r="P60" s="63">
        <v>5.7704890000000002E-3</v>
      </c>
      <c r="Q60" s="63">
        <v>5.6852204999999897E-3</v>
      </c>
      <c r="R60" s="63">
        <v>4.9647889999999998E-3</v>
      </c>
      <c r="S60" s="63">
        <v>3.8158329999999998E-3</v>
      </c>
      <c r="T60" s="63">
        <v>2.117014E-3</v>
      </c>
    </row>
    <row r="61" spans="1:20" ht="17.399999999999999" customHeight="1">
      <c r="A61" s="62" t="s">
        <v>532</v>
      </c>
      <c r="B61" s="62" t="s">
        <v>1</v>
      </c>
      <c r="C61" s="62" t="s">
        <v>32</v>
      </c>
      <c r="D61" s="62" t="s">
        <v>607</v>
      </c>
      <c r="E61" s="62" t="s">
        <v>1</v>
      </c>
      <c r="F61" s="62" t="s">
        <v>32</v>
      </c>
      <c r="G61" s="62" t="s">
        <v>36</v>
      </c>
      <c r="H61" s="62" t="s">
        <v>6</v>
      </c>
      <c r="I61" s="62" t="s">
        <v>80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3">
        <v>9.0812599999999999E-5</v>
      </c>
      <c r="P61" s="63">
        <v>2.7618100000000002E-4</v>
      </c>
      <c r="Q61" s="63">
        <v>5.676438E-4</v>
      </c>
      <c r="R61" s="63">
        <v>9.0664079999999995E-4</v>
      </c>
      <c r="S61" s="62">
        <v>1.3655789E-3</v>
      </c>
      <c r="T61" s="62">
        <v>1.7756694999999901E-3</v>
      </c>
    </row>
    <row r="62" spans="1:20" ht="17.399999999999999" customHeight="1">
      <c r="A62" s="62" t="s">
        <v>532</v>
      </c>
      <c r="B62" s="62" t="s">
        <v>1</v>
      </c>
      <c r="C62" s="62" t="s">
        <v>32</v>
      </c>
      <c r="D62" s="62" t="s">
        <v>607</v>
      </c>
      <c r="E62" s="62" t="s">
        <v>1</v>
      </c>
      <c r="F62" s="62" t="s">
        <v>32</v>
      </c>
      <c r="G62" s="62" t="s">
        <v>36</v>
      </c>
      <c r="H62" s="62" t="s">
        <v>7</v>
      </c>
      <c r="I62" s="62" t="s">
        <v>36</v>
      </c>
      <c r="J62" s="62">
        <v>0</v>
      </c>
      <c r="K62" s="62">
        <v>3.8401699999999997E-2</v>
      </c>
      <c r="L62" s="62">
        <v>6.6848400000000002E-2</v>
      </c>
      <c r="M62" s="62">
        <v>6.3758999999999996E-2</v>
      </c>
      <c r="N62" s="62">
        <v>6.1545849999999999E-2</v>
      </c>
      <c r="O62" s="62">
        <v>9.4896850000000005E-2</v>
      </c>
      <c r="P62" s="62">
        <v>0.10901226999999999</v>
      </c>
      <c r="Q62" s="62">
        <v>0.10740137999999901</v>
      </c>
      <c r="R62" s="62">
        <v>9.3791399999999997E-2</v>
      </c>
      <c r="S62" s="62">
        <v>7.2086430000000007E-2</v>
      </c>
      <c r="T62" s="62">
        <v>3.9993239999999999E-2</v>
      </c>
    </row>
    <row r="63" spans="1:20" ht="17.399999999999999" customHeight="1">
      <c r="A63" s="62" t="s">
        <v>532</v>
      </c>
      <c r="B63" s="62" t="s">
        <v>1</v>
      </c>
      <c r="C63" s="62" t="s">
        <v>32</v>
      </c>
      <c r="D63" s="62" t="s">
        <v>607</v>
      </c>
      <c r="E63" s="62" t="s">
        <v>1</v>
      </c>
      <c r="F63" s="62" t="s">
        <v>32</v>
      </c>
      <c r="G63" s="62" t="s">
        <v>36</v>
      </c>
      <c r="H63" s="62" t="s">
        <v>7</v>
      </c>
      <c r="I63" s="62" t="s">
        <v>80</v>
      </c>
      <c r="J63" s="62">
        <v>0</v>
      </c>
      <c r="K63" s="62">
        <v>0</v>
      </c>
      <c r="L63" s="62">
        <v>0</v>
      </c>
      <c r="M63" s="62">
        <v>0</v>
      </c>
      <c r="N63" s="62">
        <v>0</v>
      </c>
      <c r="O63" s="62">
        <v>1.71557E-3</v>
      </c>
      <c r="P63" s="62">
        <v>5.2174300000000003E-3</v>
      </c>
      <c r="Q63" s="62">
        <v>1.0723559000000001E-2</v>
      </c>
      <c r="R63" s="62">
        <v>1.7127627999999999E-2</v>
      </c>
      <c r="S63" s="62">
        <v>2.57976519999999E-2</v>
      </c>
      <c r="T63" s="62">
        <v>3.3544749999999998E-2</v>
      </c>
    </row>
    <row r="64" spans="1:20">
      <c r="A64" s="62" t="s">
        <v>532</v>
      </c>
      <c r="B64" s="62" t="s">
        <v>1</v>
      </c>
      <c r="C64" s="62" t="s">
        <v>32</v>
      </c>
      <c r="D64" s="62" t="s">
        <v>607</v>
      </c>
      <c r="E64" s="62" t="s">
        <v>1</v>
      </c>
      <c r="F64" s="62" t="s">
        <v>32</v>
      </c>
      <c r="G64" s="62" t="s">
        <v>38</v>
      </c>
      <c r="H64" s="62" t="s">
        <v>5</v>
      </c>
      <c r="I64" s="62" t="s">
        <v>38</v>
      </c>
      <c r="J64" s="62">
        <v>1.29474E-2</v>
      </c>
      <c r="K64" s="62">
        <v>5.6549799999999997E-2</v>
      </c>
      <c r="L64" s="62">
        <v>6.2802300000000005E-2</v>
      </c>
      <c r="M64" s="62">
        <v>5.6310399999999997E-2</v>
      </c>
      <c r="N64" s="62">
        <v>5.1656599999999997E-2</v>
      </c>
      <c r="O64" s="62">
        <v>5.6084460000000003E-2</v>
      </c>
      <c r="P64" s="62">
        <v>5.4532009999999999E-2</v>
      </c>
      <c r="Q64" s="62">
        <v>4.8654429999999999E-2</v>
      </c>
      <c r="R64" s="62">
        <v>4.9133139999999999E-2</v>
      </c>
      <c r="S64" s="62">
        <v>5.416924E-2</v>
      </c>
      <c r="T64" s="62">
        <v>6.4102820000000005E-2</v>
      </c>
    </row>
    <row r="65" spans="1:20" ht="17.399999999999999" customHeight="1">
      <c r="A65" s="62" t="s">
        <v>532</v>
      </c>
      <c r="B65" s="62" t="s">
        <v>1</v>
      </c>
      <c r="C65" s="62" t="s">
        <v>32</v>
      </c>
      <c r="D65" s="62" t="s">
        <v>607</v>
      </c>
      <c r="E65" s="62" t="s">
        <v>1</v>
      </c>
      <c r="F65" s="62" t="s">
        <v>32</v>
      </c>
      <c r="G65" s="62" t="s">
        <v>38</v>
      </c>
      <c r="H65" s="62" t="s">
        <v>6</v>
      </c>
      <c r="I65" s="62" t="s">
        <v>38</v>
      </c>
      <c r="J65" s="62">
        <v>6.9363999999999997E-3</v>
      </c>
      <c r="K65" s="62">
        <v>4.4173499999999996E-3</v>
      </c>
      <c r="L65" s="62">
        <v>2.1278400000000002E-3</v>
      </c>
      <c r="M65" s="63">
        <v>7.5047999999999998E-4</v>
      </c>
      <c r="N65" s="63">
        <v>6.8845609999999998E-4</v>
      </c>
      <c r="O65" s="63">
        <v>7.4747020000000004E-4</v>
      </c>
      <c r="P65" s="63">
        <v>7.2677780000000001E-4</v>
      </c>
      <c r="Q65" s="63">
        <v>6.4844580000000005E-4</v>
      </c>
      <c r="R65" s="63">
        <v>6.548239E-4</v>
      </c>
      <c r="S65" s="63">
        <v>7.2194360000000005E-4</v>
      </c>
      <c r="T65" s="63">
        <v>8.5433500000000001E-4</v>
      </c>
    </row>
    <row r="66" spans="1:20">
      <c r="A66" s="62" t="s">
        <v>532</v>
      </c>
      <c r="B66" s="62" t="s">
        <v>1</v>
      </c>
      <c r="C66" s="62" t="s">
        <v>66</v>
      </c>
      <c r="D66" s="62" t="s">
        <v>607</v>
      </c>
      <c r="E66" s="62" t="s">
        <v>1</v>
      </c>
      <c r="F66" s="62" t="s">
        <v>66</v>
      </c>
      <c r="G66" s="62" t="s">
        <v>59</v>
      </c>
      <c r="H66" s="62" t="s">
        <v>5</v>
      </c>
      <c r="I66" s="62" t="s">
        <v>59</v>
      </c>
      <c r="J66" s="62">
        <v>3.6418100000000001E-3</v>
      </c>
      <c r="K66" s="62">
        <v>4.7302400000000001E-3</v>
      </c>
      <c r="L66" s="62">
        <v>6.0696700000000001E-3</v>
      </c>
      <c r="M66" s="62">
        <v>5.86039E-3</v>
      </c>
      <c r="N66" s="62">
        <v>5.1538490000000003E-3</v>
      </c>
      <c r="O66" s="62">
        <v>5.2617289999999997E-3</v>
      </c>
      <c r="P66" s="62">
        <v>4.6138580000000002E-3</v>
      </c>
      <c r="Q66" s="62">
        <v>4.2022253000000001E-3</v>
      </c>
      <c r="R66" s="62">
        <v>4.2515310000000002E-3</v>
      </c>
      <c r="S66" s="62">
        <v>4.6098909999999996E-3</v>
      </c>
      <c r="T66" s="62">
        <v>5.5301199999999899E-3</v>
      </c>
    </row>
    <row r="67" spans="1:20" ht="17.399999999999999" customHeight="1">
      <c r="A67" s="62" t="s">
        <v>532</v>
      </c>
      <c r="B67" s="62" t="s">
        <v>1</v>
      </c>
      <c r="C67" s="62" t="s">
        <v>66</v>
      </c>
      <c r="D67" s="62" t="s">
        <v>607</v>
      </c>
      <c r="E67" s="62" t="s">
        <v>1</v>
      </c>
      <c r="F67" s="62" t="s">
        <v>66</v>
      </c>
      <c r="G67" s="62" t="s">
        <v>65</v>
      </c>
      <c r="H67" s="62" t="s">
        <v>2</v>
      </c>
      <c r="I67" s="62" t="s">
        <v>65</v>
      </c>
      <c r="J67" s="62">
        <v>0</v>
      </c>
      <c r="K67" s="62">
        <v>0</v>
      </c>
      <c r="L67" s="62">
        <v>0</v>
      </c>
      <c r="M67" s="62">
        <v>0</v>
      </c>
      <c r="N67" s="63">
        <v>2.5934099999999999E-6</v>
      </c>
      <c r="O67" s="63">
        <v>3.263158E-5</v>
      </c>
      <c r="P67" s="63">
        <v>6.6642069999999995E-5</v>
      </c>
      <c r="Q67" s="63">
        <v>1.0611296199999999E-4</v>
      </c>
      <c r="R67" s="63">
        <v>1.4575960000000001E-4</v>
      </c>
      <c r="S67" s="63">
        <v>2.1260503999999999E-4</v>
      </c>
      <c r="T67" s="63">
        <v>3.1548049999999999E-4</v>
      </c>
    </row>
    <row r="68" spans="1:20" ht="17.399999999999999" customHeight="1">
      <c r="A68" s="62" t="s">
        <v>532</v>
      </c>
      <c r="B68" s="62" t="s">
        <v>1</v>
      </c>
      <c r="C68" s="62" t="s">
        <v>66</v>
      </c>
      <c r="D68" s="62" t="s">
        <v>607</v>
      </c>
      <c r="E68" s="62" t="s">
        <v>1</v>
      </c>
      <c r="F68" s="62" t="s">
        <v>66</v>
      </c>
      <c r="G68" s="62" t="s">
        <v>19</v>
      </c>
      <c r="H68" s="62" t="s">
        <v>6</v>
      </c>
      <c r="I68" s="62" t="s">
        <v>19</v>
      </c>
      <c r="J68" s="62">
        <v>4.7302200000000003E-3</v>
      </c>
      <c r="K68" s="62">
        <v>2.4697199999999999E-3</v>
      </c>
      <c r="L68" s="62">
        <v>3.5580799999999999E-3</v>
      </c>
      <c r="M68" s="62">
        <v>2.679E-3</v>
      </c>
      <c r="N68" s="62">
        <v>2.432731E-3</v>
      </c>
      <c r="O68" s="62">
        <v>3.0261239999999998E-3</v>
      </c>
      <c r="P68" s="62">
        <v>3.0412879999999901E-3</v>
      </c>
      <c r="Q68" s="62">
        <v>2.7870358E-3</v>
      </c>
      <c r="R68" s="62">
        <v>2.3308460000000001E-3</v>
      </c>
      <c r="S68" s="62">
        <v>1.6993620000000001E-3</v>
      </c>
      <c r="T68" s="63">
        <v>5.3455059999999897E-4</v>
      </c>
    </row>
    <row r="69" spans="1:20" ht="17.399999999999999" customHeight="1">
      <c r="A69" s="62" t="s">
        <v>532</v>
      </c>
      <c r="B69" s="62" t="s">
        <v>1</v>
      </c>
      <c r="C69" s="62" t="s">
        <v>68</v>
      </c>
      <c r="D69" s="62" t="s">
        <v>607</v>
      </c>
      <c r="E69" s="62" t="s">
        <v>1</v>
      </c>
      <c r="F69" s="62" t="s">
        <v>68</v>
      </c>
      <c r="G69" s="62" t="s">
        <v>57</v>
      </c>
      <c r="H69" s="62" t="s">
        <v>3</v>
      </c>
      <c r="I69" s="62" t="s">
        <v>57</v>
      </c>
      <c r="J69" s="62">
        <v>7.4416999999999999E-3</v>
      </c>
      <c r="K69" s="62">
        <v>6.0756999999999999E-2</v>
      </c>
      <c r="L69" s="62">
        <v>8.3468000000000001E-2</v>
      </c>
      <c r="M69" s="62">
        <v>0.105323</v>
      </c>
      <c r="N69" s="62">
        <v>0.11350573</v>
      </c>
      <c r="O69" s="62">
        <v>0.13452232</v>
      </c>
      <c r="P69" s="62">
        <v>0.15453835999999899</v>
      </c>
      <c r="Q69" s="62">
        <v>0.17918065</v>
      </c>
      <c r="R69" s="62">
        <v>0.17490605000000001</v>
      </c>
      <c r="S69" s="62">
        <v>0.1527888</v>
      </c>
      <c r="T69" s="62">
        <v>4.4575687999999898E-2</v>
      </c>
    </row>
    <row r="70" spans="1:20" ht="17.399999999999999" customHeight="1">
      <c r="A70" s="62" t="s">
        <v>532</v>
      </c>
      <c r="B70" s="62" t="s">
        <v>1</v>
      </c>
      <c r="C70" s="62" t="s">
        <v>68</v>
      </c>
      <c r="D70" s="62" t="s">
        <v>607</v>
      </c>
      <c r="E70" s="62" t="s">
        <v>1</v>
      </c>
      <c r="F70" s="62" t="s">
        <v>68</v>
      </c>
      <c r="G70" s="62" t="s">
        <v>57</v>
      </c>
      <c r="H70" s="62" t="s">
        <v>3</v>
      </c>
      <c r="I70" s="62" t="s">
        <v>69</v>
      </c>
      <c r="J70" s="62">
        <v>0</v>
      </c>
      <c r="K70" s="62">
        <v>2.1419999999999998E-3</v>
      </c>
      <c r="L70" s="62">
        <v>4.1219999999999998E-3</v>
      </c>
      <c r="M70" s="62">
        <v>4.248E-3</v>
      </c>
      <c r="N70" s="62">
        <v>4.7614889999999998E-3</v>
      </c>
      <c r="O70" s="62">
        <v>9.1657779999999994E-3</v>
      </c>
      <c r="P70" s="62">
        <v>1.6669399000000001E-2</v>
      </c>
      <c r="Q70" s="62">
        <v>2.6745668E-2</v>
      </c>
      <c r="R70" s="62">
        <v>2.7769114000000001E-2</v>
      </c>
      <c r="S70" s="62">
        <v>2.4441392999999902E-2</v>
      </c>
      <c r="T70" s="62">
        <v>5.2808090699999997E-3</v>
      </c>
    </row>
    <row r="71" spans="1:20" ht="17.399999999999999" customHeight="1">
      <c r="A71" s="62" t="s">
        <v>532</v>
      </c>
      <c r="B71" s="62" t="s">
        <v>1</v>
      </c>
      <c r="C71" s="62" t="s">
        <v>68</v>
      </c>
      <c r="D71" s="62" t="s">
        <v>607</v>
      </c>
      <c r="E71" s="62" t="s">
        <v>1</v>
      </c>
      <c r="F71" s="62" t="s">
        <v>68</v>
      </c>
      <c r="G71" s="62" t="s">
        <v>58</v>
      </c>
      <c r="H71" s="62" t="s">
        <v>4</v>
      </c>
      <c r="I71" s="62" t="s">
        <v>58</v>
      </c>
      <c r="J71" s="62">
        <v>0.16164100000000001</v>
      </c>
      <c r="K71" s="62">
        <v>0.48991299999999999</v>
      </c>
      <c r="L71" s="62">
        <v>0.63810900000000004</v>
      </c>
      <c r="M71" s="62">
        <v>2.1982600000000001E-2</v>
      </c>
      <c r="N71" s="62">
        <v>2.629859E-2</v>
      </c>
      <c r="O71" s="62">
        <v>2.833842E-2</v>
      </c>
      <c r="P71" s="62">
        <v>2.7758930000000001E-2</v>
      </c>
      <c r="Q71" s="62">
        <v>2.3418100000000001E-2</v>
      </c>
      <c r="R71" s="62">
        <v>1.6639569999999999E-2</v>
      </c>
      <c r="S71" s="62">
        <v>1.120821E-2</v>
      </c>
      <c r="T71" s="62">
        <v>1.1939084E-3</v>
      </c>
    </row>
    <row r="72" spans="1:20" ht="17.399999999999999" customHeight="1">
      <c r="A72" s="62" t="s">
        <v>532</v>
      </c>
      <c r="B72" s="62" t="s">
        <v>1</v>
      </c>
      <c r="C72" s="62" t="s">
        <v>68</v>
      </c>
      <c r="D72" s="62" t="s">
        <v>607</v>
      </c>
      <c r="E72" s="62" t="s">
        <v>1</v>
      </c>
      <c r="F72" s="62" t="s">
        <v>68</v>
      </c>
      <c r="G72" s="62" t="s">
        <v>58</v>
      </c>
      <c r="H72" s="62" t="s">
        <v>4</v>
      </c>
      <c r="I72" s="62" t="s">
        <v>70</v>
      </c>
      <c r="J72" s="62">
        <v>8.48304E-2</v>
      </c>
      <c r="K72" s="62">
        <v>0.211954</v>
      </c>
      <c r="L72" s="62">
        <v>0.27050400000000002</v>
      </c>
      <c r="M72" s="62">
        <v>0.29669800000000002</v>
      </c>
      <c r="N72" s="62">
        <v>0.3107142</v>
      </c>
      <c r="O72" s="62">
        <v>0.30710474999999998</v>
      </c>
      <c r="P72" s="62">
        <v>0.27174428</v>
      </c>
      <c r="Q72" s="62">
        <v>0.17979542999999901</v>
      </c>
      <c r="R72" s="62">
        <v>8.08095699999999E-2</v>
      </c>
      <c r="S72" s="62">
        <v>3.1523547999999998E-2</v>
      </c>
      <c r="T72" s="62">
        <v>1.7549731E-3</v>
      </c>
    </row>
    <row r="73" spans="1:20">
      <c r="A73" s="62" t="s">
        <v>532</v>
      </c>
      <c r="B73" s="62" t="s">
        <v>1</v>
      </c>
      <c r="C73" s="62" t="s">
        <v>68</v>
      </c>
      <c r="D73" s="62" t="s">
        <v>607</v>
      </c>
      <c r="E73" s="62" t="s">
        <v>1</v>
      </c>
      <c r="F73" s="62" t="s">
        <v>68</v>
      </c>
      <c r="G73" s="62" t="s">
        <v>59</v>
      </c>
      <c r="H73" s="62" t="s">
        <v>5</v>
      </c>
      <c r="I73" s="62" t="s">
        <v>59</v>
      </c>
      <c r="J73" s="62">
        <v>0.11110399999999999</v>
      </c>
      <c r="K73" s="62">
        <v>0.23783899999999999</v>
      </c>
      <c r="L73" s="62">
        <v>0.35209299999999999</v>
      </c>
      <c r="M73" s="62">
        <v>0.39972200000000002</v>
      </c>
      <c r="N73" s="62">
        <v>0.41603199999999901</v>
      </c>
      <c r="O73" s="62">
        <v>0.43558659999999999</v>
      </c>
      <c r="P73" s="62">
        <v>0.43549330000000003</v>
      </c>
      <c r="Q73" s="62">
        <v>0.43989499999999998</v>
      </c>
      <c r="R73" s="62">
        <v>0.46986939999999999</v>
      </c>
      <c r="S73" s="62">
        <v>0.49768109999999999</v>
      </c>
      <c r="T73" s="62">
        <v>0.60968274</v>
      </c>
    </row>
    <row r="74" spans="1:20" ht="17.399999999999999" customHeight="1">
      <c r="A74" s="62" t="s">
        <v>532</v>
      </c>
      <c r="B74" s="62" t="s">
        <v>1</v>
      </c>
      <c r="C74" s="62" t="s">
        <v>68</v>
      </c>
      <c r="D74" s="62" t="s">
        <v>607</v>
      </c>
      <c r="E74" s="62" t="s">
        <v>1</v>
      </c>
      <c r="F74" s="62" t="s">
        <v>68</v>
      </c>
      <c r="G74" s="62" t="s">
        <v>60</v>
      </c>
      <c r="H74" s="62" t="s">
        <v>7</v>
      </c>
      <c r="I74" s="62" t="s">
        <v>60</v>
      </c>
      <c r="J74" s="62">
        <v>0</v>
      </c>
      <c r="K74" s="62">
        <v>9.8074499999999995E-2</v>
      </c>
      <c r="L74" s="62">
        <v>0.128972</v>
      </c>
      <c r="M74" s="62">
        <v>0.158974</v>
      </c>
      <c r="N74" s="62">
        <v>0.16774349999999999</v>
      </c>
      <c r="O74" s="62">
        <v>0.1745717</v>
      </c>
      <c r="P74" s="62">
        <v>0.16668169999999999</v>
      </c>
      <c r="Q74" s="62">
        <v>0.13540364999999999</v>
      </c>
      <c r="R74" s="62">
        <v>9.289008E-2</v>
      </c>
      <c r="S74" s="62">
        <v>6.4945000000000003E-2</v>
      </c>
      <c r="T74" s="62">
        <v>3.7690812999999997E-2</v>
      </c>
    </row>
    <row r="75" spans="1:20" ht="17.399999999999999" customHeight="1">
      <c r="A75" s="62" t="s">
        <v>532</v>
      </c>
      <c r="B75" s="62" t="s">
        <v>1</v>
      </c>
      <c r="C75" s="62" t="s">
        <v>68</v>
      </c>
      <c r="D75" s="62" t="s">
        <v>607</v>
      </c>
      <c r="E75" s="62" t="s">
        <v>1</v>
      </c>
      <c r="F75" s="62" t="s">
        <v>68</v>
      </c>
      <c r="G75" s="62" t="s">
        <v>60</v>
      </c>
      <c r="H75" s="62" t="s">
        <v>7</v>
      </c>
      <c r="I75" s="62" t="s">
        <v>71</v>
      </c>
      <c r="J75" s="62">
        <v>0</v>
      </c>
      <c r="K75" s="62">
        <v>4.4654399999999997E-2</v>
      </c>
      <c r="L75" s="62">
        <v>3.1607999999999997E-2</v>
      </c>
      <c r="M75" s="62">
        <v>4.32576E-2</v>
      </c>
      <c r="N75" s="62">
        <v>4.7040909999999998E-2</v>
      </c>
      <c r="O75" s="62">
        <v>5.4473239999999999E-2</v>
      </c>
      <c r="P75" s="62">
        <v>6.029371E-2</v>
      </c>
      <c r="Q75" s="62">
        <v>6.1988019999999998E-2</v>
      </c>
      <c r="R75" s="62">
        <v>5.242467E-2</v>
      </c>
      <c r="S75" s="62">
        <v>4.1321363E-2</v>
      </c>
      <c r="T75" s="62">
        <v>2.32964357E-2</v>
      </c>
    </row>
    <row r="76" spans="1:20" ht="17.399999999999999" customHeight="1">
      <c r="A76" s="62" t="s">
        <v>532</v>
      </c>
      <c r="B76" s="62" t="s">
        <v>1</v>
      </c>
      <c r="C76" s="62" t="s">
        <v>68</v>
      </c>
      <c r="D76" s="62" t="s">
        <v>607</v>
      </c>
      <c r="E76" s="62" t="s">
        <v>1</v>
      </c>
      <c r="F76" s="62" t="s">
        <v>68</v>
      </c>
      <c r="G76" s="62" t="s">
        <v>65</v>
      </c>
      <c r="H76" s="62" t="s">
        <v>2</v>
      </c>
      <c r="I76" s="62" t="s">
        <v>65</v>
      </c>
      <c r="J76" s="62">
        <v>0</v>
      </c>
      <c r="K76" s="62">
        <v>0</v>
      </c>
      <c r="L76" s="62">
        <v>0</v>
      </c>
      <c r="M76" s="62">
        <v>0</v>
      </c>
      <c r="N76" s="63">
        <v>3.79207E-4</v>
      </c>
      <c r="O76" s="63">
        <v>1.1672589999999999E-3</v>
      </c>
      <c r="P76" s="62">
        <v>2.5860900000000001E-3</v>
      </c>
      <c r="Q76" s="62">
        <v>6.4243479999999999E-3</v>
      </c>
      <c r="R76" s="62">
        <v>1.1489559999999999E-2</v>
      </c>
      <c r="S76" s="62">
        <v>1.44949468E-2</v>
      </c>
      <c r="T76" s="62">
        <v>1.8977863099999999E-2</v>
      </c>
    </row>
    <row r="77" spans="1:20" ht="17.399999999999999" customHeight="1">
      <c r="A77" s="62" t="s">
        <v>532</v>
      </c>
      <c r="B77" s="62" t="s">
        <v>1</v>
      </c>
      <c r="C77" s="62" t="s">
        <v>68</v>
      </c>
      <c r="D77" s="62" t="s">
        <v>607</v>
      </c>
      <c r="E77" s="62" t="s">
        <v>1</v>
      </c>
      <c r="F77" s="62" t="s">
        <v>68</v>
      </c>
      <c r="G77" s="62" t="s">
        <v>65</v>
      </c>
      <c r="H77" s="62" t="s">
        <v>2</v>
      </c>
      <c r="I77" s="62" t="s">
        <v>72</v>
      </c>
      <c r="J77" s="62">
        <v>0</v>
      </c>
      <c r="K77" s="62">
        <v>0</v>
      </c>
      <c r="L77" s="62">
        <v>0</v>
      </c>
      <c r="M77" s="62">
        <v>0</v>
      </c>
      <c r="N77" s="63">
        <v>9.5105999999999994E-5</v>
      </c>
      <c r="O77" s="63">
        <v>1.250924E-3</v>
      </c>
      <c r="P77" s="62">
        <v>5.6484436999999898E-3</v>
      </c>
      <c r="Q77" s="62">
        <v>2.7870517599999999E-2</v>
      </c>
      <c r="R77" s="62">
        <v>9.39205231E-2</v>
      </c>
      <c r="S77" s="62">
        <v>0.17038097939999999</v>
      </c>
      <c r="T77" s="62">
        <v>0.35668150449000002</v>
      </c>
    </row>
    <row r="78" spans="1:20" ht="17.399999999999999" customHeight="1">
      <c r="A78" s="62" t="s">
        <v>532</v>
      </c>
      <c r="B78" s="62" t="s">
        <v>1</v>
      </c>
      <c r="C78" s="62" t="s">
        <v>68</v>
      </c>
      <c r="D78" s="62" t="s">
        <v>607</v>
      </c>
      <c r="E78" s="62" t="s">
        <v>1</v>
      </c>
      <c r="F78" s="62" t="s">
        <v>68</v>
      </c>
      <c r="G78" s="62" t="s">
        <v>19</v>
      </c>
      <c r="H78" s="62" t="s">
        <v>6</v>
      </c>
      <c r="I78" s="62" t="s">
        <v>19</v>
      </c>
      <c r="J78" s="62">
        <v>0.26414799999999999</v>
      </c>
      <c r="K78" s="62">
        <v>0.25026999999999999</v>
      </c>
      <c r="L78" s="62">
        <v>0.194684</v>
      </c>
      <c r="M78" s="62">
        <v>0.14664099999999999</v>
      </c>
      <c r="N78" s="62">
        <v>0.1564094</v>
      </c>
      <c r="O78" s="62">
        <v>0.16810520000000001</v>
      </c>
      <c r="P78" s="62">
        <v>0.16853969999999999</v>
      </c>
      <c r="Q78" s="62">
        <v>0.15438442999999999</v>
      </c>
      <c r="R78" s="62">
        <v>0.12660004999999999</v>
      </c>
      <c r="S78" s="62">
        <v>9.9869909999999895E-2</v>
      </c>
      <c r="T78" s="62">
        <v>2.9813373000000001E-2</v>
      </c>
    </row>
    <row r="79" spans="1:20" ht="17.399999999999999" customHeight="1">
      <c r="A79" s="62" t="s">
        <v>532</v>
      </c>
      <c r="B79" s="62" t="s">
        <v>1</v>
      </c>
      <c r="C79" s="62" t="s">
        <v>68</v>
      </c>
      <c r="D79" s="62" t="s">
        <v>607</v>
      </c>
      <c r="E79" s="62" t="s">
        <v>1</v>
      </c>
      <c r="F79" s="62" t="s">
        <v>68</v>
      </c>
      <c r="G79" s="62" t="s">
        <v>19</v>
      </c>
      <c r="H79" s="62" t="s">
        <v>6</v>
      </c>
      <c r="I79" s="62" t="s">
        <v>73</v>
      </c>
      <c r="J79" s="62">
        <v>0</v>
      </c>
      <c r="K79" s="62">
        <v>7.1294399999999994E-2</v>
      </c>
      <c r="L79" s="62">
        <v>5.7196799999999999E-2</v>
      </c>
      <c r="M79" s="62">
        <v>2.7835200000000001E-2</v>
      </c>
      <c r="N79" s="62">
        <v>3.017533E-2</v>
      </c>
      <c r="O79" s="62">
        <v>3.5024899999999998E-2</v>
      </c>
      <c r="P79" s="62">
        <v>3.8936109999999899E-2</v>
      </c>
      <c r="Q79" s="62">
        <v>4.1961819999999997E-2</v>
      </c>
      <c r="R79" s="62">
        <v>3.86337E-2</v>
      </c>
      <c r="S79" s="62">
        <v>3.0969757000000001E-2</v>
      </c>
      <c r="T79" s="62">
        <v>5.0627870999999996E-3</v>
      </c>
    </row>
    <row r="80" spans="1:20" ht="17.399999999999999" customHeight="1">
      <c r="A80" s="62" t="s">
        <v>532</v>
      </c>
      <c r="B80" s="62" t="s">
        <v>1</v>
      </c>
      <c r="C80" s="62" t="s">
        <v>22</v>
      </c>
      <c r="D80" s="62" t="s">
        <v>607</v>
      </c>
      <c r="E80" s="62" t="s">
        <v>1</v>
      </c>
      <c r="F80" s="62" t="s">
        <v>22</v>
      </c>
      <c r="G80" s="62" t="s">
        <v>19</v>
      </c>
      <c r="H80" s="62" t="s">
        <v>6</v>
      </c>
      <c r="I80" s="62" t="s">
        <v>19</v>
      </c>
      <c r="J80" s="62">
        <v>0</v>
      </c>
      <c r="K80" s="62">
        <v>3.1394999999999999E-2</v>
      </c>
      <c r="L80" s="62">
        <v>3.1520600000000003E-2</v>
      </c>
      <c r="M80" s="62">
        <v>2.9218299999999999E-2</v>
      </c>
      <c r="N80" s="62">
        <v>3.22203E-2</v>
      </c>
      <c r="O80" s="62">
        <v>3.8403E-2</v>
      </c>
      <c r="P80" s="62">
        <v>4.7491199999999997E-2</v>
      </c>
      <c r="Q80" s="62">
        <v>7.0613700000000001E-2</v>
      </c>
      <c r="R80" s="62">
        <v>0.100462</v>
      </c>
      <c r="S80" s="62">
        <v>0.120015</v>
      </c>
      <c r="T80" s="62">
        <v>0.13555900000000001</v>
      </c>
    </row>
    <row r="81" spans="1:20" ht="17.399999999999999" customHeight="1">
      <c r="A81" s="62" t="s">
        <v>532</v>
      </c>
      <c r="B81" s="62" t="s">
        <v>1</v>
      </c>
      <c r="C81" s="62" t="s">
        <v>62</v>
      </c>
      <c r="D81" s="62" t="s">
        <v>607</v>
      </c>
      <c r="E81" s="62" t="s">
        <v>1</v>
      </c>
      <c r="F81" s="62" t="s">
        <v>62</v>
      </c>
      <c r="G81" s="62" t="s">
        <v>57</v>
      </c>
      <c r="H81" s="62" t="s">
        <v>3</v>
      </c>
      <c r="I81" s="62" t="s">
        <v>57</v>
      </c>
      <c r="J81" s="62">
        <v>3.6571800000000002E-2</v>
      </c>
      <c r="K81" s="62">
        <v>3.9287299999999997E-2</v>
      </c>
      <c r="L81" s="62">
        <v>4.2373099999999997E-2</v>
      </c>
      <c r="M81" s="62">
        <v>3.9861500000000001E-2</v>
      </c>
      <c r="N81" s="62">
        <v>4.2715490000000002E-2</v>
      </c>
      <c r="O81" s="63">
        <v>5.2146229999999898E-2</v>
      </c>
      <c r="P81" s="63">
        <v>5.3978180000000001E-2</v>
      </c>
      <c r="Q81" s="63">
        <v>7.0393449999999996E-2</v>
      </c>
      <c r="R81" s="62">
        <v>8.8953599999999994E-2</v>
      </c>
      <c r="S81" s="62">
        <v>9.6653868000000004E-2</v>
      </c>
      <c r="T81" s="62">
        <v>8.4369735000000001E-2</v>
      </c>
    </row>
    <row r="82" spans="1:20" ht="17.399999999999999" customHeight="1">
      <c r="A82" s="62" t="s">
        <v>532</v>
      </c>
      <c r="B82" s="62" t="s">
        <v>1</v>
      </c>
      <c r="C82" s="62" t="s">
        <v>62</v>
      </c>
      <c r="D82" s="62" t="s">
        <v>607</v>
      </c>
      <c r="E82" s="62" t="s">
        <v>1</v>
      </c>
      <c r="F82" s="62" t="s">
        <v>62</v>
      </c>
      <c r="G82" s="62" t="s">
        <v>58</v>
      </c>
      <c r="H82" s="62" t="s">
        <v>4</v>
      </c>
      <c r="I82" s="62" t="s">
        <v>58</v>
      </c>
      <c r="J82" s="62">
        <v>8.5812200000000005E-2</v>
      </c>
      <c r="K82" s="62">
        <v>0.118297</v>
      </c>
      <c r="L82" s="63">
        <v>0.112141</v>
      </c>
      <c r="M82" s="63">
        <v>0.114653</v>
      </c>
      <c r="N82" s="63">
        <v>0.12808169999999999</v>
      </c>
      <c r="O82" s="63">
        <v>0.12534408</v>
      </c>
      <c r="P82" s="63">
        <v>0.105756499999999</v>
      </c>
      <c r="Q82" s="63">
        <v>6.8351079999999995E-2</v>
      </c>
      <c r="R82" s="63">
        <v>3.8392179999999998E-2</v>
      </c>
      <c r="S82" s="63">
        <v>2.2441860000000001E-2</v>
      </c>
      <c r="T82" s="63">
        <v>1.28099529999999E-2</v>
      </c>
    </row>
    <row r="83" spans="1:20" ht="17.399999999999999" customHeight="1">
      <c r="A83" s="62" t="s">
        <v>532</v>
      </c>
      <c r="B83" s="62" t="s">
        <v>1</v>
      </c>
      <c r="C83" s="62" t="s">
        <v>62</v>
      </c>
      <c r="D83" s="62" t="s">
        <v>607</v>
      </c>
      <c r="E83" s="62" t="s">
        <v>1</v>
      </c>
      <c r="F83" s="62" t="s">
        <v>62</v>
      </c>
      <c r="G83" s="62" t="s">
        <v>65</v>
      </c>
      <c r="H83" s="62" t="s">
        <v>2</v>
      </c>
      <c r="I83" s="62" t="s">
        <v>65</v>
      </c>
      <c r="J83" s="62">
        <v>0</v>
      </c>
      <c r="K83" s="62">
        <v>0</v>
      </c>
      <c r="L83" s="62">
        <v>0</v>
      </c>
      <c r="M83" s="62">
        <v>0</v>
      </c>
      <c r="N83" s="63">
        <v>7.0510899999999996E-7</v>
      </c>
      <c r="O83" s="63">
        <v>2.9655619999999998E-6</v>
      </c>
      <c r="P83" s="63">
        <v>4.9195790000000004E-6</v>
      </c>
      <c r="Q83" s="63">
        <v>4.3048944999999997E-5</v>
      </c>
      <c r="R83" s="63">
        <v>2.41186387E-4</v>
      </c>
      <c r="S83" s="63">
        <v>7.7785399999999905E-4</v>
      </c>
      <c r="T83" s="62">
        <v>3.3743306703999999E-3</v>
      </c>
    </row>
    <row r="84" spans="1:20" ht="17.399999999999999" customHeight="1">
      <c r="A84" s="62" t="s">
        <v>532</v>
      </c>
      <c r="B84" s="62" t="s">
        <v>1</v>
      </c>
      <c r="C84" s="62" t="s">
        <v>62</v>
      </c>
      <c r="D84" s="62" t="s">
        <v>607</v>
      </c>
      <c r="E84" s="62" t="s">
        <v>1</v>
      </c>
      <c r="F84" s="62" t="s">
        <v>62</v>
      </c>
      <c r="G84" s="62" t="s">
        <v>19</v>
      </c>
      <c r="H84" s="62" t="s">
        <v>6</v>
      </c>
      <c r="I84" s="62" t="s">
        <v>19</v>
      </c>
      <c r="J84" s="62">
        <v>1.6688700000000001E-2</v>
      </c>
      <c r="K84" s="62">
        <v>2.1488799999999999E-2</v>
      </c>
      <c r="L84" s="62">
        <v>2.1070200000000001E-2</v>
      </c>
      <c r="M84" s="62">
        <v>2.1070200000000001E-2</v>
      </c>
      <c r="N84" s="62">
        <v>1.2224250000000001E-2</v>
      </c>
      <c r="O84" s="63">
        <v>9.5929339999999991E-3</v>
      </c>
      <c r="P84" s="62">
        <v>8.3324920000000004E-3</v>
      </c>
      <c r="Q84" s="62">
        <v>8.1219380000000004E-3</v>
      </c>
      <c r="R84" s="62">
        <v>9.1147309999999992E-3</v>
      </c>
      <c r="S84" s="62">
        <v>8.9483449999999999E-3</v>
      </c>
      <c r="T84" s="62">
        <v>7.6895179999999898E-3</v>
      </c>
    </row>
    <row r="85" spans="1:20" ht="17.399999999999999" customHeight="1">
      <c r="A85" s="62" t="s">
        <v>532</v>
      </c>
      <c r="B85" s="62" t="s">
        <v>1</v>
      </c>
      <c r="C85" s="62" t="s">
        <v>190</v>
      </c>
      <c r="D85" s="62" t="s">
        <v>607</v>
      </c>
      <c r="E85" s="62" t="s">
        <v>1</v>
      </c>
      <c r="F85" s="62" t="s">
        <v>190</v>
      </c>
      <c r="G85" s="62" t="s">
        <v>111</v>
      </c>
      <c r="H85" s="62" t="s">
        <v>7</v>
      </c>
      <c r="I85" s="62" t="s">
        <v>111</v>
      </c>
      <c r="J85" s="62">
        <v>0</v>
      </c>
      <c r="K85" s="62">
        <v>0</v>
      </c>
      <c r="L85" s="62">
        <v>0</v>
      </c>
      <c r="M85" s="63">
        <v>0</v>
      </c>
      <c r="N85" s="63">
        <v>0</v>
      </c>
      <c r="O85" s="63">
        <v>0</v>
      </c>
      <c r="P85" s="62">
        <v>0</v>
      </c>
      <c r="Q85" s="62">
        <v>0</v>
      </c>
      <c r="R85" s="63">
        <v>0</v>
      </c>
      <c r="S85" s="63">
        <v>0</v>
      </c>
      <c r="T85" s="63">
        <v>3.0473799999999999E-2</v>
      </c>
    </row>
    <row r="86" spans="1:20">
      <c r="A86" s="62" t="s">
        <v>532</v>
      </c>
      <c r="B86" s="62" t="s">
        <v>1</v>
      </c>
      <c r="C86" s="62" t="s">
        <v>469</v>
      </c>
      <c r="D86" s="62" t="s">
        <v>607</v>
      </c>
      <c r="E86" s="62" t="s">
        <v>1</v>
      </c>
      <c r="F86" s="62" t="s">
        <v>469</v>
      </c>
      <c r="G86" s="62" t="s">
        <v>470</v>
      </c>
      <c r="H86" s="62" t="s">
        <v>5</v>
      </c>
      <c r="I86" s="62" t="s">
        <v>470</v>
      </c>
      <c r="J86" s="62">
        <v>0</v>
      </c>
      <c r="K86" s="63">
        <v>3.3933699999999997E-2</v>
      </c>
      <c r="L86" s="63">
        <v>4.7037000000000002E-2</v>
      </c>
      <c r="M86" s="63">
        <v>6.5199999999999994E-2</v>
      </c>
      <c r="N86" s="63">
        <v>8.1128000000000006E-2</v>
      </c>
      <c r="O86" s="63">
        <v>8.4139099999999994E-2</v>
      </c>
      <c r="P86" s="63">
        <v>8.7412400000000001E-2</v>
      </c>
      <c r="Q86" s="63">
        <v>9.1578049999999994E-2</v>
      </c>
      <c r="R86" s="63">
        <v>0.10054568999999999</v>
      </c>
      <c r="S86" s="63">
        <v>0.10960354</v>
      </c>
      <c r="T86" s="63">
        <v>0.11881862999999999</v>
      </c>
    </row>
    <row r="87" spans="1:20">
      <c r="A87" s="62" t="s">
        <v>532</v>
      </c>
      <c r="B87" s="62" t="s">
        <v>1</v>
      </c>
      <c r="C87" s="62" t="s">
        <v>469</v>
      </c>
      <c r="D87" s="62" t="s">
        <v>607</v>
      </c>
      <c r="E87" s="62" t="s">
        <v>1</v>
      </c>
      <c r="F87" s="62" t="s">
        <v>469</v>
      </c>
      <c r="G87" s="62" t="s">
        <v>470</v>
      </c>
      <c r="H87" s="62" t="s">
        <v>5</v>
      </c>
      <c r="I87" s="62" t="s">
        <v>471</v>
      </c>
      <c r="J87" s="62">
        <v>0</v>
      </c>
      <c r="K87" s="62">
        <v>0</v>
      </c>
      <c r="L87" s="62">
        <v>0</v>
      </c>
      <c r="M87" s="62">
        <v>0</v>
      </c>
      <c r="N87" s="62">
        <v>4.3412499999999996E-3</v>
      </c>
      <c r="O87" s="63">
        <v>8.0867700000000001E-3</v>
      </c>
      <c r="P87" s="63">
        <v>1.18613E-2</v>
      </c>
      <c r="Q87" s="63">
        <v>1.4457395E-2</v>
      </c>
      <c r="R87" s="63">
        <v>1.5649469999999999E-2</v>
      </c>
      <c r="S87" s="63">
        <v>1.69334999999999E-2</v>
      </c>
      <c r="T87" s="63">
        <v>1.8699210000000001E-2</v>
      </c>
    </row>
    <row r="88" spans="1:20">
      <c r="A88" s="62" t="s">
        <v>532</v>
      </c>
      <c r="B88" s="62" t="s">
        <v>1</v>
      </c>
      <c r="C88" s="62" t="s">
        <v>469</v>
      </c>
      <c r="D88" s="62" t="s">
        <v>607</v>
      </c>
      <c r="E88" s="62" t="s">
        <v>1</v>
      </c>
      <c r="F88" s="62" t="s">
        <v>469</v>
      </c>
      <c r="G88" s="62" t="s">
        <v>470</v>
      </c>
      <c r="H88" s="62" t="s">
        <v>5</v>
      </c>
      <c r="I88" s="62" t="s">
        <v>472</v>
      </c>
      <c r="J88" s="62">
        <v>0</v>
      </c>
      <c r="K88" s="62">
        <v>0</v>
      </c>
      <c r="L88" s="62">
        <v>0</v>
      </c>
      <c r="M88" s="62">
        <v>0</v>
      </c>
      <c r="N88" s="63">
        <v>2.5229499999999999E-3</v>
      </c>
      <c r="O88" s="63">
        <v>4.7628999999999996E-3</v>
      </c>
      <c r="P88" s="63">
        <v>6.9849200000000004E-3</v>
      </c>
      <c r="Q88" s="63">
        <v>8.4732809999999992E-3</v>
      </c>
      <c r="R88" s="63">
        <v>9.2359460000000001E-3</v>
      </c>
      <c r="S88" s="63">
        <v>1.0010956E-2</v>
      </c>
      <c r="T88" s="63">
        <v>1.1000105E-2</v>
      </c>
    </row>
    <row r="89" spans="1:20" ht="17.399999999999999" customHeight="1">
      <c r="A89" s="62" t="s">
        <v>532</v>
      </c>
      <c r="B89" s="62" t="s">
        <v>1</v>
      </c>
      <c r="C89" s="62" t="s">
        <v>469</v>
      </c>
      <c r="D89" s="62" t="s">
        <v>607</v>
      </c>
      <c r="E89" s="62" t="s">
        <v>1</v>
      </c>
      <c r="F89" s="62" t="s">
        <v>469</v>
      </c>
      <c r="G89" s="62" t="s">
        <v>470</v>
      </c>
      <c r="H89" s="62" t="s">
        <v>7</v>
      </c>
      <c r="I89" s="62" t="s">
        <v>470</v>
      </c>
      <c r="J89" s="62">
        <v>0</v>
      </c>
      <c r="K89" s="62">
        <v>7.5847600000000003E-3</v>
      </c>
      <c r="L89" s="62">
        <v>9.4303900000000003E-3</v>
      </c>
      <c r="M89" s="62">
        <v>1.23E-2</v>
      </c>
      <c r="N89" s="62">
        <v>1.535738E-2</v>
      </c>
      <c r="O89" s="62">
        <v>1.6025109999999999E-2</v>
      </c>
      <c r="P89" s="62">
        <v>1.682382E-2</v>
      </c>
      <c r="Q89" s="62">
        <v>1.7832779999999999E-2</v>
      </c>
      <c r="R89" s="62">
        <v>1.976557E-2</v>
      </c>
      <c r="S89" s="62">
        <v>2.1758820000000002E-2</v>
      </c>
      <c r="T89" s="62">
        <v>2.3826549999999998E-2</v>
      </c>
    </row>
    <row r="90" spans="1:20" ht="17.399999999999999" customHeight="1">
      <c r="A90" s="62" t="s">
        <v>532</v>
      </c>
      <c r="B90" s="62" t="s">
        <v>1</v>
      </c>
      <c r="C90" s="62" t="s">
        <v>469</v>
      </c>
      <c r="D90" s="62" t="s">
        <v>607</v>
      </c>
      <c r="E90" s="62" t="s">
        <v>1</v>
      </c>
      <c r="F90" s="62" t="s">
        <v>469</v>
      </c>
      <c r="G90" s="62" t="s">
        <v>470</v>
      </c>
      <c r="H90" s="62" t="s">
        <v>7</v>
      </c>
      <c r="I90" s="62" t="s">
        <v>471</v>
      </c>
      <c r="J90" s="62">
        <v>0</v>
      </c>
      <c r="K90" s="62">
        <v>0</v>
      </c>
      <c r="L90" s="62">
        <v>0</v>
      </c>
      <c r="M90" s="62">
        <v>0</v>
      </c>
      <c r="N90" s="63">
        <v>8.2717700000000001E-4</v>
      </c>
      <c r="O90" s="63">
        <v>1.5494969999999999E-3</v>
      </c>
      <c r="P90" s="62">
        <v>2.2900379999999999E-3</v>
      </c>
      <c r="Q90" s="62">
        <v>2.8153729999999999E-3</v>
      </c>
      <c r="R90" s="62">
        <v>3.0760429999999901E-3</v>
      </c>
      <c r="S90" s="62">
        <v>3.3613799999999902E-3</v>
      </c>
      <c r="T90" s="62">
        <v>3.7503739999999999E-3</v>
      </c>
    </row>
    <row r="91" spans="1:20" ht="17.399999999999999" customHeight="1">
      <c r="A91" s="62" t="s">
        <v>532</v>
      </c>
      <c r="B91" s="62" t="s">
        <v>1</v>
      </c>
      <c r="C91" s="62" t="s">
        <v>469</v>
      </c>
      <c r="D91" s="62" t="s">
        <v>607</v>
      </c>
      <c r="E91" s="62" t="s">
        <v>1</v>
      </c>
      <c r="F91" s="62" t="s">
        <v>469</v>
      </c>
      <c r="G91" s="62" t="s">
        <v>470</v>
      </c>
      <c r="H91" s="62" t="s">
        <v>7</v>
      </c>
      <c r="I91" s="62" t="s">
        <v>472</v>
      </c>
      <c r="J91" s="62">
        <v>0</v>
      </c>
      <c r="K91" s="62">
        <v>0</v>
      </c>
      <c r="L91" s="62">
        <v>0</v>
      </c>
      <c r="M91" s="62">
        <v>0</v>
      </c>
      <c r="N91" s="63">
        <v>4.8072000000000002E-4</v>
      </c>
      <c r="O91" s="63">
        <v>9.1266700000000004E-4</v>
      </c>
      <c r="P91" s="63">
        <v>1.3485859999999999E-3</v>
      </c>
      <c r="Q91" s="63">
        <v>1.6499754999999899E-3</v>
      </c>
      <c r="R91" s="63">
        <v>1.8154960999999901E-3</v>
      </c>
      <c r="S91" s="63">
        <v>1.9873009999999999E-3</v>
      </c>
      <c r="T91" s="63">
        <v>2.206104E-3</v>
      </c>
    </row>
    <row r="92" spans="1:20">
      <c r="A92" s="62"/>
      <c r="B92" s="62"/>
      <c r="C92" s="62"/>
      <c r="G92" s="62"/>
      <c r="H92" s="62"/>
      <c r="I92" s="62"/>
      <c r="J92" s="62"/>
      <c r="K92" s="62"/>
      <c r="L92" s="62"/>
      <c r="M92" s="91">
        <f t="shared" ref="M92:T92" si="0">SUM(M3:M91)</f>
        <v>5.0467366789999986</v>
      </c>
      <c r="N92" s="62">
        <f t="shared" si="0"/>
        <v>5.1647571051089951</v>
      </c>
      <c r="O92" s="62">
        <f t="shared" si="0"/>
        <v>5.3594864215569959</v>
      </c>
      <c r="P92" s="62">
        <f t="shared" si="0"/>
        <v>5.3749595338879956</v>
      </c>
      <c r="Q92" s="62">
        <f t="shared" si="0"/>
        <v>5.3395104433552989</v>
      </c>
      <c r="R92" s="13">
        <f t="shared" si="0"/>
        <v>5.4421386685707995</v>
      </c>
      <c r="S92" s="13">
        <f t="shared" si="0"/>
        <v>5.6361626358820009</v>
      </c>
      <c r="T92" s="13">
        <f t="shared" si="0"/>
        <v>5.8543421368614821</v>
      </c>
    </row>
    <row r="101" spans="1:37">
      <c r="A101" s="1" t="s">
        <v>23</v>
      </c>
    </row>
    <row r="102" spans="1:37">
      <c r="A102" s="13" t="s">
        <v>8</v>
      </c>
      <c r="B102" s="13" t="s">
        <v>9</v>
      </c>
      <c r="C102" s="13" t="s">
        <v>24</v>
      </c>
      <c r="G102" s="62" t="s">
        <v>10</v>
      </c>
      <c r="H102" s="62">
        <v>1990</v>
      </c>
      <c r="I102" s="62">
        <v>2005</v>
      </c>
      <c r="J102" s="62">
        <v>2010</v>
      </c>
      <c r="K102" s="62">
        <v>2015</v>
      </c>
      <c r="L102" s="62">
        <v>2020</v>
      </c>
      <c r="M102" s="62">
        <v>2025</v>
      </c>
      <c r="N102" s="62">
        <v>2030</v>
      </c>
      <c r="O102" s="62">
        <v>2035</v>
      </c>
      <c r="P102" s="62">
        <v>2040</v>
      </c>
      <c r="Q102" s="62">
        <v>2045</v>
      </c>
      <c r="R102" s="62">
        <v>2050</v>
      </c>
      <c r="S102" s="62"/>
      <c r="T102" s="62"/>
    </row>
    <row r="103" spans="1:37">
      <c r="A103" s="62" t="s">
        <v>588</v>
      </c>
      <c r="B103" s="62" t="s">
        <v>1</v>
      </c>
      <c r="C103" s="62" t="s">
        <v>20</v>
      </c>
      <c r="D103" s="62" t="s">
        <v>607</v>
      </c>
      <c r="E103" s="62" t="s">
        <v>1</v>
      </c>
      <c r="F103" s="62" t="s">
        <v>20</v>
      </c>
      <c r="G103" s="62" t="s">
        <v>4</v>
      </c>
      <c r="H103" s="62">
        <v>0</v>
      </c>
      <c r="I103" s="62">
        <v>0</v>
      </c>
      <c r="J103" s="63">
        <v>1.6953300000000001E-2</v>
      </c>
      <c r="K103" s="63">
        <v>2.3106700000000001E-2</v>
      </c>
      <c r="L103" s="63">
        <v>1.99516E-2</v>
      </c>
      <c r="M103" s="63">
        <v>2.8079100000000002E-4</v>
      </c>
      <c r="N103" s="63">
        <v>1.09905E-4</v>
      </c>
      <c r="O103" s="63">
        <v>4.41366E-5</v>
      </c>
      <c r="P103" s="63">
        <v>2.0372000000000001E-5</v>
      </c>
      <c r="Q103" s="63">
        <v>9.3468300000000004E-6</v>
      </c>
      <c r="R103" s="63">
        <v>1.38328E-6</v>
      </c>
      <c r="S103" s="62"/>
      <c r="T103" s="62"/>
    </row>
    <row r="104" spans="1:37">
      <c r="A104" s="62" t="s">
        <v>588</v>
      </c>
      <c r="B104" s="62" t="s">
        <v>1</v>
      </c>
      <c r="C104" s="62" t="s">
        <v>20</v>
      </c>
      <c r="D104" s="62" t="s">
        <v>607</v>
      </c>
      <c r="E104" s="62" t="s">
        <v>1</v>
      </c>
      <c r="F104" s="62" t="s">
        <v>20</v>
      </c>
      <c r="G104" s="62" t="s">
        <v>6</v>
      </c>
      <c r="H104" s="62">
        <v>0.23639399999999999</v>
      </c>
      <c r="I104" s="62">
        <v>1.18882</v>
      </c>
      <c r="J104" s="62">
        <v>1.5032799999999999</v>
      </c>
      <c r="K104" s="62">
        <v>1.8793899999999999</v>
      </c>
      <c r="L104" s="62">
        <v>1.89751</v>
      </c>
      <c r="M104" s="62">
        <v>2.02014</v>
      </c>
      <c r="N104" s="62">
        <v>2.13828</v>
      </c>
      <c r="O104" s="62">
        <v>2.2135099999999999</v>
      </c>
      <c r="P104" s="62">
        <v>2.2987000000000002</v>
      </c>
      <c r="Q104" s="62">
        <v>2.41574</v>
      </c>
      <c r="R104" s="62">
        <v>2.5107900000000001</v>
      </c>
      <c r="S104" s="62"/>
      <c r="T104" s="62"/>
    </row>
    <row r="105" spans="1:37">
      <c r="A105" s="62" t="s">
        <v>588</v>
      </c>
      <c r="B105" s="62" t="s">
        <v>1</v>
      </c>
      <c r="C105" s="62" t="s">
        <v>21</v>
      </c>
      <c r="D105" s="62" t="s">
        <v>607</v>
      </c>
      <c r="E105" s="62" t="s">
        <v>1</v>
      </c>
      <c r="F105" s="62" t="s">
        <v>21</v>
      </c>
      <c r="G105" s="62" t="s">
        <v>6</v>
      </c>
      <c r="H105" s="62">
        <v>3.2608900000000003E-2</v>
      </c>
      <c r="I105" s="62">
        <v>5.08599E-2</v>
      </c>
      <c r="J105" s="62">
        <v>5.3873799999999999E-2</v>
      </c>
      <c r="K105" s="62">
        <v>4.94367E-2</v>
      </c>
      <c r="L105" s="62">
        <v>5.4238799999999997E-2</v>
      </c>
      <c r="M105" s="62">
        <v>5.7499799999999997E-2</v>
      </c>
      <c r="N105" s="62">
        <v>5.7588500000000001E-2</v>
      </c>
      <c r="O105" s="62">
        <v>5.6500700000000001E-2</v>
      </c>
      <c r="P105" s="62">
        <v>5.5040899999999997E-2</v>
      </c>
      <c r="Q105" s="62">
        <v>5.4190099999999998E-2</v>
      </c>
      <c r="R105" s="62">
        <v>5.3248700000000003E-2</v>
      </c>
      <c r="S105" s="62"/>
      <c r="T105" s="62"/>
    </row>
    <row r="106" spans="1:37">
      <c r="A106" s="62" t="s">
        <v>588</v>
      </c>
      <c r="B106" s="62" t="s">
        <v>1</v>
      </c>
      <c r="C106" s="62" t="s">
        <v>22</v>
      </c>
      <c r="D106" s="62" t="s">
        <v>607</v>
      </c>
      <c r="E106" s="62" t="s">
        <v>1</v>
      </c>
      <c r="F106" s="62" t="s">
        <v>22</v>
      </c>
      <c r="G106" s="62" t="s">
        <v>6</v>
      </c>
      <c r="H106" s="62">
        <v>0</v>
      </c>
      <c r="I106" s="62">
        <v>3.1394999999999999E-2</v>
      </c>
      <c r="J106" s="62">
        <v>3.1520600000000003E-2</v>
      </c>
      <c r="K106" s="62">
        <v>2.9218299999999999E-2</v>
      </c>
      <c r="L106" s="62">
        <v>3.22203E-2</v>
      </c>
      <c r="M106" s="62">
        <v>3.8403E-2</v>
      </c>
      <c r="N106" s="62">
        <v>4.7491199999999997E-2</v>
      </c>
      <c r="O106" s="62">
        <v>7.0613700000000001E-2</v>
      </c>
      <c r="P106" s="62">
        <v>0.100462</v>
      </c>
      <c r="Q106" s="62">
        <v>0.120015</v>
      </c>
      <c r="R106" s="62">
        <v>0.13555900000000001</v>
      </c>
    </row>
    <row r="108" spans="1:37">
      <c r="A108" s="1" t="s">
        <v>11</v>
      </c>
      <c r="Q108" s="1" t="s">
        <v>523</v>
      </c>
      <c r="AC108" s="62">
        <v>2015</v>
      </c>
      <c r="AD108" s="62">
        <v>2020</v>
      </c>
      <c r="AE108" s="62">
        <v>2025</v>
      </c>
      <c r="AF108" s="62">
        <v>2030</v>
      </c>
      <c r="AG108" s="62">
        <v>2035</v>
      </c>
      <c r="AH108" s="62">
        <v>2040</v>
      </c>
      <c r="AI108" s="62">
        <v>2045</v>
      </c>
      <c r="AJ108" s="62">
        <v>2050</v>
      </c>
    </row>
    <row r="109" spans="1:37">
      <c r="A109" s="13" t="s">
        <v>8</v>
      </c>
      <c r="B109" s="13" t="s">
        <v>9</v>
      </c>
      <c r="C109" s="65" t="s">
        <v>10</v>
      </c>
      <c r="D109" s="66"/>
      <c r="E109" s="66"/>
      <c r="F109" s="66"/>
      <c r="G109" s="66">
        <v>2015</v>
      </c>
      <c r="H109" s="66">
        <v>2020</v>
      </c>
      <c r="I109" s="66">
        <v>2025</v>
      </c>
      <c r="J109" s="66">
        <v>2030</v>
      </c>
      <c r="K109" s="66">
        <v>2035</v>
      </c>
      <c r="L109" s="66">
        <v>2040</v>
      </c>
      <c r="M109" s="66">
        <v>2045</v>
      </c>
      <c r="N109" s="7">
        <v>2050</v>
      </c>
      <c r="Q109" s="65"/>
      <c r="R109" s="66">
        <v>2015</v>
      </c>
      <c r="S109" s="66">
        <v>2020</v>
      </c>
      <c r="T109" s="66">
        <v>2025</v>
      </c>
      <c r="U109" s="66">
        <v>2030</v>
      </c>
      <c r="V109" s="66">
        <v>2035</v>
      </c>
      <c r="W109" s="66">
        <v>2040</v>
      </c>
      <c r="X109" s="66">
        <v>2045</v>
      </c>
      <c r="Y109" s="7">
        <v>2050</v>
      </c>
      <c r="AB109" s="13" t="s">
        <v>492</v>
      </c>
      <c r="AC109" s="13">
        <v>1.7799466531999999</v>
      </c>
      <c r="AD109" s="13">
        <v>1.87451537677</v>
      </c>
      <c r="AE109" s="13">
        <v>1.9363356972100001</v>
      </c>
      <c r="AF109" s="13">
        <v>2.0387392382199998</v>
      </c>
      <c r="AG109" s="13">
        <v>2.17135607927999</v>
      </c>
      <c r="AH109" s="13">
        <v>2.3453841128600001</v>
      </c>
      <c r="AI109" s="13">
        <v>2.51011662376346</v>
      </c>
      <c r="AJ109" s="13">
        <v>2.87607992929204</v>
      </c>
      <c r="AK109" s="13" t="s">
        <v>522</v>
      </c>
    </row>
    <row r="110" spans="1:37">
      <c r="A110" s="13" t="s">
        <v>0</v>
      </c>
      <c r="B110" s="13" t="s">
        <v>2</v>
      </c>
      <c r="C110" s="8" t="s">
        <v>12</v>
      </c>
      <c r="D110" s="45"/>
      <c r="E110" s="45"/>
      <c r="F110" s="45"/>
      <c r="G110" s="45">
        <f t="shared" ref="G110:N110" si="1">SUMIF($H$3:$H$91,$B110,M$3:M$91)</f>
        <v>0</v>
      </c>
      <c r="H110" s="45">
        <f t="shared" si="1"/>
        <v>1.089598119E-3</v>
      </c>
      <c r="I110" s="45">
        <f t="shared" si="1"/>
        <v>5.9593097419999895E-3</v>
      </c>
      <c r="J110" s="45">
        <f t="shared" si="1"/>
        <v>4.5028044048999988E-2</v>
      </c>
      <c r="K110" s="45">
        <f t="shared" si="1"/>
        <v>0.14018031581699991</v>
      </c>
      <c r="L110" s="45">
        <f t="shared" si="1"/>
        <v>0.290018157587</v>
      </c>
      <c r="M110" s="45">
        <f t="shared" si="1"/>
        <v>0.46234413554000003</v>
      </c>
      <c r="N110" s="9">
        <f t="shared" si="1"/>
        <v>0.78533813396040009</v>
      </c>
      <c r="Q110" s="8" t="s">
        <v>521</v>
      </c>
      <c r="R110" s="45">
        <f>G111*$Q$113</f>
        <v>276.52328422222149</v>
      </c>
      <c r="S110" s="45">
        <f t="shared" ref="S110:Y110" si="2">H111*$Q$113</f>
        <v>294.43866567777627</v>
      </c>
      <c r="T110" s="45">
        <f t="shared" si="2"/>
        <v>315.9016211694435</v>
      </c>
      <c r="U110" s="45">
        <f t="shared" si="2"/>
        <v>326.80840446388794</v>
      </c>
      <c r="V110" s="45">
        <f t="shared" si="2"/>
        <v>337.61072831111011</v>
      </c>
      <c r="W110" s="45">
        <f t="shared" si="2"/>
        <v>364.21267919722112</v>
      </c>
      <c r="X110" s="45">
        <f t="shared" si="2"/>
        <v>394.37562649722099</v>
      </c>
      <c r="Y110" s="45">
        <f t="shared" si="2"/>
        <v>455.60074506305421</v>
      </c>
      <c r="Z110" s="13" t="s">
        <v>491</v>
      </c>
      <c r="AB110" s="13" t="s">
        <v>488</v>
      </c>
      <c r="AC110" s="13">
        <v>0.75474359999999996</v>
      </c>
      <c r="AD110" s="13">
        <v>0.79769080000000003</v>
      </c>
      <c r="AE110" s="13">
        <v>0.81666039999999995</v>
      </c>
      <c r="AF110" s="13">
        <v>0.84514060000000002</v>
      </c>
      <c r="AG110" s="13">
        <v>0.90053030000000001</v>
      </c>
      <c r="AH110" s="13">
        <v>0.9843655</v>
      </c>
      <c r="AI110" s="13">
        <v>1.0737135</v>
      </c>
      <c r="AJ110" s="13">
        <v>1.1769238</v>
      </c>
      <c r="AK110" s="62" t="s">
        <v>522</v>
      </c>
    </row>
    <row r="111" spans="1:37">
      <c r="A111" s="13" t="s">
        <v>0</v>
      </c>
      <c r="B111" s="13" t="s">
        <v>5</v>
      </c>
      <c r="C111" s="8" t="s">
        <v>17</v>
      </c>
      <c r="D111" s="74">
        <f>SUMIF($H$3:$H$91,$B111,J$3:J$91)-SUM(J13:J15)+Z174</f>
        <v>0.22515634319999997</v>
      </c>
      <c r="E111" s="74">
        <f t="shared" ref="E111:F111" si="3">SUMIF($H$3:$H$91,$B111,K$3:K$91)-SUM(K13:K15)+AA174</f>
        <v>0.69010155344000002</v>
      </c>
      <c r="F111" s="74">
        <f t="shared" si="3"/>
        <v>0.86423672053</v>
      </c>
      <c r="G111" s="92">
        <f>SUMIF($H$3:$H$91,$B111,M$3:M$91)-SUM(M13:M15)+Z174</f>
        <v>0.99548382320000017</v>
      </c>
      <c r="H111" s="92">
        <f t="shared" ref="H111:N111" si="4">SUMIF($H$3:$H$91,$B111,N$3:N$91)-SUM(N13:N15)+AA174</f>
        <v>1.0599791964399976</v>
      </c>
      <c r="I111" s="92">
        <f t="shared" si="4"/>
        <v>1.13724583621</v>
      </c>
      <c r="J111" s="92">
        <f t="shared" si="4"/>
        <v>1.17651025607</v>
      </c>
      <c r="K111" s="92">
        <f t="shared" si="4"/>
        <v>1.2153986219199999</v>
      </c>
      <c r="L111" s="92">
        <f t="shared" si="4"/>
        <v>1.3111656451099998</v>
      </c>
      <c r="M111" s="92">
        <f t="shared" si="4"/>
        <v>1.4197522553899997</v>
      </c>
      <c r="N111" s="92">
        <f t="shared" si="4"/>
        <v>1.6401626822269999</v>
      </c>
      <c r="Q111" s="8" t="s">
        <v>485</v>
      </c>
      <c r="R111" s="45">
        <f>R113*$Q$113</f>
        <v>265.68080230999925</v>
      </c>
      <c r="S111" s="45">
        <f>S113*$Q$113</f>
        <v>268.74072508999922</v>
      </c>
      <c r="T111" s="45"/>
      <c r="U111" s="45"/>
      <c r="V111" s="45"/>
      <c r="W111" s="45"/>
      <c r="X111" s="45"/>
      <c r="Y111" s="9"/>
      <c r="AB111" s="13" t="s">
        <v>486</v>
      </c>
      <c r="AC111" s="13">
        <v>0.9797585900000001</v>
      </c>
      <c r="AD111" s="13">
        <v>1.0228880035999999</v>
      </c>
      <c r="AE111" s="13">
        <v>1.0359195476999989</v>
      </c>
      <c r="AF111" s="13">
        <v>1.0756297838000002</v>
      </c>
      <c r="AG111" s="13">
        <v>1.1233424222999997</v>
      </c>
      <c r="AH111" s="13">
        <v>1.1932346080999989</v>
      </c>
      <c r="AI111" s="13">
        <v>1.253352072699998</v>
      </c>
      <c r="AJ111" s="13">
        <v>1.3170007227999991</v>
      </c>
      <c r="AK111" s="62" t="s">
        <v>522</v>
      </c>
    </row>
    <row r="112" spans="1:37">
      <c r="A112" s="13" t="s">
        <v>0</v>
      </c>
      <c r="B112" s="13" t="s">
        <v>3</v>
      </c>
      <c r="C112" s="8" t="s">
        <v>13</v>
      </c>
      <c r="D112" s="45"/>
      <c r="E112" s="45"/>
      <c r="F112" s="45"/>
      <c r="G112" s="45">
        <f>SUMIF($H$3:$H$91,$B112,M$3:M$91)</f>
        <v>0.16462779999999999</v>
      </c>
      <c r="H112" s="45">
        <f t="shared" ref="H112:N112" si="5">SUMIF($H$3:$H$91,$B112,N$3:N$91)</f>
        <v>0.177693509</v>
      </c>
      <c r="I112" s="45">
        <f t="shared" si="5"/>
        <v>0.22116057599999989</v>
      </c>
      <c r="J112" s="45">
        <f t="shared" si="5"/>
        <v>0.26059389099999897</v>
      </c>
      <c r="K112" s="45">
        <f t="shared" si="5"/>
        <v>0.32366602899999997</v>
      </c>
      <c r="L112" s="45">
        <f t="shared" si="5"/>
        <v>0.3500763791</v>
      </c>
      <c r="M112" s="45">
        <f t="shared" si="5"/>
        <v>0.33849337239999988</v>
      </c>
      <c r="N112" s="45">
        <f t="shared" si="5"/>
        <v>0.18941178532999989</v>
      </c>
      <c r="Q112" s="70" t="s">
        <v>474</v>
      </c>
      <c r="R112" s="71"/>
      <c r="S112" s="71"/>
      <c r="T112" s="71">
        <f>T113*$Q$113</f>
        <v>302.37999999999914</v>
      </c>
      <c r="U112" s="71">
        <f>U113*$Q$113</f>
        <v>337.26999999999902</v>
      </c>
      <c r="V112" s="71">
        <f>V113*$Q$113</f>
        <v>348.89999999999901</v>
      </c>
      <c r="W112" s="71"/>
      <c r="X112" s="71"/>
      <c r="Y112" s="10"/>
      <c r="AB112" s="13" t="s">
        <v>487</v>
      </c>
      <c r="AC112" s="13">
        <v>7.9864199999999993E-3</v>
      </c>
      <c r="AD112" s="13">
        <v>1.2514590199999899E-2</v>
      </c>
      <c r="AE112" s="13">
        <v>4.1409491599999897E-2</v>
      </c>
      <c r="AF112" s="13">
        <v>7.4784349999999999E-2</v>
      </c>
      <c r="AG112" s="13">
        <v>0.10448724152</v>
      </c>
      <c r="AH112" s="13">
        <v>0.12512026059</v>
      </c>
      <c r="AI112" s="13">
        <v>0.14054691965999999</v>
      </c>
      <c r="AJ112" s="13">
        <v>0.152712697209999</v>
      </c>
      <c r="AK112" s="62" t="s">
        <v>522</v>
      </c>
    </row>
    <row r="113" spans="1:37">
      <c r="B113" s="13" t="s">
        <v>343</v>
      </c>
      <c r="C113" s="8" t="s">
        <v>114</v>
      </c>
      <c r="D113" s="45"/>
      <c r="E113" s="45"/>
      <c r="F113" s="45"/>
      <c r="G113" s="74">
        <f t="shared" ref="G113:N113" si="6">SUMIF($I$3:$I$91,$B113,M$3:M$91)-M85+M52+M63</f>
        <v>0</v>
      </c>
      <c r="H113" s="74">
        <f t="shared" si="6"/>
        <v>0</v>
      </c>
      <c r="I113" s="74">
        <f t="shared" si="6"/>
        <v>2.3283748740000002E-3</v>
      </c>
      <c r="J113" s="74">
        <f t="shared" si="6"/>
        <v>8.6890063409999999E-3</v>
      </c>
      <c r="K113" s="74">
        <f t="shared" si="6"/>
        <v>2.5350490386999901E-2</v>
      </c>
      <c r="L113" s="74">
        <f t="shared" si="6"/>
        <v>5.0654994348100002E-2</v>
      </c>
      <c r="M113" s="74">
        <f t="shared" si="6"/>
        <v>7.7514072386999894E-2</v>
      </c>
      <c r="N113" s="75">
        <f t="shared" si="6"/>
        <v>0.10315536319999999</v>
      </c>
      <c r="Q113" s="70">
        <v>277.77777777777698</v>
      </c>
      <c r="R113" s="13">
        <v>0.95645088831600011</v>
      </c>
      <c r="S113" s="13">
        <v>0.96746661032400005</v>
      </c>
      <c r="T113" s="13">
        <v>1.088568</v>
      </c>
      <c r="U113" s="13">
        <v>1.214172</v>
      </c>
      <c r="V113" s="13">
        <v>1.25604</v>
      </c>
      <c r="AB113" s="13" t="s">
        <v>489</v>
      </c>
      <c r="AC113" s="13">
        <f>SUM(AC110:AC112)</f>
        <v>1.7424886100000001</v>
      </c>
      <c r="AD113" s="62">
        <f t="shared" ref="AD113:AJ113" si="7">SUM(AD110:AD112)</f>
        <v>1.8330933937999998</v>
      </c>
      <c r="AE113" s="62">
        <f t="shared" si="7"/>
        <v>1.8939894392999987</v>
      </c>
      <c r="AF113" s="62">
        <f t="shared" si="7"/>
        <v>1.9955547338000004</v>
      </c>
      <c r="AG113" s="62">
        <f t="shared" si="7"/>
        <v>2.1283599638199995</v>
      </c>
      <c r="AH113" s="62">
        <f t="shared" si="7"/>
        <v>2.3027203686899993</v>
      </c>
      <c r="AI113" s="62">
        <f t="shared" si="7"/>
        <v>2.467612492359998</v>
      </c>
      <c r="AJ113" s="62">
        <f t="shared" si="7"/>
        <v>2.6466372200099979</v>
      </c>
      <c r="AK113" s="62" t="s">
        <v>522</v>
      </c>
    </row>
    <row r="114" spans="1:37">
      <c r="A114" s="13" t="s">
        <v>0</v>
      </c>
      <c r="B114" s="13" t="s">
        <v>7</v>
      </c>
      <c r="C114" s="8" t="s">
        <v>15</v>
      </c>
      <c r="D114" s="45"/>
      <c r="E114" s="45"/>
      <c r="F114" s="45"/>
      <c r="G114" s="74">
        <f t="shared" ref="G114:N114" si="8">SUMIF($H$3:$H$91,$B114,M$3:M$91)-G113-M85</f>
        <v>0.351054119</v>
      </c>
      <c r="H114" s="74">
        <f t="shared" si="8"/>
        <v>0.37487391349999988</v>
      </c>
      <c r="I114" s="74">
        <f t="shared" si="8"/>
        <v>0.43504327843299995</v>
      </c>
      <c r="J114" s="74">
        <f t="shared" si="8"/>
        <v>0.45945603829699994</v>
      </c>
      <c r="K114" s="74">
        <f t="shared" si="8"/>
        <v>0.42981496813799897</v>
      </c>
      <c r="L114" s="74">
        <f t="shared" si="8"/>
        <v>0.35572887133300002</v>
      </c>
      <c r="M114" s="74">
        <f t="shared" si="8"/>
        <v>0.28735022754299999</v>
      </c>
      <c r="N114" s="75">
        <f t="shared" si="8"/>
        <v>0.19493178558999999</v>
      </c>
      <c r="AB114" s="13" t="s">
        <v>490</v>
      </c>
      <c r="AC114" s="13">
        <f>AC109-AC113</f>
        <v>3.7458043199999791E-2</v>
      </c>
      <c r="AD114" s="62">
        <f t="shared" ref="AD114:AJ114" si="9">AD109-AD113</f>
        <v>4.1421982970000215E-2</v>
      </c>
      <c r="AE114" s="62">
        <f t="shared" si="9"/>
        <v>4.234625791000135E-2</v>
      </c>
      <c r="AF114" s="62">
        <f t="shared" si="9"/>
        <v>4.3184504419999437E-2</v>
      </c>
      <c r="AG114" s="62">
        <f t="shared" si="9"/>
        <v>4.2996115459990492E-2</v>
      </c>
      <c r="AH114" s="62">
        <f t="shared" si="9"/>
        <v>4.266374417000085E-2</v>
      </c>
      <c r="AI114" s="62">
        <f t="shared" si="9"/>
        <v>4.2504131403461987E-2</v>
      </c>
      <c r="AJ114" s="62">
        <f t="shared" si="9"/>
        <v>0.22944270928204213</v>
      </c>
      <c r="AK114" s="62" t="s">
        <v>522</v>
      </c>
    </row>
    <row r="115" spans="1:37">
      <c r="A115" s="13" t="s">
        <v>0</v>
      </c>
      <c r="B115" s="13" t="s">
        <v>344</v>
      </c>
      <c r="C115" s="8" t="s">
        <v>115</v>
      </c>
      <c r="D115" s="45"/>
      <c r="E115" s="45"/>
      <c r="F115" s="45"/>
      <c r="G115" s="74">
        <f t="shared" ref="G115:N115" si="10">SUMIF($I$3:$I$91,$B115,M$3:M$91)+M43+M56</f>
        <v>0</v>
      </c>
      <c r="H115" s="74">
        <f t="shared" si="10"/>
        <v>0</v>
      </c>
      <c r="I115" s="74">
        <f t="shared" si="10"/>
        <v>2.52513E-3</v>
      </c>
      <c r="J115" s="74">
        <f t="shared" si="10"/>
        <v>1.0989835699999999E-2</v>
      </c>
      <c r="K115" s="74">
        <f t="shared" si="10"/>
        <v>3.1981812300000002E-2</v>
      </c>
      <c r="L115" s="74">
        <f t="shared" si="10"/>
        <v>5.6872647439999986E-2</v>
      </c>
      <c r="M115" s="74">
        <f t="shared" si="10"/>
        <v>8.2828810350000004E-2</v>
      </c>
      <c r="N115" s="75">
        <f t="shared" si="10"/>
        <v>8.2824695840000004E-2</v>
      </c>
    </row>
    <row r="116" spans="1:37">
      <c r="A116" s="13" t="s">
        <v>26</v>
      </c>
      <c r="B116" s="13" t="s">
        <v>4</v>
      </c>
      <c r="C116" s="8" t="s">
        <v>14</v>
      </c>
      <c r="D116" s="45"/>
      <c r="E116" s="45"/>
      <c r="F116" s="45"/>
      <c r="G116" s="45">
        <f t="shared" ref="G116:N116" si="11">SUMIF($H$3:$H$91,$B116,M$3:M$91)-G115</f>
        <v>1.3146941000000001</v>
      </c>
      <c r="H116" s="45">
        <f t="shared" si="11"/>
        <v>1.3027586420000001</v>
      </c>
      <c r="I116" s="45">
        <f t="shared" si="11"/>
        <v>1.1566351100000001</v>
      </c>
      <c r="J116" s="45">
        <f t="shared" si="11"/>
        <v>0.88571382699999901</v>
      </c>
      <c r="K116" s="45">
        <f t="shared" si="11"/>
        <v>0.55942455959999893</v>
      </c>
      <c r="L116" s="45">
        <f t="shared" si="11"/>
        <v>0.32931710499999989</v>
      </c>
      <c r="M116" s="45">
        <f t="shared" si="11"/>
        <v>0.17188393042999994</v>
      </c>
      <c r="N116" s="9">
        <f t="shared" si="11"/>
        <v>3.8538994999999882E-2</v>
      </c>
    </row>
    <row r="117" spans="1:37">
      <c r="A117" s="13" t="s">
        <v>27</v>
      </c>
      <c r="B117" s="13" t="s">
        <v>112</v>
      </c>
      <c r="C117" s="8" t="s">
        <v>342</v>
      </c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9"/>
    </row>
    <row r="118" spans="1:37">
      <c r="A118" s="13" t="s">
        <v>28</v>
      </c>
      <c r="B118" s="13" t="s">
        <v>6</v>
      </c>
      <c r="C118" s="8" t="s">
        <v>305</v>
      </c>
      <c r="D118" s="45"/>
      <c r="E118" s="45"/>
      <c r="F118" s="45"/>
      <c r="G118" s="45">
        <f t="shared" ref="G118:N118" si="12">SUMIF($H$3:$H$91,$B118,M$3:M$91)-G119</f>
        <v>0.27855717000000046</v>
      </c>
      <c r="H118" s="45">
        <f t="shared" si="12"/>
        <v>0.28249945948999922</v>
      </c>
      <c r="I118" s="45">
        <f t="shared" si="12"/>
        <v>0.30293025682799923</v>
      </c>
      <c r="J118" s="45">
        <f t="shared" si="12"/>
        <v>0.30610445802100017</v>
      </c>
      <c r="K118" s="45">
        <f t="shared" si="12"/>
        <v>0.29518214984330049</v>
      </c>
      <c r="L118" s="45">
        <f t="shared" si="12"/>
        <v>0.26661371757270036</v>
      </c>
      <c r="M118" s="45">
        <f t="shared" si="12"/>
        <v>0.2288042209919996</v>
      </c>
      <c r="N118" s="9">
        <f t="shared" si="12"/>
        <v>0.1063319963938798</v>
      </c>
      <c r="AC118" s="13">
        <v>276.52328422222149</v>
      </c>
      <c r="AD118" s="13">
        <v>294.43866567777627</v>
      </c>
      <c r="AE118" s="13">
        <v>315.9016211694435</v>
      </c>
      <c r="AF118" s="13">
        <v>326.80840446388794</v>
      </c>
      <c r="AG118" s="13">
        <v>337.61072831111011</v>
      </c>
      <c r="AH118" s="13">
        <v>364.21267919722112</v>
      </c>
      <c r="AI118" s="13">
        <v>394.37562649722099</v>
      </c>
      <c r="AJ118" s="13">
        <v>455.60074506305421</v>
      </c>
    </row>
    <row r="119" spans="1:37">
      <c r="A119" s="13" t="s">
        <v>28</v>
      </c>
      <c r="B119" s="13" t="s">
        <v>6</v>
      </c>
      <c r="C119" s="8" t="s">
        <v>320</v>
      </c>
      <c r="D119" s="45"/>
      <c r="E119" s="45"/>
      <c r="F119" s="45"/>
      <c r="G119" s="45">
        <f>SUM(K104:K106)</f>
        <v>1.9580449999999998</v>
      </c>
      <c r="H119" s="45">
        <f t="shared" ref="H119:N119" si="13">SUM(L104:L106)</f>
        <v>1.9839691000000002</v>
      </c>
      <c r="I119" s="45">
        <f t="shared" si="13"/>
        <v>2.1160428000000002</v>
      </c>
      <c r="J119" s="45">
        <f t="shared" si="13"/>
        <v>2.2433597000000001</v>
      </c>
      <c r="K119" s="45">
        <f t="shared" si="13"/>
        <v>2.3406243999999998</v>
      </c>
      <c r="L119" s="45">
        <f t="shared" si="13"/>
        <v>2.4542028999999999</v>
      </c>
      <c r="M119" s="45">
        <f t="shared" si="13"/>
        <v>2.5899451</v>
      </c>
      <c r="N119" s="9">
        <f t="shared" si="13"/>
        <v>2.6995977000000004</v>
      </c>
      <c r="X119" s="64"/>
      <c r="Y119" s="62"/>
      <c r="Z119" s="62"/>
      <c r="AC119" s="27">
        <v>276.52328422222149</v>
      </c>
    </row>
    <row r="120" spans="1:37">
      <c r="A120" s="13" t="s">
        <v>28</v>
      </c>
      <c r="C120" s="70" t="s">
        <v>174</v>
      </c>
      <c r="D120" s="71"/>
      <c r="E120" s="71"/>
      <c r="F120" s="71"/>
      <c r="G120" s="76">
        <f>SUM(M85,M13:M15)</f>
        <v>0</v>
      </c>
      <c r="H120" s="76">
        <f t="shared" ref="H120:N120" si="14">SUM(N85,N13:N15)</f>
        <v>0</v>
      </c>
      <c r="I120" s="76">
        <f t="shared" si="14"/>
        <v>0</v>
      </c>
      <c r="J120" s="76">
        <f t="shared" si="14"/>
        <v>0</v>
      </c>
      <c r="K120" s="76">
        <f t="shared" si="14"/>
        <v>0</v>
      </c>
      <c r="L120" s="76">
        <f t="shared" si="14"/>
        <v>0</v>
      </c>
      <c r="M120" s="76">
        <f t="shared" si="14"/>
        <v>0</v>
      </c>
      <c r="N120" s="77">
        <f t="shared" si="14"/>
        <v>3.7171465460199997E-2</v>
      </c>
      <c r="X120" s="64"/>
      <c r="Y120" s="27"/>
      <c r="Z120" s="62"/>
      <c r="AC120" s="27">
        <v>294.43866567777627</v>
      </c>
    </row>
    <row r="121" spans="1:37">
      <c r="A121" s="115" t="s">
        <v>29</v>
      </c>
      <c r="B121" s="115"/>
      <c r="C121" s="115"/>
      <c r="D121" s="80"/>
      <c r="E121" s="80"/>
      <c r="F121" s="80"/>
      <c r="G121" s="13">
        <f t="shared" ref="G121:M121" si="15">SUM(G110:G120)</f>
        <v>5.062462012200001</v>
      </c>
      <c r="H121" s="13">
        <f t="shared" si="15"/>
        <v>5.1828634185489975</v>
      </c>
      <c r="I121" s="13">
        <f t="shared" si="15"/>
        <v>5.3798706720869998</v>
      </c>
      <c r="J121" s="13">
        <f t="shared" si="15"/>
        <v>5.3964450564779982</v>
      </c>
      <c r="K121" s="13">
        <f t="shared" si="15"/>
        <v>5.3616233470052981</v>
      </c>
      <c r="L121" s="13">
        <f t="shared" si="15"/>
        <v>5.4646504174907999</v>
      </c>
      <c r="M121" s="13">
        <f t="shared" si="15"/>
        <v>5.6589161250319986</v>
      </c>
      <c r="N121" s="13">
        <f>SUM(N110:N120)</f>
        <v>5.8774646030014797</v>
      </c>
      <c r="X121" s="64"/>
      <c r="Y121" s="27"/>
      <c r="AC121" s="27">
        <v>315.9016211694435</v>
      </c>
    </row>
    <row r="122" spans="1:37">
      <c r="X122" s="64"/>
      <c r="Y122" s="27"/>
      <c r="AC122" s="27">
        <v>326.80840446388794</v>
      </c>
    </row>
    <row r="123" spans="1:37">
      <c r="X123" s="64"/>
      <c r="Y123" s="27"/>
      <c r="AC123" s="27">
        <v>337.61072831111011</v>
      </c>
    </row>
    <row r="124" spans="1:37">
      <c r="Y124" s="27"/>
      <c r="AC124" s="27">
        <v>364.21267919722112</v>
      </c>
    </row>
    <row r="125" spans="1:37">
      <c r="Y125" s="27"/>
      <c r="AC125" s="27">
        <v>394.37562649722099</v>
      </c>
    </row>
    <row r="126" spans="1:37">
      <c r="Y126" s="27"/>
      <c r="AC126" s="27">
        <v>455.60074506305421</v>
      </c>
    </row>
    <row r="127" spans="1:37">
      <c r="Y127" s="27"/>
    </row>
    <row r="134" spans="16:54"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</row>
    <row r="135" spans="16:54"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</row>
    <row r="136" spans="16:54"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</row>
    <row r="137" spans="16:54">
      <c r="Q137" s="62"/>
      <c r="R137" s="62"/>
      <c r="S137" s="62"/>
      <c r="T137" s="62"/>
      <c r="U137" s="62"/>
      <c r="V137" s="62"/>
      <c r="W137" s="62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</row>
    <row r="138" spans="16:54"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</row>
    <row r="139" spans="16:54">
      <c r="Q139" s="62"/>
      <c r="R139" s="62"/>
      <c r="S139" s="62"/>
      <c r="T139" s="62"/>
      <c r="U139" s="62"/>
      <c r="V139" s="62"/>
      <c r="W139" s="62"/>
      <c r="X139" s="63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</row>
    <row r="140" spans="16:54"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</row>
    <row r="141" spans="16:54">
      <c r="Q141" s="62"/>
      <c r="R141" s="62"/>
      <c r="S141" s="62"/>
      <c r="T141" s="62"/>
      <c r="U141" s="62"/>
      <c r="V141" s="62"/>
      <c r="W141" s="62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</row>
    <row r="142" spans="16:54">
      <c r="Q142" s="1" t="s">
        <v>537</v>
      </c>
      <c r="W142" s="62">
        <v>1990</v>
      </c>
      <c r="X142" s="62">
        <v>2005</v>
      </c>
      <c r="Y142" s="62">
        <v>2010</v>
      </c>
      <c r="Z142" s="62">
        <v>2015</v>
      </c>
      <c r="AA142" s="62">
        <v>2020</v>
      </c>
      <c r="AB142" s="62">
        <v>2025</v>
      </c>
      <c r="AC142" s="62">
        <v>2030</v>
      </c>
      <c r="AD142" s="62">
        <v>2035</v>
      </c>
      <c r="AE142" s="62">
        <v>2040</v>
      </c>
      <c r="AF142" s="62">
        <v>2045</v>
      </c>
      <c r="AG142" s="62">
        <v>2050</v>
      </c>
      <c r="AK142" s="62"/>
      <c r="AL142" s="62">
        <v>2015</v>
      </c>
      <c r="AM142" s="62">
        <v>2020</v>
      </c>
      <c r="AN142" s="62">
        <v>2025</v>
      </c>
      <c r="AO142" s="62">
        <v>2030</v>
      </c>
      <c r="AP142" s="62">
        <v>2035</v>
      </c>
      <c r="AQ142" s="62">
        <v>2040</v>
      </c>
      <c r="AR142" s="62">
        <v>2045</v>
      </c>
      <c r="AS142" s="62">
        <v>2050</v>
      </c>
      <c r="AT142" s="62"/>
      <c r="AU142" s="62"/>
      <c r="AV142" s="62"/>
      <c r="AW142" s="62"/>
      <c r="AX142" s="62"/>
      <c r="AY142" s="62"/>
      <c r="AZ142" s="62"/>
      <c r="BA142" s="62"/>
      <c r="BB142" s="62"/>
    </row>
    <row r="143" spans="16:54">
      <c r="P143" s="62"/>
      <c r="Q143" s="62" t="s">
        <v>607</v>
      </c>
      <c r="R143" s="62" t="s">
        <v>1</v>
      </c>
      <c r="S143" s="85" t="s">
        <v>140</v>
      </c>
      <c r="T143" s="62" t="s">
        <v>59</v>
      </c>
      <c r="U143" s="62" t="s">
        <v>329</v>
      </c>
      <c r="V143" s="62" t="s">
        <v>5</v>
      </c>
      <c r="W143" s="62">
        <v>0</v>
      </c>
      <c r="X143" s="62">
        <v>0</v>
      </c>
      <c r="Y143" s="62">
        <v>0</v>
      </c>
      <c r="Z143" s="62">
        <v>0</v>
      </c>
      <c r="AA143" s="63">
        <v>2.9951299999999999E-5</v>
      </c>
      <c r="AB143" s="63">
        <v>2.3475899999999999E-4</v>
      </c>
      <c r="AC143" s="62">
        <v>1.05083E-3</v>
      </c>
      <c r="AD143" s="62">
        <v>2.9100599999999999E-3</v>
      </c>
      <c r="AE143" s="62">
        <v>5.9446300000000002E-3</v>
      </c>
      <c r="AF143" s="62">
        <v>9.9675700000000002E-3</v>
      </c>
      <c r="AG143" s="62">
        <v>1.95502E-2</v>
      </c>
      <c r="AK143" s="62" t="s">
        <v>591</v>
      </c>
      <c r="AL143" s="62">
        <f>SUM(Z159:Z165)</f>
        <v>0.19544590000000001</v>
      </c>
      <c r="AM143" s="62">
        <f t="shared" ref="AM143:AS143" si="16">SUM(AA159:AA165)</f>
        <v>0.18448147999999989</v>
      </c>
      <c r="AN143" s="62">
        <f t="shared" si="16"/>
        <v>0.20025723099999998</v>
      </c>
      <c r="AO143" s="62">
        <f t="shared" si="16"/>
        <v>0.19628166719999998</v>
      </c>
      <c r="AP143" s="62">
        <f t="shared" si="16"/>
        <v>0.19021549969999987</v>
      </c>
      <c r="AQ143" s="62">
        <f t="shared" si="16"/>
        <v>0.19415254561999989</v>
      </c>
      <c r="AR143" s="62">
        <f t="shared" si="16"/>
        <v>0.20426074120000001</v>
      </c>
      <c r="AS143" s="62">
        <f t="shared" si="16"/>
        <v>0.21834760756999988</v>
      </c>
      <c r="AT143" s="62" t="s">
        <v>595</v>
      </c>
      <c r="AU143" s="62"/>
      <c r="AV143" s="62"/>
      <c r="AW143" s="62"/>
      <c r="AX143" s="62"/>
      <c r="AY143" s="62"/>
      <c r="AZ143" s="62"/>
      <c r="BA143" s="62"/>
      <c r="BB143" s="62"/>
    </row>
    <row r="144" spans="16:54">
      <c r="P144" s="62"/>
      <c r="Q144" s="62" t="s">
        <v>607</v>
      </c>
      <c r="R144" s="62" t="s">
        <v>1</v>
      </c>
      <c r="S144" s="85" t="s">
        <v>64</v>
      </c>
      <c r="T144" s="62" t="s">
        <v>59</v>
      </c>
      <c r="U144" s="62" t="s">
        <v>59</v>
      </c>
      <c r="V144" s="62" t="s">
        <v>5</v>
      </c>
      <c r="W144" s="62">
        <v>5.2325000000000002E-3</v>
      </c>
      <c r="X144" s="62">
        <v>1.9004400000000001E-2</v>
      </c>
      <c r="Y144" s="62">
        <v>2.8799700000000001E-2</v>
      </c>
      <c r="Z144" s="62">
        <v>4.1901800000000003E-2</v>
      </c>
      <c r="AA144" s="62">
        <v>3.936812E-2</v>
      </c>
      <c r="AB144" s="62">
        <v>3.8983610000000002E-2</v>
      </c>
      <c r="AC144" s="62">
        <v>3.3719399999999997E-2</v>
      </c>
      <c r="AD144" s="62">
        <v>2.9909667000000001E-2</v>
      </c>
      <c r="AE144" s="62">
        <v>3.0121490000000001E-2</v>
      </c>
      <c r="AF144" s="62">
        <v>3.3299700000000002E-2</v>
      </c>
      <c r="AG144" s="62">
        <v>4.1750280000000001E-2</v>
      </c>
      <c r="AK144" s="62" t="s">
        <v>592</v>
      </c>
      <c r="AL144" s="62">
        <f>Z150</f>
        <v>0.17627200000000001</v>
      </c>
      <c r="AM144" s="62">
        <f t="shared" ref="AM144:AS144" si="17">AA150</f>
        <v>0.18617799999999901</v>
      </c>
      <c r="AN144" s="62">
        <f t="shared" si="17"/>
        <v>0.20609259999999999</v>
      </c>
      <c r="AO144" s="62">
        <f t="shared" si="17"/>
        <v>0.2279157</v>
      </c>
      <c r="AP144" s="62">
        <f t="shared" si="17"/>
        <v>0.25670769999999998</v>
      </c>
      <c r="AQ144" s="62">
        <f t="shared" si="17"/>
        <v>0.29568918</v>
      </c>
      <c r="AR144" s="62">
        <f t="shared" si="17"/>
        <v>0.33893118999999999</v>
      </c>
      <c r="AS144" s="62">
        <f t="shared" si="17"/>
        <v>0.39745271799999998</v>
      </c>
      <c r="AT144" s="62"/>
      <c r="AU144" s="62"/>
      <c r="AV144" s="62"/>
      <c r="AW144" s="62"/>
      <c r="AX144" s="62"/>
      <c r="AY144" s="62"/>
      <c r="AZ144" s="62"/>
      <c r="BA144" s="62"/>
      <c r="BB144" s="62"/>
    </row>
    <row r="145" spans="1:54">
      <c r="A145" s="31"/>
      <c r="N145" s="14"/>
      <c r="O145" s="14"/>
      <c r="P145" s="62"/>
      <c r="Q145" s="63" t="s">
        <v>607</v>
      </c>
      <c r="R145" s="63" t="s">
        <v>1</v>
      </c>
      <c r="S145" s="85" t="s">
        <v>61</v>
      </c>
      <c r="T145" s="62" t="s">
        <v>61</v>
      </c>
      <c r="U145" s="62" t="s">
        <v>61</v>
      </c>
      <c r="V145" s="62" t="s">
        <v>5</v>
      </c>
      <c r="W145" s="62">
        <v>1.39375E-2</v>
      </c>
      <c r="X145" s="62">
        <v>2.0152400000000001E-2</v>
      </c>
      <c r="Y145" s="62">
        <v>1.9656400000000001E-2</v>
      </c>
      <c r="Z145" s="62">
        <v>1.9656400000000001E-2</v>
      </c>
      <c r="AA145" s="62">
        <v>2.0393651999999901E-2</v>
      </c>
      <c r="AB145" s="62">
        <v>2.0707868000000001E-2</v>
      </c>
      <c r="AC145" s="62">
        <v>1.8533211000000001E-2</v>
      </c>
      <c r="AD145" s="62">
        <v>1.4279807E-2</v>
      </c>
      <c r="AE145" s="62">
        <v>8.0898059999999997E-3</v>
      </c>
      <c r="AF145" s="62">
        <v>4.4730018999999998E-3</v>
      </c>
      <c r="AG145" s="62">
        <v>1.4198320860000001E-3</v>
      </c>
      <c r="AK145" s="62" t="s">
        <v>593</v>
      </c>
      <c r="AL145" s="62">
        <f>SUM(Z153:Z155,Z171:Z173)</f>
        <v>0.1409</v>
      </c>
      <c r="AM145" s="62">
        <f t="shared" ref="AM145:AS145" si="18">SUM(AA153:AA155,AA171:AA173)</f>
        <v>0.19015489999999988</v>
      </c>
      <c r="AN145" s="62">
        <f t="shared" si="18"/>
        <v>0.20959696999999999</v>
      </c>
      <c r="AO145" s="62">
        <f t="shared" si="18"/>
        <v>0.23773493999999998</v>
      </c>
      <c r="AP145" s="62">
        <f t="shared" si="18"/>
        <v>0.25498072599999999</v>
      </c>
      <c r="AQ145" s="62">
        <f t="shared" si="18"/>
        <v>0.27696074599999998</v>
      </c>
      <c r="AR145" s="62">
        <f t="shared" si="18"/>
        <v>0.29972537599999988</v>
      </c>
      <c r="AS145" s="62">
        <f t="shared" si="18"/>
        <v>0.324118505</v>
      </c>
      <c r="AT145" s="62"/>
      <c r="AU145" s="62"/>
      <c r="AV145" s="62"/>
      <c r="AW145" s="62"/>
      <c r="AX145" s="62"/>
      <c r="AY145" s="62"/>
      <c r="AZ145" s="62"/>
      <c r="BA145" s="62"/>
      <c r="BB145" s="62"/>
    </row>
    <row r="146" spans="1:54">
      <c r="N146" s="14"/>
      <c r="O146" s="14"/>
      <c r="P146" s="62"/>
      <c r="Q146" s="62" t="s">
        <v>607</v>
      </c>
      <c r="R146" s="62" t="s">
        <v>1</v>
      </c>
      <c r="S146" s="85" t="s">
        <v>61</v>
      </c>
      <c r="T146" s="62" t="s">
        <v>61</v>
      </c>
      <c r="U146" s="62" t="s">
        <v>116</v>
      </c>
      <c r="V146" s="62" t="s">
        <v>5</v>
      </c>
      <c r="W146" s="62">
        <v>0</v>
      </c>
      <c r="X146" s="62">
        <v>0</v>
      </c>
      <c r="Y146" s="62">
        <v>0</v>
      </c>
      <c r="Z146" s="62">
        <v>0</v>
      </c>
      <c r="AA146" s="62">
        <v>0</v>
      </c>
      <c r="AB146" s="63">
        <v>5.3379799999999998E-6</v>
      </c>
      <c r="AC146" s="63">
        <v>3.8975179999999998E-5</v>
      </c>
      <c r="AD146" s="62">
        <v>2.0266897699999999E-3</v>
      </c>
      <c r="AE146" s="62">
        <v>8.0122759699999997E-3</v>
      </c>
      <c r="AF146" s="62">
        <v>1.1550499440000001E-2</v>
      </c>
      <c r="AG146" s="62">
        <v>1.2808461431E-2</v>
      </c>
      <c r="AK146" s="13" t="s">
        <v>633</v>
      </c>
      <c r="AL146" s="13">
        <f>SUM(Z145:Z146)</f>
        <v>1.9656400000000001E-2</v>
      </c>
      <c r="AM146" s="62">
        <f t="shared" ref="AM146:AS146" si="19">SUM(AA145:AA146)</f>
        <v>2.0393651999999901E-2</v>
      </c>
      <c r="AN146" s="62">
        <f t="shared" si="19"/>
        <v>2.071320598E-2</v>
      </c>
      <c r="AO146" s="62">
        <f t="shared" si="19"/>
        <v>1.8572186180000002E-2</v>
      </c>
      <c r="AP146" s="62">
        <f t="shared" si="19"/>
        <v>1.6306496770000001E-2</v>
      </c>
      <c r="AQ146" s="62">
        <f t="shared" si="19"/>
        <v>1.6102081970000001E-2</v>
      </c>
      <c r="AR146" s="62">
        <f t="shared" si="19"/>
        <v>1.6023501339999999E-2</v>
      </c>
      <c r="AS146" s="62">
        <f t="shared" si="19"/>
        <v>1.4228293517E-2</v>
      </c>
      <c r="AU146" s="62"/>
      <c r="AV146" s="62"/>
      <c r="AW146" s="62"/>
      <c r="AX146" s="62"/>
      <c r="AY146" s="62"/>
      <c r="AZ146" s="62"/>
      <c r="BA146" s="62"/>
      <c r="BB146" s="62"/>
    </row>
    <row r="147" spans="1:54">
      <c r="O147" s="14"/>
      <c r="P147" s="62"/>
      <c r="Q147" s="62" t="s">
        <v>607</v>
      </c>
      <c r="R147" s="62" t="s">
        <v>1</v>
      </c>
      <c r="S147" s="85" t="s">
        <v>191</v>
      </c>
      <c r="T147" s="62" t="s">
        <v>338</v>
      </c>
      <c r="U147" s="62" t="s">
        <v>339</v>
      </c>
      <c r="V147" s="62" t="s">
        <v>5</v>
      </c>
      <c r="W147" s="62">
        <v>0</v>
      </c>
      <c r="X147" s="62">
        <v>0</v>
      </c>
      <c r="Y147" s="62">
        <v>0</v>
      </c>
      <c r="Z147" s="62">
        <v>0</v>
      </c>
      <c r="AA147" s="62">
        <v>0</v>
      </c>
      <c r="AB147" s="62">
        <v>0</v>
      </c>
      <c r="AC147" s="62">
        <v>0</v>
      </c>
      <c r="AD147" s="62">
        <v>0</v>
      </c>
      <c r="AE147" s="62">
        <v>0</v>
      </c>
      <c r="AF147" s="62">
        <v>0</v>
      </c>
      <c r="AG147" s="62">
        <v>6.6967499999999996E-3</v>
      </c>
      <c r="AK147" s="62" t="s">
        <v>594</v>
      </c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</row>
    <row r="148" spans="1:54">
      <c r="P148" s="62"/>
      <c r="Q148" s="62" t="s">
        <v>607</v>
      </c>
      <c r="R148" s="62" t="s">
        <v>1</v>
      </c>
      <c r="S148" s="85" t="s">
        <v>191</v>
      </c>
      <c r="T148" s="62" t="s">
        <v>338</v>
      </c>
      <c r="U148" s="62" t="s">
        <v>340</v>
      </c>
      <c r="V148" s="62" t="s">
        <v>5</v>
      </c>
      <c r="W148" s="62">
        <v>0</v>
      </c>
      <c r="X148" s="62">
        <v>0</v>
      </c>
      <c r="Y148" s="62">
        <v>0</v>
      </c>
      <c r="Z148" s="62">
        <v>0</v>
      </c>
      <c r="AA148" s="62">
        <v>0</v>
      </c>
      <c r="AB148" s="62">
        <v>0</v>
      </c>
      <c r="AC148" s="62">
        <v>0</v>
      </c>
      <c r="AD148" s="62">
        <v>0</v>
      </c>
      <c r="AE148" s="62">
        <v>0</v>
      </c>
      <c r="AF148" s="62">
        <v>0</v>
      </c>
      <c r="AG148" s="63">
        <v>8.9248000000000001E-7</v>
      </c>
      <c r="AK148" s="62"/>
      <c r="AL148" s="62">
        <v>2015</v>
      </c>
      <c r="AM148" s="62">
        <v>2020</v>
      </c>
      <c r="AN148" s="62">
        <v>2025</v>
      </c>
      <c r="AO148" s="62">
        <v>2030</v>
      </c>
      <c r="AP148" s="62">
        <v>2035</v>
      </c>
      <c r="AQ148" s="62">
        <v>2040</v>
      </c>
      <c r="AR148" s="62">
        <v>2045</v>
      </c>
      <c r="AS148" s="62">
        <v>2050</v>
      </c>
      <c r="AT148" s="62"/>
      <c r="AU148" s="62"/>
      <c r="AV148" s="62"/>
      <c r="AW148" s="62"/>
      <c r="AX148" s="62"/>
      <c r="AY148" s="62"/>
      <c r="AZ148" s="62"/>
      <c r="BA148" s="62"/>
      <c r="BB148" s="62"/>
    </row>
    <row r="149" spans="1:54">
      <c r="N149" s="14"/>
      <c r="O149" s="14"/>
      <c r="P149" s="62"/>
      <c r="Q149" s="63" t="s">
        <v>607</v>
      </c>
      <c r="R149" s="63" t="s">
        <v>1</v>
      </c>
      <c r="S149" s="86" t="s">
        <v>191</v>
      </c>
      <c r="T149" s="63" t="s">
        <v>338</v>
      </c>
      <c r="U149" s="62" t="s">
        <v>341</v>
      </c>
      <c r="V149" s="62" t="s">
        <v>5</v>
      </c>
      <c r="W149" s="62">
        <v>0</v>
      </c>
      <c r="X149" s="62">
        <v>0</v>
      </c>
      <c r="Y149" s="62">
        <v>0</v>
      </c>
      <c r="Z149" s="62">
        <v>0</v>
      </c>
      <c r="AA149" s="62">
        <v>0</v>
      </c>
      <c r="AB149" s="62">
        <v>0</v>
      </c>
      <c r="AC149" s="62">
        <v>0</v>
      </c>
      <c r="AD149" s="62">
        <v>0</v>
      </c>
      <c r="AE149" s="62">
        <v>0</v>
      </c>
      <c r="AF149" s="62">
        <v>0</v>
      </c>
      <c r="AG149" s="63">
        <v>2.2980199999999999E-8</v>
      </c>
      <c r="AK149" s="62" t="s">
        <v>601</v>
      </c>
      <c r="AL149" s="62">
        <f t="shared" ref="AL149:AS151" si="20">AL143*$Q$113</f>
        <v>54.290527777777619</v>
      </c>
      <c r="AM149" s="62">
        <f t="shared" si="20"/>
        <v>51.244855555555375</v>
      </c>
      <c r="AN149" s="62">
        <f t="shared" si="20"/>
        <v>55.627008611110945</v>
      </c>
      <c r="AO149" s="62">
        <f t="shared" si="20"/>
        <v>54.522685333333172</v>
      </c>
      <c r="AP149" s="62">
        <f t="shared" si="20"/>
        <v>52.837638805555365</v>
      </c>
      <c r="AQ149" s="62">
        <f t="shared" si="20"/>
        <v>53.93126267222204</v>
      </c>
      <c r="AR149" s="62">
        <f t="shared" si="20"/>
        <v>56.739094777777616</v>
      </c>
      <c r="AS149" s="62">
        <f t="shared" si="20"/>
        <v>60.652113213888683</v>
      </c>
      <c r="AT149" s="62" t="s">
        <v>596</v>
      </c>
      <c r="AU149" s="62"/>
      <c r="AV149" s="62"/>
      <c r="AW149" s="62"/>
      <c r="AX149" s="62"/>
      <c r="AY149" s="62"/>
      <c r="AZ149" s="62"/>
      <c r="BA149" s="62"/>
      <c r="BB149" s="62"/>
    </row>
    <row r="150" spans="1:54">
      <c r="N150" s="14"/>
      <c r="O150" s="14"/>
      <c r="P150" s="62"/>
      <c r="Q150" s="62" t="s">
        <v>607</v>
      </c>
      <c r="R150" s="62" t="s">
        <v>1</v>
      </c>
      <c r="S150" s="85" t="s">
        <v>56</v>
      </c>
      <c r="T150" s="62" t="s">
        <v>59</v>
      </c>
      <c r="U150" s="62" t="s">
        <v>59</v>
      </c>
      <c r="V150" s="62" t="s">
        <v>5</v>
      </c>
      <c r="W150" s="62">
        <v>3.9306500000000001E-2</v>
      </c>
      <c r="X150" s="62">
        <v>0.143622</v>
      </c>
      <c r="Y150" s="62">
        <v>0.14705399999999999</v>
      </c>
      <c r="Z150" s="62">
        <v>0.17627200000000001</v>
      </c>
      <c r="AA150" s="62">
        <v>0.18617799999999901</v>
      </c>
      <c r="AB150" s="62">
        <v>0.20609259999999999</v>
      </c>
      <c r="AC150" s="62">
        <v>0.2279157</v>
      </c>
      <c r="AD150" s="62">
        <v>0.25670769999999998</v>
      </c>
      <c r="AE150" s="62">
        <v>0.29568918</v>
      </c>
      <c r="AF150" s="62">
        <v>0.33893118999999999</v>
      </c>
      <c r="AG150" s="62">
        <v>0.39745271799999998</v>
      </c>
      <c r="AK150" s="62" t="s">
        <v>602</v>
      </c>
      <c r="AL150" s="62">
        <f t="shared" si="20"/>
        <v>48.964444444444304</v>
      </c>
      <c r="AM150" s="62">
        <f t="shared" si="20"/>
        <v>51.716111111110685</v>
      </c>
      <c r="AN150" s="62">
        <f t="shared" si="20"/>
        <v>57.247944444444272</v>
      </c>
      <c r="AO150" s="62">
        <f t="shared" si="20"/>
        <v>63.309916666666481</v>
      </c>
      <c r="AP150" s="62">
        <f t="shared" si="20"/>
        <v>71.307694444444238</v>
      </c>
      <c r="AQ150" s="62">
        <f t="shared" si="20"/>
        <v>82.135883333333098</v>
      </c>
      <c r="AR150" s="62">
        <f t="shared" si="20"/>
        <v>94.147552777777506</v>
      </c>
      <c r="AS150" s="62">
        <f t="shared" si="20"/>
        <v>110.40353277777746</v>
      </c>
      <c r="AT150" s="62"/>
      <c r="AU150" s="62"/>
      <c r="AV150" s="62"/>
      <c r="AW150" s="62"/>
      <c r="AX150" s="62"/>
      <c r="AY150" s="62"/>
      <c r="AZ150" s="62"/>
      <c r="BA150" s="62"/>
      <c r="BB150" s="62"/>
    </row>
    <row r="151" spans="1:54">
      <c r="N151" s="14"/>
      <c r="O151" s="14"/>
      <c r="P151" s="62"/>
      <c r="Q151" s="62" t="s">
        <v>607</v>
      </c>
      <c r="R151" s="62" t="s">
        <v>1</v>
      </c>
      <c r="S151" s="85" t="s">
        <v>67</v>
      </c>
      <c r="T151" s="62" t="s">
        <v>59</v>
      </c>
      <c r="U151" s="62" t="s">
        <v>59</v>
      </c>
      <c r="V151" s="62" t="s">
        <v>5</v>
      </c>
      <c r="W151" s="62">
        <v>0</v>
      </c>
      <c r="X151" s="62">
        <v>0</v>
      </c>
      <c r="Y151" s="62">
        <v>0</v>
      </c>
      <c r="Z151" s="62">
        <v>0</v>
      </c>
      <c r="AA151" s="63">
        <v>1.10882E-4</v>
      </c>
      <c r="AB151" s="63">
        <v>3.6963969999999899E-4</v>
      </c>
      <c r="AC151" s="63">
        <v>6.9368209999999997E-4</v>
      </c>
      <c r="AD151" s="62">
        <v>1.0684035000000001E-3</v>
      </c>
      <c r="AE151" s="62">
        <v>1.5069216E-3</v>
      </c>
      <c r="AF151" s="62">
        <v>2.4672666999999999E-3</v>
      </c>
      <c r="AG151" s="62">
        <v>5.9299519999999996E-3</v>
      </c>
      <c r="AK151" s="62" t="s">
        <v>603</v>
      </c>
      <c r="AL151" s="62">
        <f t="shared" si="20"/>
        <v>39.138888888888772</v>
      </c>
      <c r="AM151" s="62">
        <f t="shared" si="20"/>
        <v>52.820805555555367</v>
      </c>
      <c r="AN151" s="62">
        <f t="shared" si="20"/>
        <v>58.221380555555385</v>
      </c>
      <c r="AO151" s="62">
        <f t="shared" si="20"/>
        <v>66.037483333333142</v>
      </c>
      <c r="AP151" s="62">
        <f t="shared" si="20"/>
        <v>70.827979444444239</v>
      </c>
      <c r="AQ151" s="62">
        <f t="shared" si="20"/>
        <v>76.933540555555325</v>
      </c>
      <c r="AR151" s="62">
        <f t="shared" si="20"/>
        <v>83.257048888888619</v>
      </c>
      <c r="AS151" s="62">
        <f t="shared" si="20"/>
        <v>90.032918055555299</v>
      </c>
      <c r="AT151" s="62"/>
      <c r="AU151" s="62"/>
      <c r="AV151" s="62"/>
      <c r="AW151" s="62"/>
      <c r="AX151" s="62"/>
      <c r="AY151" s="62"/>
      <c r="AZ151" s="62"/>
      <c r="BA151" s="62"/>
      <c r="BB151" s="62"/>
    </row>
    <row r="152" spans="1:54">
      <c r="P152" s="62"/>
      <c r="Q152" s="62" t="s">
        <v>607</v>
      </c>
      <c r="R152" s="62" t="s">
        <v>1</v>
      </c>
      <c r="S152" s="12" t="s">
        <v>146</v>
      </c>
      <c r="T152" s="62" t="s">
        <v>59</v>
      </c>
      <c r="U152" s="62" t="s">
        <v>568</v>
      </c>
      <c r="V152" s="62" t="s">
        <v>5</v>
      </c>
      <c r="W152" s="63">
        <v>2.1996800000000002E-6</v>
      </c>
      <c r="X152" s="63">
        <v>2.9346600000000002E-6</v>
      </c>
      <c r="Y152" s="63">
        <v>2.2989300000000001E-6</v>
      </c>
      <c r="Z152" s="63">
        <v>1.6632E-6</v>
      </c>
      <c r="AA152" s="63">
        <v>3.1734399999999998E-6</v>
      </c>
      <c r="AB152" s="63">
        <v>4.7745300000000002E-6</v>
      </c>
      <c r="AC152" s="63">
        <v>5.46059E-6</v>
      </c>
      <c r="AD152" s="63">
        <v>5.90065E-6</v>
      </c>
      <c r="AE152" s="63">
        <v>6.2609200000000002E-6</v>
      </c>
      <c r="AF152" s="63">
        <v>6.4301499999999998E-6</v>
      </c>
      <c r="AG152" s="63">
        <v>6.5511400000000001E-6</v>
      </c>
      <c r="AK152" s="13" t="s">
        <v>635</v>
      </c>
      <c r="AL152" s="62">
        <f>AL146*$Q$113</f>
        <v>5.4601111111110958</v>
      </c>
      <c r="AM152" s="62">
        <f t="shared" ref="AM152:AS152" si="21">AM146*$Q$113</f>
        <v>5.6649033333332897</v>
      </c>
      <c r="AN152" s="62">
        <f t="shared" si="21"/>
        <v>5.7536683277777607</v>
      </c>
      <c r="AO152" s="62">
        <f t="shared" si="21"/>
        <v>5.1589406055555411</v>
      </c>
      <c r="AP152" s="62">
        <f t="shared" si="21"/>
        <v>4.5295824361110988</v>
      </c>
      <c r="AQ152" s="62">
        <f t="shared" si="21"/>
        <v>4.4728005472222092</v>
      </c>
      <c r="AR152" s="62">
        <f t="shared" si="21"/>
        <v>4.4509725944444316</v>
      </c>
      <c r="AS152" s="62">
        <f t="shared" si="21"/>
        <v>3.9523037547222106</v>
      </c>
      <c r="AT152" s="62"/>
      <c r="AU152" s="62"/>
      <c r="AV152" s="62"/>
      <c r="AW152" s="62"/>
      <c r="AX152" s="62"/>
      <c r="AY152" s="62"/>
      <c r="AZ152" s="62"/>
      <c r="BA152" s="62"/>
      <c r="BB152" s="62"/>
    </row>
    <row r="153" spans="1:54">
      <c r="P153" s="62"/>
      <c r="Q153" s="62" t="s">
        <v>607</v>
      </c>
      <c r="R153" s="62" t="s">
        <v>1</v>
      </c>
      <c r="S153" s="85" t="s">
        <v>465</v>
      </c>
      <c r="T153" s="62" t="s">
        <v>466</v>
      </c>
      <c r="U153" s="62" t="s">
        <v>466</v>
      </c>
      <c r="V153" s="62" t="s">
        <v>5</v>
      </c>
      <c r="W153" s="62">
        <v>0</v>
      </c>
      <c r="X153" s="62">
        <v>5.7160999999999997E-2</v>
      </c>
      <c r="Y153" s="62">
        <v>6.5780599999999995E-2</v>
      </c>
      <c r="Z153" s="62">
        <v>7.5700000000000003E-2</v>
      </c>
      <c r="AA153" s="62">
        <v>7.5314499999999895E-2</v>
      </c>
      <c r="AB153" s="62">
        <v>6.2769400000000003E-2</v>
      </c>
      <c r="AC153" s="62">
        <v>5.3031839999999997E-2</v>
      </c>
      <c r="AD153" s="62">
        <v>4.6823999999999998E-2</v>
      </c>
      <c r="AE153" s="62">
        <v>5.050988E-2</v>
      </c>
      <c r="AF153" s="62">
        <v>5.4392459999999997E-2</v>
      </c>
      <c r="AG153" s="62">
        <v>5.8533519999999999E-2</v>
      </c>
      <c r="AK153" s="62" t="s">
        <v>604</v>
      </c>
      <c r="AL153" s="62">
        <f>R110-AL149-AL150-AL151-AL152</f>
        <v>128.66931199999971</v>
      </c>
      <c r="AM153" s="62">
        <f>S110-AM149-AM150-AM151-AM152</f>
        <v>132.99199012222155</v>
      </c>
      <c r="AN153" s="62">
        <f t="shared" ref="AN153:AS153" si="22">T110-AN149-AN150-AN151-AN152</f>
        <v>139.0516192305551</v>
      </c>
      <c r="AO153" s="62">
        <f t="shared" si="22"/>
        <v>137.7793785249996</v>
      </c>
      <c r="AP153" s="62">
        <f t="shared" si="22"/>
        <v>138.10783318055522</v>
      </c>
      <c r="AQ153" s="62">
        <f t="shared" si="22"/>
        <v>146.73919208888844</v>
      </c>
      <c r="AR153" s="62">
        <f t="shared" si="22"/>
        <v>155.78095745833284</v>
      </c>
      <c r="AS153" s="62">
        <f t="shared" si="22"/>
        <v>190.55987726111056</v>
      </c>
      <c r="AT153" s="62"/>
      <c r="AU153" s="62"/>
      <c r="AV153" s="62"/>
      <c r="AW153" s="62"/>
      <c r="AX153" s="62"/>
      <c r="AY153" s="62"/>
      <c r="AZ153" s="62"/>
      <c r="BA153" s="62"/>
      <c r="BB153" s="62"/>
    </row>
    <row r="154" spans="1:54">
      <c r="O154" s="14"/>
      <c r="P154" s="62"/>
      <c r="Q154" s="62" t="s">
        <v>607</v>
      </c>
      <c r="R154" s="62" t="s">
        <v>1</v>
      </c>
      <c r="S154" s="85" t="s">
        <v>465</v>
      </c>
      <c r="T154" s="62" t="s">
        <v>466</v>
      </c>
      <c r="U154" s="62" t="s">
        <v>467</v>
      </c>
      <c r="V154" s="62" t="s">
        <v>5</v>
      </c>
      <c r="W154" s="62">
        <v>0</v>
      </c>
      <c r="X154" s="62">
        <v>0</v>
      </c>
      <c r="Y154" s="62">
        <v>0</v>
      </c>
      <c r="Z154" s="62">
        <v>0</v>
      </c>
      <c r="AA154" s="62">
        <v>1.34241E-2</v>
      </c>
      <c r="AB154" s="62">
        <v>2.4919400000000001E-2</v>
      </c>
      <c r="AC154" s="62">
        <v>3.9222239999999998E-2</v>
      </c>
      <c r="AD154" s="62">
        <v>4.6823999999999998E-2</v>
      </c>
      <c r="AE154" s="62">
        <v>5.050988E-2</v>
      </c>
      <c r="AF154" s="62">
        <v>5.4392459999999997E-2</v>
      </c>
      <c r="AG154" s="62">
        <v>5.8533519999999999E-2</v>
      </c>
      <c r="AK154" s="62"/>
      <c r="AL154" s="62">
        <f>SUM(AL149:AL153)</f>
        <v>276.52328422222149</v>
      </c>
      <c r="AM154" s="62">
        <f t="shared" ref="AM154:AS154" si="23">SUM(AM149:AM153)</f>
        <v>294.43866567777627</v>
      </c>
      <c r="AN154" s="62">
        <f t="shared" si="23"/>
        <v>315.9016211694435</v>
      </c>
      <c r="AO154" s="62">
        <f t="shared" si="23"/>
        <v>326.80840446388788</v>
      </c>
      <c r="AP154" s="62">
        <f t="shared" si="23"/>
        <v>337.61072831111017</v>
      </c>
      <c r="AQ154" s="62">
        <f t="shared" si="23"/>
        <v>364.21267919722112</v>
      </c>
      <c r="AR154" s="62">
        <f t="shared" si="23"/>
        <v>394.37562649722099</v>
      </c>
      <c r="AS154" s="62">
        <f t="shared" si="23"/>
        <v>455.60074506305421</v>
      </c>
      <c r="AT154" s="62"/>
      <c r="AU154" s="62"/>
      <c r="AV154" s="62"/>
      <c r="AW154" s="62"/>
      <c r="AX154" s="62"/>
      <c r="AY154" s="62"/>
      <c r="AZ154" s="62"/>
      <c r="BA154" s="62"/>
      <c r="BB154" s="62"/>
    </row>
    <row r="155" spans="1:54">
      <c r="P155" s="62"/>
      <c r="Q155" s="62" t="s">
        <v>607</v>
      </c>
      <c r="R155" s="62" t="s">
        <v>1</v>
      </c>
      <c r="S155" s="85" t="s">
        <v>465</v>
      </c>
      <c r="T155" s="62" t="s">
        <v>466</v>
      </c>
      <c r="U155" s="62" t="s">
        <v>468</v>
      </c>
      <c r="V155" s="62" t="s">
        <v>5</v>
      </c>
      <c r="W155" s="62">
        <v>0</v>
      </c>
      <c r="X155" s="62">
        <v>0</v>
      </c>
      <c r="Y155" s="62">
        <v>0</v>
      </c>
      <c r="Z155" s="62">
        <v>0</v>
      </c>
      <c r="AA155" s="62">
        <v>1.34241E-2</v>
      </c>
      <c r="AB155" s="62">
        <v>2.4919400000000001E-2</v>
      </c>
      <c r="AC155" s="62">
        <v>3.9222239999999998E-2</v>
      </c>
      <c r="AD155" s="62">
        <v>4.6823999999999998E-2</v>
      </c>
      <c r="AE155" s="62">
        <v>5.050988E-2</v>
      </c>
      <c r="AF155" s="62">
        <v>5.4392459999999997E-2</v>
      </c>
      <c r="AG155" s="62">
        <v>5.8533519999999999E-2</v>
      </c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</row>
    <row r="156" spans="1:54">
      <c r="P156" s="62"/>
      <c r="Q156" s="62" t="s">
        <v>607</v>
      </c>
      <c r="R156" s="62" t="s">
        <v>1</v>
      </c>
      <c r="S156" s="12" t="s">
        <v>564</v>
      </c>
      <c r="T156" s="62" t="s">
        <v>59</v>
      </c>
      <c r="U156" s="62" t="s">
        <v>59</v>
      </c>
      <c r="V156" s="62" t="s">
        <v>5</v>
      </c>
      <c r="W156" s="62">
        <v>1.91998E-3</v>
      </c>
      <c r="X156" s="62">
        <v>6.0208400000000004E-3</v>
      </c>
      <c r="Y156" s="62">
        <v>7.9883000000000003E-3</v>
      </c>
      <c r="Z156" s="62">
        <v>9.2105599999999996E-3</v>
      </c>
      <c r="AA156" s="62">
        <v>1.1199300000000001E-2</v>
      </c>
      <c r="AB156" s="62">
        <v>1.2980800000000001E-2</v>
      </c>
      <c r="AC156" s="62">
        <v>1.3913399999999999E-2</v>
      </c>
      <c r="AD156" s="62">
        <v>1.44774E-2</v>
      </c>
      <c r="AE156" s="62">
        <v>1.4856100000000001E-2</v>
      </c>
      <c r="AF156" s="62">
        <v>1.5109600000000001E-2</v>
      </c>
      <c r="AG156" s="62">
        <v>1.5434099999999999E-2</v>
      </c>
      <c r="AK156" s="62"/>
      <c r="AL156" s="62">
        <v>128.66931199999971</v>
      </c>
      <c r="AM156" s="62">
        <v>132.99199012222155</v>
      </c>
      <c r="AN156" s="62">
        <v>139.0516192305551</v>
      </c>
      <c r="AO156" s="62">
        <v>137.7793785249996</v>
      </c>
      <c r="AP156" s="62">
        <v>138.10783318055522</v>
      </c>
      <c r="AQ156" s="62">
        <v>146.73919208888844</v>
      </c>
      <c r="AR156" s="62">
        <v>155.78095745833284</v>
      </c>
      <c r="AS156" s="62">
        <v>190.55987726111056</v>
      </c>
      <c r="AT156" s="62"/>
      <c r="AU156" s="62"/>
      <c r="AV156" s="62"/>
      <c r="AW156" s="62"/>
      <c r="AX156" s="62"/>
      <c r="AY156" s="62"/>
      <c r="AZ156" s="62"/>
      <c r="BA156" s="62"/>
      <c r="BB156" s="62"/>
    </row>
    <row r="157" spans="1:54">
      <c r="P157" s="62"/>
      <c r="Q157" s="62" t="s">
        <v>607</v>
      </c>
      <c r="R157" s="62" t="s">
        <v>1</v>
      </c>
      <c r="S157" s="12" t="s">
        <v>565</v>
      </c>
      <c r="T157" s="62" t="s">
        <v>59</v>
      </c>
      <c r="U157" s="62" t="s">
        <v>59</v>
      </c>
      <c r="V157" s="62" t="s">
        <v>5</v>
      </c>
      <c r="W157" s="63">
        <v>6.2593100000000004E-4</v>
      </c>
      <c r="X157" s="62">
        <v>1.61177E-3</v>
      </c>
      <c r="Y157" s="62">
        <v>1.9979300000000002E-3</v>
      </c>
      <c r="Z157" s="62">
        <v>2.3036300000000001E-3</v>
      </c>
      <c r="AA157" s="62">
        <v>2.4442000000000001E-3</v>
      </c>
      <c r="AB157" s="62">
        <v>2.62451E-3</v>
      </c>
      <c r="AC157" s="62">
        <v>2.6857500000000002E-3</v>
      </c>
      <c r="AD157" s="62">
        <v>2.70872E-3</v>
      </c>
      <c r="AE157" s="62">
        <v>2.7164099999999998E-3</v>
      </c>
      <c r="AF157" s="62">
        <v>2.71302E-3</v>
      </c>
      <c r="AG157" s="62">
        <v>2.7309600000000002E-3</v>
      </c>
      <c r="AK157" s="62"/>
      <c r="AL157" s="27">
        <v>54.290527777777619</v>
      </c>
      <c r="AM157" s="27">
        <v>48.964444444444304</v>
      </c>
      <c r="AN157" s="27">
        <v>39.138888888888772</v>
      </c>
      <c r="AO157" s="27">
        <v>5.4601111111110958</v>
      </c>
      <c r="AP157" s="27">
        <v>128.66931199999971</v>
      </c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</row>
    <row r="158" spans="1:54">
      <c r="P158" s="62"/>
      <c r="Q158" s="62" t="s">
        <v>607</v>
      </c>
      <c r="R158" s="62" t="s">
        <v>1</v>
      </c>
      <c r="S158" s="12" t="s">
        <v>566</v>
      </c>
      <c r="T158" s="62" t="s">
        <v>59</v>
      </c>
      <c r="U158" s="62" t="s">
        <v>59</v>
      </c>
      <c r="V158" s="62" t="s">
        <v>5</v>
      </c>
      <c r="W158" s="62">
        <v>1.08628E-3</v>
      </c>
      <c r="X158" s="62">
        <v>2.7971699999999999E-3</v>
      </c>
      <c r="Y158" s="62">
        <v>3.4673400000000002E-3</v>
      </c>
      <c r="Z158" s="62">
        <v>3.9978699999999997E-3</v>
      </c>
      <c r="AA158" s="62">
        <v>4.2418400000000002E-3</v>
      </c>
      <c r="AB158" s="62">
        <v>4.5547599999999997E-3</v>
      </c>
      <c r="AC158" s="62">
        <v>4.66104E-3</v>
      </c>
      <c r="AD158" s="62">
        <v>4.7009E-3</v>
      </c>
      <c r="AE158" s="62">
        <v>4.7142399999999998E-3</v>
      </c>
      <c r="AF158" s="62">
        <v>4.70836E-3</v>
      </c>
      <c r="AG158" s="62">
        <v>4.7394999999999998E-3</v>
      </c>
      <c r="AK158" s="62"/>
      <c r="AL158" s="27">
        <v>51.244855555555375</v>
      </c>
      <c r="AM158" s="27">
        <v>51.716111111110685</v>
      </c>
      <c r="AN158" s="27">
        <v>52.820805555555367</v>
      </c>
      <c r="AO158" s="27">
        <v>5.6649033333332897</v>
      </c>
      <c r="AP158" s="27">
        <v>132.99199012222155</v>
      </c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</row>
    <row r="159" spans="1:54">
      <c r="P159" s="62"/>
      <c r="Q159" s="62" t="s">
        <v>607</v>
      </c>
      <c r="R159" s="62" t="s">
        <v>1</v>
      </c>
      <c r="S159" s="86" t="s">
        <v>32</v>
      </c>
      <c r="T159" s="63" t="s">
        <v>33</v>
      </c>
      <c r="U159" s="62" t="s">
        <v>33</v>
      </c>
      <c r="V159" s="62" t="s">
        <v>5</v>
      </c>
      <c r="W159" s="62">
        <v>1.2258E-2</v>
      </c>
      <c r="X159" s="62">
        <v>5.09463E-2</v>
      </c>
      <c r="Y159" s="62">
        <v>6.1189E-2</v>
      </c>
      <c r="Z159" s="62">
        <v>9.1281799999999996E-2</v>
      </c>
      <c r="AA159" s="62">
        <v>8.6632199999999895E-2</v>
      </c>
      <c r="AB159" s="62">
        <v>7.1420789999999998E-2</v>
      </c>
      <c r="AC159" s="62">
        <v>4.6689939999999999E-2</v>
      </c>
      <c r="AD159" s="62">
        <v>2.505578E-2</v>
      </c>
      <c r="AE159" s="62">
        <v>1.499867E-2</v>
      </c>
      <c r="AF159" s="62">
        <v>6.7280700000000001E-3</v>
      </c>
      <c r="AG159" s="63">
        <v>3.6340599999999998E-4</v>
      </c>
      <c r="AK159" s="62"/>
      <c r="AL159" s="27">
        <v>55.627008611110945</v>
      </c>
      <c r="AM159" s="27">
        <v>57.247944444444272</v>
      </c>
      <c r="AN159" s="27">
        <v>58.221380555555385</v>
      </c>
      <c r="AO159" s="27">
        <v>5.7536683277777607</v>
      </c>
      <c r="AP159" s="27">
        <v>139.0516192305551</v>
      </c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</row>
    <row r="160" spans="1:54">
      <c r="O160" s="14"/>
      <c r="P160" s="62"/>
      <c r="Q160" s="63" t="s">
        <v>607</v>
      </c>
      <c r="R160" s="63" t="s">
        <v>1</v>
      </c>
      <c r="S160" s="86" t="s">
        <v>32</v>
      </c>
      <c r="T160" s="62" t="s">
        <v>33</v>
      </c>
      <c r="U160" s="62" t="s">
        <v>79</v>
      </c>
      <c r="V160" s="62" t="s">
        <v>5</v>
      </c>
      <c r="W160" s="62">
        <v>0</v>
      </c>
      <c r="X160" s="62">
        <v>0</v>
      </c>
      <c r="Y160" s="62">
        <v>0</v>
      </c>
      <c r="Z160" s="62">
        <v>0</v>
      </c>
      <c r="AA160" s="62">
        <v>0</v>
      </c>
      <c r="AB160" s="63">
        <v>2.0213100000000001E-4</v>
      </c>
      <c r="AC160" s="63">
        <v>9.7512300000000005E-4</v>
      </c>
      <c r="AD160" s="62">
        <v>3.017512E-3</v>
      </c>
      <c r="AE160" s="62">
        <v>5.4241964999999998E-3</v>
      </c>
      <c r="AF160" s="62">
        <v>7.8555910000000003E-3</v>
      </c>
      <c r="AG160" s="62">
        <v>7.4845550000000004E-3</v>
      </c>
      <c r="AK160" s="62"/>
      <c r="AL160" s="27">
        <v>54.522685333333172</v>
      </c>
      <c r="AM160" s="27">
        <v>63.309916666666481</v>
      </c>
      <c r="AN160" s="27">
        <v>66.037483333333142</v>
      </c>
      <c r="AO160" s="27">
        <v>5.1589406055555411</v>
      </c>
      <c r="AP160" s="27">
        <v>137.7793785249996</v>
      </c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</row>
    <row r="161" spans="2:54">
      <c r="O161" s="14"/>
      <c r="P161" s="62"/>
      <c r="Q161" s="63" t="s">
        <v>607</v>
      </c>
      <c r="R161" s="63" t="s">
        <v>1</v>
      </c>
      <c r="S161" s="86" t="s">
        <v>32</v>
      </c>
      <c r="T161" s="63" t="s">
        <v>33</v>
      </c>
      <c r="U161" s="62" t="s">
        <v>34</v>
      </c>
      <c r="V161" s="62" t="s">
        <v>5</v>
      </c>
      <c r="W161" s="62">
        <v>0</v>
      </c>
      <c r="X161" s="62">
        <v>0</v>
      </c>
      <c r="Y161" s="62">
        <v>0</v>
      </c>
      <c r="Z161" s="62">
        <v>0</v>
      </c>
      <c r="AA161" s="62">
        <v>0</v>
      </c>
      <c r="AB161" s="63">
        <v>3.8309999999999997E-5</v>
      </c>
      <c r="AC161" s="63">
        <v>1.60794199999999E-4</v>
      </c>
      <c r="AD161" s="63">
        <v>3.9586569999999999E-4</v>
      </c>
      <c r="AE161" s="63">
        <v>5.8544612000000005E-4</v>
      </c>
      <c r="AF161" s="63">
        <v>5.2935820000000002E-4</v>
      </c>
      <c r="AG161" s="63">
        <v>1.0788357E-4</v>
      </c>
      <c r="AK161" s="62"/>
      <c r="AL161" s="27">
        <v>52.837638805555365</v>
      </c>
      <c r="AM161" s="27">
        <v>71.307694444444238</v>
      </c>
      <c r="AN161" s="27">
        <v>70.827979444444239</v>
      </c>
      <c r="AO161" s="27">
        <v>4.5295824361110988</v>
      </c>
      <c r="AP161" s="27">
        <v>138.10783318055522</v>
      </c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</row>
    <row r="162" spans="2:54">
      <c r="P162" s="62"/>
      <c r="Q162" s="62" t="s">
        <v>607</v>
      </c>
      <c r="R162" s="62" t="s">
        <v>1</v>
      </c>
      <c r="S162" s="85" t="s">
        <v>32</v>
      </c>
      <c r="T162" s="62" t="s">
        <v>36</v>
      </c>
      <c r="U162" s="62" t="s">
        <v>36</v>
      </c>
      <c r="V162" s="62" t="s">
        <v>5</v>
      </c>
      <c r="W162" s="62">
        <v>1.1003300000000001E-2</v>
      </c>
      <c r="X162" s="62">
        <v>4.8056399999999999E-2</v>
      </c>
      <c r="Y162" s="62">
        <v>5.3370800000000003E-2</v>
      </c>
      <c r="Z162" s="62">
        <v>4.7853699999999999E-2</v>
      </c>
      <c r="AA162" s="62">
        <v>4.619268E-2</v>
      </c>
      <c r="AB162" s="62">
        <v>7.1223930000000005E-2</v>
      </c>
      <c r="AC162" s="62">
        <v>8.1818100000000005E-2</v>
      </c>
      <c r="AD162" s="62">
        <v>8.0608949999999999E-2</v>
      </c>
      <c r="AE162" s="62">
        <v>7.0394309999999904E-2</v>
      </c>
      <c r="AF162" s="62">
        <v>5.4103779999999997E-2</v>
      </c>
      <c r="AG162" s="62">
        <v>3.001653E-2</v>
      </c>
      <c r="AK162" s="62"/>
      <c r="AL162" s="27">
        <v>53.93126267222204</v>
      </c>
      <c r="AM162" s="27">
        <v>82.135883333333098</v>
      </c>
      <c r="AN162" s="27">
        <v>76.933540555555325</v>
      </c>
      <c r="AO162" s="27">
        <v>4.4728005472222092</v>
      </c>
      <c r="AP162" s="27">
        <v>146.73919208888844</v>
      </c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</row>
    <row r="163" spans="2:54">
      <c r="P163" s="62"/>
      <c r="Q163" s="62" t="s">
        <v>607</v>
      </c>
      <c r="R163" s="62" t="s">
        <v>1</v>
      </c>
      <c r="S163" s="85" t="s">
        <v>32</v>
      </c>
      <c r="T163" s="62" t="s">
        <v>36</v>
      </c>
      <c r="U163" s="62" t="s">
        <v>80</v>
      </c>
      <c r="V163" s="62" t="s">
        <v>5</v>
      </c>
      <c r="W163" s="62">
        <v>0</v>
      </c>
      <c r="X163" s="62">
        <v>0</v>
      </c>
      <c r="Y163" s="62">
        <v>0</v>
      </c>
      <c r="Z163" s="62">
        <v>0</v>
      </c>
      <c r="AA163" s="62">
        <v>0</v>
      </c>
      <c r="AB163" s="63">
        <v>1.28761E-3</v>
      </c>
      <c r="AC163" s="62">
        <v>3.91589E-3</v>
      </c>
      <c r="AD163" s="62">
        <v>8.0484619999999993E-3</v>
      </c>
      <c r="AE163" s="62">
        <v>1.2854983E-2</v>
      </c>
      <c r="AF163" s="62">
        <v>1.9362132000000001E-2</v>
      </c>
      <c r="AG163" s="62">
        <v>2.5176693E-2</v>
      </c>
      <c r="AK163" s="62"/>
      <c r="AL163" s="27">
        <v>56.739094777777616</v>
      </c>
      <c r="AM163" s="27">
        <v>94.147552777777506</v>
      </c>
      <c r="AN163" s="27">
        <v>83.257048888888619</v>
      </c>
      <c r="AO163" s="27">
        <v>4.4509725944444316</v>
      </c>
      <c r="AP163" s="27">
        <v>155.78095745833284</v>
      </c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</row>
    <row r="164" spans="2:54">
      <c r="P164" s="62"/>
      <c r="Q164" s="62" t="s">
        <v>607</v>
      </c>
      <c r="R164" s="62" t="s">
        <v>1</v>
      </c>
      <c r="S164" s="85" t="s">
        <v>32</v>
      </c>
      <c r="T164" s="62" t="s">
        <v>36</v>
      </c>
      <c r="U164" s="62" t="s">
        <v>37</v>
      </c>
      <c r="V164" s="62" t="s">
        <v>5</v>
      </c>
      <c r="W164" s="62">
        <v>0</v>
      </c>
      <c r="X164" s="62">
        <v>0</v>
      </c>
      <c r="Y164" s="62">
        <v>0</v>
      </c>
      <c r="Z164" s="62">
        <v>0</v>
      </c>
      <c r="AA164" s="62">
        <v>0</v>
      </c>
      <c r="AB164" s="62">
        <v>0</v>
      </c>
      <c r="AC164" s="62">
        <v>8.1898100000000005E-3</v>
      </c>
      <c r="AD164" s="62">
        <v>2.4434499999999901E-2</v>
      </c>
      <c r="AE164" s="62">
        <v>4.0761800000000001E-2</v>
      </c>
      <c r="AF164" s="62">
        <v>6.1512570000000003E-2</v>
      </c>
      <c r="AG164" s="62">
        <v>9.1095719999999894E-2</v>
      </c>
      <c r="AK164" s="62"/>
      <c r="AL164" s="27">
        <v>60.652113213888683</v>
      </c>
      <c r="AM164" s="27">
        <v>110.40353277777746</v>
      </c>
      <c r="AN164" s="27">
        <v>90.032918055555299</v>
      </c>
      <c r="AO164" s="27">
        <v>3.9523037547222106</v>
      </c>
      <c r="AP164" s="27">
        <v>190.55987726111056</v>
      </c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</row>
    <row r="165" spans="2:54">
      <c r="P165" s="62"/>
      <c r="Q165" s="62" t="s">
        <v>607</v>
      </c>
      <c r="R165" s="62" t="s">
        <v>1</v>
      </c>
      <c r="S165" s="85" t="s">
        <v>32</v>
      </c>
      <c r="T165" s="62" t="s">
        <v>38</v>
      </c>
      <c r="U165" s="62" t="s">
        <v>38</v>
      </c>
      <c r="V165" s="62" t="s">
        <v>5</v>
      </c>
      <c r="W165" s="62">
        <v>1.29474E-2</v>
      </c>
      <c r="X165" s="62">
        <v>5.6549799999999997E-2</v>
      </c>
      <c r="Y165" s="62">
        <v>6.2802300000000005E-2</v>
      </c>
      <c r="Z165" s="62">
        <v>5.6310399999999997E-2</v>
      </c>
      <c r="AA165" s="62">
        <v>5.1656599999999997E-2</v>
      </c>
      <c r="AB165" s="62">
        <v>5.6084460000000003E-2</v>
      </c>
      <c r="AC165" s="62">
        <v>5.4532009999999999E-2</v>
      </c>
      <c r="AD165" s="62">
        <v>4.8654429999999999E-2</v>
      </c>
      <c r="AE165" s="62">
        <v>4.9133139999999999E-2</v>
      </c>
      <c r="AF165" s="62">
        <v>5.416924E-2</v>
      </c>
      <c r="AG165" s="62">
        <v>6.4102820000000005E-2</v>
      </c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</row>
    <row r="166" spans="2:54">
      <c r="Q166" s="62" t="s">
        <v>607</v>
      </c>
      <c r="R166" s="62" t="s">
        <v>1</v>
      </c>
      <c r="S166" s="12" t="s">
        <v>567</v>
      </c>
      <c r="T166" s="62" t="s">
        <v>59</v>
      </c>
      <c r="U166" s="62" t="s">
        <v>59</v>
      </c>
      <c r="V166" s="62" t="s">
        <v>5</v>
      </c>
      <c r="W166" s="63">
        <v>2.5149599999999998E-4</v>
      </c>
      <c r="X166" s="63">
        <v>2.12485E-4</v>
      </c>
      <c r="Y166" s="63">
        <v>2.1838599999999999E-4</v>
      </c>
      <c r="Z166" s="63">
        <v>2.1160999999999999E-4</v>
      </c>
      <c r="AA166" s="63">
        <v>2.1780000000000001E-4</v>
      </c>
      <c r="AB166" s="63">
        <v>2.1940600000000001E-4</v>
      </c>
      <c r="AC166" s="63">
        <v>2.19872E-4</v>
      </c>
      <c r="AD166" s="63">
        <v>2.1998300000000001E-4</v>
      </c>
      <c r="AE166" s="63">
        <v>2.1873800000000001E-4</v>
      </c>
      <c r="AF166" s="63">
        <v>2.1607899999999999E-4</v>
      </c>
      <c r="AG166" s="63">
        <v>2.1135500000000001E-4</v>
      </c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</row>
    <row r="167" spans="2:54">
      <c r="O167" s="14"/>
      <c r="Q167" s="62" t="s">
        <v>607</v>
      </c>
      <c r="R167" s="62" t="s">
        <v>1</v>
      </c>
      <c r="S167" s="85" t="s">
        <v>66</v>
      </c>
      <c r="T167" s="62" t="s">
        <v>59</v>
      </c>
      <c r="U167" s="62" t="s">
        <v>59</v>
      </c>
      <c r="V167" s="62" t="s">
        <v>5</v>
      </c>
      <c r="W167" s="62">
        <v>3.6418100000000001E-3</v>
      </c>
      <c r="X167" s="62">
        <v>4.7302400000000001E-3</v>
      </c>
      <c r="Y167" s="62">
        <v>6.0696700000000001E-3</v>
      </c>
      <c r="Z167" s="62">
        <v>5.86039E-3</v>
      </c>
      <c r="AA167" s="62">
        <v>5.1538490000000003E-3</v>
      </c>
      <c r="AB167" s="62">
        <v>5.2617289999999997E-3</v>
      </c>
      <c r="AC167" s="62">
        <v>4.6138580000000002E-3</v>
      </c>
      <c r="AD167" s="62">
        <v>4.2022253000000001E-3</v>
      </c>
      <c r="AE167" s="62">
        <v>4.2515310000000002E-3</v>
      </c>
      <c r="AF167" s="62">
        <v>4.6098909999999996E-3</v>
      </c>
      <c r="AG167" s="62">
        <v>5.5301199999999899E-3</v>
      </c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</row>
    <row r="168" spans="2:54">
      <c r="Q168" s="62" t="s">
        <v>607</v>
      </c>
      <c r="R168" s="62" t="s">
        <v>1</v>
      </c>
      <c r="S168" s="85" t="s">
        <v>68</v>
      </c>
      <c r="T168" s="62" t="s">
        <v>59</v>
      </c>
      <c r="U168" s="62" t="s">
        <v>59</v>
      </c>
      <c r="V168" s="62" t="s">
        <v>5</v>
      </c>
      <c r="W168" s="62">
        <v>0.11110399999999999</v>
      </c>
      <c r="X168" s="62">
        <v>0.23783899999999999</v>
      </c>
      <c r="Y168" s="62">
        <v>0.35209299999999999</v>
      </c>
      <c r="Z168" s="62">
        <v>0.39972200000000002</v>
      </c>
      <c r="AA168" s="62">
        <v>0.41603199999999901</v>
      </c>
      <c r="AB168" s="62">
        <v>0.43558659999999999</v>
      </c>
      <c r="AC168" s="62">
        <v>0.43549330000000003</v>
      </c>
      <c r="AD168" s="62">
        <v>0.43989499999999998</v>
      </c>
      <c r="AE168" s="62">
        <v>0.46986939999999999</v>
      </c>
      <c r="AF168" s="62">
        <v>0.49768109999999999</v>
      </c>
      <c r="AG168" s="62">
        <v>0.60968274</v>
      </c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</row>
    <row r="169" spans="2:54">
      <c r="Q169" s="62" t="s">
        <v>607</v>
      </c>
      <c r="R169" s="62" t="s">
        <v>1</v>
      </c>
      <c r="S169" s="12" t="s">
        <v>148</v>
      </c>
      <c r="T169" s="62" t="s">
        <v>389</v>
      </c>
      <c r="U169" s="62" t="s">
        <v>437</v>
      </c>
      <c r="V169" s="62" t="s">
        <v>5</v>
      </c>
      <c r="W169" s="62">
        <v>0</v>
      </c>
      <c r="X169" s="62">
        <v>0</v>
      </c>
      <c r="Y169" s="62">
        <v>0</v>
      </c>
      <c r="Z169" s="62">
        <v>0</v>
      </c>
      <c r="AA169" s="63">
        <v>2.2036899999999999E-5</v>
      </c>
      <c r="AB169" s="63">
        <v>3.8392000000000001E-5</v>
      </c>
      <c r="AC169" s="63">
        <v>4.3596510000000002E-5</v>
      </c>
      <c r="AD169" s="63">
        <v>1.3234668E-4</v>
      </c>
      <c r="AE169" s="63">
        <v>3.8335091000000002E-4</v>
      </c>
      <c r="AF169" s="63">
        <v>7.7278301999999903E-4</v>
      </c>
      <c r="AG169" s="63">
        <v>7.1276776999999996E-4</v>
      </c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</row>
    <row r="170" spans="2:54">
      <c r="Q170" s="62" t="s">
        <v>607</v>
      </c>
      <c r="R170" s="62" t="s">
        <v>1</v>
      </c>
      <c r="S170" s="12" t="s">
        <v>148</v>
      </c>
      <c r="T170" s="62" t="s">
        <v>439</v>
      </c>
      <c r="U170" s="62" t="s">
        <v>439</v>
      </c>
      <c r="V170" s="62" t="s">
        <v>5</v>
      </c>
      <c r="W170" s="62">
        <v>0</v>
      </c>
      <c r="X170" s="62">
        <v>0</v>
      </c>
      <c r="Y170" s="62">
        <v>3.28583E-2</v>
      </c>
      <c r="Z170" s="62">
        <v>4.0810899999999997E-2</v>
      </c>
      <c r="AA170" s="62">
        <v>3.8880959999999999E-2</v>
      </c>
      <c r="AB170" s="62">
        <v>3.8283655E-2</v>
      </c>
      <c r="AC170" s="62">
        <v>3.6968991499999999E-2</v>
      </c>
      <c r="AD170" s="62">
        <v>3.4401937699999899E-2</v>
      </c>
      <c r="AE170" s="62">
        <v>3.0457713899999898E-2</v>
      </c>
      <c r="AF170" s="62">
        <v>2.5177145099999999E-2</v>
      </c>
      <c r="AG170" s="62">
        <v>1.85841159E-2</v>
      </c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</row>
    <row r="171" spans="2:54">
      <c r="Q171" s="62" t="s">
        <v>607</v>
      </c>
      <c r="R171" s="62" t="s">
        <v>1</v>
      </c>
      <c r="S171" s="85" t="s">
        <v>469</v>
      </c>
      <c r="T171" s="62" t="s">
        <v>470</v>
      </c>
      <c r="U171" s="62" t="s">
        <v>470</v>
      </c>
      <c r="V171" s="62" t="s">
        <v>5</v>
      </c>
      <c r="W171" s="62">
        <v>0</v>
      </c>
      <c r="X171" s="62">
        <v>3.3933699999999997E-2</v>
      </c>
      <c r="Y171" s="62">
        <v>4.7037000000000002E-2</v>
      </c>
      <c r="Z171" s="62">
        <v>6.5199999999999994E-2</v>
      </c>
      <c r="AA171" s="62">
        <v>8.1128000000000006E-2</v>
      </c>
      <c r="AB171" s="62">
        <v>8.4139099999999994E-2</v>
      </c>
      <c r="AC171" s="62">
        <v>8.7412400000000001E-2</v>
      </c>
      <c r="AD171" s="62">
        <v>9.1578049999999994E-2</v>
      </c>
      <c r="AE171" s="62">
        <v>0.10054568999999999</v>
      </c>
      <c r="AF171" s="62">
        <v>0.10960354</v>
      </c>
      <c r="AG171" s="62">
        <v>0.11881862999999999</v>
      </c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</row>
    <row r="172" spans="2:54">
      <c r="Q172" s="62" t="s">
        <v>607</v>
      </c>
      <c r="R172" s="62" t="s">
        <v>1</v>
      </c>
      <c r="S172" s="85" t="s">
        <v>469</v>
      </c>
      <c r="T172" s="62" t="s">
        <v>470</v>
      </c>
      <c r="U172" s="62" t="s">
        <v>471</v>
      </c>
      <c r="V172" s="62" t="s">
        <v>5</v>
      </c>
      <c r="W172" s="62">
        <v>0</v>
      </c>
      <c r="X172" s="62">
        <v>0</v>
      </c>
      <c r="Y172" s="62">
        <v>0</v>
      </c>
      <c r="Z172" s="62">
        <v>0</v>
      </c>
      <c r="AA172" s="62">
        <v>4.3412499999999996E-3</v>
      </c>
      <c r="AB172" s="62">
        <v>8.0867700000000001E-3</v>
      </c>
      <c r="AC172" s="62">
        <v>1.18613E-2</v>
      </c>
      <c r="AD172" s="62">
        <v>1.4457395E-2</v>
      </c>
      <c r="AE172" s="62">
        <v>1.5649469999999999E-2</v>
      </c>
      <c r="AF172" s="62">
        <v>1.69334999999999E-2</v>
      </c>
      <c r="AG172" s="62">
        <v>1.8699210000000001E-2</v>
      </c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</row>
    <row r="173" spans="2:54">
      <c r="Q173" s="63" t="s">
        <v>607</v>
      </c>
      <c r="R173" s="62" t="s">
        <v>1</v>
      </c>
      <c r="S173" s="85" t="s">
        <v>469</v>
      </c>
      <c r="T173" s="62" t="s">
        <v>470</v>
      </c>
      <c r="U173" s="62" t="s">
        <v>472</v>
      </c>
      <c r="V173" s="62" t="s">
        <v>5</v>
      </c>
      <c r="W173" s="62">
        <v>0</v>
      </c>
      <c r="X173" s="62">
        <v>0</v>
      </c>
      <c r="Y173" s="62">
        <v>0</v>
      </c>
      <c r="Z173" s="62">
        <v>0</v>
      </c>
      <c r="AA173" s="62">
        <v>2.5229499999999999E-3</v>
      </c>
      <c r="AB173" s="62">
        <v>4.7628999999999996E-3</v>
      </c>
      <c r="AC173" s="62">
        <v>6.9849200000000004E-3</v>
      </c>
      <c r="AD173" s="62">
        <v>8.4732809999999992E-3</v>
      </c>
      <c r="AE173" s="62">
        <v>9.2359460000000001E-3</v>
      </c>
      <c r="AF173" s="62">
        <v>1.0010956E-2</v>
      </c>
      <c r="AG173" s="62">
        <v>1.1000105E-2</v>
      </c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</row>
    <row r="174" spans="2:54">
      <c r="R174" s="14"/>
      <c r="S174" s="14"/>
      <c r="V174" s="13" t="s">
        <v>569</v>
      </c>
      <c r="W174" s="63">
        <f>SUM(W152,W156:W158,W166)</f>
        <v>3.8858866800000002E-3</v>
      </c>
      <c r="X174" s="63">
        <f t="shared" ref="X174:AG174" si="24">SUM(X152,X156:X158,X166)</f>
        <v>1.0645199660000002E-2</v>
      </c>
      <c r="Y174" s="63">
        <f t="shared" si="24"/>
        <v>1.3674254929999999E-2</v>
      </c>
      <c r="Z174" s="4">
        <f t="shared" si="24"/>
        <v>1.57253332E-2</v>
      </c>
      <c r="AA174" s="63">
        <f t="shared" si="24"/>
        <v>1.8106313440000004E-2</v>
      </c>
      <c r="AB174" s="63">
        <f t="shared" si="24"/>
        <v>2.0384250529999998E-2</v>
      </c>
      <c r="AC174" s="63">
        <f t="shared" si="24"/>
        <v>2.1485522589999997E-2</v>
      </c>
      <c r="AD174" s="63">
        <f t="shared" si="24"/>
        <v>2.2112903650000001E-2</v>
      </c>
      <c r="AE174" s="63">
        <f t="shared" si="24"/>
        <v>2.2511748920000001E-2</v>
      </c>
      <c r="AF174" s="63">
        <f t="shared" si="24"/>
        <v>2.275348915E-2</v>
      </c>
      <c r="AG174" s="63">
        <f t="shared" si="24"/>
        <v>2.3122466139999999E-2</v>
      </c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</row>
    <row r="175" spans="2:54">
      <c r="R175" s="14"/>
      <c r="S175" s="14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</row>
    <row r="176" spans="2:54">
      <c r="B176" s="36"/>
      <c r="C176" s="36"/>
      <c r="D176" s="36"/>
      <c r="E176" s="36"/>
      <c r="F176" s="36"/>
      <c r="G176" s="36"/>
      <c r="H176" s="36"/>
      <c r="I176" s="36"/>
      <c r="R176" s="14"/>
      <c r="S176" s="14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</row>
    <row r="177" spans="14:54"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</row>
    <row r="178" spans="14:54">
      <c r="N178" s="14"/>
      <c r="O178" s="14"/>
      <c r="P178" s="14"/>
      <c r="Q178" s="14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</row>
    <row r="179" spans="14:54"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</row>
    <row r="180" spans="14:54">
      <c r="O180" s="14"/>
      <c r="P180" s="14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</row>
    <row r="181" spans="14:54">
      <c r="O181" s="14"/>
      <c r="P181" s="14"/>
      <c r="Q181" s="14"/>
      <c r="R181" s="14"/>
      <c r="S181" s="14"/>
      <c r="T181" s="14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</row>
    <row r="182" spans="14:54"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</row>
    <row r="183" spans="14:54">
      <c r="O183" s="14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</row>
    <row r="184" spans="14:54"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</row>
    <row r="185" spans="14:54"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</row>
    <row r="186" spans="14:54"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</row>
    <row r="187" spans="14:54"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</row>
    <row r="188" spans="14:54"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</row>
    <row r="191" spans="14:54">
      <c r="O191" s="14"/>
      <c r="P191" s="14"/>
    </row>
    <row r="195" spans="10:20"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</row>
    <row r="196" spans="10:20">
      <c r="O196" s="14"/>
      <c r="P196" s="14"/>
      <c r="Q196" s="14"/>
      <c r="R196" s="14"/>
      <c r="S196" s="14"/>
      <c r="T196" s="14"/>
    </row>
    <row r="197" spans="10:20">
      <c r="O197" s="14"/>
      <c r="P197" s="14"/>
      <c r="Q197" s="14"/>
      <c r="R197" s="14"/>
      <c r="S197" s="14"/>
      <c r="T197" s="14"/>
    </row>
    <row r="199" spans="10:20">
      <c r="O199" s="14"/>
      <c r="P199" s="14"/>
      <c r="Q199" s="14"/>
    </row>
    <row r="200" spans="10:20">
      <c r="M200" s="14"/>
      <c r="N200" s="14"/>
      <c r="O200" s="14"/>
    </row>
    <row r="207" spans="10:20">
      <c r="O207" s="14"/>
      <c r="P207" s="14"/>
      <c r="Q207" s="14"/>
    </row>
    <row r="208" spans="10:20">
      <c r="L208" s="14"/>
      <c r="M208" s="14"/>
      <c r="N208" s="14"/>
      <c r="O208" s="14"/>
      <c r="P208" s="14"/>
      <c r="Q208" s="14"/>
      <c r="R208" s="14"/>
      <c r="S208" s="14"/>
      <c r="T208" s="14"/>
    </row>
    <row r="210" spans="11:20">
      <c r="O210" s="14"/>
    </row>
    <row r="211" spans="11:20">
      <c r="M211" s="14"/>
      <c r="N211" s="14"/>
    </row>
    <row r="212" spans="11:20">
      <c r="K212" s="14"/>
      <c r="L212" s="14"/>
      <c r="M212" s="14"/>
      <c r="N212" s="14"/>
      <c r="O212" s="14"/>
      <c r="P212" s="14"/>
      <c r="Q212" s="14"/>
      <c r="R212" s="14"/>
      <c r="S212" s="14"/>
      <c r="T212" s="14"/>
    </row>
    <row r="213" spans="11:20">
      <c r="O213" s="14"/>
      <c r="P213" s="14"/>
      <c r="Q213" s="14"/>
      <c r="R213" s="14"/>
      <c r="S213" s="14"/>
      <c r="T213" s="14"/>
    </row>
    <row r="214" spans="11:20">
      <c r="O214" s="14"/>
      <c r="P214" s="14"/>
      <c r="Q214" s="14"/>
      <c r="R214" s="14"/>
      <c r="S214" s="14"/>
      <c r="T214" s="14"/>
    </row>
    <row r="219" spans="11:20">
      <c r="R219" s="14"/>
      <c r="S219" s="14"/>
    </row>
  </sheetData>
  <autoFilter ref="H2:H92" xr:uid="{4FDE2E44-B5A5-4B30-8F1F-45B52A4C1285}"/>
  <mergeCells count="1">
    <mergeCell ref="A121:C1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01A81-E6E4-42A2-8DE6-6E22C3603CD1}">
  <dimension ref="A1:U67"/>
  <sheetViews>
    <sheetView zoomScale="55" zoomScaleNormal="55" workbookViewId="0">
      <selection activeCell="I24" sqref="I24"/>
    </sheetView>
  </sheetViews>
  <sheetFormatPr defaultRowHeight="17.399999999999999"/>
  <sheetData>
    <row r="1" spans="1:16">
      <c r="A1" t="s">
        <v>608</v>
      </c>
    </row>
    <row r="2" spans="1:16" s="62" customFormat="1">
      <c r="A2" s="62" t="s">
        <v>580</v>
      </c>
    </row>
    <row r="3" spans="1:16">
      <c r="B3">
        <v>2015</v>
      </c>
      <c r="C3">
        <v>2020</v>
      </c>
      <c r="D3">
        <v>2025</v>
      </c>
      <c r="E3" s="62">
        <v>2030</v>
      </c>
      <c r="F3" s="62">
        <v>2035</v>
      </c>
      <c r="G3" s="62">
        <v>2040</v>
      </c>
      <c r="H3" s="62">
        <v>2045</v>
      </c>
      <c r="I3" s="62">
        <v>2050</v>
      </c>
      <c r="L3" t="s">
        <v>488</v>
      </c>
      <c r="M3" t="s">
        <v>486</v>
      </c>
      <c r="N3" t="s">
        <v>487</v>
      </c>
      <c r="O3" t="s">
        <v>609</v>
      </c>
      <c r="P3" t="s">
        <v>610</v>
      </c>
    </row>
    <row r="4" spans="1:16">
      <c r="A4" t="s">
        <v>612</v>
      </c>
      <c r="B4">
        <f>CurPol_final_energy!D47</f>
        <v>209.65099999999939</v>
      </c>
      <c r="C4" s="62">
        <f>CurPol_final_energy!E47</f>
        <v>230.93683333333266</v>
      </c>
      <c r="D4" s="62">
        <f>CurPol_final_energy!F47</f>
        <v>267.53769444444367</v>
      </c>
      <c r="E4" s="62">
        <f>CurPol_final_energy!G47</f>
        <v>278.94169444444361</v>
      </c>
      <c r="F4" s="62">
        <f>CurPol_final_energy!H47</f>
        <v>301.46513888888802</v>
      </c>
      <c r="G4" s="62">
        <f>CurPol_final_energy!I47</f>
        <v>315.61036111110747</v>
      </c>
      <c r="H4" s="62">
        <f>CurPol_final_energy!J47</f>
        <v>326.1339444444435</v>
      </c>
      <c r="I4" s="62">
        <f>CurPol_final_energy!K47</f>
        <v>342.51749999999902</v>
      </c>
      <c r="K4">
        <v>2015</v>
      </c>
      <c r="L4" s="62">
        <f>B4</f>
        <v>209.65099999999939</v>
      </c>
      <c r="M4">
        <f>B5</f>
        <v>276.52328422222149</v>
      </c>
      <c r="N4">
        <f>B6</f>
        <v>2.2184500000000016</v>
      </c>
      <c r="O4">
        <f>B7</f>
        <v>0</v>
      </c>
      <c r="P4">
        <f>B8</f>
        <v>488.39273422222266</v>
      </c>
    </row>
    <row r="5" spans="1:16">
      <c r="A5" t="s">
        <v>486</v>
      </c>
      <c r="B5">
        <f>'CurPol_industry_final_energ (2)'!P80</f>
        <v>276.52328422222149</v>
      </c>
      <c r="C5" s="62">
        <f>'CurPol_industry_final_energ (2)'!Q80</f>
        <v>294.28851368888792</v>
      </c>
      <c r="D5" s="62">
        <f>'CurPol_industry_final_energ (2)'!R80</f>
        <v>328.04278287499898</v>
      </c>
      <c r="E5" s="62">
        <f>'CurPol_industry_final_energ (2)'!S80</f>
        <v>334.83775742777686</v>
      </c>
      <c r="F5" s="62">
        <f>'CurPol_industry_final_energ (2)'!T80</f>
        <v>338.55897518333211</v>
      </c>
      <c r="G5" s="62">
        <f>'CurPol_industry_final_energ (2)'!U80</f>
        <v>344.68346874166537</v>
      </c>
      <c r="H5" s="62">
        <f>'CurPol_industry_final_energ (2)'!V80</f>
        <v>356.57208901110948</v>
      </c>
      <c r="I5" s="62">
        <f>'CurPol_industry_final_energ (2)'!W80</f>
        <v>375.60005265833206</v>
      </c>
      <c r="K5">
        <v>2020</v>
      </c>
      <c r="L5" s="62">
        <f>C4</f>
        <v>230.93683333333266</v>
      </c>
      <c r="M5">
        <f>C5</f>
        <v>294.28851368888792</v>
      </c>
      <c r="N5">
        <f>C6</f>
        <v>3.0204009861111136</v>
      </c>
      <c r="O5">
        <f>C7</f>
        <v>4.3709279109587926E-2</v>
      </c>
      <c r="P5">
        <f>C8</f>
        <v>528.28945728744316</v>
      </c>
    </row>
    <row r="6" spans="1:16">
      <c r="A6" t="s">
        <v>487</v>
      </c>
      <c r="B6">
        <f>CurPol_final_energy!AC59</f>
        <v>2.2184500000000016</v>
      </c>
      <c r="C6" s="62">
        <f>CurPol_final_energy!AD59</f>
        <v>3.0204009861111136</v>
      </c>
      <c r="D6" s="62">
        <f>CurPol_final_energy!AE59</f>
        <v>7.7070136694444509</v>
      </c>
      <c r="E6" s="62">
        <f>CurPol_final_energy!AF59</f>
        <v>12.129633258333342</v>
      </c>
      <c r="F6" s="62">
        <f>CurPol_final_energy!AG59</f>
        <v>15.633429713888901</v>
      </c>
      <c r="G6" s="62">
        <f>CurPol_final_energy!AH59</f>
        <v>17.391655522222234</v>
      </c>
      <c r="H6" s="62">
        <f>CurPol_final_energy!AI59</f>
        <v>17.987548188888901</v>
      </c>
      <c r="I6" s="62">
        <f>CurPol_final_energy!AJ59</f>
        <v>18.074232365833346</v>
      </c>
      <c r="K6" s="62">
        <v>2025</v>
      </c>
      <c r="L6" s="62">
        <f>D4</f>
        <v>267.53769444444367</v>
      </c>
      <c r="M6">
        <f>D5</f>
        <v>328.04278287499898</v>
      </c>
      <c r="N6">
        <f>D6</f>
        <v>7.7070136694444509</v>
      </c>
      <c r="O6">
        <f>D7</f>
        <v>0.37186451872261317</v>
      </c>
      <c r="P6">
        <f>D8</f>
        <v>603.65935550761196</v>
      </c>
    </row>
    <row r="7" spans="1:16">
      <c r="A7" t="s">
        <v>609</v>
      </c>
      <c r="B7">
        <f>CurPol_final_energy!U125</f>
        <v>0</v>
      </c>
      <c r="C7" s="62">
        <f>CurPol_final_energy!V125</f>
        <v>4.3709279109587926E-2</v>
      </c>
      <c r="D7" s="62">
        <f>CurPol_final_energy!W125</f>
        <v>0.37186451872261317</v>
      </c>
      <c r="E7" s="62">
        <f>CurPol_final_energy!X125</f>
        <v>1.0360057404872918</v>
      </c>
      <c r="F7" s="62">
        <f>CurPol_final_energy!Y125</f>
        <v>2.4878882741920512</v>
      </c>
      <c r="G7" s="62">
        <f>CurPol_final_energy!Z125</f>
        <v>5.3079587027868547</v>
      </c>
      <c r="H7" s="62">
        <f>CurPol_final_energy!AA125</f>
        <v>7.7703644627986366</v>
      </c>
      <c r="I7" s="62">
        <f>CurPol_final_energy!AB125</f>
        <v>11.070092672847174</v>
      </c>
      <c r="K7" s="62">
        <v>2030</v>
      </c>
      <c r="L7" s="62">
        <f>E4</f>
        <v>278.94169444444361</v>
      </c>
      <c r="M7">
        <f>E5</f>
        <v>334.83775742777686</v>
      </c>
      <c r="N7">
        <f>E6</f>
        <v>12.129633258333342</v>
      </c>
      <c r="O7">
        <f>E7</f>
        <v>1.0360057404872918</v>
      </c>
      <c r="P7">
        <f>E8</f>
        <v>626.94509087104336</v>
      </c>
    </row>
    <row r="8" spans="1:16">
      <c r="A8" t="s">
        <v>610</v>
      </c>
      <c r="B8">
        <f>CurPol_final_energy!AB8</f>
        <v>488.39273422222266</v>
      </c>
      <c r="C8" s="62">
        <f>CurPol_final_energy!AC8</f>
        <v>528.28945728744316</v>
      </c>
      <c r="D8" s="62">
        <f>CurPol_final_energy!AD8</f>
        <v>603.65935550761196</v>
      </c>
      <c r="E8" s="62">
        <f>CurPol_final_energy!AE8</f>
        <v>626.94509087104336</v>
      </c>
      <c r="F8" s="62">
        <f>CurPol_final_energy!AF8</f>
        <v>658.14543206030351</v>
      </c>
      <c r="G8" s="62">
        <f>CurPol_final_energy!AG8</f>
        <v>682.99344407778437</v>
      </c>
      <c r="H8" s="62">
        <f>CurPol_final_energy!AH8</f>
        <v>708.46394610724303</v>
      </c>
      <c r="I8" s="62">
        <f>CurPol_final_energy!AI8</f>
        <v>747.26187769701426</v>
      </c>
      <c r="K8" s="62">
        <v>2035</v>
      </c>
      <c r="L8" s="62">
        <f>F4</f>
        <v>301.46513888888802</v>
      </c>
      <c r="M8">
        <f>F5</f>
        <v>338.55897518333211</v>
      </c>
      <c r="N8">
        <f>F6</f>
        <v>15.633429713888901</v>
      </c>
      <c r="O8">
        <f>F7</f>
        <v>2.4878882741920512</v>
      </c>
      <c r="P8">
        <f>F8</f>
        <v>658.14543206030351</v>
      </c>
    </row>
    <row r="9" spans="1:16">
      <c r="A9" t="s">
        <v>611</v>
      </c>
      <c r="B9">
        <f>SUM(B4:B7)</f>
        <v>488.39273422222089</v>
      </c>
      <c r="C9" s="62">
        <f t="shared" ref="C9:I9" si="0">SUM(C4:C7)</f>
        <v>528.28945728744134</v>
      </c>
      <c r="D9" s="62">
        <f t="shared" si="0"/>
        <v>603.6593555076098</v>
      </c>
      <c r="E9" s="62">
        <f t="shared" si="0"/>
        <v>626.9450908710412</v>
      </c>
      <c r="F9" s="62">
        <f t="shared" si="0"/>
        <v>658.145432060301</v>
      </c>
      <c r="G9" s="62">
        <f t="shared" si="0"/>
        <v>682.99344407778199</v>
      </c>
      <c r="H9" s="62">
        <f t="shared" si="0"/>
        <v>708.46394610724053</v>
      </c>
      <c r="I9" s="62">
        <f t="shared" si="0"/>
        <v>747.26187769701164</v>
      </c>
      <c r="K9" s="62">
        <v>2040</v>
      </c>
      <c r="L9" s="62">
        <f>G4</f>
        <v>315.61036111110747</v>
      </c>
      <c r="M9">
        <f>G5</f>
        <v>344.68346874166537</v>
      </c>
      <c r="N9">
        <f>G6</f>
        <v>17.391655522222234</v>
      </c>
      <c r="O9">
        <f>G7</f>
        <v>5.3079587027868547</v>
      </c>
      <c r="P9">
        <f>G8</f>
        <v>682.99344407778437</v>
      </c>
    </row>
    <row r="10" spans="1:16">
      <c r="K10" s="62">
        <v>2045</v>
      </c>
      <c r="L10" s="62">
        <f>H4</f>
        <v>326.1339444444435</v>
      </c>
      <c r="M10">
        <f>H5</f>
        <v>356.57208901110948</v>
      </c>
      <c r="N10">
        <f>H6</f>
        <v>17.987548188888901</v>
      </c>
      <c r="O10">
        <f>H7</f>
        <v>7.7703644627986366</v>
      </c>
      <c r="P10">
        <f>H8</f>
        <v>708.46394610724303</v>
      </c>
    </row>
    <row r="11" spans="1:16">
      <c r="B11">
        <v>548.62675640105408</v>
      </c>
      <c r="C11">
        <v>591.33264184351287</v>
      </c>
      <c r="D11">
        <v>673.31938765507937</v>
      </c>
      <c r="E11">
        <v>698.50165063420684</v>
      </c>
      <c r="F11">
        <v>732.67945953198739</v>
      </c>
      <c r="G11">
        <v>759.91722637773887</v>
      </c>
      <c r="H11">
        <v>787.09166108671388</v>
      </c>
      <c r="I11">
        <v>829.47945236636417</v>
      </c>
      <c r="K11" s="62">
        <v>2050</v>
      </c>
      <c r="L11" s="62">
        <f>I4</f>
        <v>342.51749999999902</v>
      </c>
      <c r="M11">
        <f>I5</f>
        <v>375.60005265833206</v>
      </c>
      <c r="N11">
        <f>I6</f>
        <v>18.074232365833346</v>
      </c>
      <c r="O11">
        <f>I7</f>
        <v>11.070092672847174</v>
      </c>
      <c r="P11">
        <f>I8</f>
        <v>747.26187769701426</v>
      </c>
    </row>
    <row r="12" spans="1:16">
      <c r="B12">
        <f>(B11-B8)/B8</f>
        <v>0.1233311184998597</v>
      </c>
      <c r="C12" s="62">
        <f t="shared" ref="C12:I12" si="1">(C11-C8)/C8</f>
        <v>0.11933454981246733</v>
      </c>
      <c r="D12" s="62">
        <f t="shared" si="1"/>
        <v>0.11539626034436405</v>
      </c>
      <c r="E12" s="62">
        <f t="shared" si="1"/>
        <v>0.11413529000402044</v>
      </c>
      <c r="F12" s="62">
        <f t="shared" si="1"/>
        <v>0.11324856762791388</v>
      </c>
      <c r="G12" s="62">
        <f t="shared" si="1"/>
        <v>0.11262740948241641</v>
      </c>
      <c r="H12" s="62">
        <f t="shared" si="1"/>
        <v>0.1109833681890266</v>
      </c>
      <c r="I12" s="62">
        <f t="shared" si="1"/>
        <v>0.1100251158572898</v>
      </c>
    </row>
    <row r="14" spans="1:16">
      <c r="A14" t="s">
        <v>579</v>
      </c>
    </row>
    <row r="15" spans="1:16">
      <c r="A15" s="62"/>
      <c r="B15" s="62">
        <v>2015</v>
      </c>
      <c r="C15" s="62">
        <v>2020</v>
      </c>
      <c r="D15" s="62">
        <v>2025</v>
      </c>
      <c r="E15" s="62">
        <v>2030</v>
      </c>
      <c r="F15" s="62">
        <v>2035</v>
      </c>
      <c r="G15" s="62">
        <v>2040</v>
      </c>
      <c r="H15" s="62">
        <v>2045</v>
      </c>
      <c r="I15" s="62">
        <v>2050</v>
      </c>
      <c r="K15" s="62"/>
      <c r="L15" s="62" t="s">
        <v>488</v>
      </c>
      <c r="M15" s="62" t="s">
        <v>486</v>
      </c>
      <c r="N15" s="62" t="s">
        <v>487</v>
      </c>
      <c r="O15" s="62" t="s">
        <v>609</v>
      </c>
      <c r="P15" s="62" t="s">
        <v>610</v>
      </c>
    </row>
    <row r="16" spans="1:16">
      <c r="A16" s="62" t="s">
        <v>612</v>
      </c>
      <c r="B16">
        <f>NZ2050_final_energy!D53</f>
        <v>209.65099999999939</v>
      </c>
      <c r="C16" s="62">
        <f>NZ2050_final_energy!E53</f>
        <v>232.15497222222157</v>
      </c>
      <c r="D16" s="62">
        <f>NZ2050_final_energy!F53</f>
        <v>235.27897222222157</v>
      </c>
      <c r="E16" s="62">
        <f>NZ2050_final_energy!G53</f>
        <v>247.92549999999929</v>
      </c>
      <c r="F16" s="62">
        <f>NZ2050_final_energy!H53</f>
        <v>269.07536111111034</v>
      </c>
      <c r="G16" s="62">
        <f>NZ2050_final_energy!I53</f>
        <v>301.93722222222141</v>
      </c>
      <c r="H16" s="62">
        <f>NZ2050_final_energy!J53</f>
        <v>328.29538888888789</v>
      </c>
      <c r="I16" s="62">
        <f>NZ2050_final_energy!K53</f>
        <v>362.99272222222118</v>
      </c>
      <c r="K16" s="62">
        <v>2015</v>
      </c>
      <c r="L16" s="62">
        <f>B16</f>
        <v>209.65099999999939</v>
      </c>
      <c r="M16" s="62">
        <f>B17</f>
        <v>276.52328422222149</v>
      </c>
      <c r="N16" s="62">
        <f>B18</f>
        <v>2.2184500000000016</v>
      </c>
      <c r="O16" s="62">
        <f>B19</f>
        <v>0</v>
      </c>
      <c r="P16" s="62">
        <f>B20</f>
        <v>488.39273422222084</v>
      </c>
    </row>
    <row r="17" spans="1:21">
      <c r="A17" s="62" t="s">
        <v>486</v>
      </c>
      <c r="B17">
        <f>NZ2050_industry_final_energy!R110</f>
        <v>276.52328422222149</v>
      </c>
      <c r="C17" s="62">
        <f>NZ2050_industry_final_energy!S110</f>
        <v>294.43866567777627</v>
      </c>
      <c r="D17" s="62">
        <f>NZ2050_industry_final_energy!T110</f>
        <v>315.9016211694435</v>
      </c>
      <c r="E17" s="62">
        <f>NZ2050_industry_final_energy!U110</f>
        <v>326.80840446388794</v>
      </c>
      <c r="F17" s="62">
        <f>NZ2050_industry_final_energy!V110</f>
        <v>337.61072831111011</v>
      </c>
      <c r="G17" s="62">
        <f>NZ2050_industry_final_energy!W110</f>
        <v>364.21267919722112</v>
      </c>
      <c r="H17" s="62">
        <f>NZ2050_industry_final_energy!X110</f>
        <v>394.37562649722099</v>
      </c>
      <c r="I17" s="62">
        <f>NZ2050_industry_final_energy!Y110</f>
        <v>455.60074506305421</v>
      </c>
      <c r="K17" s="62">
        <v>2020</v>
      </c>
      <c r="L17" s="62">
        <f>C16</f>
        <v>232.15497222222157</v>
      </c>
      <c r="M17" s="62">
        <f>C17</f>
        <v>294.43866567777627</v>
      </c>
      <c r="N17" s="62">
        <f>C18</f>
        <v>3.4245523333333359</v>
      </c>
      <c r="O17" s="62">
        <f>C19</f>
        <v>5.6771376468963103E-2</v>
      </c>
      <c r="P17" s="62">
        <f>C20</f>
        <v>530.07496160980008</v>
      </c>
    </row>
    <row r="18" spans="1:21">
      <c r="A18" s="62" t="s">
        <v>487</v>
      </c>
      <c r="B18">
        <f>SUM(NZ2050_final_energy!D118,NZ2050_final_energy!D119)</f>
        <v>2.2184500000000016</v>
      </c>
      <c r="C18" s="62">
        <f>SUM(NZ2050_final_energy!E118,NZ2050_final_energy!E119)</f>
        <v>3.4245523333333359</v>
      </c>
      <c r="D18" s="62">
        <f>SUM(NZ2050_final_energy!F118,NZ2050_final_energy!F119)</f>
        <v>11.712708583333342</v>
      </c>
      <c r="E18" s="62">
        <f>SUM(NZ2050_final_energy!G118,NZ2050_final_energy!G119)</f>
        <v>20.665903436111126</v>
      </c>
      <c r="F18" s="62">
        <f>SUM(NZ2050_final_energy!H118,NZ2050_final_energy!H119)</f>
        <v>28.522564394444444</v>
      </c>
      <c r="G18" s="62">
        <f>SUM(NZ2050_final_energy!I118,NZ2050_final_energy!I119)</f>
        <v>33.880944777777778</v>
      </c>
      <c r="H18" s="62">
        <f>SUM(NZ2050_final_energy!J118,NZ2050_final_energy!J119)</f>
        <v>37.232266552777801</v>
      </c>
      <c r="I18" s="62">
        <f>SUM(NZ2050_final_energy!K118,NZ2050_final_energy!K119)</f>
        <v>41.123440288888922</v>
      </c>
      <c r="K18" s="62">
        <v>2025</v>
      </c>
      <c r="L18" s="62">
        <f>D16</f>
        <v>235.27897222222157</v>
      </c>
      <c r="M18" s="62">
        <f>D17</f>
        <v>315.9016211694435</v>
      </c>
      <c r="N18" s="62">
        <f>D18</f>
        <v>11.712708583333342</v>
      </c>
      <c r="O18" s="62">
        <f>D19</f>
        <v>0.99413383029499747</v>
      </c>
      <c r="P18" s="62">
        <f>D20</f>
        <v>563.88743580529342</v>
      </c>
    </row>
    <row r="19" spans="1:21">
      <c r="A19" s="62" t="s">
        <v>609</v>
      </c>
      <c r="B19">
        <f>NZ2050_final_energy!W169</f>
        <v>0</v>
      </c>
      <c r="C19" s="62">
        <f>NZ2050_final_energy!X169</f>
        <v>5.6771376468963103E-2</v>
      </c>
      <c r="D19" s="62">
        <f>NZ2050_final_energy!Y169</f>
        <v>0.99413383029499747</v>
      </c>
      <c r="E19" s="62">
        <f>NZ2050_final_energy!Z169</f>
        <v>6.2067242339783748</v>
      </c>
      <c r="F19" s="62">
        <f>NZ2050_final_energy!AA169</f>
        <v>21.264898248005217</v>
      </c>
      <c r="G19" s="62">
        <f>NZ2050_final_energy!AB169</f>
        <v>44.297591987615036</v>
      </c>
      <c r="H19" s="62">
        <f>NZ2050_final_energy!AC169</f>
        <v>70.983147169801711</v>
      </c>
      <c r="I19" s="62">
        <f>NZ2050_final_energy!AD169</f>
        <v>123.6736486990301</v>
      </c>
      <c r="K19" s="62">
        <v>2030</v>
      </c>
      <c r="L19" s="62">
        <f>E16</f>
        <v>247.92549999999929</v>
      </c>
      <c r="M19" s="62">
        <f>E17</f>
        <v>326.80840446388794</v>
      </c>
      <c r="N19" s="62">
        <f>E18</f>
        <v>20.665903436111126</v>
      </c>
      <c r="O19" s="62">
        <f>E19</f>
        <v>6.2067242339783748</v>
      </c>
      <c r="P19" s="62">
        <f>E20</f>
        <v>601.60653213397654</v>
      </c>
    </row>
    <row r="20" spans="1:21">
      <c r="A20" s="62" t="s">
        <v>610</v>
      </c>
      <c r="B20">
        <f>NZ2050_final_energy!AA3</f>
        <v>488.39273422222084</v>
      </c>
      <c r="C20" s="62">
        <f>NZ2050_final_energy!AB3</f>
        <v>530.07496160980008</v>
      </c>
      <c r="D20" s="62">
        <f>NZ2050_final_energy!AC3</f>
        <v>563.88743580529342</v>
      </c>
      <c r="E20" s="62">
        <f>NZ2050_final_energy!AD3</f>
        <v>601.60653213397654</v>
      </c>
      <c r="F20" s="62">
        <f>NZ2050_final_energy!AE3</f>
        <v>656.47355206467</v>
      </c>
      <c r="G20" s="62">
        <f>NZ2050_final_energy!AF3</f>
        <v>744.32843818483468</v>
      </c>
      <c r="H20" s="62">
        <f>NZ2050_final_energy!AG3</f>
        <v>830.88642910868793</v>
      </c>
      <c r="I20" s="62">
        <f>NZ2050_final_energy!AH3</f>
        <v>983.39055627319385</v>
      </c>
      <c r="K20" s="62">
        <v>2035</v>
      </c>
      <c r="L20" s="62">
        <f>F16</f>
        <v>269.07536111111034</v>
      </c>
      <c r="M20" s="62">
        <f>F17</f>
        <v>337.61072831111011</v>
      </c>
      <c r="N20" s="62">
        <f>F18</f>
        <v>28.522564394444444</v>
      </c>
      <c r="O20" s="62">
        <f>F19</f>
        <v>21.264898248005217</v>
      </c>
      <c r="P20" s="62">
        <f>F20</f>
        <v>656.47355206467</v>
      </c>
    </row>
    <row r="21" spans="1:21">
      <c r="A21" s="62" t="s">
        <v>611</v>
      </c>
      <c r="B21" s="62">
        <f>SUM(B16:B19)</f>
        <v>488.39273422222089</v>
      </c>
      <c r="C21" s="62">
        <f t="shared" ref="C21:I21" si="2">SUM(C16:C19)</f>
        <v>530.07496160980008</v>
      </c>
      <c r="D21" s="62">
        <f t="shared" si="2"/>
        <v>563.88743580529342</v>
      </c>
      <c r="E21" s="62">
        <f t="shared" si="2"/>
        <v>601.60653213397666</v>
      </c>
      <c r="F21" s="62">
        <f t="shared" si="2"/>
        <v>656.47355206467012</v>
      </c>
      <c r="G21" s="62">
        <f t="shared" si="2"/>
        <v>744.32843818483548</v>
      </c>
      <c r="H21" s="62">
        <f t="shared" si="2"/>
        <v>830.88642910868828</v>
      </c>
      <c r="I21" s="62">
        <f t="shared" si="2"/>
        <v>983.39055627319442</v>
      </c>
      <c r="K21" s="62">
        <v>2040</v>
      </c>
      <c r="L21" s="62">
        <f>G16</f>
        <v>301.93722222222141</v>
      </c>
      <c r="M21" s="62">
        <f>G17</f>
        <v>364.21267919722112</v>
      </c>
      <c r="N21" s="62">
        <f>G18</f>
        <v>33.880944777777778</v>
      </c>
      <c r="O21" s="62">
        <f>G19</f>
        <v>44.297591987615036</v>
      </c>
      <c r="P21" s="62">
        <f>G20</f>
        <v>744.32843818483468</v>
      </c>
    </row>
    <row r="22" spans="1:21">
      <c r="K22" s="62">
        <v>2045</v>
      </c>
      <c r="L22" s="62">
        <f>H16</f>
        <v>328.29538888888789</v>
      </c>
      <c r="M22" s="62">
        <f>H17</f>
        <v>394.37562649722099</v>
      </c>
      <c r="N22" s="62">
        <f>H18</f>
        <v>37.232266552777801</v>
      </c>
      <c r="O22" s="62">
        <f>H19</f>
        <v>70.983147169801711</v>
      </c>
      <c r="P22" s="62">
        <f>H20</f>
        <v>830.88642910868793</v>
      </c>
    </row>
    <row r="23" spans="1:21">
      <c r="B23">
        <v>548.62675640105408</v>
      </c>
      <c r="C23">
        <v>593.24333526095529</v>
      </c>
      <c r="D23">
        <v>629.55686286730963</v>
      </c>
      <c r="E23">
        <v>669.79919092225748</v>
      </c>
      <c r="F23">
        <v>729.95482699117224</v>
      </c>
      <c r="G23">
        <v>832.6293415196069</v>
      </c>
      <c r="H23">
        <v>937.49072844476063</v>
      </c>
      <c r="I23">
        <v>1145.8765109471422</v>
      </c>
      <c r="K23" s="62">
        <v>2050</v>
      </c>
      <c r="L23" s="62">
        <f>I16</f>
        <v>362.99272222222118</v>
      </c>
      <c r="M23" s="62">
        <f>I17</f>
        <v>455.60074506305421</v>
      </c>
      <c r="N23" s="62">
        <f>I18</f>
        <v>41.123440288888922</v>
      </c>
      <c r="O23" s="62">
        <f>I19</f>
        <v>123.6736486990301</v>
      </c>
      <c r="P23" s="62">
        <f>I20</f>
        <v>983.39055627319385</v>
      </c>
    </row>
    <row r="24" spans="1:21">
      <c r="B24" s="62">
        <f>(B23-B20)/B20</f>
        <v>0.12333111849986388</v>
      </c>
      <c r="C24" s="62">
        <f t="shared" ref="C24" si="3">(C23-C20)/C20</f>
        <v>0.11916875579128909</v>
      </c>
      <c r="D24" s="62">
        <f t="shared" ref="D24" si="4">(D23-D20)/D20</f>
        <v>0.11645839735413333</v>
      </c>
      <c r="E24" s="62">
        <f t="shared" ref="E24" si="5">(E23-E20)/E20</f>
        <v>0.11335092813303192</v>
      </c>
      <c r="F24" s="62">
        <f t="shared" ref="F24" si="6">(F23-F20)/F20</f>
        <v>0.11193333637798025</v>
      </c>
      <c r="G24" s="62">
        <f t="shared" ref="G24" si="7">(G23-G20)/G20</f>
        <v>0.11863164001916715</v>
      </c>
      <c r="H24" s="62">
        <f t="shared" ref="H24" si="8">(H23-H20)/H20</f>
        <v>0.1283018901276673</v>
      </c>
      <c r="I24" s="62">
        <f t="shared" ref="I24" si="9">(I23-I20)/I20</f>
        <v>0.16523033868631984</v>
      </c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 t="s">
        <v>490</v>
      </c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 t="s">
        <v>580</v>
      </c>
      <c r="C26" s="62"/>
      <c r="D26" s="62"/>
      <c r="E26" s="62"/>
      <c r="F26" s="62"/>
      <c r="G26" s="62" t="s">
        <v>579</v>
      </c>
      <c r="H26" s="62"/>
      <c r="I26" s="62"/>
      <c r="J26" s="62"/>
      <c r="K26" s="62"/>
      <c r="L26" s="62" t="s">
        <v>580</v>
      </c>
      <c r="M26" s="62"/>
      <c r="N26" s="62"/>
      <c r="O26" s="62"/>
      <c r="P26" s="62"/>
      <c r="Q26" s="62" t="s">
        <v>579</v>
      </c>
      <c r="R26" s="62"/>
      <c r="S26" s="62"/>
      <c r="T26" s="62"/>
      <c r="U26" s="62"/>
    </row>
    <row r="27" spans="1:21">
      <c r="A27" s="62"/>
      <c r="B27" s="62" t="s">
        <v>612</v>
      </c>
      <c r="C27" s="62" t="s">
        <v>486</v>
      </c>
      <c r="D27" s="62" t="s">
        <v>487</v>
      </c>
      <c r="E27" s="62" t="s">
        <v>609</v>
      </c>
      <c r="F27" s="62" t="s">
        <v>610</v>
      </c>
      <c r="G27" s="62" t="s">
        <v>612</v>
      </c>
      <c r="H27" s="62" t="s">
        <v>486</v>
      </c>
      <c r="I27" s="62" t="s">
        <v>487</v>
      </c>
      <c r="J27" s="62" t="s">
        <v>609</v>
      </c>
      <c r="K27" s="62" t="s">
        <v>610</v>
      </c>
      <c r="L27" s="62" t="s">
        <v>612</v>
      </c>
      <c r="M27" s="62" t="s">
        <v>486</v>
      </c>
      <c r="N27" s="62" t="s">
        <v>487</v>
      </c>
      <c r="O27" s="62" t="s">
        <v>609</v>
      </c>
      <c r="P27" s="62" t="s">
        <v>610</v>
      </c>
      <c r="Q27" s="62" t="s">
        <v>612</v>
      </c>
      <c r="R27" s="62" t="s">
        <v>486</v>
      </c>
      <c r="S27" s="62" t="s">
        <v>487</v>
      </c>
      <c r="T27" s="62" t="s">
        <v>609</v>
      </c>
      <c r="U27" s="62" t="s">
        <v>610</v>
      </c>
    </row>
    <row r="28" spans="1:21">
      <c r="A28" s="62">
        <v>2015</v>
      </c>
      <c r="B28" s="27">
        <f>L4</f>
        <v>209.65099999999939</v>
      </c>
      <c r="C28" s="27">
        <f t="shared" ref="C28:F28" si="10">M4</f>
        <v>276.52328422222149</v>
      </c>
      <c r="D28" s="27">
        <f t="shared" si="10"/>
        <v>2.2184500000000016</v>
      </c>
      <c r="E28" s="27">
        <f t="shared" si="10"/>
        <v>0</v>
      </c>
      <c r="F28" s="27">
        <f t="shared" si="10"/>
        <v>488.39273422222266</v>
      </c>
      <c r="G28" s="27">
        <f>L16</f>
        <v>209.65099999999939</v>
      </c>
      <c r="H28" s="27">
        <f t="shared" ref="H28:K28" si="11">M16</f>
        <v>276.52328422222149</v>
      </c>
      <c r="I28" s="27">
        <f t="shared" si="11"/>
        <v>2.2184500000000016</v>
      </c>
      <c r="J28" s="27">
        <f t="shared" si="11"/>
        <v>0</v>
      </c>
      <c r="K28" s="27">
        <f t="shared" si="11"/>
        <v>488.39273422222084</v>
      </c>
      <c r="L28" s="62">
        <f>(B33-B28)/5</f>
        <v>4.2571666666666541</v>
      </c>
      <c r="M28" s="62">
        <f t="shared" ref="M28:U28" si="12">(C33-C28)/5</f>
        <v>3.5530458933332851</v>
      </c>
      <c r="N28" s="62">
        <f t="shared" si="12"/>
        <v>0.16039019722222242</v>
      </c>
      <c r="O28" s="62">
        <f t="shared" si="12"/>
        <v>8.7418558219175858E-3</v>
      </c>
      <c r="P28" s="62">
        <f t="shared" si="12"/>
        <v>7.9793446130441001</v>
      </c>
      <c r="Q28" s="62">
        <f t="shared" si="12"/>
        <v>4.5007944444444377</v>
      </c>
      <c r="R28" s="62">
        <f t="shared" si="12"/>
        <v>3.5830762911109559</v>
      </c>
      <c r="S28" s="62">
        <f t="shared" si="12"/>
        <v>0.24122046666666686</v>
      </c>
      <c r="T28" s="62">
        <f t="shared" si="12"/>
        <v>1.1354275293792621E-2</v>
      </c>
      <c r="U28" s="62">
        <f t="shared" si="12"/>
        <v>8.3364454775158485</v>
      </c>
    </row>
    <row r="29" spans="1:21">
      <c r="A29" s="62">
        <v>2016</v>
      </c>
      <c r="B29" s="27">
        <f>B28+L28</f>
        <v>213.90816666666603</v>
      </c>
      <c r="C29" s="27">
        <f t="shared" ref="C29:K32" si="13">C28+M28</f>
        <v>280.07633011555475</v>
      </c>
      <c r="D29" s="27">
        <f t="shared" si="13"/>
        <v>2.3788401972222242</v>
      </c>
      <c r="E29" s="27">
        <f t="shared" si="13"/>
        <v>8.7418558219175858E-3</v>
      </c>
      <c r="F29" s="27">
        <f t="shared" si="13"/>
        <v>496.37207883526673</v>
      </c>
      <c r="G29" s="27">
        <f t="shared" si="13"/>
        <v>214.15179444444382</v>
      </c>
      <c r="H29" s="27">
        <f t="shared" si="13"/>
        <v>280.10636051333245</v>
      </c>
      <c r="I29" s="27">
        <f t="shared" si="13"/>
        <v>2.4596704666666684</v>
      </c>
      <c r="J29" s="27">
        <f t="shared" si="13"/>
        <v>1.1354275293792621E-2</v>
      </c>
      <c r="K29" s="27">
        <f t="shared" si="13"/>
        <v>496.72917969973668</v>
      </c>
      <c r="L29" s="62">
        <f>L28</f>
        <v>4.2571666666666541</v>
      </c>
      <c r="M29" s="62">
        <f t="shared" ref="M29:U29" si="14">M28</f>
        <v>3.5530458933332851</v>
      </c>
      <c r="N29" s="62">
        <f t="shared" si="14"/>
        <v>0.16039019722222242</v>
      </c>
      <c r="O29" s="62">
        <f t="shared" si="14"/>
        <v>8.7418558219175858E-3</v>
      </c>
      <c r="P29" s="62">
        <f t="shared" si="14"/>
        <v>7.9793446130441001</v>
      </c>
      <c r="Q29" s="62">
        <f t="shared" si="14"/>
        <v>4.5007944444444377</v>
      </c>
      <c r="R29" s="62">
        <f t="shared" si="14"/>
        <v>3.5830762911109559</v>
      </c>
      <c r="S29" s="62">
        <f t="shared" si="14"/>
        <v>0.24122046666666686</v>
      </c>
      <c r="T29" s="62">
        <f t="shared" si="14"/>
        <v>1.1354275293792621E-2</v>
      </c>
      <c r="U29" s="62">
        <f t="shared" si="14"/>
        <v>8.3364454775158485</v>
      </c>
    </row>
    <row r="30" spans="1:21">
      <c r="A30" s="62">
        <v>2017</v>
      </c>
      <c r="B30" s="27">
        <f t="shared" ref="B30:B32" si="15">B29+L29</f>
        <v>218.16533333333268</v>
      </c>
      <c r="C30" s="27">
        <f t="shared" si="13"/>
        <v>283.62937600888802</v>
      </c>
      <c r="D30" s="27">
        <f t="shared" si="13"/>
        <v>2.5392303944444468</v>
      </c>
      <c r="E30" s="27">
        <f t="shared" si="13"/>
        <v>1.7483711643835172E-2</v>
      </c>
      <c r="F30" s="27">
        <f t="shared" si="13"/>
        <v>504.35142344831081</v>
      </c>
      <c r="G30" s="27">
        <f t="shared" si="13"/>
        <v>218.65258888888826</v>
      </c>
      <c r="H30" s="27">
        <f t="shared" si="13"/>
        <v>283.6894368044434</v>
      </c>
      <c r="I30" s="27">
        <f t="shared" si="13"/>
        <v>2.7008909333333353</v>
      </c>
      <c r="J30" s="27">
        <f t="shared" si="13"/>
        <v>2.2708550587585242E-2</v>
      </c>
      <c r="K30" s="27">
        <f t="shared" si="13"/>
        <v>505.06562517725251</v>
      </c>
      <c r="L30" s="62">
        <f>L28</f>
        <v>4.2571666666666541</v>
      </c>
      <c r="M30" s="62">
        <f t="shared" ref="M30:U30" si="16">M28</f>
        <v>3.5530458933332851</v>
      </c>
      <c r="N30" s="62">
        <f t="shared" si="16"/>
        <v>0.16039019722222242</v>
      </c>
      <c r="O30" s="62">
        <f t="shared" si="16"/>
        <v>8.7418558219175858E-3</v>
      </c>
      <c r="P30" s="62">
        <f t="shared" si="16"/>
        <v>7.9793446130441001</v>
      </c>
      <c r="Q30" s="62">
        <f t="shared" si="16"/>
        <v>4.5007944444444377</v>
      </c>
      <c r="R30" s="62">
        <f t="shared" si="16"/>
        <v>3.5830762911109559</v>
      </c>
      <c r="S30" s="62">
        <f t="shared" si="16"/>
        <v>0.24122046666666686</v>
      </c>
      <c r="T30" s="62">
        <f t="shared" si="16"/>
        <v>1.1354275293792621E-2</v>
      </c>
      <c r="U30" s="62">
        <f t="shared" si="16"/>
        <v>8.3364454775158485</v>
      </c>
    </row>
    <row r="31" spans="1:21">
      <c r="A31" s="62">
        <v>2018</v>
      </c>
      <c r="B31" s="27">
        <f t="shared" si="15"/>
        <v>222.42249999999933</v>
      </c>
      <c r="C31" s="27">
        <f t="shared" si="13"/>
        <v>287.18242190222128</v>
      </c>
      <c r="D31" s="27">
        <f t="shared" si="13"/>
        <v>2.6996205916666693</v>
      </c>
      <c r="E31" s="27">
        <f t="shared" si="13"/>
        <v>2.6225567465752758E-2</v>
      </c>
      <c r="F31" s="27">
        <f t="shared" si="13"/>
        <v>512.33076806135489</v>
      </c>
      <c r="G31" s="27">
        <f t="shared" si="13"/>
        <v>223.1533833333327</v>
      </c>
      <c r="H31" s="27">
        <f t="shared" si="13"/>
        <v>287.27251309555436</v>
      </c>
      <c r="I31" s="27">
        <f t="shared" si="13"/>
        <v>2.9421114000000022</v>
      </c>
      <c r="J31" s="27">
        <f t="shared" si="13"/>
        <v>3.4062825881377864E-2</v>
      </c>
      <c r="K31" s="27">
        <f t="shared" si="13"/>
        <v>513.40207065476841</v>
      </c>
      <c r="L31" s="62">
        <f>L28</f>
        <v>4.2571666666666541</v>
      </c>
      <c r="M31" s="62">
        <f t="shared" ref="M31:U31" si="17">M28</f>
        <v>3.5530458933332851</v>
      </c>
      <c r="N31" s="62">
        <f t="shared" si="17"/>
        <v>0.16039019722222242</v>
      </c>
      <c r="O31" s="62">
        <f t="shared" si="17"/>
        <v>8.7418558219175858E-3</v>
      </c>
      <c r="P31" s="62">
        <f t="shared" si="17"/>
        <v>7.9793446130441001</v>
      </c>
      <c r="Q31" s="62">
        <f t="shared" si="17"/>
        <v>4.5007944444444377</v>
      </c>
      <c r="R31" s="62">
        <f t="shared" si="17"/>
        <v>3.5830762911109559</v>
      </c>
      <c r="S31" s="62">
        <f t="shared" si="17"/>
        <v>0.24122046666666686</v>
      </c>
      <c r="T31" s="62">
        <f t="shared" si="17"/>
        <v>1.1354275293792621E-2</v>
      </c>
      <c r="U31" s="62">
        <f t="shared" si="17"/>
        <v>8.3364454775158485</v>
      </c>
    </row>
    <row r="32" spans="1:21">
      <c r="A32" s="62">
        <v>2019</v>
      </c>
      <c r="B32" s="27">
        <f t="shared" si="15"/>
        <v>226.67966666666598</v>
      </c>
      <c r="C32" s="27">
        <f t="shared" si="13"/>
        <v>290.73546779555454</v>
      </c>
      <c r="D32" s="27">
        <f t="shared" si="13"/>
        <v>2.8600107888888919</v>
      </c>
      <c r="E32" s="27">
        <f t="shared" si="13"/>
        <v>3.4967423287670343E-2</v>
      </c>
      <c r="F32" s="27">
        <f t="shared" si="13"/>
        <v>520.31011267439897</v>
      </c>
      <c r="G32" s="27">
        <f t="shared" si="13"/>
        <v>227.65417777777714</v>
      </c>
      <c r="H32" s="27">
        <f t="shared" si="13"/>
        <v>290.85558938666532</v>
      </c>
      <c r="I32" s="27">
        <f t="shared" si="13"/>
        <v>3.183331866666669</v>
      </c>
      <c r="J32" s="27">
        <f t="shared" si="13"/>
        <v>4.5417101175170484E-2</v>
      </c>
      <c r="K32" s="27">
        <f t="shared" si="13"/>
        <v>521.7385161322843</v>
      </c>
      <c r="L32" s="62">
        <f>L28</f>
        <v>4.2571666666666541</v>
      </c>
      <c r="M32" s="62">
        <f t="shared" ref="M32:U32" si="18">M28</f>
        <v>3.5530458933332851</v>
      </c>
      <c r="N32" s="62">
        <f t="shared" si="18"/>
        <v>0.16039019722222242</v>
      </c>
      <c r="O32" s="62">
        <f t="shared" si="18"/>
        <v>8.7418558219175858E-3</v>
      </c>
      <c r="P32" s="62">
        <f t="shared" si="18"/>
        <v>7.9793446130441001</v>
      </c>
      <c r="Q32" s="62">
        <f t="shared" si="18"/>
        <v>4.5007944444444377</v>
      </c>
      <c r="R32" s="62">
        <f t="shared" si="18"/>
        <v>3.5830762911109559</v>
      </c>
      <c r="S32" s="62">
        <f t="shared" si="18"/>
        <v>0.24122046666666686</v>
      </c>
      <c r="T32" s="62">
        <f t="shared" si="18"/>
        <v>1.1354275293792621E-2</v>
      </c>
      <c r="U32" s="62">
        <f t="shared" si="18"/>
        <v>8.3364454775158485</v>
      </c>
    </row>
    <row r="33" spans="1:21">
      <c r="A33" s="62">
        <v>2020</v>
      </c>
      <c r="B33" s="27">
        <f>L5</f>
        <v>230.93683333333266</v>
      </c>
      <c r="C33" s="27">
        <f t="shared" ref="C33:F33" si="19">M5</f>
        <v>294.28851368888792</v>
      </c>
      <c r="D33" s="27">
        <f t="shared" si="19"/>
        <v>3.0204009861111136</v>
      </c>
      <c r="E33" s="27">
        <f t="shared" si="19"/>
        <v>4.3709279109587926E-2</v>
      </c>
      <c r="F33" s="27">
        <f t="shared" si="19"/>
        <v>528.28945728744316</v>
      </c>
      <c r="G33" s="27">
        <f>L17</f>
        <v>232.15497222222157</v>
      </c>
      <c r="H33" s="27">
        <f t="shared" ref="H33:K33" si="20">M17</f>
        <v>294.43866567777627</v>
      </c>
      <c r="I33" s="27">
        <f t="shared" si="20"/>
        <v>3.4245523333333359</v>
      </c>
      <c r="J33" s="27">
        <f t="shared" si="20"/>
        <v>5.6771376468963103E-2</v>
      </c>
      <c r="K33" s="27">
        <f t="shared" si="20"/>
        <v>530.07496160980008</v>
      </c>
      <c r="L33" s="62">
        <f>(B38-B33)/5</f>
        <v>7.3201722222222028</v>
      </c>
      <c r="M33" s="62">
        <f t="shared" ref="M33:U33" si="21">(C38-C33)/5</f>
        <v>6.7508538372222118</v>
      </c>
      <c r="N33" s="62">
        <f t="shared" si="21"/>
        <v>0.93732253666666732</v>
      </c>
      <c r="O33" s="62">
        <f t="shared" si="21"/>
        <v>6.5631047922605046E-2</v>
      </c>
      <c r="P33" s="62">
        <f t="shared" si="21"/>
        <v>15.073979644033761</v>
      </c>
      <c r="Q33" s="62">
        <f t="shared" si="21"/>
        <v>0.62479999999999902</v>
      </c>
      <c r="R33" s="62">
        <f t="shared" si="21"/>
        <v>4.2925910983334461</v>
      </c>
      <c r="S33" s="62">
        <f t="shared" si="21"/>
        <v>1.657631250000001</v>
      </c>
      <c r="T33" s="62">
        <f t="shared" si="21"/>
        <v>0.18747249076520686</v>
      </c>
      <c r="U33" s="62">
        <f t="shared" si="21"/>
        <v>6.7624948390986672</v>
      </c>
    </row>
    <row r="34" spans="1:21">
      <c r="A34" s="62">
        <v>2021</v>
      </c>
      <c r="B34" s="27">
        <f>B33+L33</f>
        <v>238.25700555555485</v>
      </c>
      <c r="C34" s="27">
        <f t="shared" ref="C34:K37" si="22">C33+M33</f>
        <v>301.03936752611014</v>
      </c>
      <c r="D34" s="27">
        <f t="shared" si="22"/>
        <v>3.9577235227777807</v>
      </c>
      <c r="E34" s="27">
        <f t="shared" si="22"/>
        <v>0.10934032703219297</v>
      </c>
      <c r="F34" s="27">
        <f t="shared" si="22"/>
        <v>543.36343693147694</v>
      </c>
      <c r="G34" s="27">
        <f t="shared" si="22"/>
        <v>232.77977222222157</v>
      </c>
      <c r="H34" s="27">
        <f t="shared" si="22"/>
        <v>298.73125677610972</v>
      </c>
      <c r="I34" s="27">
        <f t="shared" si="22"/>
        <v>5.0821835833333369</v>
      </c>
      <c r="J34" s="27">
        <f t="shared" si="22"/>
        <v>0.24424386723416996</v>
      </c>
      <c r="K34" s="27">
        <f t="shared" si="22"/>
        <v>536.83745644889871</v>
      </c>
      <c r="L34" s="62">
        <f>L33</f>
        <v>7.3201722222222028</v>
      </c>
      <c r="M34" s="62">
        <f t="shared" ref="M34:U34" si="23">M33</f>
        <v>6.7508538372222118</v>
      </c>
      <c r="N34" s="62">
        <f t="shared" si="23"/>
        <v>0.93732253666666732</v>
      </c>
      <c r="O34" s="62">
        <f t="shared" si="23"/>
        <v>6.5631047922605046E-2</v>
      </c>
      <c r="P34" s="62">
        <f t="shared" si="23"/>
        <v>15.073979644033761</v>
      </c>
      <c r="Q34" s="62">
        <f t="shared" si="23"/>
        <v>0.62479999999999902</v>
      </c>
      <c r="R34" s="62">
        <f t="shared" si="23"/>
        <v>4.2925910983334461</v>
      </c>
      <c r="S34" s="62">
        <f t="shared" si="23"/>
        <v>1.657631250000001</v>
      </c>
      <c r="T34" s="62">
        <f t="shared" si="23"/>
        <v>0.18747249076520686</v>
      </c>
      <c r="U34" s="62">
        <f t="shared" si="23"/>
        <v>6.7624948390986672</v>
      </c>
    </row>
    <row r="35" spans="1:21">
      <c r="A35" s="62">
        <v>2022</v>
      </c>
      <c r="B35" s="27">
        <f t="shared" ref="B35:B37" si="24">B34+L34</f>
        <v>245.57717777777705</v>
      </c>
      <c r="C35" s="27">
        <f t="shared" si="22"/>
        <v>307.79022136333236</v>
      </c>
      <c r="D35" s="27">
        <f t="shared" si="22"/>
        <v>4.8950460594444483</v>
      </c>
      <c r="E35" s="27">
        <f t="shared" si="22"/>
        <v>0.17497137495479803</v>
      </c>
      <c r="F35" s="27">
        <f t="shared" si="22"/>
        <v>558.43741657551072</v>
      </c>
      <c r="G35" s="27">
        <f t="shared" si="22"/>
        <v>233.40457222222156</v>
      </c>
      <c r="H35" s="27">
        <f t="shared" si="22"/>
        <v>303.02384787444316</v>
      </c>
      <c r="I35" s="27">
        <f t="shared" si="22"/>
        <v>6.7398148333333374</v>
      </c>
      <c r="J35" s="27">
        <f t="shared" si="22"/>
        <v>0.4317163579993768</v>
      </c>
      <c r="K35" s="27">
        <f t="shared" si="22"/>
        <v>543.59995128799733</v>
      </c>
      <c r="L35" s="62">
        <f>L33</f>
        <v>7.3201722222222028</v>
      </c>
      <c r="M35" s="62">
        <f t="shared" ref="M35:U35" si="25">M33</f>
        <v>6.7508538372222118</v>
      </c>
      <c r="N35" s="62">
        <f t="shared" si="25"/>
        <v>0.93732253666666732</v>
      </c>
      <c r="O35" s="62">
        <f t="shared" si="25"/>
        <v>6.5631047922605046E-2</v>
      </c>
      <c r="P35" s="62">
        <f t="shared" si="25"/>
        <v>15.073979644033761</v>
      </c>
      <c r="Q35" s="62">
        <f t="shared" si="25"/>
        <v>0.62479999999999902</v>
      </c>
      <c r="R35" s="62">
        <f t="shared" si="25"/>
        <v>4.2925910983334461</v>
      </c>
      <c r="S35" s="62">
        <f t="shared" si="25"/>
        <v>1.657631250000001</v>
      </c>
      <c r="T35" s="62">
        <f t="shared" si="25"/>
        <v>0.18747249076520686</v>
      </c>
      <c r="U35" s="62">
        <f t="shared" si="25"/>
        <v>6.7624948390986672</v>
      </c>
    </row>
    <row r="36" spans="1:21">
      <c r="A36" s="62">
        <v>2023</v>
      </c>
      <c r="B36" s="27">
        <f t="shared" si="24"/>
        <v>252.89734999999925</v>
      </c>
      <c r="C36" s="27">
        <f t="shared" si="22"/>
        <v>314.54107520055459</v>
      </c>
      <c r="D36" s="27">
        <f t="shared" si="22"/>
        <v>5.8323685961111158</v>
      </c>
      <c r="E36" s="27">
        <f t="shared" si="22"/>
        <v>0.24060242287740308</v>
      </c>
      <c r="F36" s="27">
        <f t="shared" si="22"/>
        <v>573.51139621954451</v>
      </c>
      <c r="G36" s="27">
        <f t="shared" si="22"/>
        <v>234.02937222222155</v>
      </c>
      <c r="H36" s="27">
        <f t="shared" si="22"/>
        <v>307.31643897277661</v>
      </c>
      <c r="I36" s="27">
        <f t="shared" si="22"/>
        <v>8.3974460833333389</v>
      </c>
      <c r="J36" s="27">
        <f t="shared" si="22"/>
        <v>0.61918884876458369</v>
      </c>
      <c r="K36" s="27">
        <f t="shared" si="22"/>
        <v>550.36244612709595</v>
      </c>
      <c r="L36" s="62">
        <f>L33</f>
        <v>7.3201722222222028</v>
      </c>
      <c r="M36" s="62">
        <f t="shared" ref="M36:U36" si="26">M33</f>
        <v>6.7508538372222118</v>
      </c>
      <c r="N36" s="62">
        <f t="shared" si="26"/>
        <v>0.93732253666666732</v>
      </c>
      <c r="O36" s="62">
        <f t="shared" si="26"/>
        <v>6.5631047922605046E-2</v>
      </c>
      <c r="P36" s="62">
        <f t="shared" si="26"/>
        <v>15.073979644033761</v>
      </c>
      <c r="Q36" s="62">
        <f t="shared" si="26"/>
        <v>0.62479999999999902</v>
      </c>
      <c r="R36" s="62">
        <f t="shared" si="26"/>
        <v>4.2925910983334461</v>
      </c>
      <c r="S36" s="62">
        <f t="shared" si="26"/>
        <v>1.657631250000001</v>
      </c>
      <c r="T36" s="62">
        <f t="shared" si="26"/>
        <v>0.18747249076520686</v>
      </c>
      <c r="U36" s="62">
        <f t="shared" si="26"/>
        <v>6.7624948390986672</v>
      </c>
    </row>
    <row r="37" spans="1:21">
      <c r="A37" s="62">
        <v>2024</v>
      </c>
      <c r="B37" s="27">
        <f t="shared" si="24"/>
        <v>260.21752222222148</v>
      </c>
      <c r="C37" s="27">
        <f t="shared" si="22"/>
        <v>321.29192903777681</v>
      </c>
      <c r="D37" s="27">
        <f t="shared" si="22"/>
        <v>6.7696911327777833</v>
      </c>
      <c r="E37" s="27">
        <f t="shared" si="22"/>
        <v>0.30623347080000812</v>
      </c>
      <c r="F37" s="27">
        <f t="shared" si="22"/>
        <v>588.58537586357829</v>
      </c>
      <c r="G37" s="27">
        <f t="shared" si="22"/>
        <v>234.65417222222155</v>
      </c>
      <c r="H37" s="27">
        <f t="shared" si="22"/>
        <v>311.60903007111006</v>
      </c>
      <c r="I37" s="27">
        <f t="shared" si="22"/>
        <v>10.05507733333334</v>
      </c>
      <c r="J37" s="27">
        <f t="shared" si="22"/>
        <v>0.80666133952979058</v>
      </c>
      <c r="K37" s="27">
        <f t="shared" si="22"/>
        <v>557.12494096619457</v>
      </c>
      <c r="L37" s="62">
        <f>L33</f>
        <v>7.3201722222222028</v>
      </c>
      <c r="M37" s="62">
        <f t="shared" ref="M37:U37" si="27">M33</f>
        <v>6.7508538372222118</v>
      </c>
      <c r="N37" s="62">
        <f t="shared" si="27"/>
        <v>0.93732253666666732</v>
      </c>
      <c r="O37" s="62">
        <f t="shared" si="27"/>
        <v>6.5631047922605046E-2</v>
      </c>
      <c r="P37" s="62">
        <f t="shared" si="27"/>
        <v>15.073979644033761</v>
      </c>
      <c r="Q37" s="62">
        <f t="shared" si="27"/>
        <v>0.62479999999999902</v>
      </c>
      <c r="R37" s="62">
        <f t="shared" si="27"/>
        <v>4.2925910983334461</v>
      </c>
      <c r="S37" s="62">
        <f t="shared" si="27"/>
        <v>1.657631250000001</v>
      </c>
      <c r="T37" s="62">
        <f t="shared" si="27"/>
        <v>0.18747249076520686</v>
      </c>
      <c r="U37" s="62">
        <f t="shared" si="27"/>
        <v>6.7624948390986672</v>
      </c>
    </row>
    <row r="38" spans="1:21">
      <c r="A38" s="62">
        <v>2025</v>
      </c>
      <c r="B38" s="27">
        <f>L6</f>
        <v>267.53769444444367</v>
      </c>
      <c r="C38" s="27">
        <f t="shared" ref="C38:F38" si="28">M6</f>
        <v>328.04278287499898</v>
      </c>
      <c r="D38" s="27">
        <f t="shared" si="28"/>
        <v>7.7070136694444509</v>
      </c>
      <c r="E38" s="27">
        <f t="shared" si="28"/>
        <v>0.37186451872261317</v>
      </c>
      <c r="F38" s="27">
        <f t="shared" si="28"/>
        <v>603.65935550761196</v>
      </c>
      <c r="G38" s="27">
        <f>L18</f>
        <v>235.27897222222157</v>
      </c>
      <c r="H38" s="27">
        <f t="shared" ref="H38:K38" si="29">M18</f>
        <v>315.9016211694435</v>
      </c>
      <c r="I38" s="27">
        <f t="shared" si="29"/>
        <v>11.712708583333342</v>
      </c>
      <c r="J38" s="27">
        <f t="shared" si="29"/>
        <v>0.99413383029499747</v>
      </c>
      <c r="K38" s="27">
        <f t="shared" si="29"/>
        <v>563.88743580529342</v>
      </c>
      <c r="L38" s="62">
        <f>(B43-B38)/5</f>
        <v>2.2807999999999877</v>
      </c>
      <c r="M38" s="62">
        <f t="shared" ref="M38:U38" si="30">(C43-C38)/5</f>
        <v>1.3589949105555774</v>
      </c>
      <c r="N38" s="62">
        <f t="shared" si="30"/>
        <v>0.88452391777777828</v>
      </c>
      <c r="O38" s="62">
        <f t="shared" si="30"/>
        <v>0.13282824435293572</v>
      </c>
      <c r="P38" s="62">
        <f t="shared" si="30"/>
        <v>4.6571470726862803</v>
      </c>
      <c r="Q38" s="62">
        <f t="shared" si="30"/>
        <v>2.5293055555555441</v>
      </c>
      <c r="R38" s="62">
        <f t="shared" si="30"/>
        <v>2.1813566588888875</v>
      </c>
      <c r="S38" s="62">
        <f t="shared" si="30"/>
        <v>1.7906389705555568</v>
      </c>
      <c r="T38" s="62">
        <f t="shared" si="30"/>
        <v>1.0425180807366754</v>
      </c>
      <c r="U38" s="62">
        <f t="shared" si="30"/>
        <v>7.5438192657366248</v>
      </c>
    </row>
    <row r="39" spans="1:21">
      <c r="A39" s="62">
        <v>2026</v>
      </c>
      <c r="B39" s="27">
        <f>B38+L38</f>
        <v>269.81849444444367</v>
      </c>
      <c r="C39" s="27">
        <f t="shared" ref="C39:K42" si="31">C38+M38</f>
        <v>329.40177778555454</v>
      </c>
      <c r="D39" s="27">
        <f t="shared" si="31"/>
        <v>8.5915375872222288</v>
      </c>
      <c r="E39" s="27">
        <f t="shared" si="31"/>
        <v>0.50469276307554889</v>
      </c>
      <c r="F39" s="27">
        <f t="shared" si="31"/>
        <v>608.31650258029822</v>
      </c>
      <c r="G39" s="27">
        <f t="shared" si="31"/>
        <v>237.80827777777711</v>
      </c>
      <c r="H39" s="27">
        <f t="shared" si="31"/>
        <v>318.08297782833239</v>
      </c>
      <c r="I39" s="27">
        <f t="shared" si="31"/>
        <v>13.503347553888899</v>
      </c>
      <c r="J39" s="27">
        <f t="shared" si="31"/>
        <v>2.0366519110316728</v>
      </c>
      <c r="K39" s="27">
        <f t="shared" si="31"/>
        <v>571.43125507103002</v>
      </c>
      <c r="L39" s="62">
        <f>L38</f>
        <v>2.2807999999999877</v>
      </c>
      <c r="M39" s="62">
        <f t="shared" ref="M39:U39" si="32">M38</f>
        <v>1.3589949105555774</v>
      </c>
      <c r="N39" s="62">
        <f t="shared" si="32"/>
        <v>0.88452391777777828</v>
      </c>
      <c r="O39" s="62">
        <f t="shared" si="32"/>
        <v>0.13282824435293572</v>
      </c>
      <c r="P39" s="62">
        <f t="shared" si="32"/>
        <v>4.6571470726862803</v>
      </c>
      <c r="Q39" s="62">
        <f t="shared" si="32"/>
        <v>2.5293055555555441</v>
      </c>
      <c r="R39" s="62">
        <f t="shared" si="32"/>
        <v>2.1813566588888875</v>
      </c>
      <c r="S39" s="62">
        <f t="shared" si="32"/>
        <v>1.7906389705555568</v>
      </c>
      <c r="T39" s="62">
        <f t="shared" si="32"/>
        <v>1.0425180807366754</v>
      </c>
      <c r="U39" s="62">
        <f t="shared" si="32"/>
        <v>7.5438192657366248</v>
      </c>
    </row>
    <row r="40" spans="1:21">
      <c r="A40" s="62">
        <v>2027</v>
      </c>
      <c r="B40" s="27">
        <f t="shared" ref="B40:B42" si="33">B39+L39</f>
        <v>272.09929444444367</v>
      </c>
      <c r="C40" s="27">
        <f t="shared" si="31"/>
        <v>330.76077269611011</v>
      </c>
      <c r="D40" s="27">
        <f t="shared" si="31"/>
        <v>9.4760615050000077</v>
      </c>
      <c r="E40" s="27">
        <f t="shared" si="31"/>
        <v>0.63752100742848461</v>
      </c>
      <c r="F40" s="27">
        <f t="shared" si="31"/>
        <v>612.97364965298448</v>
      </c>
      <c r="G40" s="27">
        <f t="shared" si="31"/>
        <v>240.33758333333265</v>
      </c>
      <c r="H40" s="27">
        <f t="shared" si="31"/>
        <v>320.26433448722128</v>
      </c>
      <c r="I40" s="27">
        <f t="shared" si="31"/>
        <v>15.293986524444456</v>
      </c>
      <c r="J40" s="27">
        <f t="shared" si="31"/>
        <v>3.0791699917683482</v>
      </c>
      <c r="K40" s="27">
        <f t="shared" si="31"/>
        <v>578.97507433676662</v>
      </c>
      <c r="L40" s="62">
        <f>L38</f>
        <v>2.2807999999999877</v>
      </c>
      <c r="M40" s="62">
        <f t="shared" ref="M40:U40" si="34">M38</f>
        <v>1.3589949105555774</v>
      </c>
      <c r="N40" s="62">
        <f t="shared" si="34"/>
        <v>0.88452391777777828</v>
      </c>
      <c r="O40" s="62">
        <f t="shared" si="34"/>
        <v>0.13282824435293572</v>
      </c>
      <c r="P40" s="62">
        <f t="shared" si="34"/>
        <v>4.6571470726862803</v>
      </c>
      <c r="Q40" s="62">
        <f t="shared" si="34"/>
        <v>2.5293055555555441</v>
      </c>
      <c r="R40" s="62">
        <f t="shared" si="34"/>
        <v>2.1813566588888875</v>
      </c>
      <c r="S40" s="62">
        <f t="shared" si="34"/>
        <v>1.7906389705555568</v>
      </c>
      <c r="T40" s="62">
        <f t="shared" si="34"/>
        <v>1.0425180807366754</v>
      </c>
      <c r="U40" s="62">
        <f t="shared" si="34"/>
        <v>7.5438192657366248</v>
      </c>
    </row>
    <row r="41" spans="1:21">
      <c r="A41" s="62">
        <v>2028</v>
      </c>
      <c r="B41" s="27">
        <f t="shared" si="33"/>
        <v>274.38009444444367</v>
      </c>
      <c r="C41" s="27">
        <f t="shared" si="31"/>
        <v>332.11976760666568</v>
      </c>
      <c r="D41" s="27">
        <f t="shared" si="31"/>
        <v>10.360585422777786</v>
      </c>
      <c r="E41" s="27">
        <f t="shared" si="31"/>
        <v>0.77034925178142033</v>
      </c>
      <c r="F41" s="27">
        <f t="shared" si="31"/>
        <v>617.63079672567073</v>
      </c>
      <c r="G41" s="27">
        <f t="shared" si="31"/>
        <v>242.86688888888818</v>
      </c>
      <c r="H41" s="27">
        <f t="shared" si="31"/>
        <v>322.44569114611016</v>
      </c>
      <c r="I41" s="27">
        <f t="shared" si="31"/>
        <v>17.084625495000012</v>
      </c>
      <c r="J41" s="27">
        <f t="shared" si="31"/>
        <v>4.1216880725050231</v>
      </c>
      <c r="K41" s="27">
        <f t="shared" si="31"/>
        <v>586.51889360250323</v>
      </c>
      <c r="L41" s="62">
        <f>L38</f>
        <v>2.2807999999999877</v>
      </c>
      <c r="M41" s="62">
        <f t="shared" ref="M41:U41" si="35">M38</f>
        <v>1.3589949105555774</v>
      </c>
      <c r="N41" s="62">
        <f t="shared" si="35"/>
        <v>0.88452391777777828</v>
      </c>
      <c r="O41" s="62">
        <f t="shared" si="35"/>
        <v>0.13282824435293572</v>
      </c>
      <c r="P41" s="62">
        <f t="shared" si="35"/>
        <v>4.6571470726862803</v>
      </c>
      <c r="Q41" s="62">
        <f t="shared" si="35"/>
        <v>2.5293055555555441</v>
      </c>
      <c r="R41" s="62">
        <f t="shared" si="35"/>
        <v>2.1813566588888875</v>
      </c>
      <c r="S41" s="62">
        <f t="shared" si="35"/>
        <v>1.7906389705555568</v>
      </c>
      <c r="T41" s="62">
        <f t="shared" si="35"/>
        <v>1.0425180807366754</v>
      </c>
      <c r="U41" s="62">
        <f t="shared" si="35"/>
        <v>7.5438192657366248</v>
      </c>
    </row>
    <row r="42" spans="1:21">
      <c r="A42" s="62">
        <v>2029</v>
      </c>
      <c r="B42" s="27">
        <f t="shared" si="33"/>
        <v>276.66089444444367</v>
      </c>
      <c r="C42" s="27">
        <f t="shared" si="31"/>
        <v>333.47876251722124</v>
      </c>
      <c r="D42" s="27">
        <f t="shared" si="31"/>
        <v>11.245109340555565</v>
      </c>
      <c r="E42" s="27">
        <f t="shared" si="31"/>
        <v>0.90317749613435605</v>
      </c>
      <c r="F42" s="27">
        <f t="shared" si="31"/>
        <v>622.28794379835699</v>
      </c>
      <c r="G42" s="27">
        <f t="shared" si="31"/>
        <v>245.39619444444372</v>
      </c>
      <c r="H42" s="27">
        <f t="shared" si="31"/>
        <v>324.62704780499905</v>
      </c>
      <c r="I42" s="27">
        <f t="shared" si="31"/>
        <v>18.875264465555567</v>
      </c>
      <c r="J42" s="27">
        <f t="shared" si="31"/>
        <v>5.1642061532416985</v>
      </c>
      <c r="K42" s="27">
        <f t="shared" si="31"/>
        <v>594.06271286823983</v>
      </c>
      <c r="L42" s="62">
        <f>L38</f>
        <v>2.2807999999999877</v>
      </c>
      <c r="M42" s="62">
        <f t="shared" ref="M42:U42" si="36">M38</f>
        <v>1.3589949105555774</v>
      </c>
      <c r="N42" s="62">
        <f t="shared" si="36"/>
        <v>0.88452391777777828</v>
      </c>
      <c r="O42" s="62">
        <f t="shared" si="36"/>
        <v>0.13282824435293572</v>
      </c>
      <c r="P42" s="62">
        <f t="shared" si="36"/>
        <v>4.6571470726862803</v>
      </c>
      <c r="Q42" s="62">
        <f t="shared" si="36"/>
        <v>2.5293055555555441</v>
      </c>
      <c r="R42" s="62">
        <f t="shared" si="36"/>
        <v>2.1813566588888875</v>
      </c>
      <c r="S42" s="62">
        <f t="shared" si="36"/>
        <v>1.7906389705555568</v>
      </c>
      <c r="T42" s="62">
        <f t="shared" si="36"/>
        <v>1.0425180807366754</v>
      </c>
      <c r="U42" s="62">
        <f t="shared" si="36"/>
        <v>7.5438192657366248</v>
      </c>
    </row>
    <row r="43" spans="1:21">
      <c r="A43" s="62">
        <v>2030</v>
      </c>
      <c r="B43" s="27">
        <f>L7</f>
        <v>278.94169444444361</v>
      </c>
      <c r="C43" s="27">
        <f t="shared" ref="C43:F43" si="37">M7</f>
        <v>334.83775742777686</v>
      </c>
      <c r="D43" s="27">
        <f t="shared" si="37"/>
        <v>12.129633258333342</v>
      </c>
      <c r="E43" s="27">
        <f t="shared" si="37"/>
        <v>1.0360057404872918</v>
      </c>
      <c r="F43" s="27">
        <f t="shared" si="37"/>
        <v>626.94509087104336</v>
      </c>
      <c r="G43" s="27">
        <f>L19</f>
        <v>247.92549999999929</v>
      </c>
      <c r="H43" s="27">
        <f t="shared" ref="H43:K43" si="38">M19</f>
        <v>326.80840446388794</v>
      </c>
      <c r="I43" s="27">
        <f t="shared" si="38"/>
        <v>20.665903436111126</v>
      </c>
      <c r="J43" s="27">
        <f t="shared" si="38"/>
        <v>6.2067242339783748</v>
      </c>
      <c r="K43" s="27">
        <f t="shared" si="38"/>
        <v>601.60653213397654</v>
      </c>
      <c r="L43" s="62">
        <f>(B48-B43)/5</f>
        <v>4.5046888888888814</v>
      </c>
      <c r="M43" s="62">
        <f t="shared" ref="M43:U43" si="39">(C48-C43)/5</f>
        <v>0.7442435511110489</v>
      </c>
      <c r="N43" s="62">
        <f t="shared" si="39"/>
        <v>0.70075929111111179</v>
      </c>
      <c r="O43" s="62">
        <f t="shared" si="39"/>
        <v>0.29037650674095189</v>
      </c>
      <c r="P43" s="62">
        <f t="shared" si="39"/>
        <v>6.2400682378520287</v>
      </c>
      <c r="Q43" s="62">
        <f t="shared" si="39"/>
        <v>4.2299722222222105</v>
      </c>
      <c r="R43" s="62">
        <f t="shared" si="39"/>
        <v>2.1604647694444337</v>
      </c>
      <c r="S43" s="62">
        <f t="shared" si="39"/>
        <v>1.5713321916666636</v>
      </c>
      <c r="T43" s="62">
        <f t="shared" si="39"/>
        <v>3.0116348028053688</v>
      </c>
      <c r="U43" s="62">
        <f t="shared" si="39"/>
        <v>10.973403986138692</v>
      </c>
    </row>
    <row r="44" spans="1:21">
      <c r="A44" s="62">
        <v>2031</v>
      </c>
      <c r="B44" s="27">
        <f>B43+L43</f>
        <v>283.44638333333251</v>
      </c>
      <c r="C44" s="27">
        <f t="shared" ref="C44:K47" si="40">C43+M43</f>
        <v>335.58200097888789</v>
      </c>
      <c r="D44" s="27">
        <f t="shared" si="40"/>
        <v>12.830392549444454</v>
      </c>
      <c r="E44" s="27">
        <f t="shared" si="40"/>
        <v>1.3263822472282436</v>
      </c>
      <c r="F44" s="27">
        <f t="shared" si="40"/>
        <v>633.18515910889539</v>
      </c>
      <c r="G44" s="27">
        <f t="shared" si="40"/>
        <v>252.1554722222215</v>
      </c>
      <c r="H44" s="27">
        <f t="shared" si="40"/>
        <v>328.96886923333238</v>
      </c>
      <c r="I44" s="27">
        <f t="shared" si="40"/>
        <v>22.237235627777789</v>
      </c>
      <c r="J44" s="27">
        <f t="shared" si="40"/>
        <v>9.2183590367837436</v>
      </c>
      <c r="K44" s="27">
        <f t="shared" si="40"/>
        <v>612.57993612011524</v>
      </c>
      <c r="L44" s="62">
        <f>L43</f>
        <v>4.5046888888888814</v>
      </c>
      <c r="M44" s="62">
        <f t="shared" ref="M44:U44" si="41">M43</f>
        <v>0.7442435511110489</v>
      </c>
      <c r="N44" s="62">
        <f t="shared" si="41"/>
        <v>0.70075929111111179</v>
      </c>
      <c r="O44" s="62">
        <f t="shared" si="41"/>
        <v>0.29037650674095189</v>
      </c>
      <c r="P44" s="62">
        <f t="shared" si="41"/>
        <v>6.2400682378520287</v>
      </c>
      <c r="Q44" s="62">
        <f t="shared" si="41"/>
        <v>4.2299722222222105</v>
      </c>
      <c r="R44" s="62">
        <f t="shared" si="41"/>
        <v>2.1604647694444337</v>
      </c>
      <c r="S44" s="62">
        <f t="shared" si="41"/>
        <v>1.5713321916666636</v>
      </c>
      <c r="T44" s="62">
        <f t="shared" si="41"/>
        <v>3.0116348028053688</v>
      </c>
      <c r="U44" s="62">
        <f t="shared" si="41"/>
        <v>10.973403986138692</v>
      </c>
    </row>
    <row r="45" spans="1:21">
      <c r="A45" s="62">
        <v>2032</v>
      </c>
      <c r="B45" s="27">
        <f t="shared" ref="B45:B47" si="42">B44+L44</f>
        <v>287.9510722222214</v>
      </c>
      <c r="C45" s="27">
        <f t="shared" si="40"/>
        <v>336.32624452999892</v>
      </c>
      <c r="D45" s="27">
        <f t="shared" si="40"/>
        <v>13.531151840555566</v>
      </c>
      <c r="E45" s="27">
        <f t="shared" si="40"/>
        <v>1.6167587539691954</v>
      </c>
      <c r="F45" s="27">
        <f t="shared" si="40"/>
        <v>639.42522734674742</v>
      </c>
      <c r="G45" s="27">
        <f t="shared" si="40"/>
        <v>256.38544444444369</v>
      </c>
      <c r="H45" s="27">
        <f t="shared" si="40"/>
        <v>331.12933400277683</v>
      </c>
      <c r="I45" s="27">
        <f t="shared" si="40"/>
        <v>23.808567819444452</v>
      </c>
      <c r="J45" s="27">
        <f t="shared" si="40"/>
        <v>12.229993839589113</v>
      </c>
      <c r="K45" s="27">
        <f t="shared" si="40"/>
        <v>623.55334010625393</v>
      </c>
      <c r="L45" s="62">
        <f>L43</f>
        <v>4.5046888888888814</v>
      </c>
      <c r="M45" s="62">
        <f t="shared" ref="M45:U45" si="43">M43</f>
        <v>0.7442435511110489</v>
      </c>
      <c r="N45" s="62">
        <f t="shared" si="43"/>
        <v>0.70075929111111179</v>
      </c>
      <c r="O45" s="62">
        <f t="shared" si="43"/>
        <v>0.29037650674095189</v>
      </c>
      <c r="P45" s="62">
        <f t="shared" si="43"/>
        <v>6.2400682378520287</v>
      </c>
      <c r="Q45" s="62">
        <f t="shared" si="43"/>
        <v>4.2299722222222105</v>
      </c>
      <c r="R45" s="62">
        <f t="shared" si="43"/>
        <v>2.1604647694444337</v>
      </c>
      <c r="S45" s="62">
        <f t="shared" si="43"/>
        <v>1.5713321916666636</v>
      </c>
      <c r="T45" s="62">
        <f t="shared" si="43"/>
        <v>3.0116348028053688</v>
      </c>
      <c r="U45" s="62">
        <f t="shared" si="43"/>
        <v>10.973403986138692</v>
      </c>
    </row>
    <row r="46" spans="1:21">
      <c r="A46" s="62">
        <v>2033</v>
      </c>
      <c r="B46" s="27">
        <f t="shared" si="42"/>
        <v>292.45576111111029</v>
      </c>
      <c r="C46" s="27">
        <f t="shared" si="40"/>
        <v>337.07048808110994</v>
      </c>
      <c r="D46" s="27">
        <f t="shared" si="40"/>
        <v>14.231911131666678</v>
      </c>
      <c r="E46" s="27">
        <f t="shared" si="40"/>
        <v>1.9071352607101473</v>
      </c>
      <c r="F46" s="27">
        <f t="shared" si="40"/>
        <v>645.66529558459945</v>
      </c>
      <c r="G46" s="27">
        <f t="shared" si="40"/>
        <v>260.61541666666591</v>
      </c>
      <c r="H46" s="27">
        <f t="shared" si="40"/>
        <v>333.28979877222127</v>
      </c>
      <c r="I46" s="27">
        <f t="shared" si="40"/>
        <v>25.379900011111115</v>
      </c>
      <c r="J46" s="27">
        <f t="shared" si="40"/>
        <v>15.241628642394481</v>
      </c>
      <c r="K46" s="27">
        <f t="shared" si="40"/>
        <v>634.52674409239262</v>
      </c>
      <c r="L46" s="62">
        <f>L43</f>
        <v>4.5046888888888814</v>
      </c>
      <c r="M46" s="62">
        <f t="shared" ref="M46:U46" si="44">M43</f>
        <v>0.7442435511110489</v>
      </c>
      <c r="N46" s="62">
        <f t="shared" si="44"/>
        <v>0.70075929111111179</v>
      </c>
      <c r="O46" s="62">
        <f t="shared" si="44"/>
        <v>0.29037650674095189</v>
      </c>
      <c r="P46" s="62">
        <f t="shared" si="44"/>
        <v>6.2400682378520287</v>
      </c>
      <c r="Q46" s="62">
        <f t="shared" si="44"/>
        <v>4.2299722222222105</v>
      </c>
      <c r="R46" s="62">
        <f t="shared" si="44"/>
        <v>2.1604647694444337</v>
      </c>
      <c r="S46" s="62">
        <f t="shared" si="44"/>
        <v>1.5713321916666636</v>
      </c>
      <c r="T46" s="62">
        <f t="shared" si="44"/>
        <v>3.0116348028053688</v>
      </c>
      <c r="U46" s="62">
        <f t="shared" si="44"/>
        <v>10.973403986138692</v>
      </c>
    </row>
    <row r="47" spans="1:21">
      <c r="A47" s="62">
        <v>2034</v>
      </c>
      <c r="B47" s="27">
        <f t="shared" si="42"/>
        <v>296.96044999999918</v>
      </c>
      <c r="C47" s="27">
        <f t="shared" si="40"/>
        <v>337.81473163222097</v>
      </c>
      <c r="D47" s="27">
        <f t="shared" si="40"/>
        <v>14.93267042277779</v>
      </c>
      <c r="E47" s="27">
        <f t="shared" si="40"/>
        <v>2.1975117674510991</v>
      </c>
      <c r="F47" s="27">
        <f t="shared" si="40"/>
        <v>651.90536382245148</v>
      </c>
      <c r="G47" s="27">
        <f t="shared" si="40"/>
        <v>264.84538888888812</v>
      </c>
      <c r="H47" s="27">
        <f t="shared" si="40"/>
        <v>335.45026354166572</v>
      </c>
      <c r="I47" s="27">
        <f t="shared" si="40"/>
        <v>26.951232202777778</v>
      </c>
      <c r="J47" s="27">
        <f t="shared" si="40"/>
        <v>18.253263445199849</v>
      </c>
      <c r="K47" s="27">
        <f t="shared" si="40"/>
        <v>645.50014807853131</v>
      </c>
      <c r="L47" s="62">
        <f>L43</f>
        <v>4.5046888888888814</v>
      </c>
      <c r="M47" s="62">
        <f t="shared" ref="M47:U47" si="45">M43</f>
        <v>0.7442435511110489</v>
      </c>
      <c r="N47" s="62">
        <f t="shared" si="45"/>
        <v>0.70075929111111179</v>
      </c>
      <c r="O47" s="62">
        <f t="shared" si="45"/>
        <v>0.29037650674095189</v>
      </c>
      <c r="P47" s="62">
        <f t="shared" si="45"/>
        <v>6.2400682378520287</v>
      </c>
      <c r="Q47" s="62">
        <f t="shared" si="45"/>
        <v>4.2299722222222105</v>
      </c>
      <c r="R47" s="62">
        <f t="shared" si="45"/>
        <v>2.1604647694444337</v>
      </c>
      <c r="S47" s="62">
        <f t="shared" si="45"/>
        <v>1.5713321916666636</v>
      </c>
      <c r="T47" s="62">
        <f t="shared" si="45"/>
        <v>3.0116348028053688</v>
      </c>
      <c r="U47" s="62">
        <f t="shared" si="45"/>
        <v>10.973403986138692</v>
      </c>
    </row>
    <row r="48" spans="1:21">
      <c r="A48" s="62">
        <v>2035</v>
      </c>
      <c r="B48" s="27">
        <f>L8</f>
        <v>301.46513888888802</v>
      </c>
      <c r="C48" s="27">
        <f t="shared" ref="C48:F48" si="46">M8</f>
        <v>338.55897518333211</v>
      </c>
      <c r="D48" s="27">
        <f t="shared" si="46"/>
        <v>15.633429713888901</v>
      </c>
      <c r="E48" s="27">
        <f t="shared" si="46"/>
        <v>2.4878882741920512</v>
      </c>
      <c r="F48" s="27">
        <f t="shared" si="46"/>
        <v>658.14543206030351</v>
      </c>
      <c r="G48" s="27">
        <f>L20</f>
        <v>269.07536111111034</v>
      </c>
      <c r="H48" s="27">
        <f t="shared" ref="H48:K48" si="47">M20</f>
        <v>337.61072831111011</v>
      </c>
      <c r="I48" s="27">
        <f t="shared" si="47"/>
        <v>28.522564394444444</v>
      </c>
      <c r="J48" s="27">
        <f t="shared" si="47"/>
        <v>21.264898248005217</v>
      </c>
      <c r="K48" s="27">
        <f t="shared" si="47"/>
        <v>656.47355206467</v>
      </c>
      <c r="L48" s="62">
        <f>(B53-B48)/5</f>
        <v>2.8290444444438889</v>
      </c>
      <c r="M48" s="62">
        <f t="shared" ref="M48:U48" si="48">(C53-C48)/5</f>
        <v>1.2248987116666512</v>
      </c>
      <c r="N48" s="62">
        <f t="shared" si="48"/>
        <v>0.35164516166666643</v>
      </c>
      <c r="O48" s="62">
        <f t="shared" si="48"/>
        <v>0.56401408571896072</v>
      </c>
      <c r="P48" s="62">
        <f t="shared" si="48"/>
        <v>4.9696024034961734</v>
      </c>
      <c r="Q48" s="62">
        <f t="shared" si="48"/>
        <v>6.5723722222222136</v>
      </c>
      <c r="R48" s="62">
        <f t="shared" si="48"/>
        <v>5.3203901772222029</v>
      </c>
      <c r="S48" s="62">
        <f t="shared" si="48"/>
        <v>1.0716760766666666</v>
      </c>
      <c r="T48" s="62">
        <f t="shared" si="48"/>
        <v>4.6065387479219639</v>
      </c>
      <c r="U48" s="62">
        <f t="shared" si="48"/>
        <v>17.570977224032937</v>
      </c>
    </row>
    <row r="49" spans="1:21">
      <c r="A49" s="62">
        <v>2036</v>
      </c>
      <c r="B49" s="27">
        <f>B48+L48</f>
        <v>304.29418333333189</v>
      </c>
      <c r="C49" s="27">
        <f t="shared" ref="C49:K52" si="49">C48+M48</f>
        <v>339.78387389499875</v>
      </c>
      <c r="D49" s="27">
        <f t="shared" si="49"/>
        <v>15.985074875555568</v>
      </c>
      <c r="E49" s="27">
        <f t="shared" si="49"/>
        <v>3.0519023599110118</v>
      </c>
      <c r="F49" s="27">
        <f t="shared" si="49"/>
        <v>663.1150344637997</v>
      </c>
      <c r="G49" s="27">
        <f t="shared" si="49"/>
        <v>275.64773333333255</v>
      </c>
      <c r="H49" s="27">
        <f t="shared" si="49"/>
        <v>342.93111848833229</v>
      </c>
      <c r="I49" s="27">
        <f t="shared" si="49"/>
        <v>29.59424047111111</v>
      </c>
      <c r="J49" s="27">
        <f t="shared" si="49"/>
        <v>25.87143699592718</v>
      </c>
      <c r="K49" s="27">
        <f t="shared" si="49"/>
        <v>674.04452928870296</v>
      </c>
      <c r="L49" s="62">
        <f>L48</f>
        <v>2.8290444444438889</v>
      </c>
      <c r="M49" s="62">
        <f t="shared" ref="M49:U49" si="50">M48</f>
        <v>1.2248987116666512</v>
      </c>
      <c r="N49" s="62">
        <f t="shared" si="50"/>
        <v>0.35164516166666643</v>
      </c>
      <c r="O49" s="62">
        <f t="shared" si="50"/>
        <v>0.56401408571896072</v>
      </c>
      <c r="P49" s="62">
        <f t="shared" si="50"/>
        <v>4.9696024034961734</v>
      </c>
      <c r="Q49" s="62">
        <f t="shared" si="50"/>
        <v>6.5723722222222136</v>
      </c>
      <c r="R49" s="62">
        <f t="shared" si="50"/>
        <v>5.3203901772222029</v>
      </c>
      <c r="S49" s="62">
        <f t="shared" si="50"/>
        <v>1.0716760766666666</v>
      </c>
      <c r="T49" s="62">
        <f t="shared" si="50"/>
        <v>4.6065387479219639</v>
      </c>
      <c r="U49" s="62">
        <f t="shared" si="50"/>
        <v>17.570977224032937</v>
      </c>
    </row>
    <row r="50" spans="1:21">
      <c r="A50" s="62">
        <v>2037</v>
      </c>
      <c r="B50" s="27">
        <f t="shared" ref="B50:B52" si="51">B49+L49</f>
        <v>307.12322777777575</v>
      </c>
      <c r="C50" s="27">
        <f t="shared" si="49"/>
        <v>341.00877260666539</v>
      </c>
      <c r="D50" s="27">
        <f t="shared" si="49"/>
        <v>16.336720037222236</v>
      </c>
      <c r="E50" s="27">
        <f t="shared" si="49"/>
        <v>3.6159164456299724</v>
      </c>
      <c r="F50" s="27">
        <f t="shared" si="49"/>
        <v>668.0846368672959</v>
      </c>
      <c r="G50" s="27">
        <f t="shared" si="49"/>
        <v>282.22010555555477</v>
      </c>
      <c r="H50" s="27">
        <f t="shared" si="49"/>
        <v>348.25150866555447</v>
      </c>
      <c r="I50" s="27">
        <f t="shared" si="49"/>
        <v>30.665916547777776</v>
      </c>
      <c r="J50" s="27">
        <f t="shared" si="49"/>
        <v>30.477975743849143</v>
      </c>
      <c r="K50" s="27">
        <f t="shared" si="49"/>
        <v>691.61550651273592</v>
      </c>
      <c r="L50" s="62">
        <f>L48</f>
        <v>2.8290444444438889</v>
      </c>
      <c r="M50" s="62">
        <f t="shared" ref="M50:U50" si="52">M48</f>
        <v>1.2248987116666512</v>
      </c>
      <c r="N50" s="62">
        <f t="shared" si="52"/>
        <v>0.35164516166666643</v>
      </c>
      <c r="O50" s="62">
        <f t="shared" si="52"/>
        <v>0.56401408571896072</v>
      </c>
      <c r="P50" s="62">
        <f t="shared" si="52"/>
        <v>4.9696024034961734</v>
      </c>
      <c r="Q50" s="62">
        <f t="shared" si="52"/>
        <v>6.5723722222222136</v>
      </c>
      <c r="R50" s="62">
        <f t="shared" si="52"/>
        <v>5.3203901772222029</v>
      </c>
      <c r="S50" s="62">
        <f t="shared" si="52"/>
        <v>1.0716760766666666</v>
      </c>
      <c r="T50" s="62">
        <f t="shared" si="52"/>
        <v>4.6065387479219639</v>
      </c>
      <c r="U50" s="62">
        <f t="shared" si="52"/>
        <v>17.570977224032937</v>
      </c>
    </row>
    <row r="51" spans="1:21">
      <c r="A51" s="62">
        <v>2038</v>
      </c>
      <c r="B51" s="27">
        <f t="shared" si="51"/>
        <v>309.95227222221962</v>
      </c>
      <c r="C51" s="27">
        <f t="shared" si="49"/>
        <v>342.23367131833203</v>
      </c>
      <c r="D51" s="27">
        <f t="shared" si="49"/>
        <v>16.688365198888903</v>
      </c>
      <c r="E51" s="27">
        <f t="shared" si="49"/>
        <v>4.1799305313489334</v>
      </c>
      <c r="F51" s="27">
        <f t="shared" si="49"/>
        <v>673.0542392707921</v>
      </c>
      <c r="G51" s="27">
        <f t="shared" si="49"/>
        <v>288.79247777777698</v>
      </c>
      <c r="H51" s="27">
        <f t="shared" si="49"/>
        <v>353.57189884277665</v>
      </c>
      <c r="I51" s="27">
        <f t="shared" si="49"/>
        <v>31.737592624444442</v>
      </c>
      <c r="J51" s="27">
        <f t="shared" si="49"/>
        <v>35.08451449177111</v>
      </c>
      <c r="K51" s="27">
        <f t="shared" si="49"/>
        <v>709.18648373676888</v>
      </c>
      <c r="L51" s="62">
        <f>L48</f>
        <v>2.8290444444438889</v>
      </c>
      <c r="M51" s="62">
        <f t="shared" ref="M51:U51" si="53">M48</f>
        <v>1.2248987116666512</v>
      </c>
      <c r="N51" s="62">
        <f t="shared" si="53"/>
        <v>0.35164516166666643</v>
      </c>
      <c r="O51" s="62">
        <f t="shared" si="53"/>
        <v>0.56401408571896072</v>
      </c>
      <c r="P51" s="62">
        <f t="shared" si="53"/>
        <v>4.9696024034961734</v>
      </c>
      <c r="Q51" s="62">
        <f t="shared" si="53"/>
        <v>6.5723722222222136</v>
      </c>
      <c r="R51" s="62">
        <f t="shared" si="53"/>
        <v>5.3203901772222029</v>
      </c>
      <c r="S51" s="62">
        <f t="shared" si="53"/>
        <v>1.0716760766666666</v>
      </c>
      <c r="T51" s="62">
        <f t="shared" si="53"/>
        <v>4.6065387479219639</v>
      </c>
      <c r="U51" s="62">
        <f t="shared" si="53"/>
        <v>17.570977224032937</v>
      </c>
    </row>
    <row r="52" spans="1:21">
      <c r="A52" s="62">
        <v>2039</v>
      </c>
      <c r="B52" s="27">
        <f t="shared" si="51"/>
        <v>312.78131666666349</v>
      </c>
      <c r="C52" s="27">
        <f t="shared" si="49"/>
        <v>343.45857002999867</v>
      </c>
      <c r="D52" s="27">
        <f t="shared" si="49"/>
        <v>17.04001036055557</v>
      </c>
      <c r="E52" s="27">
        <f t="shared" si="49"/>
        <v>4.7439446170678945</v>
      </c>
      <c r="F52" s="27">
        <f t="shared" si="49"/>
        <v>678.02384167428829</v>
      </c>
      <c r="G52" s="27">
        <f t="shared" si="49"/>
        <v>295.36484999999919</v>
      </c>
      <c r="H52" s="27">
        <f t="shared" si="49"/>
        <v>358.89228901999883</v>
      </c>
      <c r="I52" s="27">
        <f t="shared" si="49"/>
        <v>32.809268701111108</v>
      </c>
      <c r="J52" s="27">
        <f t="shared" si="49"/>
        <v>39.691053239693076</v>
      </c>
      <c r="K52" s="27">
        <f t="shared" si="49"/>
        <v>726.75746096080184</v>
      </c>
      <c r="L52" s="62">
        <f>L48</f>
        <v>2.8290444444438889</v>
      </c>
      <c r="M52" s="62">
        <f t="shared" ref="M52:U52" si="54">M48</f>
        <v>1.2248987116666512</v>
      </c>
      <c r="N52" s="62">
        <f t="shared" si="54"/>
        <v>0.35164516166666643</v>
      </c>
      <c r="O52" s="62">
        <f t="shared" si="54"/>
        <v>0.56401408571896072</v>
      </c>
      <c r="P52" s="62">
        <f t="shared" si="54"/>
        <v>4.9696024034961734</v>
      </c>
      <c r="Q52" s="62">
        <f t="shared" si="54"/>
        <v>6.5723722222222136</v>
      </c>
      <c r="R52" s="62">
        <f t="shared" si="54"/>
        <v>5.3203901772222029</v>
      </c>
      <c r="S52" s="62">
        <f t="shared" si="54"/>
        <v>1.0716760766666666</v>
      </c>
      <c r="T52" s="62">
        <f t="shared" si="54"/>
        <v>4.6065387479219639</v>
      </c>
      <c r="U52" s="62">
        <f t="shared" si="54"/>
        <v>17.570977224032937</v>
      </c>
    </row>
    <row r="53" spans="1:21">
      <c r="A53" s="62">
        <v>2040</v>
      </c>
      <c r="B53" s="62">
        <f>L9</f>
        <v>315.61036111110747</v>
      </c>
      <c r="C53" s="62">
        <f t="shared" ref="C53:F53" si="55">M9</f>
        <v>344.68346874166537</v>
      </c>
      <c r="D53" s="62">
        <f t="shared" si="55"/>
        <v>17.391655522222234</v>
      </c>
      <c r="E53" s="62">
        <f t="shared" si="55"/>
        <v>5.3079587027868547</v>
      </c>
      <c r="F53" s="62">
        <f t="shared" si="55"/>
        <v>682.99344407778437</v>
      </c>
      <c r="G53" s="27">
        <f>L21</f>
        <v>301.93722222222141</v>
      </c>
      <c r="H53" s="27">
        <f t="shared" ref="H53:K53" si="56">M21</f>
        <v>364.21267919722112</v>
      </c>
      <c r="I53" s="27">
        <f t="shared" si="56"/>
        <v>33.880944777777778</v>
      </c>
      <c r="J53" s="27">
        <f t="shared" si="56"/>
        <v>44.297591987615036</v>
      </c>
      <c r="K53" s="27">
        <f t="shared" si="56"/>
        <v>744.32843818483468</v>
      </c>
      <c r="L53" s="62">
        <f>(B58-B53)/5</f>
        <v>2.104716666667207</v>
      </c>
      <c r="M53" s="62">
        <f t="shared" ref="M53" si="57">(C58-C53)/5</f>
        <v>2.3777240538888238</v>
      </c>
      <c r="N53" s="62">
        <f t="shared" ref="N53" si="58">(D58-D53)/5</f>
        <v>0.11917853333333354</v>
      </c>
      <c r="O53" s="62">
        <f t="shared" ref="O53" si="59">(E58-E53)/5</f>
        <v>0.49248115200235637</v>
      </c>
      <c r="P53" s="62">
        <f t="shared" ref="P53" si="60">(F58-F53)/5</f>
        <v>5.0941004058917319</v>
      </c>
      <c r="Q53" s="62">
        <f t="shared" ref="Q53" si="61">(G58-G53)/5</f>
        <v>5.2716333333332956</v>
      </c>
      <c r="R53" s="62">
        <f t="shared" ref="R53" si="62">(H58-H53)/5</f>
        <v>6.0325894599999739</v>
      </c>
      <c r="S53" s="62">
        <f t="shared" ref="S53" si="63">(I58-I53)/5</f>
        <v>0.6702643550000047</v>
      </c>
      <c r="T53" s="62">
        <f t="shared" ref="T53" si="64">(J58-J53)/5</f>
        <v>5.3371110364373351</v>
      </c>
      <c r="U53" s="62">
        <f t="shared" ref="U53" si="65">(K58-K53)/5</f>
        <v>17.311598184770652</v>
      </c>
    </row>
    <row r="54" spans="1:21" s="62" customFormat="1">
      <c r="A54" s="62">
        <v>2041</v>
      </c>
      <c r="B54" s="27">
        <f>B53+L53</f>
        <v>317.7150777777747</v>
      </c>
      <c r="C54" s="27">
        <f t="shared" ref="C54:C57" si="66">C53+M53</f>
        <v>347.06119279555418</v>
      </c>
      <c r="D54" s="27">
        <f t="shared" ref="D54:D57" si="67">D53+N53</f>
        <v>17.510834055555566</v>
      </c>
      <c r="E54" s="27">
        <f t="shared" ref="E54:E57" si="68">E53+O53</f>
        <v>5.8004398547892109</v>
      </c>
      <c r="F54" s="27">
        <f t="shared" ref="F54:F57" si="69">F53+P53</f>
        <v>688.08754448367608</v>
      </c>
      <c r="G54" s="27">
        <f t="shared" ref="G54:G57" si="70">G53+Q53</f>
        <v>307.20885555555469</v>
      </c>
      <c r="H54" s="27">
        <f t="shared" ref="H54:H57" si="71">H53+R53</f>
        <v>370.24526865722112</v>
      </c>
      <c r="I54" s="27">
        <f t="shared" ref="I54:I57" si="72">I53+S53</f>
        <v>34.551209132777785</v>
      </c>
      <c r="J54" s="27">
        <f t="shared" ref="J54:J57" si="73">J53+T53</f>
        <v>49.634703024052371</v>
      </c>
      <c r="K54" s="27">
        <f t="shared" ref="K54:K57" si="74">K53+U53</f>
        <v>761.64003636960535</v>
      </c>
      <c r="L54" s="62">
        <f>L53</f>
        <v>2.104716666667207</v>
      </c>
      <c r="M54" s="62">
        <f t="shared" ref="M54:U54" si="75">M53</f>
        <v>2.3777240538888238</v>
      </c>
      <c r="N54" s="62">
        <f t="shared" si="75"/>
        <v>0.11917853333333354</v>
      </c>
      <c r="O54" s="62">
        <f t="shared" si="75"/>
        <v>0.49248115200235637</v>
      </c>
      <c r="P54" s="62">
        <f t="shared" si="75"/>
        <v>5.0941004058917319</v>
      </c>
      <c r="Q54" s="62">
        <f t="shared" si="75"/>
        <v>5.2716333333332956</v>
      </c>
      <c r="R54" s="62">
        <f t="shared" si="75"/>
        <v>6.0325894599999739</v>
      </c>
      <c r="S54" s="62">
        <f t="shared" si="75"/>
        <v>0.6702643550000047</v>
      </c>
      <c r="T54" s="62">
        <f t="shared" si="75"/>
        <v>5.3371110364373351</v>
      </c>
      <c r="U54" s="62">
        <f t="shared" si="75"/>
        <v>17.311598184770652</v>
      </c>
    </row>
    <row r="55" spans="1:21" s="62" customFormat="1">
      <c r="A55" s="62">
        <v>2042</v>
      </c>
      <c r="B55" s="27">
        <f t="shared" ref="B55:B57" si="76">B54+L54</f>
        <v>319.81979444444192</v>
      </c>
      <c r="C55" s="27">
        <f t="shared" si="66"/>
        <v>349.43891684944299</v>
      </c>
      <c r="D55" s="27">
        <f t="shared" si="67"/>
        <v>17.630012588888899</v>
      </c>
      <c r="E55" s="27">
        <f t="shared" si="68"/>
        <v>6.2929210067915671</v>
      </c>
      <c r="F55" s="27">
        <f t="shared" si="69"/>
        <v>693.18164488956779</v>
      </c>
      <c r="G55" s="27">
        <f t="shared" si="70"/>
        <v>312.48048888888798</v>
      </c>
      <c r="H55" s="27">
        <f t="shared" si="71"/>
        <v>376.27785811722111</v>
      </c>
      <c r="I55" s="27">
        <f t="shared" si="72"/>
        <v>35.221473487777793</v>
      </c>
      <c r="J55" s="27">
        <f t="shared" si="73"/>
        <v>54.971814060489706</v>
      </c>
      <c r="K55" s="27">
        <f t="shared" si="74"/>
        <v>778.95163455437603</v>
      </c>
      <c r="L55" s="62">
        <f>L53</f>
        <v>2.104716666667207</v>
      </c>
      <c r="M55" s="62">
        <f t="shared" ref="M55:U55" si="77">M53</f>
        <v>2.3777240538888238</v>
      </c>
      <c r="N55" s="62">
        <f t="shared" si="77"/>
        <v>0.11917853333333354</v>
      </c>
      <c r="O55" s="62">
        <f t="shared" si="77"/>
        <v>0.49248115200235637</v>
      </c>
      <c r="P55" s="62">
        <f t="shared" si="77"/>
        <v>5.0941004058917319</v>
      </c>
      <c r="Q55" s="62">
        <f t="shared" si="77"/>
        <v>5.2716333333332956</v>
      </c>
      <c r="R55" s="62">
        <f t="shared" si="77"/>
        <v>6.0325894599999739</v>
      </c>
      <c r="S55" s="62">
        <f t="shared" si="77"/>
        <v>0.6702643550000047</v>
      </c>
      <c r="T55" s="62">
        <f t="shared" si="77"/>
        <v>5.3371110364373351</v>
      </c>
      <c r="U55" s="62">
        <f t="shared" si="77"/>
        <v>17.311598184770652</v>
      </c>
    </row>
    <row r="56" spans="1:21" s="62" customFormat="1">
      <c r="A56" s="62">
        <v>2043</v>
      </c>
      <c r="B56" s="27">
        <f t="shared" si="76"/>
        <v>321.92451111110915</v>
      </c>
      <c r="C56" s="27">
        <f t="shared" si="66"/>
        <v>351.8166409033318</v>
      </c>
      <c r="D56" s="27">
        <f t="shared" si="67"/>
        <v>17.749191122222232</v>
      </c>
      <c r="E56" s="27">
        <f t="shared" si="68"/>
        <v>6.7854021587939233</v>
      </c>
      <c r="F56" s="27">
        <f t="shared" si="69"/>
        <v>698.2757452954595</v>
      </c>
      <c r="G56" s="27">
        <f t="shared" si="70"/>
        <v>317.75212222222126</v>
      </c>
      <c r="H56" s="27">
        <f t="shared" si="71"/>
        <v>382.31044757722111</v>
      </c>
      <c r="I56" s="27">
        <f t="shared" si="72"/>
        <v>35.8917378427778</v>
      </c>
      <c r="J56" s="27">
        <f t="shared" si="73"/>
        <v>60.308925096927041</v>
      </c>
      <c r="K56" s="27">
        <f t="shared" si="74"/>
        <v>796.2632327391467</v>
      </c>
      <c r="L56" s="62">
        <f>L53</f>
        <v>2.104716666667207</v>
      </c>
      <c r="M56" s="62">
        <f t="shared" ref="M56:U56" si="78">M53</f>
        <v>2.3777240538888238</v>
      </c>
      <c r="N56" s="62">
        <f t="shared" si="78"/>
        <v>0.11917853333333354</v>
      </c>
      <c r="O56" s="62">
        <f t="shared" si="78"/>
        <v>0.49248115200235637</v>
      </c>
      <c r="P56" s="62">
        <f t="shared" si="78"/>
        <v>5.0941004058917319</v>
      </c>
      <c r="Q56" s="62">
        <f t="shared" si="78"/>
        <v>5.2716333333332956</v>
      </c>
      <c r="R56" s="62">
        <f t="shared" si="78"/>
        <v>6.0325894599999739</v>
      </c>
      <c r="S56" s="62">
        <f t="shared" si="78"/>
        <v>0.6702643550000047</v>
      </c>
      <c r="T56" s="62">
        <f t="shared" si="78"/>
        <v>5.3371110364373351</v>
      </c>
      <c r="U56" s="62">
        <f t="shared" si="78"/>
        <v>17.311598184770652</v>
      </c>
    </row>
    <row r="57" spans="1:21" s="62" customFormat="1">
      <c r="A57" s="62">
        <v>2044</v>
      </c>
      <c r="B57" s="27">
        <f t="shared" si="76"/>
        <v>324.02922777777638</v>
      </c>
      <c r="C57" s="27">
        <f t="shared" si="66"/>
        <v>354.19436495722061</v>
      </c>
      <c r="D57" s="27">
        <f t="shared" si="67"/>
        <v>17.868369655555565</v>
      </c>
      <c r="E57" s="27">
        <f t="shared" si="68"/>
        <v>7.2778833107962795</v>
      </c>
      <c r="F57" s="27">
        <f t="shared" si="69"/>
        <v>703.36984570135121</v>
      </c>
      <c r="G57" s="27">
        <f t="shared" si="70"/>
        <v>323.02375555555454</v>
      </c>
      <c r="H57" s="27">
        <f t="shared" si="71"/>
        <v>388.34303703722111</v>
      </c>
      <c r="I57" s="27">
        <f t="shared" si="72"/>
        <v>36.562002197777808</v>
      </c>
      <c r="J57" s="27">
        <f t="shared" si="73"/>
        <v>65.646036133364376</v>
      </c>
      <c r="K57" s="27">
        <f t="shared" si="74"/>
        <v>813.57483092391738</v>
      </c>
      <c r="L57" s="62">
        <f>L53</f>
        <v>2.104716666667207</v>
      </c>
      <c r="M57" s="62">
        <f t="shared" ref="M57:U57" si="79">M53</f>
        <v>2.3777240538888238</v>
      </c>
      <c r="N57" s="62">
        <f t="shared" si="79"/>
        <v>0.11917853333333354</v>
      </c>
      <c r="O57" s="62">
        <f t="shared" si="79"/>
        <v>0.49248115200235637</v>
      </c>
      <c r="P57" s="62">
        <f t="shared" si="79"/>
        <v>5.0941004058917319</v>
      </c>
      <c r="Q57" s="62">
        <f t="shared" si="79"/>
        <v>5.2716333333332956</v>
      </c>
      <c r="R57" s="62">
        <f t="shared" si="79"/>
        <v>6.0325894599999739</v>
      </c>
      <c r="S57" s="62">
        <f t="shared" si="79"/>
        <v>0.6702643550000047</v>
      </c>
      <c r="T57" s="62">
        <f t="shared" si="79"/>
        <v>5.3371110364373351</v>
      </c>
      <c r="U57" s="62">
        <f t="shared" si="79"/>
        <v>17.311598184770652</v>
      </c>
    </row>
    <row r="58" spans="1:21" s="62" customFormat="1">
      <c r="A58" s="62">
        <v>2045</v>
      </c>
      <c r="B58" s="62">
        <f>L10</f>
        <v>326.1339444444435</v>
      </c>
      <c r="C58" s="62">
        <f t="shared" ref="C58:F58" si="80">M10</f>
        <v>356.57208901110948</v>
      </c>
      <c r="D58" s="62">
        <f t="shared" si="80"/>
        <v>17.987548188888901</v>
      </c>
      <c r="E58" s="62">
        <f t="shared" si="80"/>
        <v>7.7703644627986366</v>
      </c>
      <c r="F58" s="62">
        <f t="shared" si="80"/>
        <v>708.46394610724303</v>
      </c>
      <c r="G58" s="27">
        <f>L22</f>
        <v>328.29538888888789</v>
      </c>
      <c r="H58" s="27">
        <f t="shared" ref="H58:K58" si="81">M22</f>
        <v>394.37562649722099</v>
      </c>
      <c r="I58" s="27">
        <f t="shared" si="81"/>
        <v>37.232266552777801</v>
      </c>
      <c r="J58" s="27">
        <f t="shared" si="81"/>
        <v>70.983147169801711</v>
      </c>
      <c r="K58" s="27">
        <f t="shared" si="81"/>
        <v>830.88642910868793</v>
      </c>
      <c r="L58" s="62">
        <f>(B63-B58)/5</f>
        <v>3.2767111111111036</v>
      </c>
      <c r="M58" s="62">
        <f t="shared" ref="M58" si="82">(C63-C58)/5</f>
        <v>3.8055927294445153</v>
      </c>
      <c r="N58" s="62">
        <f t="shared" ref="N58" si="83">(D63-D58)/5</f>
        <v>1.7336835388888971E-2</v>
      </c>
      <c r="O58" s="62">
        <f t="shared" ref="O58" si="84">(E63-E58)/5</f>
        <v>0.65994564200970751</v>
      </c>
      <c r="P58" s="62">
        <f t="shared" ref="P58" si="85">(F63-F58)/5</f>
        <v>7.7595863179542448</v>
      </c>
      <c r="Q58" s="62">
        <f t="shared" ref="Q58" si="86">(G63-G58)/5</f>
        <v>6.9394666666666582</v>
      </c>
      <c r="R58" s="62">
        <f t="shared" ref="R58" si="87">(H63-H58)/5</f>
        <v>12.245023713166642</v>
      </c>
      <c r="S58" s="62">
        <f t="shared" ref="S58" si="88">(I63-I58)/5</f>
        <v>0.77823474722222419</v>
      </c>
      <c r="T58" s="62">
        <f t="shared" ref="T58" si="89">(J63-J58)/5</f>
        <v>10.538100305845678</v>
      </c>
      <c r="U58" s="62">
        <f t="shared" ref="U58" si="90">(K63-K58)/5</f>
        <v>30.500825432901184</v>
      </c>
    </row>
    <row r="59" spans="1:21" s="62" customFormat="1">
      <c r="A59" s="62">
        <v>2046</v>
      </c>
      <c r="B59" s="27">
        <f>B58+L58</f>
        <v>329.41065555555463</v>
      </c>
      <c r="C59" s="27">
        <f t="shared" ref="C59:C62" si="91">C58+M58</f>
        <v>360.37768174055401</v>
      </c>
      <c r="D59" s="27">
        <f t="shared" ref="D59:D62" si="92">D58+N58</f>
        <v>18.00488502427779</v>
      </c>
      <c r="E59" s="27">
        <f t="shared" ref="E59:E62" si="93">E58+O58</f>
        <v>8.4303101048083438</v>
      </c>
      <c r="F59" s="27">
        <f t="shared" ref="F59:F62" si="94">F58+P58</f>
        <v>716.22353242519728</v>
      </c>
      <c r="G59" s="27">
        <f t="shared" ref="G59:G62" si="95">G58+Q58</f>
        <v>335.23485555555453</v>
      </c>
      <c r="H59" s="27">
        <f t="shared" ref="H59:H62" si="96">H58+R58</f>
        <v>406.62065021038762</v>
      </c>
      <c r="I59" s="27">
        <f t="shared" ref="I59:I62" si="97">I58+S58</f>
        <v>38.010501300000023</v>
      </c>
      <c r="J59" s="27">
        <f t="shared" ref="J59:J62" si="98">J58+T58</f>
        <v>81.521247475647385</v>
      </c>
      <c r="K59" s="27">
        <f t="shared" ref="K59:K62" si="99">K58+U58</f>
        <v>861.38725454158907</v>
      </c>
      <c r="L59" s="62">
        <f>L58</f>
        <v>3.2767111111111036</v>
      </c>
      <c r="M59" s="62">
        <f t="shared" ref="M59:U59" si="100">M58</f>
        <v>3.8055927294445153</v>
      </c>
      <c r="N59" s="62">
        <f t="shared" si="100"/>
        <v>1.7336835388888971E-2</v>
      </c>
      <c r="O59" s="62">
        <f t="shared" si="100"/>
        <v>0.65994564200970751</v>
      </c>
      <c r="P59" s="62">
        <f t="shared" si="100"/>
        <v>7.7595863179542448</v>
      </c>
      <c r="Q59" s="62">
        <f t="shared" si="100"/>
        <v>6.9394666666666582</v>
      </c>
      <c r="R59" s="62">
        <f t="shared" si="100"/>
        <v>12.245023713166642</v>
      </c>
      <c r="S59" s="62">
        <f t="shared" si="100"/>
        <v>0.77823474722222419</v>
      </c>
      <c r="T59" s="62">
        <f t="shared" si="100"/>
        <v>10.538100305845678</v>
      </c>
      <c r="U59" s="62">
        <f t="shared" si="100"/>
        <v>30.500825432901184</v>
      </c>
    </row>
    <row r="60" spans="1:21" s="62" customFormat="1">
      <c r="A60" s="62">
        <v>2047</v>
      </c>
      <c r="B60" s="27">
        <f t="shared" ref="B60:B62" si="101">B59+L59</f>
        <v>332.68736666666575</v>
      </c>
      <c r="C60" s="27">
        <f t="shared" si="91"/>
        <v>364.18327446999854</v>
      </c>
      <c r="D60" s="27">
        <f t="shared" si="92"/>
        <v>18.022221859666679</v>
      </c>
      <c r="E60" s="27">
        <f t="shared" si="93"/>
        <v>9.0902557468180518</v>
      </c>
      <c r="F60" s="27">
        <f t="shared" si="94"/>
        <v>723.98311874315152</v>
      </c>
      <c r="G60" s="27">
        <f t="shared" si="95"/>
        <v>342.17432222222118</v>
      </c>
      <c r="H60" s="27">
        <f t="shared" si="96"/>
        <v>418.86567392355425</v>
      </c>
      <c r="I60" s="27">
        <f t="shared" si="97"/>
        <v>38.788736047222244</v>
      </c>
      <c r="J60" s="27">
        <f t="shared" si="98"/>
        <v>92.059347781493059</v>
      </c>
      <c r="K60" s="27">
        <f t="shared" si="99"/>
        <v>891.88807997449021</v>
      </c>
      <c r="L60" s="62">
        <f>L58</f>
        <v>3.2767111111111036</v>
      </c>
      <c r="M60" s="62">
        <f t="shared" ref="M60:U60" si="102">M58</f>
        <v>3.8055927294445153</v>
      </c>
      <c r="N60" s="62">
        <f t="shared" si="102"/>
        <v>1.7336835388888971E-2</v>
      </c>
      <c r="O60" s="62">
        <f t="shared" si="102"/>
        <v>0.65994564200970751</v>
      </c>
      <c r="P60" s="62">
        <f t="shared" si="102"/>
        <v>7.7595863179542448</v>
      </c>
      <c r="Q60" s="62">
        <f t="shared" si="102"/>
        <v>6.9394666666666582</v>
      </c>
      <c r="R60" s="62">
        <f t="shared" si="102"/>
        <v>12.245023713166642</v>
      </c>
      <c r="S60" s="62">
        <f t="shared" si="102"/>
        <v>0.77823474722222419</v>
      </c>
      <c r="T60" s="62">
        <f t="shared" si="102"/>
        <v>10.538100305845678</v>
      </c>
      <c r="U60" s="62">
        <f t="shared" si="102"/>
        <v>30.500825432901184</v>
      </c>
    </row>
    <row r="61" spans="1:21" s="62" customFormat="1">
      <c r="A61" s="62">
        <v>2048</v>
      </c>
      <c r="B61" s="27">
        <f t="shared" si="101"/>
        <v>335.96407777777688</v>
      </c>
      <c r="C61" s="27">
        <f t="shared" si="91"/>
        <v>367.98886719944306</v>
      </c>
      <c r="D61" s="27">
        <f t="shared" si="92"/>
        <v>18.039558695055568</v>
      </c>
      <c r="E61" s="27">
        <f t="shared" si="93"/>
        <v>9.7502013888277599</v>
      </c>
      <c r="F61" s="27">
        <f t="shared" si="94"/>
        <v>731.74270506110577</v>
      </c>
      <c r="G61" s="27">
        <f t="shared" si="95"/>
        <v>349.11378888888783</v>
      </c>
      <c r="H61" s="27">
        <f t="shared" si="96"/>
        <v>431.11069763672089</v>
      </c>
      <c r="I61" s="27">
        <f t="shared" si="97"/>
        <v>39.566970794444465</v>
      </c>
      <c r="J61" s="27">
        <f t="shared" si="98"/>
        <v>102.59744808733873</v>
      </c>
      <c r="K61" s="27">
        <f t="shared" si="99"/>
        <v>922.38890540739135</v>
      </c>
      <c r="L61" s="62">
        <f>L58</f>
        <v>3.2767111111111036</v>
      </c>
      <c r="M61" s="62">
        <f t="shared" ref="M61:U61" si="103">M58</f>
        <v>3.8055927294445153</v>
      </c>
      <c r="N61" s="62">
        <f t="shared" si="103"/>
        <v>1.7336835388888971E-2</v>
      </c>
      <c r="O61" s="62">
        <f t="shared" si="103"/>
        <v>0.65994564200970751</v>
      </c>
      <c r="P61" s="62">
        <f t="shared" si="103"/>
        <v>7.7595863179542448</v>
      </c>
      <c r="Q61" s="62">
        <f t="shared" si="103"/>
        <v>6.9394666666666582</v>
      </c>
      <c r="R61" s="62">
        <f t="shared" si="103"/>
        <v>12.245023713166642</v>
      </c>
      <c r="S61" s="62">
        <f t="shared" si="103"/>
        <v>0.77823474722222419</v>
      </c>
      <c r="T61" s="62">
        <f t="shared" si="103"/>
        <v>10.538100305845678</v>
      </c>
      <c r="U61" s="62">
        <f t="shared" si="103"/>
        <v>30.500825432901184</v>
      </c>
    </row>
    <row r="62" spans="1:21" s="62" customFormat="1">
      <c r="A62" s="62">
        <v>2049</v>
      </c>
      <c r="B62" s="27">
        <f t="shared" si="101"/>
        <v>339.24078888888801</v>
      </c>
      <c r="C62" s="27">
        <f t="shared" si="91"/>
        <v>371.79445992888759</v>
      </c>
      <c r="D62" s="27">
        <f t="shared" si="92"/>
        <v>18.056895530444457</v>
      </c>
      <c r="E62" s="27">
        <f t="shared" si="93"/>
        <v>10.410147030837468</v>
      </c>
      <c r="F62" s="27">
        <f t="shared" si="94"/>
        <v>739.50229137906001</v>
      </c>
      <c r="G62" s="27">
        <f t="shared" si="95"/>
        <v>356.05325555555447</v>
      </c>
      <c r="H62" s="27">
        <f t="shared" si="96"/>
        <v>443.35572134988752</v>
      </c>
      <c r="I62" s="27">
        <f t="shared" si="97"/>
        <v>40.345205541666687</v>
      </c>
      <c r="J62" s="27">
        <f t="shared" si="98"/>
        <v>113.13554839318441</v>
      </c>
      <c r="K62" s="27">
        <f t="shared" si="99"/>
        <v>952.88973084029249</v>
      </c>
      <c r="L62" s="62">
        <f>L58</f>
        <v>3.2767111111111036</v>
      </c>
      <c r="M62" s="62">
        <f t="shared" ref="M62:U62" si="104">M58</f>
        <v>3.8055927294445153</v>
      </c>
      <c r="N62" s="62">
        <f t="shared" si="104"/>
        <v>1.7336835388888971E-2</v>
      </c>
      <c r="O62" s="62">
        <f t="shared" si="104"/>
        <v>0.65994564200970751</v>
      </c>
      <c r="P62" s="62">
        <f t="shared" si="104"/>
        <v>7.7595863179542448</v>
      </c>
      <c r="Q62" s="62">
        <f t="shared" si="104"/>
        <v>6.9394666666666582</v>
      </c>
      <c r="R62" s="62">
        <f t="shared" si="104"/>
        <v>12.245023713166642</v>
      </c>
      <c r="S62" s="62">
        <f t="shared" si="104"/>
        <v>0.77823474722222419</v>
      </c>
      <c r="T62" s="62">
        <f t="shared" si="104"/>
        <v>10.538100305845678</v>
      </c>
      <c r="U62" s="62">
        <f t="shared" si="104"/>
        <v>30.500825432901184</v>
      </c>
    </row>
    <row r="63" spans="1:21">
      <c r="A63" s="62">
        <v>2050</v>
      </c>
      <c r="B63" s="27">
        <f>L11</f>
        <v>342.51749999999902</v>
      </c>
      <c r="C63" s="27">
        <f t="shared" ref="C63:F63" si="105">M11</f>
        <v>375.60005265833206</v>
      </c>
      <c r="D63" s="27">
        <f t="shared" si="105"/>
        <v>18.074232365833346</v>
      </c>
      <c r="E63" s="27">
        <f t="shared" si="105"/>
        <v>11.070092672847174</v>
      </c>
      <c r="F63" s="27">
        <f t="shared" si="105"/>
        <v>747.26187769701426</v>
      </c>
      <c r="G63" s="27">
        <f>L23</f>
        <v>362.99272222222118</v>
      </c>
      <c r="H63" s="27">
        <f t="shared" ref="H63:K63" si="106">M23</f>
        <v>455.60074506305421</v>
      </c>
      <c r="I63" s="27">
        <f t="shared" si="106"/>
        <v>41.123440288888922</v>
      </c>
      <c r="J63" s="27">
        <f t="shared" si="106"/>
        <v>123.6736486990301</v>
      </c>
      <c r="K63" s="27">
        <f t="shared" si="106"/>
        <v>983.39055627319385</v>
      </c>
      <c r="L63" s="62"/>
      <c r="M63" s="62"/>
      <c r="N63" s="62"/>
      <c r="O63" s="62"/>
      <c r="P63" s="62"/>
      <c r="Q63" s="62"/>
      <c r="R63" s="62"/>
      <c r="S63" s="62"/>
      <c r="T63" s="62"/>
      <c r="U63" s="62"/>
    </row>
    <row r="64" spans="1:21">
      <c r="A64" s="62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62"/>
      <c r="M64" s="62"/>
      <c r="N64" s="62"/>
      <c r="O64" s="62"/>
      <c r="P64" s="62"/>
      <c r="Q64" s="62"/>
      <c r="R64" s="62"/>
      <c r="S64" s="62"/>
      <c r="T64" s="62"/>
      <c r="U64" s="62"/>
    </row>
    <row r="65" spans="1:21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</row>
    <row r="66" spans="1:21">
      <c r="A66" s="62" t="s">
        <v>613</v>
      </c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</row>
    <row r="67" spans="1:21">
      <c r="A67" s="62" t="s">
        <v>614</v>
      </c>
      <c r="B67" s="95">
        <f>(B49/B35)^(1/14)-1</f>
        <v>1.5430966166985582E-2</v>
      </c>
      <c r="C67" s="95">
        <f t="shared" ref="C67:K67" si="107">(C49/C35)^(1/14)-1</f>
        <v>7.0886707366664137E-3</v>
      </c>
      <c r="D67" s="95">
        <f t="shared" si="107"/>
        <v>8.8206405646937158E-2</v>
      </c>
      <c r="E67" s="95">
        <f t="shared" si="107"/>
        <v>0.22655202440092514</v>
      </c>
      <c r="F67" s="95">
        <f t="shared" si="107"/>
        <v>1.2347459937059435E-2</v>
      </c>
      <c r="G67" s="95">
        <f t="shared" si="107"/>
        <v>1.1953045778276605E-2</v>
      </c>
      <c r="H67" s="95">
        <f t="shared" si="107"/>
        <v>8.8761686182756705E-3</v>
      </c>
      <c r="I67" s="95">
        <f t="shared" si="107"/>
        <v>0.11146831873673468</v>
      </c>
      <c r="J67" s="95">
        <f t="shared" si="107"/>
        <v>0.33959341295593681</v>
      </c>
      <c r="K67" s="95">
        <f t="shared" si="107"/>
        <v>1.5481659852676355E-2</v>
      </c>
      <c r="L67" s="62"/>
      <c r="M67" s="62"/>
      <c r="N67" s="62"/>
      <c r="O67" s="62"/>
      <c r="P67" s="62"/>
      <c r="Q67" s="62"/>
      <c r="R67" s="62"/>
      <c r="S67" s="62"/>
      <c r="T67" s="62"/>
      <c r="U67" s="62"/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7A99F-C100-405E-8320-24FEE08E7D7D}">
  <dimension ref="A1:X66"/>
  <sheetViews>
    <sheetView zoomScale="55" zoomScaleNormal="55" workbookViewId="0">
      <selection activeCell="A17" sqref="A17"/>
    </sheetView>
  </sheetViews>
  <sheetFormatPr defaultRowHeight="17.399999999999999"/>
  <cols>
    <col min="1" max="2" width="8.796875" style="62"/>
    <col min="3" max="3" width="10.09765625" style="62" bestFit="1" customWidth="1"/>
    <col min="4" max="12" width="8.796875" style="62"/>
    <col min="13" max="13" width="10.8984375" style="62" bestFit="1" customWidth="1"/>
    <col min="14" max="16384" width="8.796875" style="62"/>
  </cols>
  <sheetData>
    <row r="1" spans="1:24">
      <c r="A1" s="62" t="s">
        <v>608</v>
      </c>
    </row>
    <row r="2" spans="1:24" ht="18" thickBot="1">
      <c r="A2" s="62" t="s">
        <v>580</v>
      </c>
      <c r="T2" s="62" t="s">
        <v>612</v>
      </c>
      <c r="U2" s="62" t="s">
        <v>486</v>
      </c>
      <c r="V2" s="62" t="s">
        <v>487</v>
      </c>
      <c r="W2" s="62" t="s">
        <v>609</v>
      </c>
      <c r="X2" s="62" t="s">
        <v>610</v>
      </c>
    </row>
    <row r="3" spans="1:24" ht="23.4" thickBot="1">
      <c r="B3" s="62">
        <v>2015</v>
      </c>
      <c r="C3" s="62">
        <v>2020</v>
      </c>
      <c r="D3" s="62">
        <v>2025</v>
      </c>
      <c r="E3" s="62">
        <v>2030</v>
      </c>
      <c r="F3" s="62">
        <v>2035</v>
      </c>
      <c r="G3" s="62">
        <v>2040</v>
      </c>
      <c r="H3" s="62">
        <v>2045</v>
      </c>
      <c r="I3" s="62">
        <v>2050</v>
      </c>
      <c r="L3" s="62" t="s">
        <v>488</v>
      </c>
      <c r="M3" s="62" t="s">
        <v>486</v>
      </c>
      <c r="N3" s="62" t="s">
        <v>487</v>
      </c>
      <c r="O3" s="62" t="s">
        <v>609</v>
      </c>
      <c r="P3" s="62" t="s">
        <v>610</v>
      </c>
      <c r="T3" s="96"/>
      <c r="U3" s="96"/>
      <c r="V3" s="96"/>
      <c r="W3" s="97"/>
      <c r="X3" s="96"/>
    </row>
    <row r="4" spans="1:24" ht="23.4" thickBot="1">
      <c r="A4" s="62" t="s">
        <v>612</v>
      </c>
      <c r="B4" s="62">
        <f>CurPol_final_energy!D47</f>
        <v>209.65099999999939</v>
      </c>
      <c r="C4" s="62">
        <f>CurPol_final_energy!E47+$T$4-CurPol_final_energy!$E$47</f>
        <v>237.46560821001898</v>
      </c>
      <c r="D4" s="62">
        <f>CurPol_final_energy!F47+$T$4-CurPol_final_energy!$E$47</f>
        <v>274.06646932113006</v>
      </c>
      <c r="E4" s="62">
        <f>CurPol_final_energy!G47+$T$4-CurPol_final_energy!$E$47</f>
        <v>285.47046932113005</v>
      </c>
      <c r="F4" s="62">
        <f>CurPol_final_energy!H47+$T$4-CurPol_final_energy!$E$47</f>
        <v>307.99391376557435</v>
      </c>
      <c r="G4" s="62">
        <f>CurPol_final_energy!I47+$T$4-CurPol_final_energy!$E$47</f>
        <v>322.13913598779379</v>
      </c>
      <c r="H4" s="62">
        <f>CurPol_final_energy!J47+$T$4-CurPol_final_energy!$E$47</f>
        <v>332.66271932112988</v>
      </c>
      <c r="I4" s="62">
        <f>CurPol_final_energy!K47+$T$4-CurPol_final_energy!$E$47</f>
        <v>349.0462748766854</v>
      </c>
      <c r="K4" s="62">
        <v>2015</v>
      </c>
      <c r="L4" s="27">
        <f>B4</f>
        <v>209.65099999999939</v>
      </c>
      <c r="M4" s="27">
        <f>B5</f>
        <v>276.52328422222149</v>
      </c>
      <c r="N4" s="27">
        <f>B6</f>
        <v>2.2184500000000016</v>
      </c>
      <c r="O4" s="62">
        <f>B7</f>
        <v>0</v>
      </c>
      <c r="P4" s="27">
        <f>B8</f>
        <v>488.39273422222266</v>
      </c>
      <c r="T4" s="96">
        <v>237.46560821001901</v>
      </c>
      <c r="U4" s="96">
        <v>268.7407250900215</v>
      </c>
      <c r="V4" s="96">
        <v>3.1550445500000026</v>
      </c>
      <c r="W4" s="97"/>
      <c r="X4" s="96">
        <v>509.36137785000045</v>
      </c>
    </row>
    <row r="5" spans="1:24">
      <c r="A5" s="62" t="s">
        <v>486</v>
      </c>
      <c r="B5" s="62">
        <f>'CurPol_industry_final_energ (2)'!P80</f>
        <v>276.52328422222149</v>
      </c>
      <c r="C5" s="62">
        <f>'CurPol_industry_final_energ (2)'!Q80+$U$4-'CurPol_industry_final_energ (2)'!$Q$80</f>
        <v>268.7407250900215</v>
      </c>
      <c r="D5" s="62">
        <f>'CurPol_industry_final_energ (2)'!R80+$U$4-'CurPol_industry_final_energ (2)'!$Q$80</f>
        <v>302.49499427613256</v>
      </c>
      <c r="E5" s="62">
        <f>'CurPol_industry_final_energ (2)'!S80+$U$4-'CurPol_industry_final_energ (2)'!$Q$80</f>
        <v>309.2899688289105</v>
      </c>
      <c r="F5" s="62">
        <f>'CurPol_industry_final_energ (2)'!T80+$U$4-'CurPol_industry_final_energ (2)'!$Q$80</f>
        <v>313.01118658446575</v>
      </c>
      <c r="G5" s="62">
        <f>'CurPol_industry_final_energ (2)'!U80+$U$4-'CurPol_industry_final_energ (2)'!$Q$80</f>
        <v>319.13568014279889</v>
      </c>
      <c r="H5" s="62">
        <f>'CurPol_industry_final_energ (2)'!V80+$U$4-'CurPol_industry_final_energ (2)'!$Q$80</f>
        <v>331.02430041224301</v>
      </c>
      <c r="I5" s="62">
        <f>'CurPol_industry_final_energ (2)'!W80+$U$4-'CurPol_industry_final_energ (2)'!$Q$80</f>
        <v>350.05226405946559</v>
      </c>
      <c r="K5" s="62">
        <v>2020</v>
      </c>
      <c r="L5" s="27">
        <f>C4</f>
        <v>237.46560821001898</v>
      </c>
      <c r="M5" s="27">
        <f>C5</f>
        <v>268.7407250900215</v>
      </c>
      <c r="N5" s="27">
        <f>C6</f>
        <v>3.1550445500000026</v>
      </c>
      <c r="O5" s="62">
        <f>C7</f>
        <v>4.3709279109587926E-2</v>
      </c>
      <c r="P5" s="27">
        <f>C8</f>
        <v>509.40508712915005</v>
      </c>
    </row>
    <row r="6" spans="1:24">
      <c r="A6" s="62" t="s">
        <v>487</v>
      </c>
      <c r="B6" s="62">
        <f>CurPol_final_energy!AC59</f>
        <v>2.2184500000000016</v>
      </c>
      <c r="C6" s="62">
        <f>CurPol_final_energy!AD59+$V$4-CurPol_final_energy!$AD$59</f>
        <v>3.1550445500000026</v>
      </c>
      <c r="D6" s="62">
        <f>CurPol_final_energy!AE59+$V$4-CurPol_final_energy!$AD$59</f>
        <v>7.8416572333333399</v>
      </c>
      <c r="E6" s="62">
        <f>CurPol_final_energy!AF59+$V$4-CurPol_final_energy!$AD$59</f>
        <v>12.264276822222232</v>
      </c>
      <c r="F6" s="62">
        <f>CurPol_final_energy!AG59+$V$4-CurPol_final_energy!$AD$59</f>
        <v>15.768073277777791</v>
      </c>
      <c r="G6" s="62">
        <f>CurPol_final_energy!AH59+$V$4-CurPol_final_energy!$AD$59</f>
        <v>17.526299086111123</v>
      </c>
      <c r="H6" s="62">
        <f>CurPol_final_energy!AI59+$V$4-CurPol_final_energy!$AD$59</f>
        <v>18.122191752777791</v>
      </c>
      <c r="I6" s="62">
        <f>CurPol_final_energy!AJ59+$V$4-CurPol_final_energy!$AD$59</f>
        <v>18.208875929722236</v>
      </c>
      <c r="K6" s="62">
        <v>2025</v>
      </c>
      <c r="L6" s="27">
        <f>D4</f>
        <v>274.06646932113006</v>
      </c>
      <c r="M6" s="27">
        <f>D5</f>
        <v>302.49499427613256</v>
      </c>
      <c r="N6" s="27">
        <f>D6</f>
        <v>7.8416572333333399</v>
      </c>
      <c r="O6" s="62">
        <f>D7</f>
        <v>0.37186451872261317</v>
      </c>
      <c r="P6" s="27">
        <f>D8</f>
        <v>584.77498534931863</v>
      </c>
    </row>
    <row r="7" spans="1:24">
      <c r="A7" s="62" t="s">
        <v>609</v>
      </c>
      <c r="B7" s="62">
        <f>CurPol_final_energy!U125</f>
        <v>0</v>
      </c>
      <c r="C7" s="62">
        <f>CurPol_final_energy!V125</f>
        <v>4.3709279109587926E-2</v>
      </c>
      <c r="D7" s="62">
        <f>CurPol_final_energy!W125</f>
        <v>0.37186451872261317</v>
      </c>
      <c r="E7" s="62">
        <f>CurPol_final_energy!X125</f>
        <v>1.0360057404872918</v>
      </c>
      <c r="F7" s="62">
        <f>CurPol_final_energy!Y125</f>
        <v>2.4878882741920512</v>
      </c>
      <c r="G7" s="62">
        <f>CurPol_final_energy!Z125</f>
        <v>5.3079587027868547</v>
      </c>
      <c r="H7" s="62">
        <f>CurPol_final_energy!AA125</f>
        <v>7.7703644627986366</v>
      </c>
      <c r="I7" s="62">
        <f>CurPol_final_energy!AB125</f>
        <v>11.070092672847174</v>
      </c>
      <c r="K7" s="62">
        <v>2030</v>
      </c>
      <c r="L7" s="27">
        <f>E4</f>
        <v>285.47046932113005</v>
      </c>
      <c r="M7" s="27">
        <f>E5</f>
        <v>309.2899688289105</v>
      </c>
      <c r="N7" s="27">
        <f>E6</f>
        <v>12.264276822222232</v>
      </c>
      <c r="O7" s="62">
        <f>E7</f>
        <v>1.0360057404872918</v>
      </c>
      <c r="P7" s="27">
        <f>E8</f>
        <v>608.06072071275003</v>
      </c>
    </row>
    <row r="8" spans="1:24">
      <c r="A8" s="62" t="s">
        <v>610</v>
      </c>
      <c r="B8" s="62">
        <f>CurPol_final_energy!AB8</f>
        <v>488.39273422222266</v>
      </c>
      <c r="C8" s="62">
        <f>SUM(C4:C7)</f>
        <v>509.40508712915005</v>
      </c>
      <c r="D8" s="62">
        <f t="shared" ref="D8:I8" si="0">SUM(D4:D7)</f>
        <v>584.77498534931863</v>
      </c>
      <c r="E8" s="62">
        <f t="shared" si="0"/>
        <v>608.06072071275003</v>
      </c>
      <c r="F8" s="62">
        <f t="shared" si="0"/>
        <v>639.26106190200994</v>
      </c>
      <c r="G8" s="62">
        <f t="shared" si="0"/>
        <v>664.10907391949058</v>
      </c>
      <c r="H8" s="62">
        <f t="shared" si="0"/>
        <v>689.57957594894924</v>
      </c>
      <c r="I8" s="62">
        <f t="shared" si="0"/>
        <v>728.37750753872047</v>
      </c>
      <c r="K8" s="62">
        <v>2035</v>
      </c>
      <c r="L8" s="27">
        <f>F4</f>
        <v>307.99391376557435</v>
      </c>
      <c r="M8" s="27">
        <f>F5</f>
        <v>313.01118658446575</v>
      </c>
      <c r="N8" s="27">
        <f>F6</f>
        <v>15.768073277777791</v>
      </c>
      <c r="O8" s="62">
        <f>F7</f>
        <v>2.4878882741920512</v>
      </c>
      <c r="P8" s="27">
        <f>F8</f>
        <v>639.26106190200994</v>
      </c>
    </row>
    <row r="9" spans="1:24">
      <c r="A9" s="62" t="s">
        <v>611</v>
      </c>
      <c r="B9" s="62">
        <f>SUM(B4:B7)</f>
        <v>488.39273422222089</v>
      </c>
      <c r="C9" s="62">
        <f t="shared" ref="C9:I9" si="1">SUM(C4:C7)</f>
        <v>509.40508712915005</v>
      </c>
      <c r="D9" s="62">
        <f t="shared" si="1"/>
        <v>584.77498534931863</v>
      </c>
      <c r="E9" s="62">
        <f t="shared" si="1"/>
        <v>608.06072071275003</v>
      </c>
      <c r="F9" s="62">
        <f t="shared" si="1"/>
        <v>639.26106190200994</v>
      </c>
      <c r="G9" s="62">
        <f t="shared" si="1"/>
        <v>664.10907391949058</v>
      </c>
      <c r="H9" s="62">
        <f t="shared" si="1"/>
        <v>689.57957594894924</v>
      </c>
      <c r="I9" s="62">
        <f t="shared" si="1"/>
        <v>728.37750753872047</v>
      </c>
      <c r="K9" s="62">
        <v>2040</v>
      </c>
      <c r="L9" s="27">
        <f>G4</f>
        <v>322.13913598779379</v>
      </c>
      <c r="M9" s="27">
        <f>G5</f>
        <v>319.13568014279889</v>
      </c>
      <c r="N9" s="27">
        <f>G6</f>
        <v>17.526299086111123</v>
      </c>
      <c r="O9" s="62">
        <f>G7</f>
        <v>5.3079587027868547</v>
      </c>
      <c r="P9" s="27">
        <f>G8</f>
        <v>664.10907391949058</v>
      </c>
    </row>
    <row r="10" spans="1:24">
      <c r="K10" s="62">
        <v>2045</v>
      </c>
      <c r="L10" s="27">
        <f>H4</f>
        <v>332.66271932112988</v>
      </c>
      <c r="M10" s="27">
        <f>H5</f>
        <v>331.02430041224301</v>
      </c>
      <c r="N10" s="27">
        <f>H6</f>
        <v>18.122191752777791</v>
      </c>
      <c r="O10" s="62">
        <f>H7</f>
        <v>7.7703644627986366</v>
      </c>
      <c r="P10" s="27">
        <f>H8</f>
        <v>689.57957594894924</v>
      </c>
    </row>
    <row r="11" spans="1:24">
      <c r="K11" s="62">
        <v>2050</v>
      </c>
      <c r="L11" s="27">
        <f>I4</f>
        <v>349.0462748766854</v>
      </c>
      <c r="M11" s="27">
        <f>I5</f>
        <v>350.05226405946559</v>
      </c>
      <c r="N11" s="27">
        <f>I6</f>
        <v>18.208875929722236</v>
      </c>
      <c r="O11" s="62">
        <f>I7</f>
        <v>11.070092672847174</v>
      </c>
      <c r="P11" s="27">
        <f>I8</f>
        <v>728.37750753872047</v>
      </c>
    </row>
    <row r="14" spans="1:24">
      <c r="A14" s="62" t="s">
        <v>579</v>
      </c>
    </row>
    <row r="15" spans="1:24">
      <c r="B15" s="62">
        <v>2015</v>
      </c>
      <c r="C15" s="62">
        <v>2020</v>
      </c>
      <c r="D15" s="62">
        <v>2025</v>
      </c>
      <c r="E15" s="62">
        <v>2030</v>
      </c>
      <c r="F15" s="62">
        <v>2035</v>
      </c>
      <c r="G15" s="62">
        <v>2040</v>
      </c>
      <c r="H15" s="62">
        <v>2045</v>
      </c>
      <c r="I15" s="62">
        <v>2050</v>
      </c>
      <c r="L15" s="62" t="s">
        <v>488</v>
      </c>
      <c r="M15" s="62" t="s">
        <v>486</v>
      </c>
      <c r="N15" s="62" t="s">
        <v>487</v>
      </c>
      <c r="O15" s="62" t="s">
        <v>609</v>
      </c>
      <c r="P15" s="62" t="s">
        <v>610</v>
      </c>
    </row>
    <row r="16" spans="1:24">
      <c r="A16" s="62" t="s">
        <v>612</v>
      </c>
      <c r="B16" s="62">
        <f>NZ2050_final_energy!D53</f>
        <v>209.65099999999939</v>
      </c>
      <c r="C16" s="62">
        <f>NZ2050_final_energy!E53+$T$4-NZ2050_final_energy!$E$53</f>
        <v>237.46560821001898</v>
      </c>
      <c r="D16" s="62">
        <f>NZ2050_final_energy!F53+$T$4-NZ2050_final_energy!$E$53</f>
        <v>240.58960821001901</v>
      </c>
      <c r="E16" s="62">
        <f>NZ2050_final_energy!G53+$T$4-NZ2050_final_energy!$E$53</f>
        <v>253.2361359877967</v>
      </c>
      <c r="F16" s="62">
        <f>NZ2050_final_energy!H53+$T$4-NZ2050_final_energy!$E$53</f>
        <v>274.38599709890775</v>
      </c>
      <c r="G16" s="62">
        <f>NZ2050_final_energy!I53+$T$4-NZ2050_final_energy!$E$53</f>
        <v>307.24785821001888</v>
      </c>
      <c r="H16" s="62">
        <f>NZ2050_final_energy!J53+$T$4-NZ2050_final_energy!$E$53</f>
        <v>333.60602487668541</v>
      </c>
      <c r="I16" s="62">
        <f>NZ2050_final_energy!K53+$T$4-NZ2050_final_energy!$E$53</f>
        <v>368.3033582100187</v>
      </c>
      <c r="K16" s="62">
        <v>2015</v>
      </c>
      <c r="L16" s="27">
        <f>B16</f>
        <v>209.65099999999939</v>
      </c>
      <c r="M16" s="27">
        <f>B17</f>
        <v>276.52328422222149</v>
      </c>
      <c r="N16" s="27">
        <f>B18</f>
        <v>2.2184500000000016</v>
      </c>
      <c r="O16" s="62">
        <f>B19</f>
        <v>0</v>
      </c>
      <c r="P16" s="27">
        <f>B20</f>
        <v>488.39273422222084</v>
      </c>
    </row>
    <row r="17" spans="1:21">
      <c r="A17" s="62" t="s">
        <v>486</v>
      </c>
      <c r="B17" s="62">
        <f>NZ2050_industry_final_energy!R110</f>
        <v>276.52328422222149</v>
      </c>
      <c r="C17" s="62">
        <f>NZ2050_industry_final_energy!S110+$U$4-NZ2050_industry_final_energy!$S$110</f>
        <v>268.74072509002144</v>
      </c>
      <c r="D17" s="62">
        <f>NZ2050_industry_final_energy!T110+$U$4-NZ2050_industry_final_energy!$S$110</f>
        <v>290.20368058168879</v>
      </c>
      <c r="E17" s="62">
        <f>NZ2050_industry_final_energy!U110+$U$4-NZ2050_industry_final_energy!$S$110</f>
        <v>301.11046387613317</v>
      </c>
      <c r="F17" s="62">
        <f>NZ2050_industry_final_energy!V110+$U$4-NZ2050_industry_final_energy!$S$110</f>
        <v>311.91278772335534</v>
      </c>
      <c r="G17" s="62">
        <f>NZ2050_industry_final_energy!W110+$U$4-NZ2050_industry_final_energy!$S$110</f>
        <v>338.51473860946635</v>
      </c>
      <c r="H17" s="62">
        <f>NZ2050_industry_final_energy!X110+$U$4-NZ2050_industry_final_energy!$S$110</f>
        <v>368.67768590946616</v>
      </c>
      <c r="I17" s="62">
        <f>NZ2050_industry_final_energy!Y110+$U$4-NZ2050_industry_final_energy!$S$110</f>
        <v>429.90280447529949</v>
      </c>
      <c r="K17" s="62">
        <v>2020</v>
      </c>
      <c r="L17" s="27">
        <f>C16</f>
        <v>237.46560821001898</v>
      </c>
      <c r="M17" s="27">
        <f>C17</f>
        <v>268.74072509002144</v>
      </c>
      <c r="N17" s="27">
        <f>C18</f>
        <v>3.1550445500000026</v>
      </c>
      <c r="O17" s="62">
        <f>C19</f>
        <v>5.6771376468963103E-2</v>
      </c>
      <c r="P17" s="27">
        <f>C20</f>
        <v>509.41814922650946</v>
      </c>
    </row>
    <row r="18" spans="1:21">
      <c r="A18" s="62" t="s">
        <v>487</v>
      </c>
      <c r="B18" s="62">
        <f>SUM(NZ2050_final_energy!D118,NZ2050_final_energy!D119)</f>
        <v>2.2184500000000016</v>
      </c>
      <c r="C18" s="4">
        <f>SUM(NZ2050_final_energy!E118,NZ2050_final_energy!E119)+$V$4-SUM(NZ2050_final_energy!$E$118,NZ2050_final_energy!$E$119)</f>
        <v>3.1550445500000026</v>
      </c>
      <c r="D18" s="4">
        <f>SUM(NZ2050_final_energy!F118,NZ2050_final_energy!F119)+$V$4-SUM(NZ2050_final_energy!$E$118,NZ2050_final_energy!$E$119)</f>
        <v>11.443200800000008</v>
      </c>
      <c r="E18" s="4">
        <f>SUM(NZ2050_final_energy!G118,NZ2050_final_energy!G119)+$V$4-SUM(NZ2050_final_energy!$E$118,NZ2050_final_energy!$E$119)</f>
        <v>20.396395652777795</v>
      </c>
      <c r="F18" s="4">
        <f>SUM(NZ2050_final_energy!H118,NZ2050_final_energy!H119)+$V$4-SUM(NZ2050_final_energy!$E$118,NZ2050_final_energy!$E$119)</f>
        <v>28.253056611111113</v>
      </c>
      <c r="G18" s="4">
        <f>SUM(NZ2050_final_energy!I118,NZ2050_final_energy!I119)+$V$4-SUM(NZ2050_final_energy!$E$118,NZ2050_final_energy!$E$119)</f>
        <v>33.611436994444439</v>
      </c>
      <c r="H18" s="4">
        <f>SUM(NZ2050_final_energy!J118,NZ2050_final_energy!J119)+$V$4-SUM(NZ2050_final_energy!$E$118,NZ2050_final_energy!$E$119)</f>
        <v>36.962758769444463</v>
      </c>
      <c r="I18" s="4">
        <f>SUM(NZ2050_final_energy!K118,NZ2050_final_energy!K119)+$V$4-SUM(NZ2050_final_energy!$E$118,NZ2050_final_energy!$E$119)</f>
        <v>40.853932505555584</v>
      </c>
      <c r="K18" s="62">
        <v>2025</v>
      </c>
      <c r="L18" s="27">
        <f>D16</f>
        <v>240.58960821001901</v>
      </c>
      <c r="M18" s="27">
        <f>D17</f>
        <v>290.20368058168879</v>
      </c>
      <c r="N18" s="27">
        <f>D18</f>
        <v>11.443200800000008</v>
      </c>
      <c r="O18" s="62">
        <f>D19</f>
        <v>0.99413383029499747</v>
      </c>
      <c r="P18" s="27">
        <f>D20</f>
        <v>543.23062342200285</v>
      </c>
    </row>
    <row r="19" spans="1:21">
      <c r="A19" s="62" t="s">
        <v>609</v>
      </c>
      <c r="B19" s="62">
        <f>NZ2050_final_energy!W169</f>
        <v>0</v>
      </c>
      <c r="C19" s="62">
        <f>NZ2050_final_energy!X169</f>
        <v>5.6771376468963103E-2</v>
      </c>
      <c r="D19" s="62">
        <f>NZ2050_final_energy!Y169</f>
        <v>0.99413383029499747</v>
      </c>
      <c r="E19" s="62">
        <f>NZ2050_final_energy!Z169</f>
        <v>6.2067242339783748</v>
      </c>
      <c r="F19" s="62">
        <f>NZ2050_final_energy!AA169</f>
        <v>21.264898248005217</v>
      </c>
      <c r="G19" s="62">
        <f>NZ2050_final_energy!AB169</f>
        <v>44.297591987615036</v>
      </c>
      <c r="H19" s="62">
        <f>NZ2050_final_energy!AC169</f>
        <v>70.983147169801711</v>
      </c>
      <c r="I19" s="62">
        <f>NZ2050_final_energy!AD169</f>
        <v>123.6736486990301</v>
      </c>
      <c r="K19" s="62">
        <v>2030</v>
      </c>
      <c r="L19" s="27">
        <f>E16</f>
        <v>253.2361359877967</v>
      </c>
      <c r="M19" s="27">
        <f>E17</f>
        <v>301.11046387613317</v>
      </c>
      <c r="N19" s="27">
        <f>E18</f>
        <v>20.396395652777795</v>
      </c>
      <c r="O19" s="62">
        <f>E19</f>
        <v>6.2067242339783748</v>
      </c>
      <c r="P19" s="27">
        <f>E20</f>
        <v>580.94971975068597</v>
      </c>
    </row>
    <row r="20" spans="1:21">
      <c r="A20" s="62" t="s">
        <v>610</v>
      </c>
      <c r="B20" s="62">
        <f>NZ2050_final_energy!AA3</f>
        <v>488.39273422222084</v>
      </c>
      <c r="C20" s="62">
        <f>SUM(C16:C19)</f>
        <v>509.41814922650946</v>
      </c>
      <c r="D20" s="62">
        <f t="shared" ref="D20:I20" si="2">SUM(D16:D19)</f>
        <v>543.23062342200285</v>
      </c>
      <c r="E20" s="62">
        <f t="shared" si="2"/>
        <v>580.94971975068597</v>
      </c>
      <c r="F20" s="62">
        <f t="shared" si="2"/>
        <v>635.81673968137943</v>
      </c>
      <c r="G20" s="62">
        <f t="shared" si="2"/>
        <v>723.67162580154479</v>
      </c>
      <c r="H20" s="62">
        <f t="shared" si="2"/>
        <v>810.2296167253977</v>
      </c>
      <c r="I20" s="62">
        <f t="shared" si="2"/>
        <v>962.73374388990385</v>
      </c>
      <c r="K20" s="62">
        <v>2035</v>
      </c>
      <c r="L20" s="27">
        <f>F16</f>
        <v>274.38599709890775</v>
      </c>
      <c r="M20" s="27">
        <f>F17</f>
        <v>311.91278772335534</v>
      </c>
      <c r="N20" s="27">
        <f>F18</f>
        <v>28.253056611111113</v>
      </c>
      <c r="O20" s="62">
        <f>F19</f>
        <v>21.264898248005217</v>
      </c>
      <c r="P20" s="27">
        <f>F20</f>
        <v>635.81673968137943</v>
      </c>
    </row>
    <row r="21" spans="1:21">
      <c r="A21" s="62" t="s">
        <v>611</v>
      </c>
      <c r="B21" s="62">
        <f>SUM(B16:B19)</f>
        <v>488.39273422222089</v>
      </c>
      <c r="C21" s="62">
        <f t="shared" ref="C21:I21" si="3">SUM(C16:C19)</f>
        <v>509.41814922650946</v>
      </c>
      <c r="D21" s="62">
        <f t="shared" si="3"/>
        <v>543.23062342200285</v>
      </c>
      <c r="E21" s="62">
        <f t="shared" si="3"/>
        <v>580.94971975068597</v>
      </c>
      <c r="F21" s="62">
        <f t="shared" si="3"/>
        <v>635.81673968137943</v>
      </c>
      <c r="G21" s="62">
        <f t="shared" si="3"/>
        <v>723.67162580154479</v>
      </c>
      <c r="H21" s="62">
        <f t="shared" si="3"/>
        <v>810.2296167253977</v>
      </c>
      <c r="I21" s="62">
        <f t="shared" si="3"/>
        <v>962.73374388990385</v>
      </c>
      <c r="K21" s="62">
        <v>2040</v>
      </c>
      <c r="L21" s="27">
        <f>G16</f>
        <v>307.24785821001888</v>
      </c>
      <c r="M21" s="27">
        <f>G17</f>
        <v>338.51473860946635</v>
      </c>
      <c r="N21" s="27">
        <f>G18</f>
        <v>33.611436994444439</v>
      </c>
      <c r="O21" s="62">
        <f>G19</f>
        <v>44.297591987615036</v>
      </c>
      <c r="P21" s="27">
        <f>G20</f>
        <v>723.67162580154479</v>
      </c>
    </row>
    <row r="22" spans="1:21">
      <c r="K22" s="62">
        <v>2045</v>
      </c>
      <c r="L22" s="27">
        <f>H16</f>
        <v>333.60602487668541</v>
      </c>
      <c r="M22" s="27">
        <f>H17</f>
        <v>368.67768590946616</v>
      </c>
      <c r="N22" s="27">
        <f>H18</f>
        <v>36.962758769444463</v>
      </c>
      <c r="O22" s="62">
        <f>H19</f>
        <v>70.983147169801711</v>
      </c>
      <c r="P22" s="27">
        <f>H20</f>
        <v>810.2296167253977</v>
      </c>
    </row>
    <row r="23" spans="1:21">
      <c r="K23" s="62">
        <v>2050</v>
      </c>
      <c r="L23" s="27">
        <f>I16</f>
        <v>368.3033582100187</v>
      </c>
      <c r="M23" s="27">
        <f>I17</f>
        <v>429.90280447529949</v>
      </c>
      <c r="N23" s="27">
        <f>I18</f>
        <v>40.853932505555584</v>
      </c>
      <c r="O23" s="62">
        <f>I19</f>
        <v>123.6736486990301</v>
      </c>
      <c r="P23" s="27">
        <f>I20</f>
        <v>962.73374388990385</v>
      </c>
    </row>
    <row r="25" spans="1:21">
      <c r="L25" s="62" t="s">
        <v>490</v>
      </c>
    </row>
    <row r="26" spans="1:21">
      <c r="B26" s="62" t="s">
        <v>580</v>
      </c>
      <c r="G26" s="62" t="s">
        <v>579</v>
      </c>
      <c r="L26" s="62" t="s">
        <v>580</v>
      </c>
      <c r="Q26" s="62" t="s">
        <v>579</v>
      </c>
    </row>
    <row r="27" spans="1:21">
      <c r="B27" s="62" t="s">
        <v>612</v>
      </c>
      <c r="C27" s="62" t="s">
        <v>486</v>
      </c>
      <c r="D27" s="62" t="s">
        <v>487</v>
      </c>
      <c r="E27" s="62" t="s">
        <v>609</v>
      </c>
      <c r="F27" s="62" t="s">
        <v>610</v>
      </c>
      <c r="G27" s="62" t="s">
        <v>612</v>
      </c>
      <c r="H27" s="62" t="s">
        <v>486</v>
      </c>
      <c r="I27" s="62" t="s">
        <v>487</v>
      </c>
      <c r="J27" s="62" t="s">
        <v>609</v>
      </c>
      <c r="K27" s="62" t="s">
        <v>610</v>
      </c>
      <c r="L27" s="62" t="s">
        <v>612</v>
      </c>
      <c r="M27" s="62" t="s">
        <v>486</v>
      </c>
      <c r="N27" s="62" t="s">
        <v>487</v>
      </c>
      <c r="O27" s="62" t="s">
        <v>609</v>
      </c>
      <c r="P27" s="62" t="s">
        <v>610</v>
      </c>
      <c r="Q27" s="62" t="s">
        <v>612</v>
      </c>
      <c r="R27" s="62" t="s">
        <v>486</v>
      </c>
      <c r="S27" s="62" t="s">
        <v>487</v>
      </c>
      <c r="T27" s="62" t="s">
        <v>609</v>
      </c>
      <c r="U27" s="62" t="s">
        <v>610</v>
      </c>
    </row>
    <row r="28" spans="1:21">
      <c r="A28" s="62">
        <v>2015</v>
      </c>
      <c r="B28" s="27">
        <f>L4</f>
        <v>209.65099999999939</v>
      </c>
      <c r="C28" s="27">
        <f t="shared" ref="C28:F28" si="4">M4</f>
        <v>276.52328422222149</v>
      </c>
      <c r="D28" s="27">
        <f t="shared" si="4"/>
        <v>2.2184500000000016</v>
      </c>
      <c r="E28" s="27">
        <f t="shared" si="4"/>
        <v>0</v>
      </c>
      <c r="F28" s="27">
        <f t="shared" si="4"/>
        <v>488.39273422222266</v>
      </c>
      <c r="G28" s="27">
        <f>L16</f>
        <v>209.65099999999939</v>
      </c>
      <c r="H28" s="27">
        <f t="shared" ref="H28:K28" si="5">M16</f>
        <v>276.52328422222149</v>
      </c>
      <c r="I28" s="27">
        <f t="shared" si="5"/>
        <v>2.2184500000000016</v>
      </c>
      <c r="J28" s="27">
        <f t="shared" si="5"/>
        <v>0</v>
      </c>
      <c r="K28" s="27">
        <f t="shared" si="5"/>
        <v>488.39273422222084</v>
      </c>
      <c r="L28" s="62">
        <f>(B33-B28)/5</f>
        <v>5.5629216420039196</v>
      </c>
      <c r="M28" s="62">
        <f t="shared" ref="M28:U28" si="6">(C33-C28)/5</f>
        <v>-1.5565118264399984</v>
      </c>
      <c r="N28" s="62">
        <f t="shared" si="6"/>
        <v>0.1873189100000002</v>
      </c>
      <c r="O28" s="62">
        <f t="shared" si="6"/>
        <v>8.7418558219175858E-3</v>
      </c>
      <c r="P28" s="62">
        <f t="shared" si="6"/>
        <v>4.2024705813854784</v>
      </c>
      <c r="Q28" s="62">
        <f t="shared" si="6"/>
        <v>5.5629216420039196</v>
      </c>
      <c r="R28" s="62">
        <f t="shared" si="6"/>
        <v>-1.5565118264400097</v>
      </c>
      <c r="S28" s="62">
        <f t="shared" si="6"/>
        <v>0.1873189100000002</v>
      </c>
      <c r="T28" s="62">
        <f t="shared" si="6"/>
        <v>1.1354275293792621E-2</v>
      </c>
      <c r="U28" s="62">
        <f t="shared" si="6"/>
        <v>4.2050830008577238</v>
      </c>
    </row>
    <row r="29" spans="1:21">
      <c r="A29" s="62">
        <v>2016</v>
      </c>
      <c r="B29" s="27">
        <f>B28+L28</f>
        <v>215.2139216420033</v>
      </c>
      <c r="C29" s="27">
        <f t="shared" ref="C29:K32" si="7">C28+M28</f>
        <v>274.9667723957815</v>
      </c>
      <c r="D29" s="27">
        <f t="shared" si="7"/>
        <v>2.4057689100000017</v>
      </c>
      <c r="E29" s="27">
        <f t="shared" si="7"/>
        <v>8.7418558219175858E-3</v>
      </c>
      <c r="F29" s="27">
        <f t="shared" si="7"/>
        <v>492.59520480360811</v>
      </c>
      <c r="G29" s="27">
        <f t="shared" si="7"/>
        <v>215.2139216420033</v>
      </c>
      <c r="H29" s="27">
        <f t="shared" si="7"/>
        <v>274.9667723957815</v>
      </c>
      <c r="I29" s="27">
        <f t="shared" si="7"/>
        <v>2.4057689100000017</v>
      </c>
      <c r="J29" s="27">
        <f t="shared" si="7"/>
        <v>1.1354275293792621E-2</v>
      </c>
      <c r="K29" s="27">
        <f t="shared" si="7"/>
        <v>492.59781722307855</v>
      </c>
      <c r="L29" s="62">
        <f>L28</f>
        <v>5.5629216420039196</v>
      </c>
      <c r="M29" s="62">
        <f t="shared" ref="M29:U29" si="8">M28</f>
        <v>-1.5565118264399984</v>
      </c>
      <c r="N29" s="62">
        <f t="shared" si="8"/>
        <v>0.1873189100000002</v>
      </c>
      <c r="O29" s="62">
        <f t="shared" si="8"/>
        <v>8.7418558219175858E-3</v>
      </c>
      <c r="P29" s="62">
        <f t="shared" si="8"/>
        <v>4.2024705813854784</v>
      </c>
      <c r="Q29" s="62">
        <f t="shared" si="8"/>
        <v>5.5629216420039196</v>
      </c>
      <c r="R29" s="62">
        <f t="shared" si="8"/>
        <v>-1.5565118264400097</v>
      </c>
      <c r="S29" s="62">
        <f t="shared" si="8"/>
        <v>0.1873189100000002</v>
      </c>
      <c r="T29" s="62">
        <f t="shared" si="8"/>
        <v>1.1354275293792621E-2</v>
      </c>
      <c r="U29" s="62">
        <f t="shared" si="8"/>
        <v>4.2050830008577238</v>
      </c>
    </row>
    <row r="30" spans="1:21">
      <c r="A30" s="62">
        <v>2017</v>
      </c>
      <c r="B30" s="27">
        <f t="shared" ref="B30:B32" si="9">B29+L29</f>
        <v>220.77684328400721</v>
      </c>
      <c r="C30" s="27">
        <f t="shared" si="7"/>
        <v>273.41026056934152</v>
      </c>
      <c r="D30" s="27">
        <f t="shared" si="7"/>
        <v>2.5930878200000018</v>
      </c>
      <c r="E30" s="27">
        <f t="shared" si="7"/>
        <v>1.7483711643835172E-2</v>
      </c>
      <c r="F30" s="27">
        <f t="shared" si="7"/>
        <v>496.79767538499357</v>
      </c>
      <c r="G30" s="27">
        <f t="shared" si="7"/>
        <v>220.77684328400721</v>
      </c>
      <c r="H30" s="27">
        <f t="shared" si="7"/>
        <v>273.41026056934152</v>
      </c>
      <c r="I30" s="27">
        <f t="shared" si="7"/>
        <v>2.5930878200000018</v>
      </c>
      <c r="J30" s="27">
        <f t="shared" si="7"/>
        <v>2.2708550587585242E-2</v>
      </c>
      <c r="K30" s="27">
        <f t="shared" si="7"/>
        <v>496.80290022393626</v>
      </c>
      <c r="L30" s="62">
        <f>L28</f>
        <v>5.5629216420039196</v>
      </c>
      <c r="M30" s="62">
        <f t="shared" ref="M30:U30" si="10">M28</f>
        <v>-1.5565118264399984</v>
      </c>
      <c r="N30" s="62">
        <f t="shared" si="10"/>
        <v>0.1873189100000002</v>
      </c>
      <c r="O30" s="62">
        <f t="shared" si="10"/>
        <v>8.7418558219175858E-3</v>
      </c>
      <c r="P30" s="62">
        <f t="shared" si="10"/>
        <v>4.2024705813854784</v>
      </c>
      <c r="Q30" s="62">
        <f t="shared" si="10"/>
        <v>5.5629216420039196</v>
      </c>
      <c r="R30" s="62">
        <f t="shared" si="10"/>
        <v>-1.5565118264400097</v>
      </c>
      <c r="S30" s="62">
        <f t="shared" si="10"/>
        <v>0.1873189100000002</v>
      </c>
      <c r="T30" s="62">
        <f t="shared" si="10"/>
        <v>1.1354275293792621E-2</v>
      </c>
      <c r="U30" s="62">
        <f t="shared" si="10"/>
        <v>4.2050830008577238</v>
      </c>
    </row>
    <row r="31" spans="1:21">
      <c r="A31" s="62">
        <v>2018</v>
      </c>
      <c r="B31" s="27">
        <f t="shared" si="9"/>
        <v>226.33976492601113</v>
      </c>
      <c r="C31" s="27">
        <f t="shared" si="7"/>
        <v>271.85374874290153</v>
      </c>
      <c r="D31" s="27">
        <f t="shared" si="7"/>
        <v>2.7804067300000019</v>
      </c>
      <c r="E31" s="27">
        <f t="shared" si="7"/>
        <v>2.6225567465752758E-2</v>
      </c>
      <c r="F31" s="27">
        <f t="shared" si="7"/>
        <v>501.00014596637902</v>
      </c>
      <c r="G31" s="27">
        <f t="shared" si="7"/>
        <v>226.33976492601113</v>
      </c>
      <c r="H31" s="27">
        <f t="shared" si="7"/>
        <v>271.85374874290153</v>
      </c>
      <c r="I31" s="27">
        <f t="shared" si="7"/>
        <v>2.7804067300000019</v>
      </c>
      <c r="J31" s="27">
        <f t="shared" si="7"/>
        <v>3.4062825881377864E-2</v>
      </c>
      <c r="K31" s="27">
        <f t="shared" si="7"/>
        <v>501.00798322479397</v>
      </c>
      <c r="L31" s="62">
        <f>L28</f>
        <v>5.5629216420039196</v>
      </c>
      <c r="M31" s="62">
        <f t="shared" ref="M31:U31" si="11">M28</f>
        <v>-1.5565118264399984</v>
      </c>
      <c r="N31" s="62">
        <f t="shared" si="11"/>
        <v>0.1873189100000002</v>
      </c>
      <c r="O31" s="62">
        <f t="shared" si="11"/>
        <v>8.7418558219175858E-3</v>
      </c>
      <c r="P31" s="62">
        <f t="shared" si="11"/>
        <v>4.2024705813854784</v>
      </c>
      <c r="Q31" s="62">
        <f t="shared" si="11"/>
        <v>5.5629216420039196</v>
      </c>
      <c r="R31" s="62">
        <f t="shared" si="11"/>
        <v>-1.5565118264400097</v>
      </c>
      <c r="S31" s="62">
        <f t="shared" si="11"/>
        <v>0.1873189100000002</v>
      </c>
      <c r="T31" s="62">
        <f t="shared" si="11"/>
        <v>1.1354275293792621E-2</v>
      </c>
      <c r="U31" s="62">
        <f t="shared" si="11"/>
        <v>4.2050830008577238</v>
      </c>
    </row>
    <row r="32" spans="1:21">
      <c r="A32" s="62">
        <v>2019</v>
      </c>
      <c r="B32" s="27">
        <f t="shared" si="9"/>
        <v>231.90268656801504</v>
      </c>
      <c r="C32" s="27">
        <f t="shared" si="7"/>
        <v>270.29723691646154</v>
      </c>
      <c r="D32" s="27">
        <f t="shared" si="7"/>
        <v>2.9677256400000021</v>
      </c>
      <c r="E32" s="27">
        <f t="shared" si="7"/>
        <v>3.4967423287670343E-2</v>
      </c>
      <c r="F32" s="27">
        <f t="shared" si="7"/>
        <v>505.20261654776448</v>
      </c>
      <c r="G32" s="27">
        <f t="shared" si="7"/>
        <v>231.90268656801504</v>
      </c>
      <c r="H32" s="27">
        <f t="shared" si="7"/>
        <v>270.29723691646154</v>
      </c>
      <c r="I32" s="27">
        <f t="shared" si="7"/>
        <v>2.9677256400000021</v>
      </c>
      <c r="J32" s="27">
        <f t="shared" si="7"/>
        <v>4.5417101175170484E-2</v>
      </c>
      <c r="K32" s="27">
        <f t="shared" si="7"/>
        <v>505.21306622565169</v>
      </c>
      <c r="L32" s="62">
        <f>L28</f>
        <v>5.5629216420039196</v>
      </c>
      <c r="M32" s="62">
        <f t="shared" ref="M32:U32" si="12">M28</f>
        <v>-1.5565118264399984</v>
      </c>
      <c r="N32" s="62">
        <f t="shared" si="12"/>
        <v>0.1873189100000002</v>
      </c>
      <c r="O32" s="62">
        <f t="shared" si="12"/>
        <v>8.7418558219175858E-3</v>
      </c>
      <c r="P32" s="62">
        <f t="shared" si="12"/>
        <v>4.2024705813854784</v>
      </c>
      <c r="Q32" s="62">
        <f t="shared" si="12"/>
        <v>5.5629216420039196</v>
      </c>
      <c r="R32" s="62">
        <f t="shared" si="12"/>
        <v>-1.5565118264400097</v>
      </c>
      <c r="S32" s="62">
        <f t="shared" si="12"/>
        <v>0.1873189100000002</v>
      </c>
      <c r="T32" s="62">
        <f t="shared" si="12"/>
        <v>1.1354275293792621E-2</v>
      </c>
      <c r="U32" s="62">
        <f t="shared" si="12"/>
        <v>4.2050830008577238</v>
      </c>
    </row>
    <row r="33" spans="1:21">
      <c r="A33" s="62">
        <v>2020</v>
      </c>
      <c r="B33" s="27">
        <f>L5</f>
        <v>237.46560821001898</v>
      </c>
      <c r="C33" s="27">
        <f t="shared" ref="C33:F33" si="13">M5</f>
        <v>268.7407250900215</v>
      </c>
      <c r="D33" s="27">
        <f t="shared" si="13"/>
        <v>3.1550445500000026</v>
      </c>
      <c r="E33" s="27">
        <f t="shared" si="13"/>
        <v>4.3709279109587926E-2</v>
      </c>
      <c r="F33" s="27">
        <f t="shared" si="13"/>
        <v>509.40508712915005</v>
      </c>
      <c r="G33" s="27">
        <f>L17</f>
        <v>237.46560821001898</v>
      </c>
      <c r="H33" s="27">
        <f t="shared" ref="H33:K33" si="14">M17</f>
        <v>268.74072509002144</v>
      </c>
      <c r="I33" s="27">
        <f t="shared" si="14"/>
        <v>3.1550445500000026</v>
      </c>
      <c r="J33" s="27">
        <f t="shared" si="14"/>
        <v>5.6771376468963103E-2</v>
      </c>
      <c r="K33" s="27">
        <f t="shared" si="14"/>
        <v>509.41814922650946</v>
      </c>
      <c r="L33" s="62">
        <f>(B38-B33)/5</f>
        <v>7.3201722222222143</v>
      </c>
      <c r="M33" s="62">
        <f t="shared" ref="M33:U33" si="15">(C38-C33)/5</f>
        <v>6.7508538372222118</v>
      </c>
      <c r="N33" s="62">
        <f t="shared" si="15"/>
        <v>0.93732253666666732</v>
      </c>
      <c r="O33" s="62">
        <f t="shared" si="15"/>
        <v>6.5631047922605046E-2</v>
      </c>
      <c r="P33" s="62">
        <f t="shared" si="15"/>
        <v>15.073979644033717</v>
      </c>
      <c r="Q33" s="62">
        <f t="shared" si="15"/>
        <v>0.62480000000000468</v>
      </c>
      <c r="R33" s="62">
        <f t="shared" si="15"/>
        <v>4.2925910983334692</v>
      </c>
      <c r="S33" s="62">
        <f t="shared" si="15"/>
        <v>1.657631250000001</v>
      </c>
      <c r="T33" s="62">
        <f t="shared" si="15"/>
        <v>0.18747249076520686</v>
      </c>
      <c r="U33" s="62">
        <f t="shared" si="15"/>
        <v>6.7624948390986788</v>
      </c>
    </row>
    <row r="34" spans="1:21">
      <c r="A34" s="62">
        <v>2021</v>
      </c>
      <c r="B34" s="27">
        <f>B33+L33</f>
        <v>244.78578043224121</v>
      </c>
      <c r="C34" s="27">
        <f t="shared" ref="C34:K37" si="16">C33+M33</f>
        <v>275.49157892724372</v>
      </c>
      <c r="D34" s="27">
        <f t="shared" si="16"/>
        <v>4.0923670866666697</v>
      </c>
      <c r="E34" s="27">
        <f t="shared" si="16"/>
        <v>0.10934032703219297</v>
      </c>
      <c r="F34" s="27">
        <f t="shared" si="16"/>
        <v>524.47906677318372</v>
      </c>
      <c r="G34" s="27">
        <f t="shared" si="16"/>
        <v>238.09040821001898</v>
      </c>
      <c r="H34" s="27">
        <f t="shared" si="16"/>
        <v>273.03331618835489</v>
      </c>
      <c r="I34" s="27">
        <f t="shared" si="16"/>
        <v>4.8126758000000036</v>
      </c>
      <c r="J34" s="27">
        <f t="shared" si="16"/>
        <v>0.24424386723416996</v>
      </c>
      <c r="K34" s="27">
        <f t="shared" si="16"/>
        <v>516.18064406560813</v>
      </c>
      <c r="L34" s="62">
        <f>L33</f>
        <v>7.3201722222222143</v>
      </c>
      <c r="M34" s="62">
        <f t="shared" ref="M34:U34" si="17">M33</f>
        <v>6.7508538372222118</v>
      </c>
      <c r="N34" s="62">
        <f t="shared" si="17"/>
        <v>0.93732253666666732</v>
      </c>
      <c r="O34" s="62">
        <f t="shared" si="17"/>
        <v>6.5631047922605046E-2</v>
      </c>
      <c r="P34" s="62">
        <f t="shared" si="17"/>
        <v>15.073979644033717</v>
      </c>
      <c r="Q34" s="62">
        <f t="shared" si="17"/>
        <v>0.62480000000000468</v>
      </c>
      <c r="R34" s="62">
        <f t="shared" si="17"/>
        <v>4.2925910983334692</v>
      </c>
      <c r="S34" s="62">
        <f t="shared" si="17"/>
        <v>1.657631250000001</v>
      </c>
      <c r="T34" s="62">
        <f t="shared" si="17"/>
        <v>0.18747249076520686</v>
      </c>
      <c r="U34" s="62">
        <f t="shared" si="17"/>
        <v>6.7624948390986788</v>
      </c>
    </row>
    <row r="35" spans="1:21">
      <c r="A35" s="62">
        <v>2022</v>
      </c>
      <c r="B35" s="27">
        <f t="shared" ref="B35:B37" si="18">B34+L34</f>
        <v>252.10595265446344</v>
      </c>
      <c r="C35" s="27">
        <f t="shared" si="16"/>
        <v>282.24243276446595</v>
      </c>
      <c r="D35" s="27">
        <f t="shared" si="16"/>
        <v>5.0296896233333372</v>
      </c>
      <c r="E35" s="27">
        <f t="shared" si="16"/>
        <v>0.17497137495479803</v>
      </c>
      <c r="F35" s="27">
        <f t="shared" si="16"/>
        <v>539.55304641721739</v>
      </c>
      <c r="G35" s="27">
        <f t="shared" si="16"/>
        <v>238.71520821001897</v>
      </c>
      <c r="H35" s="27">
        <f t="shared" si="16"/>
        <v>277.32590728668833</v>
      </c>
      <c r="I35" s="27">
        <f t="shared" si="16"/>
        <v>6.4703070500000042</v>
      </c>
      <c r="J35" s="27">
        <f t="shared" si="16"/>
        <v>0.4317163579993768</v>
      </c>
      <c r="K35" s="27">
        <f t="shared" si="16"/>
        <v>522.94313890470676</v>
      </c>
      <c r="L35" s="62">
        <f>L33</f>
        <v>7.3201722222222143</v>
      </c>
      <c r="M35" s="62">
        <f t="shared" ref="M35:U35" si="19">M33</f>
        <v>6.7508538372222118</v>
      </c>
      <c r="N35" s="62">
        <f t="shared" si="19"/>
        <v>0.93732253666666732</v>
      </c>
      <c r="O35" s="62">
        <f t="shared" si="19"/>
        <v>6.5631047922605046E-2</v>
      </c>
      <c r="P35" s="62">
        <f t="shared" si="19"/>
        <v>15.073979644033717</v>
      </c>
      <c r="Q35" s="62">
        <f t="shared" si="19"/>
        <v>0.62480000000000468</v>
      </c>
      <c r="R35" s="62">
        <f t="shared" si="19"/>
        <v>4.2925910983334692</v>
      </c>
      <c r="S35" s="62">
        <f t="shared" si="19"/>
        <v>1.657631250000001</v>
      </c>
      <c r="T35" s="62">
        <f t="shared" si="19"/>
        <v>0.18747249076520686</v>
      </c>
      <c r="U35" s="62">
        <f t="shared" si="19"/>
        <v>6.7624948390986788</v>
      </c>
    </row>
    <row r="36" spans="1:21">
      <c r="A36" s="62">
        <v>2023</v>
      </c>
      <c r="B36" s="27">
        <f t="shared" si="18"/>
        <v>259.42612487668566</v>
      </c>
      <c r="C36" s="27">
        <f t="shared" si="16"/>
        <v>288.99328660168817</v>
      </c>
      <c r="D36" s="27">
        <f t="shared" si="16"/>
        <v>5.9670121600000048</v>
      </c>
      <c r="E36" s="27">
        <f t="shared" si="16"/>
        <v>0.24060242287740308</v>
      </c>
      <c r="F36" s="27">
        <f t="shared" si="16"/>
        <v>554.62702606125106</v>
      </c>
      <c r="G36" s="27">
        <f t="shared" si="16"/>
        <v>239.34000821001896</v>
      </c>
      <c r="H36" s="27">
        <f t="shared" si="16"/>
        <v>281.61849838502178</v>
      </c>
      <c r="I36" s="27">
        <f t="shared" si="16"/>
        <v>8.1279383000000056</v>
      </c>
      <c r="J36" s="27">
        <f t="shared" si="16"/>
        <v>0.61918884876458369</v>
      </c>
      <c r="K36" s="27">
        <f t="shared" si="16"/>
        <v>529.70563374380549</v>
      </c>
      <c r="L36" s="62">
        <f>L33</f>
        <v>7.3201722222222143</v>
      </c>
      <c r="M36" s="62">
        <f t="shared" ref="M36:U36" si="20">M33</f>
        <v>6.7508538372222118</v>
      </c>
      <c r="N36" s="62">
        <f t="shared" si="20"/>
        <v>0.93732253666666732</v>
      </c>
      <c r="O36" s="62">
        <f t="shared" si="20"/>
        <v>6.5631047922605046E-2</v>
      </c>
      <c r="P36" s="62">
        <f t="shared" si="20"/>
        <v>15.073979644033717</v>
      </c>
      <c r="Q36" s="62">
        <f t="shared" si="20"/>
        <v>0.62480000000000468</v>
      </c>
      <c r="R36" s="62">
        <f t="shared" si="20"/>
        <v>4.2925910983334692</v>
      </c>
      <c r="S36" s="62">
        <f t="shared" si="20"/>
        <v>1.657631250000001</v>
      </c>
      <c r="T36" s="62">
        <f t="shared" si="20"/>
        <v>0.18747249076520686</v>
      </c>
      <c r="U36" s="62">
        <f t="shared" si="20"/>
        <v>6.7624948390986788</v>
      </c>
    </row>
    <row r="37" spans="1:21">
      <c r="A37" s="62">
        <v>2024</v>
      </c>
      <c r="B37" s="27">
        <f t="shared" si="18"/>
        <v>266.74629709890786</v>
      </c>
      <c r="C37" s="27">
        <f t="shared" si="16"/>
        <v>295.74414043891039</v>
      </c>
      <c r="D37" s="27">
        <f t="shared" si="16"/>
        <v>6.9043346966666723</v>
      </c>
      <c r="E37" s="27">
        <f t="shared" si="16"/>
        <v>0.30623347080000812</v>
      </c>
      <c r="F37" s="27">
        <f t="shared" si="16"/>
        <v>569.70100570528473</v>
      </c>
      <c r="G37" s="27">
        <f t="shared" si="16"/>
        <v>239.96480821001896</v>
      </c>
      <c r="H37" s="27">
        <f t="shared" si="16"/>
        <v>285.91108948335523</v>
      </c>
      <c r="I37" s="27">
        <f t="shared" si="16"/>
        <v>9.7855695500000071</v>
      </c>
      <c r="J37" s="27">
        <f t="shared" si="16"/>
        <v>0.80666133952979058</v>
      </c>
      <c r="K37" s="27">
        <f t="shared" si="16"/>
        <v>536.46812858290423</v>
      </c>
      <c r="L37" s="62">
        <f>L33</f>
        <v>7.3201722222222143</v>
      </c>
      <c r="M37" s="62">
        <f t="shared" ref="M37:U37" si="21">M33</f>
        <v>6.7508538372222118</v>
      </c>
      <c r="N37" s="62">
        <f t="shared" si="21"/>
        <v>0.93732253666666732</v>
      </c>
      <c r="O37" s="62">
        <f t="shared" si="21"/>
        <v>6.5631047922605046E-2</v>
      </c>
      <c r="P37" s="62">
        <f t="shared" si="21"/>
        <v>15.073979644033717</v>
      </c>
      <c r="Q37" s="62">
        <f t="shared" si="21"/>
        <v>0.62480000000000468</v>
      </c>
      <c r="R37" s="62">
        <f t="shared" si="21"/>
        <v>4.2925910983334692</v>
      </c>
      <c r="S37" s="62">
        <f t="shared" si="21"/>
        <v>1.657631250000001</v>
      </c>
      <c r="T37" s="62">
        <f t="shared" si="21"/>
        <v>0.18747249076520686</v>
      </c>
      <c r="U37" s="62">
        <f t="shared" si="21"/>
        <v>6.7624948390986788</v>
      </c>
    </row>
    <row r="38" spans="1:21">
      <c r="A38" s="62">
        <v>2025</v>
      </c>
      <c r="B38" s="27">
        <f>L6</f>
        <v>274.06646932113006</v>
      </c>
      <c r="C38" s="27">
        <f t="shared" ref="C38:F38" si="22">M6</f>
        <v>302.49499427613256</v>
      </c>
      <c r="D38" s="27">
        <f t="shared" si="22"/>
        <v>7.8416572333333399</v>
      </c>
      <c r="E38" s="27">
        <f t="shared" si="22"/>
        <v>0.37186451872261317</v>
      </c>
      <c r="F38" s="27">
        <f t="shared" si="22"/>
        <v>584.77498534931863</v>
      </c>
      <c r="G38" s="27">
        <f>L18</f>
        <v>240.58960821001901</v>
      </c>
      <c r="H38" s="27">
        <f t="shared" ref="H38:K38" si="23">M18</f>
        <v>290.20368058168879</v>
      </c>
      <c r="I38" s="27">
        <f t="shared" si="23"/>
        <v>11.443200800000008</v>
      </c>
      <c r="J38" s="27">
        <f t="shared" si="23"/>
        <v>0.99413383029499747</v>
      </c>
      <c r="K38" s="27">
        <f t="shared" si="23"/>
        <v>543.23062342200285</v>
      </c>
      <c r="L38" s="62">
        <f>(B43-B38)/5</f>
        <v>2.2807999999999993</v>
      </c>
      <c r="M38" s="62">
        <f t="shared" ref="M38:U38" si="24">(C43-C38)/5</f>
        <v>1.3589949105555887</v>
      </c>
      <c r="N38" s="62">
        <f t="shared" si="24"/>
        <v>0.8845239177777785</v>
      </c>
      <c r="O38" s="62">
        <f t="shared" si="24"/>
        <v>0.13282824435293572</v>
      </c>
      <c r="P38" s="62">
        <f t="shared" si="24"/>
        <v>4.6571470726862803</v>
      </c>
      <c r="Q38" s="62">
        <f t="shared" si="24"/>
        <v>2.5293055555555384</v>
      </c>
      <c r="R38" s="62">
        <f t="shared" si="24"/>
        <v>2.181356658888876</v>
      </c>
      <c r="S38" s="62">
        <f t="shared" si="24"/>
        <v>1.7906389705555572</v>
      </c>
      <c r="T38" s="62">
        <f t="shared" si="24"/>
        <v>1.0425180807366754</v>
      </c>
      <c r="U38" s="62">
        <f t="shared" si="24"/>
        <v>7.5438192657366248</v>
      </c>
    </row>
    <row r="39" spans="1:21">
      <c r="A39" s="62">
        <v>2026</v>
      </c>
      <c r="B39" s="27">
        <f>B38+L38</f>
        <v>276.34726932113006</v>
      </c>
      <c r="C39" s="27">
        <f t="shared" ref="C39:K42" si="25">C38+M38</f>
        <v>303.85398918668812</v>
      </c>
      <c r="D39" s="27">
        <f t="shared" si="25"/>
        <v>8.7261811511111187</v>
      </c>
      <c r="E39" s="27">
        <f t="shared" si="25"/>
        <v>0.50469276307554889</v>
      </c>
      <c r="F39" s="27">
        <f t="shared" si="25"/>
        <v>589.43213242200488</v>
      </c>
      <c r="G39" s="27">
        <f t="shared" si="25"/>
        <v>243.11891376557455</v>
      </c>
      <c r="H39" s="27">
        <f t="shared" si="25"/>
        <v>292.38503724057767</v>
      </c>
      <c r="I39" s="27">
        <f t="shared" si="25"/>
        <v>13.233839770555566</v>
      </c>
      <c r="J39" s="27">
        <f t="shared" si="25"/>
        <v>2.0366519110316728</v>
      </c>
      <c r="K39" s="27">
        <f t="shared" si="25"/>
        <v>550.77444268773945</v>
      </c>
      <c r="L39" s="62">
        <f>L38</f>
        <v>2.2807999999999993</v>
      </c>
      <c r="M39" s="62">
        <f t="shared" ref="M39:U39" si="26">M38</f>
        <v>1.3589949105555887</v>
      </c>
      <c r="N39" s="62">
        <f t="shared" si="26"/>
        <v>0.8845239177777785</v>
      </c>
      <c r="O39" s="62">
        <f t="shared" si="26"/>
        <v>0.13282824435293572</v>
      </c>
      <c r="P39" s="62">
        <f t="shared" si="26"/>
        <v>4.6571470726862803</v>
      </c>
      <c r="Q39" s="62">
        <f t="shared" si="26"/>
        <v>2.5293055555555384</v>
      </c>
      <c r="R39" s="62">
        <f t="shared" si="26"/>
        <v>2.181356658888876</v>
      </c>
      <c r="S39" s="62">
        <f t="shared" si="26"/>
        <v>1.7906389705555572</v>
      </c>
      <c r="T39" s="62">
        <f t="shared" si="26"/>
        <v>1.0425180807366754</v>
      </c>
      <c r="U39" s="62">
        <f t="shared" si="26"/>
        <v>7.5438192657366248</v>
      </c>
    </row>
    <row r="40" spans="1:21">
      <c r="A40" s="62">
        <v>2027</v>
      </c>
      <c r="B40" s="27">
        <f t="shared" ref="B40:B42" si="27">B39+L39</f>
        <v>278.62806932113006</v>
      </c>
      <c r="C40" s="27">
        <f t="shared" si="25"/>
        <v>305.21298409724369</v>
      </c>
      <c r="D40" s="27">
        <f t="shared" si="25"/>
        <v>9.6107050688888975</v>
      </c>
      <c r="E40" s="27">
        <f t="shared" si="25"/>
        <v>0.63752100742848461</v>
      </c>
      <c r="F40" s="27">
        <f t="shared" si="25"/>
        <v>594.08927949469114</v>
      </c>
      <c r="G40" s="27">
        <f t="shared" si="25"/>
        <v>245.64821932113009</v>
      </c>
      <c r="H40" s="27">
        <f t="shared" si="25"/>
        <v>294.56639389946656</v>
      </c>
      <c r="I40" s="27">
        <f t="shared" si="25"/>
        <v>15.024478741111123</v>
      </c>
      <c r="J40" s="27">
        <f t="shared" si="25"/>
        <v>3.0791699917683482</v>
      </c>
      <c r="K40" s="27">
        <f t="shared" si="25"/>
        <v>558.31826195347605</v>
      </c>
      <c r="L40" s="62">
        <f>L38</f>
        <v>2.2807999999999993</v>
      </c>
      <c r="M40" s="62">
        <f t="shared" ref="M40:U40" si="28">M38</f>
        <v>1.3589949105555887</v>
      </c>
      <c r="N40" s="62">
        <f t="shared" si="28"/>
        <v>0.8845239177777785</v>
      </c>
      <c r="O40" s="62">
        <f t="shared" si="28"/>
        <v>0.13282824435293572</v>
      </c>
      <c r="P40" s="62">
        <f t="shared" si="28"/>
        <v>4.6571470726862803</v>
      </c>
      <c r="Q40" s="62">
        <f t="shared" si="28"/>
        <v>2.5293055555555384</v>
      </c>
      <c r="R40" s="62">
        <f t="shared" si="28"/>
        <v>2.181356658888876</v>
      </c>
      <c r="S40" s="62">
        <f t="shared" si="28"/>
        <v>1.7906389705555572</v>
      </c>
      <c r="T40" s="62">
        <f t="shared" si="28"/>
        <v>1.0425180807366754</v>
      </c>
      <c r="U40" s="62">
        <f t="shared" si="28"/>
        <v>7.5438192657366248</v>
      </c>
    </row>
    <row r="41" spans="1:21">
      <c r="A41" s="62">
        <v>2028</v>
      </c>
      <c r="B41" s="27">
        <f t="shared" si="27"/>
        <v>280.90886932113006</v>
      </c>
      <c r="C41" s="27">
        <f t="shared" si="25"/>
        <v>306.57197900779926</v>
      </c>
      <c r="D41" s="27">
        <f t="shared" si="25"/>
        <v>10.495228986666676</v>
      </c>
      <c r="E41" s="27">
        <f t="shared" si="25"/>
        <v>0.77034925178142033</v>
      </c>
      <c r="F41" s="27">
        <f t="shared" si="25"/>
        <v>598.7464265673774</v>
      </c>
      <c r="G41" s="27">
        <f t="shared" si="25"/>
        <v>248.17752487668562</v>
      </c>
      <c r="H41" s="27">
        <f t="shared" si="25"/>
        <v>296.74775055835545</v>
      </c>
      <c r="I41" s="27">
        <f t="shared" si="25"/>
        <v>16.81511771166668</v>
      </c>
      <c r="J41" s="27">
        <f t="shared" si="25"/>
        <v>4.1216880725050231</v>
      </c>
      <c r="K41" s="27">
        <f t="shared" si="25"/>
        <v>565.86208121921266</v>
      </c>
      <c r="L41" s="62">
        <f>L38</f>
        <v>2.2807999999999993</v>
      </c>
      <c r="M41" s="62">
        <f t="shared" ref="M41:U41" si="29">M38</f>
        <v>1.3589949105555887</v>
      </c>
      <c r="N41" s="62">
        <f t="shared" si="29"/>
        <v>0.8845239177777785</v>
      </c>
      <c r="O41" s="62">
        <f t="shared" si="29"/>
        <v>0.13282824435293572</v>
      </c>
      <c r="P41" s="62">
        <f t="shared" si="29"/>
        <v>4.6571470726862803</v>
      </c>
      <c r="Q41" s="62">
        <f t="shared" si="29"/>
        <v>2.5293055555555384</v>
      </c>
      <c r="R41" s="62">
        <f t="shared" si="29"/>
        <v>2.181356658888876</v>
      </c>
      <c r="S41" s="62">
        <f t="shared" si="29"/>
        <v>1.7906389705555572</v>
      </c>
      <c r="T41" s="62">
        <f t="shared" si="29"/>
        <v>1.0425180807366754</v>
      </c>
      <c r="U41" s="62">
        <f t="shared" si="29"/>
        <v>7.5438192657366248</v>
      </c>
    </row>
    <row r="42" spans="1:21">
      <c r="A42" s="62">
        <v>2029</v>
      </c>
      <c r="B42" s="27">
        <f t="shared" si="27"/>
        <v>283.18966932113005</v>
      </c>
      <c r="C42" s="27">
        <f t="shared" si="25"/>
        <v>307.93097391835482</v>
      </c>
      <c r="D42" s="27">
        <f t="shared" si="25"/>
        <v>11.379752904444455</v>
      </c>
      <c r="E42" s="27">
        <f t="shared" si="25"/>
        <v>0.90317749613435605</v>
      </c>
      <c r="F42" s="27">
        <f t="shared" si="25"/>
        <v>603.40357364006366</v>
      </c>
      <c r="G42" s="27">
        <f t="shared" si="25"/>
        <v>250.70683043224116</v>
      </c>
      <c r="H42" s="27">
        <f t="shared" si="25"/>
        <v>298.92910721724434</v>
      </c>
      <c r="I42" s="27">
        <f t="shared" si="25"/>
        <v>18.605756682222236</v>
      </c>
      <c r="J42" s="27">
        <f t="shared" si="25"/>
        <v>5.1642061532416985</v>
      </c>
      <c r="K42" s="27">
        <f t="shared" si="25"/>
        <v>573.40590048494926</v>
      </c>
      <c r="L42" s="62">
        <f>L38</f>
        <v>2.2807999999999993</v>
      </c>
      <c r="M42" s="62">
        <f t="shared" ref="M42:U42" si="30">M38</f>
        <v>1.3589949105555887</v>
      </c>
      <c r="N42" s="62">
        <f t="shared" si="30"/>
        <v>0.8845239177777785</v>
      </c>
      <c r="O42" s="62">
        <f t="shared" si="30"/>
        <v>0.13282824435293572</v>
      </c>
      <c r="P42" s="62">
        <f t="shared" si="30"/>
        <v>4.6571470726862803</v>
      </c>
      <c r="Q42" s="62">
        <f t="shared" si="30"/>
        <v>2.5293055555555384</v>
      </c>
      <c r="R42" s="62">
        <f t="shared" si="30"/>
        <v>2.181356658888876</v>
      </c>
      <c r="S42" s="62">
        <f t="shared" si="30"/>
        <v>1.7906389705555572</v>
      </c>
      <c r="T42" s="62">
        <f t="shared" si="30"/>
        <v>1.0425180807366754</v>
      </c>
      <c r="U42" s="62">
        <f t="shared" si="30"/>
        <v>7.5438192657366248</v>
      </c>
    </row>
    <row r="43" spans="1:21">
      <c r="A43" s="62">
        <v>2030</v>
      </c>
      <c r="B43" s="27">
        <f>L7</f>
        <v>285.47046932113005</v>
      </c>
      <c r="C43" s="27">
        <f t="shared" ref="C43:F43" si="31">M7</f>
        <v>309.2899688289105</v>
      </c>
      <c r="D43" s="27">
        <f t="shared" si="31"/>
        <v>12.264276822222232</v>
      </c>
      <c r="E43" s="27">
        <f t="shared" si="31"/>
        <v>1.0360057404872918</v>
      </c>
      <c r="F43" s="27">
        <f t="shared" si="31"/>
        <v>608.06072071275003</v>
      </c>
      <c r="G43" s="27">
        <f>L19</f>
        <v>253.2361359877967</v>
      </c>
      <c r="H43" s="27">
        <f t="shared" ref="H43:K43" si="32">M19</f>
        <v>301.11046387613317</v>
      </c>
      <c r="I43" s="27">
        <f t="shared" si="32"/>
        <v>20.396395652777795</v>
      </c>
      <c r="J43" s="27">
        <f t="shared" si="32"/>
        <v>6.2067242339783748</v>
      </c>
      <c r="K43" s="27">
        <f t="shared" si="32"/>
        <v>580.94971975068597</v>
      </c>
      <c r="L43" s="62">
        <f>(B48-B43)/5</f>
        <v>4.5046888888888592</v>
      </c>
      <c r="M43" s="62">
        <f t="shared" ref="M43:U43" si="33">(C48-C43)/5</f>
        <v>0.7442435511110489</v>
      </c>
      <c r="N43" s="62">
        <f t="shared" si="33"/>
        <v>0.70075929111111179</v>
      </c>
      <c r="O43" s="62">
        <f t="shared" si="33"/>
        <v>0.29037650674095189</v>
      </c>
      <c r="P43" s="62">
        <f t="shared" si="33"/>
        <v>6.2400682378519834</v>
      </c>
      <c r="Q43" s="62">
        <f t="shared" si="33"/>
        <v>4.2299722222222105</v>
      </c>
      <c r="R43" s="62">
        <f t="shared" si="33"/>
        <v>2.1604647694444337</v>
      </c>
      <c r="S43" s="62">
        <f t="shared" si="33"/>
        <v>1.5713321916666636</v>
      </c>
      <c r="T43" s="62">
        <f t="shared" si="33"/>
        <v>3.0116348028053688</v>
      </c>
      <c r="U43" s="62">
        <f t="shared" si="33"/>
        <v>10.973403986138692</v>
      </c>
    </row>
    <row r="44" spans="1:21">
      <c r="A44" s="62">
        <v>2031</v>
      </c>
      <c r="B44" s="27">
        <f>B43+L43</f>
        <v>289.97515821001889</v>
      </c>
      <c r="C44" s="27">
        <f t="shared" ref="C44:K47" si="34">C43+M43</f>
        <v>310.03421238002153</v>
      </c>
      <c r="D44" s="27">
        <f t="shared" si="34"/>
        <v>12.965036113333344</v>
      </c>
      <c r="E44" s="27">
        <f t="shared" si="34"/>
        <v>1.3263822472282436</v>
      </c>
      <c r="F44" s="27">
        <f t="shared" si="34"/>
        <v>614.30078895060205</v>
      </c>
      <c r="G44" s="27">
        <f t="shared" si="34"/>
        <v>257.46610821001889</v>
      </c>
      <c r="H44" s="27">
        <f t="shared" si="34"/>
        <v>303.27092864557761</v>
      </c>
      <c r="I44" s="27">
        <f t="shared" si="34"/>
        <v>21.967727844444457</v>
      </c>
      <c r="J44" s="27">
        <f t="shared" si="34"/>
        <v>9.2183590367837436</v>
      </c>
      <c r="K44" s="27">
        <f t="shared" si="34"/>
        <v>591.92312373682466</v>
      </c>
      <c r="L44" s="62">
        <f>L43</f>
        <v>4.5046888888888592</v>
      </c>
      <c r="M44" s="62">
        <f t="shared" ref="M44:U44" si="35">M43</f>
        <v>0.7442435511110489</v>
      </c>
      <c r="N44" s="62">
        <f t="shared" si="35"/>
        <v>0.70075929111111179</v>
      </c>
      <c r="O44" s="62">
        <f t="shared" si="35"/>
        <v>0.29037650674095189</v>
      </c>
      <c r="P44" s="62">
        <f t="shared" si="35"/>
        <v>6.2400682378519834</v>
      </c>
      <c r="Q44" s="62">
        <f t="shared" si="35"/>
        <v>4.2299722222222105</v>
      </c>
      <c r="R44" s="62">
        <f t="shared" si="35"/>
        <v>2.1604647694444337</v>
      </c>
      <c r="S44" s="62">
        <f t="shared" si="35"/>
        <v>1.5713321916666636</v>
      </c>
      <c r="T44" s="62">
        <f t="shared" si="35"/>
        <v>3.0116348028053688</v>
      </c>
      <c r="U44" s="62">
        <f t="shared" si="35"/>
        <v>10.973403986138692</v>
      </c>
    </row>
    <row r="45" spans="1:21">
      <c r="A45" s="62">
        <v>2032</v>
      </c>
      <c r="B45" s="27">
        <f t="shared" ref="B45:B47" si="36">B44+L44</f>
        <v>294.47984709890773</v>
      </c>
      <c r="C45" s="27">
        <f t="shared" si="34"/>
        <v>310.77845593113256</v>
      </c>
      <c r="D45" s="27">
        <f t="shared" si="34"/>
        <v>13.665795404444456</v>
      </c>
      <c r="E45" s="27">
        <f t="shared" si="34"/>
        <v>1.6167587539691954</v>
      </c>
      <c r="F45" s="27">
        <f t="shared" si="34"/>
        <v>620.54085718845408</v>
      </c>
      <c r="G45" s="27">
        <f t="shared" si="34"/>
        <v>261.6960804322411</v>
      </c>
      <c r="H45" s="27">
        <f t="shared" si="34"/>
        <v>305.43139341502206</v>
      </c>
      <c r="I45" s="27">
        <f t="shared" si="34"/>
        <v>23.53906003611112</v>
      </c>
      <c r="J45" s="27">
        <f t="shared" si="34"/>
        <v>12.229993839589113</v>
      </c>
      <c r="K45" s="27">
        <f t="shared" si="34"/>
        <v>602.89652772296336</v>
      </c>
      <c r="L45" s="62">
        <f>L43</f>
        <v>4.5046888888888592</v>
      </c>
      <c r="M45" s="62">
        <f t="shared" ref="M45:U45" si="37">M43</f>
        <v>0.7442435511110489</v>
      </c>
      <c r="N45" s="62">
        <f t="shared" si="37"/>
        <v>0.70075929111111179</v>
      </c>
      <c r="O45" s="62">
        <f t="shared" si="37"/>
        <v>0.29037650674095189</v>
      </c>
      <c r="P45" s="62">
        <f t="shared" si="37"/>
        <v>6.2400682378519834</v>
      </c>
      <c r="Q45" s="62">
        <f t="shared" si="37"/>
        <v>4.2299722222222105</v>
      </c>
      <c r="R45" s="62">
        <f t="shared" si="37"/>
        <v>2.1604647694444337</v>
      </c>
      <c r="S45" s="62">
        <f t="shared" si="37"/>
        <v>1.5713321916666636</v>
      </c>
      <c r="T45" s="62">
        <f t="shared" si="37"/>
        <v>3.0116348028053688</v>
      </c>
      <c r="U45" s="62">
        <f t="shared" si="37"/>
        <v>10.973403986138692</v>
      </c>
    </row>
    <row r="46" spans="1:21">
      <c r="A46" s="62">
        <v>2033</v>
      </c>
      <c r="B46" s="27">
        <f t="shared" si="36"/>
        <v>298.98453598779656</v>
      </c>
      <c r="C46" s="27">
        <f t="shared" si="34"/>
        <v>311.52269948224358</v>
      </c>
      <c r="D46" s="27">
        <f t="shared" si="34"/>
        <v>14.366554695555568</v>
      </c>
      <c r="E46" s="27">
        <f t="shared" si="34"/>
        <v>1.9071352607101473</v>
      </c>
      <c r="F46" s="27">
        <f t="shared" si="34"/>
        <v>626.78092542630611</v>
      </c>
      <c r="G46" s="27">
        <f t="shared" si="34"/>
        <v>265.92605265446332</v>
      </c>
      <c r="H46" s="27">
        <f t="shared" si="34"/>
        <v>307.5918581844665</v>
      </c>
      <c r="I46" s="27">
        <f t="shared" si="34"/>
        <v>25.110392227777783</v>
      </c>
      <c r="J46" s="27">
        <f t="shared" si="34"/>
        <v>15.241628642394481</v>
      </c>
      <c r="K46" s="27">
        <f t="shared" si="34"/>
        <v>613.86993170910205</v>
      </c>
      <c r="L46" s="62">
        <f>L43</f>
        <v>4.5046888888888592</v>
      </c>
      <c r="M46" s="62">
        <f t="shared" ref="M46:U46" si="38">M43</f>
        <v>0.7442435511110489</v>
      </c>
      <c r="N46" s="62">
        <f t="shared" si="38"/>
        <v>0.70075929111111179</v>
      </c>
      <c r="O46" s="62">
        <f t="shared" si="38"/>
        <v>0.29037650674095189</v>
      </c>
      <c r="P46" s="62">
        <f t="shared" si="38"/>
        <v>6.2400682378519834</v>
      </c>
      <c r="Q46" s="62">
        <f t="shared" si="38"/>
        <v>4.2299722222222105</v>
      </c>
      <c r="R46" s="62">
        <f t="shared" si="38"/>
        <v>2.1604647694444337</v>
      </c>
      <c r="S46" s="62">
        <f t="shared" si="38"/>
        <v>1.5713321916666636</v>
      </c>
      <c r="T46" s="62">
        <f t="shared" si="38"/>
        <v>3.0116348028053688</v>
      </c>
      <c r="U46" s="62">
        <f t="shared" si="38"/>
        <v>10.973403986138692</v>
      </c>
    </row>
    <row r="47" spans="1:21">
      <c r="A47" s="62">
        <v>2034</v>
      </c>
      <c r="B47" s="27">
        <f t="shared" si="36"/>
        <v>303.4892248766854</v>
      </c>
      <c r="C47" s="27">
        <f t="shared" si="34"/>
        <v>312.26694303335461</v>
      </c>
      <c r="D47" s="27">
        <f t="shared" si="34"/>
        <v>15.067313986666679</v>
      </c>
      <c r="E47" s="27">
        <f t="shared" si="34"/>
        <v>2.1975117674510991</v>
      </c>
      <c r="F47" s="27">
        <f t="shared" si="34"/>
        <v>633.02099366415814</v>
      </c>
      <c r="G47" s="27">
        <f t="shared" si="34"/>
        <v>270.15602487668554</v>
      </c>
      <c r="H47" s="27">
        <f t="shared" si="34"/>
        <v>309.75232295391095</v>
      </c>
      <c r="I47" s="27">
        <f t="shared" si="34"/>
        <v>26.681724419444446</v>
      </c>
      <c r="J47" s="27">
        <f t="shared" si="34"/>
        <v>18.253263445199849</v>
      </c>
      <c r="K47" s="27">
        <f t="shared" si="34"/>
        <v>624.84333569524074</v>
      </c>
      <c r="L47" s="62">
        <f>L43</f>
        <v>4.5046888888888592</v>
      </c>
      <c r="M47" s="62">
        <f t="shared" ref="M47:U47" si="39">M43</f>
        <v>0.7442435511110489</v>
      </c>
      <c r="N47" s="62">
        <f t="shared" si="39"/>
        <v>0.70075929111111179</v>
      </c>
      <c r="O47" s="62">
        <f t="shared" si="39"/>
        <v>0.29037650674095189</v>
      </c>
      <c r="P47" s="62">
        <f t="shared" si="39"/>
        <v>6.2400682378519834</v>
      </c>
      <c r="Q47" s="62">
        <f t="shared" si="39"/>
        <v>4.2299722222222105</v>
      </c>
      <c r="R47" s="62">
        <f t="shared" si="39"/>
        <v>2.1604647694444337</v>
      </c>
      <c r="S47" s="62">
        <f t="shared" si="39"/>
        <v>1.5713321916666636</v>
      </c>
      <c r="T47" s="62">
        <f t="shared" si="39"/>
        <v>3.0116348028053688</v>
      </c>
      <c r="U47" s="62">
        <f t="shared" si="39"/>
        <v>10.973403986138692</v>
      </c>
    </row>
    <row r="48" spans="1:21">
      <c r="A48" s="62">
        <v>2035</v>
      </c>
      <c r="B48" s="27">
        <f>L8</f>
        <v>307.99391376557435</v>
      </c>
      <c r="C48" s="27">
        <f t="shared" ref="C48:F48" si="40">M8</f>
        <v>313.01118658446575</v>
      </c>
      <c r="D48" s="27">
        <f t="shared" si="40"/>
        <v>15.768073277777791</v>
      </c>
      <c r="E48" s="27">
        <f t="shared" si="40"/>
        <v>2.4878882741920512</v>
      </c>
      <c r="F48" s="27">
        <f t="shared" si="40"/>
        <v>639.26106190200994</v>
      </c>
      <c r="G48" s="27">
        <f>L20</f>
        <v>274.38599709890775</v>
      </c>
      <c r="H48" s="27">
        <f t="shared" ref="H48:K48" si="41">M20</f>
        <v>311.91278772335534</v>
      </c>
      <c r="I48" s="27">
        <f t="shared" si="41"/>
        <v>28.253056611111113</v>
      </c>
      <c r="J48" s="27">
        <f t="shared" si="41"/>
        <v>21.264898248005217</v>
      </c>
      <c r="K48" s="27">
        <f t="shared" si="41"/>
        <v>635.81673968137943</v>
      </c>
      <c r="L48" s="62">
        <f>(B53-B48)/5</f>
        <v>2.8290444444438889</v>
      </c>
      <c r="M48" s="62">
        <f t="shared" ref="M48:U48" si="42">(C53-C48)/5</f>
        <v>1.2248987116666286</v>
      </c>
      <c r="N48" s="62">
        <f t="shared" si="42"/>
        <v>0.35164516166666643</v>
      </c>
      <c r="O48" s="62">
        <f t="shared" si="42"/>
        <v>0.56401408571896072</v>
      </c>
      <c r="P48" s="62">
        <f t="shared" si="42"/>
        <v>4.9696024034961281</v>
      </c>
      <c r="Q48" s="62">
        <f t="shared" si="42"/>
        <v>6.5723722222222252</v>
      </c>
      <c r="R48" s="62">
        <f t="shared" si="42"/>
        <v>5.3203901772222029</v>
      </c>
      <c r="S48" s="62">
        <f t="shared" si="42"/>
        <v>1.0716760766666653</v>
      </c>
      <c r="T48" s="62">
        <f t="shared" si="42"/>
        <v>4.6065387479219639</v>
      </c>
      <c r="U48" s="62">
        <f t="shared" si="42"/>
        <v>17.570977224033072</v>
      </c>
    </row>
    <row r="49" spans="1:21">
      <c r="A49" s="62">
        <v>2036</v>
      </c>
      <c r="B49" s="27">
        <f>B48+L48</f>
        <v>310.82295821001821</v>
      </c>
      <c r="C49" s="27">
        <f t="shared" ref="C49:K52" si="43">C48+M48</f>
        <v>314.23608529613239</v>
      </c>
      <c r="D49" s="27">
        <f t="shared" si="43"/>
        <v>16.119718439444458</v>
      </c>
      <c r="E49" s="27">
        <f t="shared" si="43"/>
        <v>3.0519023599110118</v>
      </c>
      <c r="F49" s="27">
        <f t="shared" si="43"/>
        <v>644.23066430550602</v>
      </c>
      <c r="G49" s="27">
        <f t="shared" si="43"/>
        <v>280.95836932112996</v>
      </c>
      <c r="H49" s="27">
        <f t="shared" si="43"/>
        <v>317.23317790057752</v>
      </c>
      <c r="I49" s="27">
        <f t="shared" si="43"/>
        <v>29.324732687777779</v>
      </c>
      <c r="J49" s="27">
        <f t="shared" si="43"/>
        <v>25.87143699592718</v>
      </c>
      <c r="K49" s="27">
        <f t="shared" si="43"/>
        <v>653.3877169054125</v>
      </c>
      <c r="L49" s="62">
        <f>L48</f>
        <v>2.8290444444438889</v>
      </c>
      <c r="M49" s="62">
        <f t="shared" ref="M49:U49" si="44">M48</f>
        <v>1.2248987116666286</v>
      </c>
      <c r="N49" s="62">
        <f t="shared" si="44"/>
        <v>0.35164516166666643</v>
      </c>
      <c r="O49" s="62">
        <f t="shared" si="44"/>
        <v>0.56401408571896072</v>
      </c>
      <c r="P49" s="62">
        <f t="shared" si="44"/>
        <v>4.9696024034961281</v>
      </c>
      <c r="Q49" s="62">
        <f t="shared" si="44"/>
        <v>6.5723722222222252</v>
      </c>
      <c r="R49" s="62">
        <f t="shared" si="44"/>
        <v>5.3203901772222029</v>
      </c>
      <c r="S49" s="62">
        <f t="shared" si="44"/>
        <v>1.0716760766666653</v>
      </c>
      <c r="T49" s="62">
        <f t="shared" si="44"/>
        <v>4.6065387479219639</v>
      </c>
      <c r="U49" s="62">
        <f t="shared" si="44"/>
        <v>17.570977224033072</v>
      </c>
    </row>
    <row r="50" spans="1:21">
      <c r="A50" s="62">
        <v>2037</v>
      </c>
      <c r="B50" s="27">
        <f t="shared" ref="B50:B52" si="45">B49+L49</f>
        <v>313.65200265446208</v>
      </c>
      <c r="C50" s="27">
        <f t="shared" si="43"/>
        <v>315.46098400779903</v>
      </c>
      <c r="D50" s="27">
        <f t="shared" si="43"/>
        <v>16.471363601111126</v>
      </c>
      <c r="E50" s="27">
        <f t="shared" si="43"/>
        <v>3.6159164456299724</v>
      </c>
      <c r="F50" s="27">
        <f t="shared" si="43"/>
        <v>649.20026670900211</v>
      </c>
      <c r="G50" s="27">
        <f t="shared" si="43"/>
        <v>287.53074154335218</v>
      </c>
      <c r="H50" s="27">
        <f t="shared" si="43"/>
        <v>322.5535680777997</v>
      </c>
      <c r="I50" s="27">
        <f t="shared" si="43"/>
        <v>30.396408764444445</v>
      </c>
      <c r="J50" s="27">
        <f t="shared" si="43"/>
        <v>30.477975743849143</v>
      </c>
      <c r="K50" s="27">
        <f t="shared" si="43"/>
        <v>670.95869412944558</v>
      </c>
      <c r="L50" s="62">
        <f>L48</f>
        <v>2.8290444444438889</v>
      </c>
      <c r="M50" s="62">
        <f t="shared" ref="M50:U50" si="46">M48</f>
        <v>1.2248987116666286</v>
      </c>
      <c r="N50" s="62">
        <f t="shared" si="46"/>
        <v>0.35164516166666643</v>
      </c>
      <c r="O50" s="62">
        <f t="shared" si="46"/>
        <v>0.56401408571896072</v>
      </c>
      <c r="P50" s="62">
        <f t="shared" si="46"/>
        <v>4.9696024034961281</v>
      </c>
      <c r="Q50" s="62">
        <f t="shared" si="46"/>
        <v>6.5723722222222252</v>
      </c>
      <c r="R50" s="62">
        <f t="shared" si="46"/>
        <v>5.3203901772222029</v>
      </c>
      <c r="S50" s="62">
        <f t="shared" si="46"/>
        <v>1.0716760766666653</v>
      </c>
      <c r="T50" s="62">
        <f t="shared" si="46"/>
        <v>4.6065387479219639</v>
      </c>
      <c r="U50" s="62">
        <f t="shared" si="46"/>
        <v>17.570977224033072</v>
      </c>
    </row>
    <row r="51" spans="1:21">
      <c r="A51" s="62">
        <v>2038</v>
      </c>
      <c r="B51" s="27">
        <f t="shared" si="45"/>
        <v>316.48104709890595</v>
      </c>
      <c r="C51" s="27">
        <f t="shared" si="43"/>
        <v>316.68588271946567</v>
      </c>
      <c r="D51" s="27">
        <f t="shared" si="43"/>
        <v>16.823008762777793</v>
      </c>
      <c r="E51" s="27">
        <f t="shared" si="43"/>
        <v>4.1799305313489334</v>
      </c>
      <c r="F51" s="27">
        <f t="shared" si="43"/>
        <v>654.16986911249819</v>
      </c>
      <c r="G51" s="27">
        <f t="shared" si="43"/>
        <v>294.10311376557439</v>
      </c>
      <c r="H51" s="27">
        <f t="shared" si="43"/>
        <v>327.87395825502188</v>
      </c>
      <c r="I51" s="27">
        <f t="shared" si="43"/>
        <v>31.468084841111111</v>
      </c>
      <c r="J51" s="27">
        <f t="shared" si="43"/>
        <v>35.08451449177111</v>
      </c>
      <c r="K51" s="27">
        <f t="shared" si="43"/>
        <v>688.52967135347865</v>
      </c>
      <c r="L51" s="62">
        <f>L48</f>
        <v>2.8290444444438889</v>
      </c>
      <c r="M51" s="62">
        <f t="shared" ref="M51:U51" si="47">M48</f>
        <v>1.2248987116666286</v>
      </c>
      <c r="N51" s="62">
        <f t="shared" si="47"/>
        <v>0.35164516166666643</v>
      </c>
      <c r="O51" s="62">
        <f t="shared" si="47"/>
        <v>0.56401408571896072</v>
      </c>
      <c r="P51" s="62">
        <f t="shared" si="47"/>
        <v>4.9696024034961281</v>
      </c>
      <c r="Q51" s="62">
        <f t="shared" si="47"/>
        <v>6.5723722222222252</v>
      </c>
      <c r="R51" s="62">
        <f t="shared" si="47"/>
        <v>5.3203901772222029</v>
      </c>
      <c r="S51" s="62">
        <f t="shared" si="47"/>
        <v>1.0716760766666653</v>
      </c>
      <c r="T51" s="62">
        <f t="shared" si="47"/>
        <v>4.6065387479219639</v>
      </c>
      <c r="U51" s="62">
        <f t="shared" si="47"/>
        <v>17.570977224033072</v>
      </c>
    </row>
    <row r="52" spans="1:21">
      <c r="A52" s="62">
        <v>2039</v>
      </c>
      <c r="B52" s="27">
        <f t="shared" si="45"/>
        <v>319.31009154334981</v>
      </c>
      <c r="C52" s="27">
        <f t="shared" si="43"/>
        <v>317.91078143113231</v>
      </c>
      <c r="D52" s="27">
        <f t="shared" si="43"/>
        <v>17.17465392444446</v>
      </c>
      <c r="E52" s="27">
        <f t="shared" si="43"/>
        <v>4.7439446170678945</v>
      </c>
      <c r="F52" s="27">
        <f t="shared" si="43"/>
        <v>659.13947151599427</v>
      </c>
      <c r="G52" s="27">
        <f t="shared" si="43"/>
        <v>300.67548598779661</v>
      </c>
      <c r="H52" s="27">
        <f t="shared" si="43"/>
        <v>333.19434843224406</v>
      </c>
      <c r="I52" s="27">
        <f t="shared" si="43"/>
        <v>32.539760917777777</v>
      </c>
      <c r="J52" s="27">
        <f t="shared" si="43"/>
        <v>39.691053239693076</v>
      </c>
      <c r="K52" s="27">
        <f t="shared" si="43"/>
        <v>706.10064857751172</v>
      </c>
      <c r="L52" s="62">
        <f>L48</f>
        <v>2.8290444444438889</v>
      </c>
      <c r="M52" s="62">
        <f t="shared" ref="M52:U52" si="48">M48</f>
        <v>1.2248987116666286</v>
      </c>
      <c r="N52" s="62">
        <f t="shared" si="48"/>
        <v>0.35164516166666643</v>
      </c>
      <c r="O52" s="62">
        <f t="shared" si="48"/>
        <v>0.56401408571896072</v>
      </c>
      <c r="P52" s="62">
        <f t="shared" si="48"/>
        <v>4.9696024034961281</v>
      </c>
      <c r="Q52" s="62">
        <f t="shared" si="48"/>
        <v>6.5723722222222252</v>
      </c>
      <c r="R52" s="62">
        <f t="shared" si="48"/>
        <v>5.3203901772222029</v>
      </c>
      <c r="S52" s="62">
        <f t="shared" si="48"/>
        <v>1.0716760766666653</v>
      </c>
      <c r="T52" s="62">
        <f t="shared" si="48"/>
        <v>4.6065387479219639</v>
      </c>
      <c r="U52" s="62">
        <f t="shared" si="48"/>
        <v>17.570977224033072</v>
      </c>
    </row>
    <row r="53" spans="1:21">
      <c r="A53" s="62">
        <v>2040</v>
      </c>
      <c r="B53" s="62">
        <f>L9</f>
        <v>322.13913598779379</v>
      </c>
      <c r="C53" s="62">
        <f t="shared" ref="C53:F53" si="49">M9</f>
        <v>319.13568014279889</v>
      </c>
      <c r="D53" s="62">
        <f t="shared" si="49"/>
        <v>17.526299086111123</v>
      </c>
      <c r="E53" s="62">
        <f t="shared" si="49"/>
        <v>5.3079587027868547</v>
      </c>
      <c r="F53" s="62">
        <f t="shared" si="49"/>
        <v>664.10907391949058</v>
      </c>
      <c r="G53" s="27">
        <f>L21</f>
        <v>307.24785821001888</v>
      </c>
      <c r="H53" s="27">
        <f t="shared" ref="H53:K53" si="50">M21</f>
        <v>338.51473860946635</v>
      </c>
      <c r="I53" s="27">
        <f t="shared" si="50"/>
        <v>33.611436994444439</v>
      </c>
      <c r="J53" s="27">
        <f t="shared" si="50"/>
        <v>44.297591987615036</v>
      </c>
      <c r="K53" s="27">
        <f t="shared" si="50"/>
        <v>723.67162580154479</v>
      </c>
      <c r="L53" s="62">
        <f>(B58-B53)/5</f>
        <v>2.1047166666672181</v>
      </c>
      <c r="M53" s="62">
        <f t="shared" ref="M53" si="51">(C58-C53)/5</f>
        <v>2.3777240538888238</v>
      </c>
      <c r="N53" s="62">
        <f t="shared" ref="N53" si="52">(D58-D53)/5</f>
        <v>0.11917853333333354</v>
      </c>
      <c r="O53" s="62">
        <f t="shared" ref="O53" si="53">(E58-E53)/5</f>
        <v>0.49248115200235637</v>
      </c>
      <c r="P53" s="62">
        <f t="shared" ref="P53" si="54">(F58-F53)/5</f>
        <v>5.0941004058917319</v>
      </c>
      <c r="Q53" s="62">
        <f t="shared" ref="Q53" si="55">(G58-G53)/5</f>
        <v>5.2716333333333072</v>
      </c>
      <c r="R53" s="62">
        <f t="shared" ref="R53" si="56">(H58-H53)/5</f>
        <v>6.0325894599999632</v>
      </c>
      <c r="S53" s="62">
        <f t="shared" ref="S53" si="57">(I58-I53)/5</f>
        <v>0.6702643550000047</v>
      </c>
      <c r="T53" s="62">
        <f t="shared" ref="T53" si="58">(J58-J53)/5</f>
        <v>5.3371110364373351</v>
      </c>
      <c r="U53" s="62">
        <f t="shared" ref="U53" si="59">(K58-K53)/5</f>
        <v>17.311598184770581</v>
      </c>
    </row>
    <row r="54" spans="1:21">
      <c r="A54" s="62">
        <v>2041</v>
      </c>
      <c r="B54" s="27">
        <f>B53+L53</f>
        <v>324.24385265446102</v>
      </c>
      <c r="C54" s="27">
        <f t="shared" ref="C54:C57" si="60">C53+M53</f>
        <v>321.5134041966877</v>
      </c>
      <c r="D54" s="27">
        <f t="shared" ref="D54:D57" si="61">D53+N53</f>
        <v>17.645477619444456</v>
      </c>
      <c r="E54" s="27">
        <f t="shared" ref="E54:E57" si="62">E53+O53</f>
        <v>5.8004398547892109</v>
      </c>
      <c r="F54" s="27">
        <f t="shared" ref="F54:F57" si="63">F53+P53</f>
        <v>669.20317432538229</v>
      </c>
      <c r="G54" s="27">
        <f t="shared" ref="G54:G57" si="64">G53+Q53</f>
        <v>312.51949154335216</v>
      </c>
      <c r="H54" s="27">
        <f t="shared" ref="H54:H57" si="65">H53+R53</f>
        <v>344.54732806946629</v>
      </c>
      <c r="I54" s="27">
        <f t="shared" ref="I54:I57" si="66">I53+S53</f>
        <v>34.281701349444447</v>
      </c>
      <c r="J54" s="27">
        <f t="shared" ref="J54:J57" si="67">J53+T53</f>
        <v>49.634703024052371</v>
      </c>
      <c r="K54" s="27">
        <f t="shared" ref="K54:K57" si="68">K53+U53</f>
        <v>740.98322398631535</v>
      </c>
      <c r="L54" s="62">
        <f>L53</f>
        <v>2.1047166666672181</v>
      </c>
      <c r="M54" s="62">
        <f t="shared" ref="M54:U54" si="69">M53</f>
        <v>2.3777240538888238</v>
      </c>
      <c r="N54" s="62">
        <f t="shared" si="69"/>
        <v>0.11917853333333354</v>
      </c>
      <c r="O54" s="62">
        <f t="shared" si="69"/>
        <v>0.49248115200235637</v>
      </c>
      <c r="P54" s="62">
        <f t="shared" si="69"/>
        <v>5.0941004058917319</v>
      </c>
      <c r="Q54" s="62">
        <f t="shared" si="69"/>
        <v>5.2716333333333072</v>
      </c>
      <c r="R54" s="62">
        <f t="shared" si="69"/>
        <v>6.0325894599999632</v>
      </c>
      <c r="S54" s="62">
        <f t="shared" si="69"/>
        <v>0.6702643550000047</v>
      </c>
      <c r="T54" s="62">
        <f t="shared" si="69"/>
        <v>5.3371110364373351</v>
      </c>
      <c r="U54" s="62">
        <f t="shared" si="69"/>
        <v>17.311598184770581</v>
      </c>
    </row>
    <row r="55" spans="1:21">
      <c r="A55" s="62">
        <v>2042</v>
      </c>
      <c r="B55" s="27">
        <f t="shared" ref="B55:B57" si="70">B54+L54</f>
        <v>326.34856932112825</v>
      </c>
      <c r="C55" s="27">
        <f t="shared" si="60"/>
        <v>323.89112825057651</v>
      </c>
      <c r="D55" s="27">
        <f t="shared" si="61"/>
        <v>17.764656152777789</v>
      </c>
      <c r="E55" s="27">
        <f t="shared" si="62"/>
        <v>6.2929210067915671</v>
      </c>
      <c r="F55" s="27">
        <f t="shared" si="63"/>
        <v>674.297274731274</v>
      </c>
      <c r="G55" s="27">
        <f t="shared" si="64"/>
        <v>317.79112487668544</v>
      </c>
      <c r="H55" s="27">
        <f t="shared" si="65"/>
        <v>350.57991752946623</v>
      </c>
      <c r="I55" s="27">
        <f t="shared" si="66"/>
        <v>34.951965704444454</v>
      </c>
      <c r="J55" s="27">
        <f t="shared" si="67"/>
        <v>54.971814060489706</v>
      </c>
      <c r="K55" s="27">
        <f t="shared" si="68"/>
        <v>758.29482217108591</v>
      </c>
      <c r="L55" s="62">
        <f>L53</f>
        <v>2.1047166666672181</v>
      </c>
      <c r="M55" s="62">
        <f t="shared" ref="M55:U55" si="71">M53</f>
        <v>2.3777240538888238</v>
      </c>
      <c r="N55" s="62">
        <f t="shared" si="71"/>
        <v>0.11917853333333354</v>
      </c>
      <c r="O55" s="62">
        <f t="shared" si="71"/>
        <v>0.49248115200235637</v>
      </c>
      <c r="P55" s="62">
        <f t="shared" si="71"/>
        <v>5.0941004058917319</v>
      </c>
      <c r="Q55" s="62">
        <f t="shared" si="71"/>
        <v>5.2716333333333072</v>
      </c>
      <c r="R55" s="62">
        <f t="shared" si="71"/>
        <v>6.0325894599999632</v>
      </c>
      <c r="S55" s="62">
        <f t="shared" si="71"/>
        <v>0.6702643550000047</v>
      </c>
      <c r="T55" s="62">
        <f t="shared" si="71"/>
        <v>5.3371110364373351</v>
      </c>
      <c r="U55" s="62">
        <f t="shared" si="71"/>
        <v>17.311598184770581</v>
      </c>
    </row>
    <row r="56" spans="1:21">
      <c r="A56" s="62">
        <v>2043</v>
      </c>
      <c r="B56" s="27">
        <f t="shared" si="70"/>
        <v>328.45328598779548</v>
      </c>
      <c r="C56" s="27">
        <f t="shared" si="60"/>
        <v>326.26885230446533</v>
      </c>
      <c r="D56" s="27">
        <f t="shared" si="61"/>
        <v>17.883834686111122</v>
      </c>
      <c r="E56" s="27">
        <f t="shared" si="62"/>
        <v>6.7854021587939233</v>
      </c>
      <c r="F56" s="27">
        <f t="shared" si="63"/>
        <v>679.39137513716571</v>
      </c>
      <c r="G56" s="27">
        <f t="shared" si="64"/>
        <v>323.06275821001873</v>
      </c>
      <c r="H56" s="27">
        <f t="shared" si="65"/>
        <v>356.61250698946617</v>
      </c>
      <c r="I56" s="27">
        <f t="shared" si="66"/>
        <v>35.622230059444462</v>
      </c>
      <c r="J56" s="27">
        <f t="shared" si="67"/>
        <v>60.308925096927041</v>
      </c>
      <c r="K56" s="27">
        <f t="shared" si="68"/>
        <v>775.60642035585647</v>
      </c>
      <c r="L56" s="62">
        <f>L53</f>
        <v>2.1047166666672181</v>
      </c>
      <c r="M56" s="62">
        <f t="shared" ref="M56:U56" si="72">M53</f>
        <v>2.3777240538888238</v>
      </c>
      <c r="N56" s="62">
        <f t="shared" si="72"/>
        <v>0.11917853333333354</v>
      </c>
      <c r="O56" s="62">
        <f t="shared" si="72"/>
        <v>0.49248115200235637</v>
      </c>
      <c r="P56" s="62">
        <f t="shared" si="72"/>
        <v>5.0941004058917319</v>
      </c>
      <c r="Q56" s="62">
        <f t="shared" si="72"/>
        <v>5.2716333333333072</v>
      </c>
      <c r="R56" s="62">
        <f t="shared" si="72"/>
        <v>6.0325894599999632</v>
      </c>
      <c r="S56" s="62">
        <f t="shared" si="72"/>
        <v>0.6702643550000047</v>
      </c>
      <c r="T56" s="62">
        <f t="shared" si="72"/>
        <v>5.3371110364373351</v>
      </c>
      <c r="U56" s="62">
        <f t="shared" si="72"/>
        <v>17.311598184770581</v>
      </c>
    </row>
    <row r="57" spans="1:21">
      <c r="A57" s="62">
        <v>2044</v>
      </c>
      <c r="B57" s="27">
        <f t="shared" si="70"/>
        <v>330.55800265446271</v>
      </c>
      <c r="C57" s="27">
        <f t="shared" si="60"/>
        <v>328.64657635835414</v>
      </c>
      <c r="D57" s="27">
        <f t="shared" si="61"/>
        <v>18.003013219444455</v>
      </c>
      <c r="E57" s="27">
        <f t="shared" si="62"/>
        <v>7.2778833107962795</v>
      </c>
      <c r="F57" s="27">
        <f t="shared" si="63"/>
        <v>684.48547554305742</v>
      </c>
      <c r="G57" s="27">
        <f t="shared" si="64"/>
        <v>328.33439154335201</v>
      </c>
      <c r="H57" s="27">
        <f t="shared" si="65"/>
        <v>362.64509644946611</v>
      </c>
      <c r="I57" s="27">
        <f t="shared" si="66"/>
        <v>36.292494414444469</v>
      </c>
      <c r="J57" s="27">
        <f t="shared" si="67"/>
        <v>65.646036133364376</v>
      </c>
      <c r="K57" s="27">
        <f t="shared" si="68"/>
        <v>792.91801854062703</v>
      </c>
      <c r="L57" s="62">
        <f>L53</f>
        <v>2.1047166666672181</v>
      </c>
      <c r="M57" s="62">
        <f t="shared" ref="M57:U57" si="73">M53</f>
        <v>2.3777240538888238</v>
      </c>
      <c r="N57" s="62">
        <f t="shared" si="73"/>
        <v>0.11917853333333354</v>
      </c>
      <c r="O57" s="62">
        <f t="shared" si="73"/>
        <v>0.49248115200235637</v>
      </c>
      <c r="P57" s="62">
        <f t="shared" si="73"/>
        <v>5.0941004058917319</v>
      </c>
      <c r="Q57" s="62">
        <f t="shared" si="73"/>
        <v>5.2716333333333072</v>
      </c>
      <c r="R57" s="62">
        <f t="shared" si="73"/>
        <v>6.0325894599999632</v>
      </c>
      <c r="S57" s="62">
        <f t="shared" si="73"/>
        <v>0.6702643550000047</v>
      </c>
      <c r="T57" s="62">
        <f t="shared" si="73"/>
        <v>5.3371110364373351</v>
      </c>
      <c r="U57" s="62">
        <f t="shared" si="73"/>
        <v>17.311598184770581</v>
      </c>
    </row>
    <row r="58" spans="1:21">
      <c r="A58" s="62">
        <v>2045</v>
      </c>
      <c r="B58" s="27">
        <f>L10</f>
        <v>332.66271932112988</v>
      </c>
      <c r="C58" s="27">
        <f t="shared" ref="C58:F58" si="74">M10</f>
        <v>331.02430041224301</v>
      </c>
      <c r="D58" s="27">
        <f t="shared" si="74"/>
        <v>18.122191752777791</v>
      </c>
      <c r="E58" s="27">
        <f t="shared" si="74"/>
        <v>7.7703644627986366</v>
      </c>
      <c r="F58" s="27">
        <f t="shared" si="74"/>
        <v>689.57957594894924</v>
      </c>
      <c r="G58" s="27">
        <f>L22</f>
        <v>333.60602487668541</v>
      </c>
      <c r="H58" s="27">
        <f t="shared" ref="H58:K58" si="75">M22</f>
        <v>368.67768590946616</v>
      </c>
      <c r="I58" s="27">
        <f t="shared" si="75"/>
        <v>36.962758769444463</v>
      </c>
      <c r="J58" s="27">
        <f t="shared" si="75"/>
        <v>70.983147169801711</v>
      </c>
      <c r="K58" s="27">
        <f t="shared" si="75"/>
        <v>810.2296167253977</v>
      </c>
      <c r="L58" s="62">
        <f>(B63-B58)/5</f>
        <v>3.2767111111111036</v>
      </c>
      <c r="M58" s="62">
        <f t="shared" ref="M58" si="76">(C63-C58)/5</f>
        <v>3.8055927294445153</v>
      </c>
      <c r="N58" s="62">
        <f t="shared" ref="N58" si="77">(D63-D58)/5</f>
        <v>1.7336835388888971E-2</v>
      </c>
      <c r="O58" s="62">
        <f t="shared" ref="O58" si="78">(E63-E58)/5</f>
        <v>0.65994564200970751</v>
      </c>
      <c r="P58" s="62">
        <f t="shared" ref="P58" si="79">(F63-F58)/5</f>
        <v>7.7595863179542448</v>
      </c>
      <c r="Q58" s="62">
        <f t="shared" ref="Q58" si="80">(G63-G58)/5</f>
        <v>6.9394666666666582</v>
      </c>
      <c r="R58" s="62">
        <f t="shared" ref="R58" si="81">(H63-H58)/5</f>
        <v>12.245023713166665</v>
      </c>
      <c r="S58" s="62">
        <f t="shared" ref="S58" si="82">(I63-I58)/5</f>
        <v>0.77823474722222419</v>
      </c>
      <c r="T58" s="62">
        <f t="shared" ref="T58" si="83">(J63-J58)/5</f>
        <v>10.538100305845678</v>
      </c>
      <c r="U58" s="62">
        <f t="shared" ref="U58" si="84">(K63-K58)/5</f>
        <v>30.50082543290123</v>
      </c>
    </row>
    <row r="59" spans="1:21">
      <c r="A59" s="62">
        <v>2046</v>
      </c>
      <c r="B59" s="27">
        <f>B58+L58</f>
        <v>335.93943043224101</v>
      </c>
      <c r="C59" s="27">
        <f t="shared" ref="C59:C62" si="85">C58+M58</f>
        <v>334.82989314168753</v>
      </c>
      <c r="D59" s="27">
        <f t="shared" ref="D59:D62" si="86">D58+N58</f>
        <v>18.13952858816668</v>
      </c>
      <c r="E59" s="27">
        <f t="shared" ref="E59:E62" si="87">E58+O58</f>
        <v>8.4303101048083438</v>
      </c>
      <c r="F59" s="27">
        <f t="shared" ref="F59:F62" si="88">F58+P58</f>
        <v>697.33916226690349</v>
      </c>
      <c r="G59" s="27">
        <f t="shared" ref="G59:G62" si="89">G58+Q58</f>
        <v>340.54549154335206</v>
      </c>
      <c r="H59" s="27">
        <f t="shared" ref="H59:H62" si="90">H58+R58</f>
        <v>380.92270962263285</v>
      </c>
      <c r="I59" s="27">
        <f t="shared" ref="I59:I62" si="91">I58+S58</f>
        <v>37.740993516666684</v>
      </c>
      <c r="J59" s="27">
        <f t="shared" ref="J59:J62" si="92">J58+T58</f>
        <v>81.521247475647385</v>
      </c>
      <c r="K59" s="27">
        <f t="shared" ref="K59:K62" si="93">K58+U58</f>
        <v>840.73044215829896</v>
      </c>
      <c r="L59" s="62">
        <f>L58</f>
        <v>3.2767111111111036</v>
      </c>
      <c r="M59" s="62">
        <f t="shared" ref="M59:U59" si="94">M58</f>
        <v>3.8055927294445153</v>
      </c>
      <c r="N59" s="62">
        <f t="shared" si="94"/>
        <v>1.7336835388888971E-2</v>
      </c>
      <c r="O59" s="62">
        <f t="shared" si="94"/>
        <v>0.65994564200970751</v>
      </c>
      <c r="P59" s="62">
        <f t="shared" si="94"/>
        <v>7.7595863179542448</v>
      </c>
      <c r="Q59" s="62">
        <f t="shared" si="94"/>
        <v>6.9394666666666582</v>
      </c>
      <c r="R59" s="62">
        <f t="shared" si="94"/>
        <v>12.245023713166665</v>
      </c>
      <c r="S59" s="62">
        <f t="shared" si="94"/>
        <v>0.77823474722222419</v>
      </c>
      <c r="T59" s="62">
        <f t="shared" si="94"/>
        <v>10.538100305845678</v>
      </c>
      <c r="U59" s="62">
        <f t="shared" si="94"/>
        <v>30.50082543290123</v>
      </c>
    </row>
    <row r="60" spans="1:21">
      <c r="A60" s="62">
        <v>2047</v>
      </c>
      <c r="B60" s="27">
        <f t="shared" ref="B60:B62" si="95">B59+L59</f>
        <v>339.21614154335214</v>
      </c>
      <c r="C60" s="27">
        <f t="shared" si="85"/>
        <v>338.63548587113206</v>
      </c>
      <c r="D60" s="27">
        <f t="shared" si="86"/>
        <v>18.156865423555569</v>
      </c>
      <c r="E60" s="27">
        <f t="shared" si="87"/>
        <v>9.0902557468180518</v>
      </c>
      <c r="F60" s="27">
        <f t="shared" si="88"/>
        <v>705.09874858485773</v>
      </c>
      <c r="G60" s="27">
        <f t="shared" si="89"/>
        <v>347.4849582100187</v>
      </c>
      <c r="H60" s="27">
        <f t="shared" si="90"/>
        <v>393.16773333579954</v>
      </c>
      <c r="I60" s="27">
        <f t="shared" si="91"/>
        <v>38.519228263888905</v>
      </c>
      <c r="J60" s="27">
        <f t="shared" si="92"/>
        <v>92.059347781493059</v>
      </c>
      <c r="K60" s="27">
        <f t="shared" si="93"/>
        <v>871.23126759120021</v>
      </c>
      <c r="L60" s="62">
        <f>L58</f>
        <v>3.2767111111111036</v>
      </c>
      <c r="M60" s="62">
        <f t="shared" ref="M60:U60" si="96">M58</f>
        <v>3.8055927294445153</v>
      </c>
      <c r="N60" s="62">
        <f t="shared" si="96"/>
        <v>1.7336835388888971E-2</v>
      </c>
      <c r="O60" s="62">
        <f t="shared" si="96"/>
        <v>0.65994564200970751</v>
      </c>
      <c r="P60" s="62">
        <f t="shared" si="96"/>
        <v>7.7595863179542448</v>
      </c>
      <c r="Q60" s="62">
        <f t="shared" si="96"/>
        <v>6.9394666666666582</v>
      </c>
      <c r="R60" s="62">
        <f t="shared" si="96"/>
        <v>12.245023713166665</v>
      </c>
      <c r="S60" s="62">
        <f t="shared" si="96"/>
        <v>0.77823474722222419</v>
      </c>
      <c r="T60" s="62">
        <f t="shared" si="96"/>
        <v>10.538100305845678</v>
      </c>
      <c r="U60" s="62">
        <f t="shared" si="96"/>
        <v>30.50082543290123</v>
      </c>
    </row>
    <row r="61" spans="1:21">
      <c r="A61" s="62">
        <v>2048</v>
      </c>
      <c r="B61" s="27">
        <f t="shared" si="95"/>
        <v>342.49285265446326</v>
      </c>
      <c r="C61" s="27">
        <f t="shared" si="85"/>
        <v>342.44107860057659</v>
      </c>
      <c r="D61" s="27">
        <f t="shared" si="86"/>
        <v>18.174202258944458</v>
      </c>
      <c r="E61" s="27">
        <f t="shared" si="87"/>
        <v>9.7502013888277599</v>
      </c>
      <c r="F61" s="27">
        <f t="shared" si="88"/>
        <v>712.85833490281198</v>
      </c>
      <c r="G61" s="27">
        <f t="shared" si="89"/>
        <v>354.42442487668535</v>
      </c>
      <c r="H61" s="27">
        <f t="shared" si="90"/>
        <v>405.41275704896623</v>
      </c>
      <c r="I61" s="27">
        <f t="shared" si="91"/>
        <v>39.297463011111127</v>
      </c>
      <c r="J61" s="27">
        <f t="shared" si="92"/>
        <v>102.59744808733873</v>
      </c>
      <c r="K61" s="27">
        <f t="shared" si="93"/>
        <v>901.73209302410146</v>
      </c>
      <c r="L61" s="62">
        <f>L58</f>
        <v>3.2767111111111036</v>
      </c>
      <c r="M61" s="62">
        <f t="shared" ref="M61:U61" si="97">M58</f>
        <v>3.8055927294445153</v>
      </c>
      <c r="N61" s="62">
        <f t="shared" si="97"/>
        <v>1.7336835388888971E-2</v>
      </c>
      <c r="O61" s="62">
        <f t="shared" si="97"/>
        <v>0.65994564200970751</v>
      </c>
      <c r="P61" s="62">
        <f t="shared" si="97"/>
        <v>7.7595863179542448</v>
      </c>
      <c r="Q61" s="62">
        <f t="shared" si="97"/>
        <v>6.9394666666666582</v>
      </c>
      <c r="R61" s="62">
        <f t="shared" si="97"/>
        <v>12.245023713166665</v>
      </c>
      <c r="S61" s="62">
        <f t="shared" si="97"/>
        <v>0.77823474722222419</v>
      </c>
      <c r="T61" s="62">
        <f t="shared" si="97"/>
        <v>10.538100305845678</v>
      </c>
      <c r="U61" s="62">
        <f t="shared" si="97"/>
        <v>30.50082543290123</v>
      </c>
    </row>
    <row r="62" spans="1:21">
      <c r="A62" s="62">
        <v>2049</v>
      </c>
      <c r="B62" s="27">
        <f t="shared" si="95"/>
        <v>345.76956376557439</v>
      </c>
      <c r="C62" s="27">
        <f t="shared" si="85"/>
        <v>346.24667133002112</v>
      </c>
      <c r="D62" s="27">
        <f t="shared" si="86"/>
        <v>18.191539094333347</v>
      </c>
      <c r="E62" s="27">
        <f t="shared" si="87"/>
        <v>10.410147030837468</v>
      </c>
      <c r="F62" s="27">
        <f t="shared" si="88"/>
        <v>720.61792122076622</v>
      </c>
      <c r="G62" s="27">
        <f t="shared" si="89"/>
        <v>361.363891543352</v>
      </c>
      <c r="H62" s="27">
        <f t="shared" si="90"/>
        <v>417.65778076213292</v>
      </c>
      <c r="I62" s="27">
        <f t="shared" si="91"/>
        <v>40.075697758333348</v>
      </c>
      <c r="J62" s="27">
        <f t="shared" si="92"/>
        <v>113.13554839318441</v>
      </c>
      <c r="K62" s="27">
        <f t="shared" si="93"/>
        <v>932.23291845700271</v>
      </c>
      <c r="L62" s="62">
        <f>L58</f>
        <v>3.2767111111111036</v>
      </c>
      <c r="M62" s="62">
        <f t="shared" ref="M62:U62" si="98">M58</f>
        <v>3.8055927294445153</v>
      </c>
      <c r="N62" s="62">
        <f t="shared" si="98"/>
        <v>1.7336835388888971E-2</v>
      </c>
      <c r="O62" s="62">
        <f t="shared" si="98"/>
        <v>0.65994564200970751</v>
      </c>
      <c r="P62" s="62">
        <f t="shared" si="98"/>
        <v>7.7595863179542448</v>
      </c>
      <c r="Q62" s="62">
        <f t="shared" si="98"/>
        <v>6.9394666666666582</v>
      </c>
      <c r="R62" s="62">
        <f t="shared" si="98"/>
        <v>12.245023713166665</v>
      </c>
      <c r="S62" s="62">
        <f t="shared" si="98"/>
        <v>0.77823474722222419</v>
      </c>
      <c r="T62" s="62">
        <f t="shared" si="98"/>
        <v>10.538100305845678</v>
      </c>
      <c r="U62" s="62">
        <f t="shared" si="98"/>
        <v>30.50082543290123</v>
      </c>
    </row>
    <row r="63" spans="1:21">
      <c r="A63" s="62">
        <v>2050</v>
      </c>
      <c r="B63" s="27">
        <f>L11</f>
        <v>349.0462748766854</v>
      </c>
      <c r="C63" s="27">
        <f t="shared" ref="C63:F63" si="99">M11</f>
        <v>350.05226405946559</v>
      </c>
      <c r="D63" s="27">
        <f t="shared" si="99"/>
        <v>18.208875929722236</v>
      </c>
      <c r="E63" s="27">
        <f t="shared" si="99"/>
        <v>11.070092672847174</v>
      </c>
      <c r="F63" s="27">
        <f t="shared" si="99"/>
        <v>728.37750753872047</v>
      </c>
      <c r="G63" s="27">
        <f>L23</f>
        <v>368.3033582100187</v>
      </c>
      <c r="H63" s="27">
        <f t="shared" ref="H63:J63" si="100">M23</f>
        <v>429.90280447529949</v>
      </c>
      <c r="I63" s="27">
        <f t="shared" si="100"/>
        <v>40.853932505555584</v>
      </c>
      <c r="J63" s="27">
        <f t="shared" si="100"/>
        <v>123.6736486990301</v>
      </c>
      <c r="K63" s="27">
        <f>P23</f>
        <v>962.73374388990385</v>
      </c>
    </row>
    <row r="65" spans="1:11">
      <c r="A65" s="62" t="s">
        <v>613</v>
      </c>
    </row>
    <row r="66" spans="1:11">
      <c r="A66" s="62" t="s">
        <v>614</v>
      </c>
      <c r="B66" s="95">
        <f>(B49/B35)^(1/14)-1</f>
        <v>1.5067678307608467E-2</v>
      </c>
      <c r="C66" s="95">
        <f t="shared" ref="C66:K66" si="101">(C49/C35)^(1/14)-1</f>
        <v>7.6993584459525977E-3</v>
      </c>
      <c r="D66" s="95">
        <f t="shared" si="101"/>
        <v>8.6750211207588634E-2</v>
      </c>
      <c r="E66" s="95">
        <f t="shared" si="101"/>
        <v>0.22655202440092514</v>
      </c>
      <c r="F66" s="95">
        <f t="shared" si="101"/>
        <v>1.2745955369667161E-2</v>
      </c>
      <c r="G66" s="95">
        <f t="shared" si="101"/>
        <v>1.1706220766805719E-2</v>
      </c>
      <c r="H66" s="95">
        <f t="shared" si="101"/>
        <v>9.6493797335934772E-3</v>
      </c>
      <c r="I66" s="95">
        <f t="shared" si="101"/>
        <v>0.11398470114818138</v>
      </c>
      <c r="J66" s="95">
        <f t="shared" si="101"/>
        <v>0.33959341295593681</v>
      </c>
      <c r="K66" s="95">
        <f t="shared" si="101"/>
        <v>1.6034187156133806E-2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4046-B808-410E-B743-334699C75C3F}">
  <dimension ref="A1:BC79"/>
  <sheetViews>
    <sheetView topLeftCell="A25" zoomScale="70" zoomScaleNormal="70" workbookViewId="0">
      <selection activeCell="H41" sqref="C41:H48"/>
    </sheetView>
  </sheetViews>
  <sheetFormatPr defaultRowHeight="17.399999999999999"/>
  <cols>
    <col min="1" max="2" width="8.796875" style="62"/>
    <col min="3" max="3" width="10.09765625" style="62" bestFit="1" customWidth="1"/>
    <col min="4" max="4" width="14.296875" style="62" bestFit="1" customWidth="1"/>
    <col min="5" max="5" width="23.69921875" style="62" bestFit="1" customWidth="1"/>
    <col min="6" max="6" width="24.59765625" style="62" bestFit="1" customWidth="1"/>
    <col min="7" max="8" width="10.09765625" style="62" bestFit="1" customWidth="1"/>
    <col min="9" max="9" width="8.796875" style="62"/>
    <col min="10" max="10" width="10.09765625" style="62" bestFit="1" customWidth="1"/>
    <col min="11" max="22" width="8.796875" style="62"/>
    <col min="23" max="23" width="10.09765625" style="62" bestFit="1" customWidth="1"/>
    <col min="24" max="16384" width="8.796875" style="62"/>
  </cols>
  <sheetData>
    <row r="1" spans="1:53">
      <c r="A1" s="1" t="s">
        <v>54</v>
      </c>
      <c r="AH1" s="9"/>
      <c r="AI1" s="62" t="s">
        <v>638</v>
      </c>
    </row>
    <row r="2" spans="1:53">
      <c r="A2" s="62" t="s">
        <v>8</v>
      </c>
      <c r="B2" s="62" t="s">
        <v>9</v>
      </c>
      <c r="C2" s="62" t="s">
        <v>39</v>
      </c>
      <c r="D2" s="62" t="s">
        <v>40</v>
      </c>
      <c r="E2" s="62" t="s">
        <v>10</v>
      </c>
      <c r="F2" s="62" t="s">
        <v>42</v>
      </c>
      <c r="G2" s="62">
        <v>1990</v>
      </c>
      <c r="H2" s="62">
        <v>2005</v>
      </c>
      <c r="I2" s="62">
        <v>2010</v>
      </c>
      <c r="J2" s="62">
        <v>2015</v>
      </c>
      <c r="K2" s="62">
        <v>2020</v>
      </c>
      <c r="L2" s="62">
        <v>2025</v>
      </c>
      <c r="M2" s="62">
        <v>2030</v>
      </c>
      <c r="N2" s="62">
        <v>2035</v>
      </c>
      <c r="O2" s="62">
        <v>2040</v>
      </c>
      <c r="P2" s="62">
        <v>2045</v>
      </c>
      <c r="Q2" s="62">
        <v>2050</v>
      </c>
      <c r="R2" s="93" t="s">
        <v>76</v>
      </c>
      <c r="W2" s="62">
        <v>2015</v>
      </c>
      <c r="X2" s="62">
        <v>2020</v>
      </c>
      <c r="Y2" s="62">
        <v>2025</v>
      </c>
      <c r="Z2" s="62">
        <v>2030</v>
      </c>
      <c r="AA2" s="62">
        <v>2035</v>
      </c>
      <c r="AB2" s="62">
        <v>2040</v>
      </c>
      <c r="AC2" s="62">
        <v>2045</v>
      </c>
      <c r="AD2" s="62">
        <v>2050</v>
      </c>
      <c r="AH2" s="9"/>
      <c r="AI2" s="62" t="s">
        <v>8</v>
      </c>
      <c r="AJ2" s="62" t="s">
        <v>9</v>
      </c>
      <c r="AK2" s="62" t="s">
        <v>39</v>
      </c>
      <c r="AL2" s="62" t="s">
        <v>40</v>
      </c>
      <c r="AM2" s="62" t="s">
        <v>10</v>
      </c>
      <c r="AN2" s="62" t="s">
        <v>42</v>
      </c>
      <c r="AO2" s="62">
        <v>1990</v>
      </c>
      <c r="AP2" s="62">
        <v>2005</v>
      </c>
      <c r="AQ2" s="62">
        <v>2010</v>
      </c>
      <c r="AR2" s="62">
        <v>2015</v>
      </c>
      <c r="AS2" s="62">
        <v>2020</v>
      </c>
      <c r="AT2" s="62">
        <v>2025</v>
      </c>
      <c r="AU2" s="62">
        <v>2030</v>
      </c>
      <c r="AV2" s="62">
        <v>2035</v>
      </c>
      <c r="AW2" s="62">
        <v>2040</v>
      </c>
      <c r="AX2" s="62">
        <v>2045</v>
      </c>
      <c r="AY2" s="62">
        <v>2050</v>
      </c>
      <c r="BA2" s="93"/>
    </row>
    <row r="3" spans="1:53">
      <c r="A3" s="62" t="str">
        <f>'CurPol_industry_final_energ (2)'!A32</f>
        <v>CurPol,date=2022-3-7T01:16:15-015:00</v>
      </c>
      <c r="B3" s="62" t="str">
        <f>'CurPol_industry_final_energ (2)'!B32</f>
        <v>South Korea</v>
      </c>
      <c r="C3" s="62" t="str">
        <f>'CurPol_industry_final_energ (2)'!C32</f>
        <v>iron and steel</v>
      </c>
      <c r="D3" s="62" t="str">
        <f>'CurPol_industry_final_energ (2)'!D32</f>
        <v>BLASTFUR</v>
      </c>
      <c r="E3" s="62" t="str">
        <f>'CurPol_industry_final_energ (2)'!E32</f>
        <v>delivered coal</v>
      </c>
      <c r="F3" s="62" t="str">
        <f>'CurPol_industry_final_energ (2)'!F32</f>
        <v>BLASTFUR</v>
      </c>
      <c r="G3" s="62">
        <f>'CurPol_industry_final_energ (2)'!G32</f>
        <v>0.230465</v>
      </c>
      <c r="H3" s="62">
        <f>'CurPol_industry_final_energ (2)'!H32</f>
        <v>0</v>
      </c>
      <c r="I3" s="62">
        <f>'CurPol_industry_final_energ (2)'!I32</f>
        <v>0</v>
      </c>
      <c r="J3" s="62">
        <f>'CurPol_industry_final_energ (2)'!J32</f>
        <v>0.82835599999999998</v>
      </c>
      <c r="K3" s="62">
        <f>'CurPol_industry_final_energ (2)'!K32</f>
        <v>0.78585799999999995</v>
      </c>
      <c r="L3" s="62">
        <f>'CurPol_industry_final_energ (2)'!L32</f>
        <v>0.84128740000000002</v>
      </c>
      <c r="M3" s="62">
        <f>'CurPol_industry_final_energ (2)'!M32</f>
        <v>0.80578869999999903</v>
      </c>
      <c r="N3" s="62">
        <f>'CurPol_industry_final_energ (2)'!N32</f>
        <v>0.74392320000000001</v>
      </c>
      <c r="O3" s="62">
        <f>'CurPol_industry_final_energ (2)'!O32</f>
        <v>0.68554820000000005</v>
      </c>
      <c r="P3" s="62">
        <f>'CurPol_industry_final_energ (2)'!P32</f>
        <v>0.58538570000000001</v>
      </c>
      <c r="Q3" s="62">
        <f>'CurPol_industry_final_energ (2)'!Q32</f>
        <v>0.43830609999999998</v>
      </c>
      <c r="R3" s="93" t="s">
        <v>78</v>
      </c>
      <c r="V3" s="27" t="s">
        <v>33</v>
      </c>
      <c r="W3" s="62">
        <f>SUMIF($F$3:$F$12,$V$3,J3:J12)</f>
        <v>0.91990454999999993</v>
      </c>
      <c r="X3" s="62">
        <f t="shared" ref="X3:AD3" si="0">SUMIF($F$3:$F$12,$V$3,K3:K12)</f>
        <v>0.87270986492999991</v>
      </c>
      <c r="Y3" s="62">
        <f t="shared" si="0"/>
        <v>0.93426518437000006</v>
      </c>
      <c r="Z3" s="62">
        <f t="shared" si="0"/>
        <v>0.89484316282999898</v>
      </c>
      <c r="AA3" s="62">
        <f t="shared" si="0"/>
        <v>0.82614047066999996</v>
      </c>
      <c r="AB3" s="62">
        <f t="shared" si="0"/>
        <v>0.76131405265999996</v>
      </c>
      <c r="AC3" s="62">
        <f t="shared" si="0"/>
        <v>0.65008162779000001</v>
      </c>
      <c r="AD3" s="62">
        <f t="shared" si="0"/>
        <v>0.48674713495999999</v>
      </c>
      <c r="AH3" s="9"/>
      <c r="AI3" s="62" t="s">
        <v>606</v>
      </c>
      <c r="AJ3" s="1" t="s">
        <v>1</v>
      </c>
      <c r="AK3" s="62" t="s">
        <v>32</v>
      </c>
      <c r="AL3" s="62" t="s">
        <v>33</v>
      </c>
      <c r="AM3" s="62" t="s">
        <v>32</v>
      </c>
      <c r="AN3" s="62" t="s">
        <v>33</v>
      </c>
      <c r="AO3" s="62">
        <v>22.5</v>
      </c>
      <c r="AP3" s="62">
        <v>26.7</v>
      </c>
      <c r="AQ3" s="62">
        <v>34.1</v>
      </c>
      <c r="AR3" s="62">
        <v>48.5</v>
      </c>
      <c r="AS3" s="62">
        <v>46.336269999999999</v>
      </c>
      <c r="AT3" s="62">
        <v>51.594719999999903</v>
      </c>
      <c r="AU3" s="62">
        <v>51.547269999999997</v>
      </c>
      <c r="AV3" s="62">
        <v>49.443460000000002</v>
      </c>
      <c r="AW3" s="62">
        <v>46.515990000000002</v>
      </c>
      <c r="AX3" s="62">
        <v>40.699269999999999</v>
      </c>
      <c r="AY3" s="62">
        <v>31.140630000000002</v>
      </c>
      <c r="AZ3" s="62" t="s">
        <v>636</v>
      </c>
      <c r="BA3" s="93"/>
    </row>
    <row r="4" spans="1:53">
      <c r="A4" s="62" t="str">
        <f>'CurPol_industry_final_energ (2)'!A33</f>
        <v>CurPol,date=2022-3-7T01:16:15-015:00</v>
      </c>
      <c r="B4" s="62" t="str">
        <f>'CurPol_industry_final_energ (2)'!B33</f>
        <v>South Korea</v>
      </c>
      <c r="C4" s="62" t="str">
        <f>'CurPol_industry_final_energ (2)'!C33</f>
        <v>iron and steel</v>
      </c>
      <c r="D4" s="62" t="str">
        <f>'CurPol_industry_final_energ (2)'!D33</f>
        <v>BLASTFUR</v>
      </c>
      <c r="E4" s="62" t="str">
        <f>'CurPol_industry_final_energ (2)'!E33</f>
        <v>elect_td_ind</v>
      </c>
      <c r="F4" s="62" t="str">
        <f>'CurPol_industry_final_energ (2)'!F33</f>
        <v>BLASTFUR</v>
      </c>
      <c r="G4" s="62">
        <f>'CurPol_industry_final_energ (2)'!G33</f>
        <v>1.2258E-2</v>
      </c>
      <c r="H4" s="62">
        <f>'CurPol_industry_final_energ (2)'!H33</f>
        <v>5.09463E-2</v>
      </c>
      <c r="I4" s="62">
        <f>'CurPol_industry_final_energ (2)'!I33</f>
        <v>6.1189E-2</v>
      </c>
      <c r="J4" s="62">
        <f>'CurPol_industry_final_energ (2)'!J33</f>
        <v>9.1281799999999996E-2</v>
      </c>
      <c r="K4" s="62">
        <f>'CurPol_industry_final_energ (2)'!K33</f>
        <v>8.6598800000000004E-2</v>
      </c>
      <c r="L4" s="62">
        <f>'CurPol_industry_final_energ (2)'!L33</f>
        <v>9.2706869999999997E-2</v>
      </c>
      <c r="M4" s="62">
        <f>'CurPol_industry_final_energ (2)'!M33</f>
        <v>8.8794979999999996E-2</v>
      </c>
      <c r="N4" s="62">
        <f>'CurPol_industry_final_energ (2)'!N33</f>
        <v>8.1977709999999995E-2</v>
      </c>
      <c r="O4" s="62">
        <f>'CurPol_industry_final_energ (2)'!O33</f>
        <v>7.5545089999999995E-2</v>
      </c>
      <c r="P4" s="62">
        <f>'CurPol_industry_final_energ (2)'!P33</f>
        <v>6.4507419999999996E-2</v>
      </c>
      <c r="Q4" s="62">
        <f>'CurPol_industry_final_energ (2)'!Q33</f>
        <v>4.8299889999999998E-2</v>
      </c>
      <c r="R4" s="93" t="s">
        <v>78</v>
      </c>
      <c r="V4" s="27" t="s">
        <v>36</v>
      </c>
      <c r="W4" s="62">
        <f>SUMIF($F$3:$F$12,$V$4,J3:J12)</f>
        <v>0.14023903999999998</v>
      </c>
      <c r="X4" s="62">
        <f t="shared" ref="X4:AD4" si="1">SUMIF($F$3:$F$12,$V$4,K3:K12)</f>
        <v>0.13556497799999978</v>
      </c>
      <c r="Y4" s="62">
        <f t="shared" si="1"/>
        <v>0.16434978399999992</v>
      </c>
      <c r="Z4" s="62">
        <f t="shared" si="1"/>
        <v>0.190084896</v>
      </c>
      <c r="AA4" s="62">
        <f t="shared" si="1"/>
        <v>0.21992177539999991</v>
      </c>
      <c r="AB4" s="62">
        <f t="shared" si="1"/>
        <v>0.2491414039999999</v>
      </c>
      <c r="AC4" s="62">
        <f t="shared" si="1"/>
        <v>0.29857396400000003</v>
      </c>
      <c r="AD4" s="62">
        <f t="shared" si="1"/>
        <v>0.37410318599999992</v>
      </c>
      <c r="AH4" s="9"/>
      <c r="AI4" s="62" t="s">
        <v>606</v>
      </c>
      <c r="AJ4" s="62" t="s">
        <v>1</v>
      </c>
      <c r="AK4" s="62" t="s">
        <v>32</v>
      </c>
      <c r="AL4" s="62" t="s">
        <v>36</v>
      </c>
      <c r="AM4" s="62" t="s">
        <v>32</v>
      </c>
      <c r="AN4" s="62" t="s">
        <v>36</v>
      </c>
      <c r="AO4" s="62">
        <v>8.42</v>
      </c>
      <c r="AP4" s="62">
        <v>10.5</v>
      </c>
      <c r="AQ4" s="62">
        <v>12.4</v>
      </c>
      <c r="AR4" s="62">
        <v>10.6</v>
      </c>
      <c r="AS4" s="62">
        <v>10.328109999999899</v>
      </c>
      <c r="AT4" s="62">
        <v>13.098789999999999</v>
      </c>
      <c r="AU4" s="62">
        <v>15.818035</v>
      </c>
      <c r="AV4" s="62">
        <v>18.943725999999899</v>
      </c>
      <c r="AW4" s="62">
        <v>21.940469999999902</v>
      </c>
      <c r="AX4" s="62">
        <v>27.0064799999999</v>
      </c>
      <c r="AY4" s="62">
        <v>34.737540000000003</v>
      </c>
      <c r="AZ4" s="62" t="s">
        <v>637</v>
      </c>
      <c r="BA4" s="93"/>
    </row>
    <row r="5" spans="1:53">
      <c r="A5" s="62" t="str">
        <f>'CurPol_industry_final_energ (2)'!A34</f>
        <v>CurPol,date=2022-3-7T01:16:15-015:00</v>
      </c>
      <c r="B5" s="62" t="str">
        <f>'CurPol_industry_final_energ (2)'!B34</f>
        <v>South Korea</v>
      </c>
      <c r="C5" s="62" t="str">
        <f>'CurPol_industry_final_energ (2)'!C34</f>
        <v>iron and steel</v>
      </c>
      <c r="D5" s="62" t="str">
        <f>'CurPol_industry_final_energ (2)'!D34</f>
        <v>BLASTFUR</v>
      </c>
      <c r="E5" s="62" t="str">
        <f>'CurPol_industry_final_energ (2)'!E34</f>
        <v>refined liquids industrial</v>
      </c>
      <c r="F5" s="62" t="str">
        <f>'CurPol_industry_final_energ (2)'!F34</f>
        <v>BLASTFUR</v>
      </c>
      <c r="G5" s="62">
        <f>'CurPol_industry_final_energ (2)'!G34</f>
        <v>3.2850000000000002E-4</v>
      </c>
      <c r="H5" s="62">
        <f>'CurPol_industry_final_energ (2)'!H34</f>
        <v>2.0024999999999999E-4</v>
      </c>
      <c r="I5" s="62">
        <f>'CurPol_industry_final_energ (2)'!I34</f>
        <v>1.0230000000000001E-4</v>
      </c>
      <c r="J5" s="62">
        <f>'CurPol_industry_final_energ (2)'!J34</f>
        <v>6.3050000000000001E-5</v>
      </c>
      <c r="K5" s="62">
        <f>'CurPol_industry_final_energ (2)'!K34</f>
        <v>5.9815329999999998E-5</v>
      </c>
      <c r="L5" s="62">
        <f>'CurPol_industry_final_energ (2)'!L34</f>
        <v>6.4034269999999996E-5</v>
      </c>
      <c r="M5" s="62">
        <f>'CurPol_industry_final_energ (2)'!M34</f>
        <v>6.1332230000000004E-5</v>
      </c>
      <c r="N5" s="62">
        <f>'CurPol_industry_final_energ (2)'!N34</f>
        <v>5.6623509999999998E-5</v>
      </c>
      <c r="O5" s="62">
        <f>'CurPol_industry_final_energ (2)'!O34</f>
        <v>5.2180260000000003E-5</v>
      </c>
      <c r="P5" s="62">
        <f>'CurPol_industry_final_energ (2)'!P34</f>
        <v>4.4556389999999998E-5</v>
      </c>
      <c r="Q5" s="62">
        <f>'CurPol_industry_final_energ (2)'!Q34</f>
        <v>3.336156E-5</v>
      </c>
      <c r="R5" s="93" t="s">
        <v>78</v>
      </c>
      <c r="V5" s="27" t="s">
        <v>38</v>
      </c>
      <c r="W5" s="62">
        <f>SUMIF($F$3:$F$12,$V$5,J3:J12)</f>
        <v>5.7060879999999994E-2</v>
      </c>
      <c r="X5" s="62">
        <f t="shared" ref="X5:AD5" si="2">SUMIF($F$3:$F$12,$V$5,K3:K12)</f>
        <v>5.23617155999999E-2</v>
      </c>
      <c r="Y5" s="62">
        <f t="shared" si="2"/>
        <v>4.9441528800000002E-2</v>
      </c>
      <c r="Z5" s="62">
        <f t="shared" si="2"/>
        <v>3.9061467699999998E-2</v>
      </c>
      <c r="AA5" s="62">
        <f t="shared" si="2"/>
        <v>2.7550704400000001E-2</v>
      </c>
      <c r="AB5" s="62">
        <f t="shared" si="2"/>
        <v>2.39948161E-2</v>
      </c>
      <c r="AC5" s="62">
        <f t="shared" si="2"/>
        <v>2.4138059899999998E-2</v>
      </c>
      <c r="AD5" s="62">
        <f t="shared" si="2"/>
        <v>2.9060238200000001E-2</v>
      </c>
      <c r="AH5" s="9"/>
      <c r="AI5" s="62" t="s">
        <v>606</v>
      </c>
      <c r="AJ5" s="62" t="s">
        <v>1</v>
      </c>
      <c r="AK5" s="62" t="s">
        <v>32</v>
      </c>
      <c r="AL5" s="62" t="s">
        <v>38</v>
      </c>
      <c r="AM5" s="62" t="s">
        <v>32</v>
      </c>
      <c r="AN5" s="62" t="s">
        <v>38</v>
      </c>
      <c r="AO5" s="62">
        <v>8.42</v>
      </c>
      <c r="AP5" s="62">
        <v>10.5</v>
      </c>
      <c r="AQ5" s="62">
        <v>12.4</v>
      </c>
      <c r="AR5" s="62">
        <v>10.6</v>
      </c>
      <c r="AS5" s="62">
        <v>9.7813300000000005</v>
      </c>
      <c r="AT5" s="62">
        <v>9.5446069999999992</v>
      </c>
      <c r="AU5" s="62">
        <v>7.8496360000000003</v>
      </c>
      <c r="AV5" s="62">
        <v>5.781644</v>
      </c>
      <c r="AW5" s="62">
        <v>5.1554120000000001</v>
      </c>
      <c r="AX5" s="62">
        <v>5.3534199999999998</v>
      </c>
      <c r="AY5" s="62">
        <v>6.6321409999999998</v>
      </c>
      <c r="AZ5" s="62" t="s">
        <v>636</v>
      </c>
      <c r="BA5" s="93"/>
    </row>
    <row r="6" spans="1:53">
      <c r="A6" s="62" t="str">
        <f>'CurPol_industry_final_energ (2)'!A35</f>
        <v>CurPol,date=2022-3-7T01:16:15-015:00</v>
      </c>
      <c r="B6" s="62" t="str">
        <f>'CurPol_industry_final_energ (2)'!B35</f>
        <v>South Korea</v>
      </c>
      <c r="C6" s="62" t="str">
        <f>'CurPol_industry_final_energ (2)'!C35</f>
        <v>iron and steel</v>
      </c>
      <c r="D6" s="62" t="str">
        <f>'CurPol_industry_final_energ (2)'!D35</f>
        <v>BLASTFUR</v>
      </c>
      <c r="E6" s="62" t="str">
        <f>'CurPol_industry_final_energ (2)'!E35</f>
        <v>wholesale gas</v>
      </c>
      <c r="F6" s="62" t="str">
        <f>'CurPol_industry_final_energ (2)'!F35</f>
        <v>BLASTFUR</v>
      </c>
      <c r="G6" s="62">
        <f>'CurPol_industry_final_energ (2)'!G35</f>
        <v>0</v>
      </c>
      <c r="H6" s="62">
        <f>'CurPol_industry_final_energ (2)'!H35</f>
        <v>6.6749999999999996E-5</v>
      </c>
      <c r="I6" s="62">
        <f>'CurPol_industry_final_energ (2)'!I35</f>
        <v>1.2957999999999999E-4</v>
      </c>
      <c r="J6" s="62">
        <f>'CurPol_industry_final_energ (2)'!J35</f>
        <v>2.0369999999999999E-4</v>
      </c>
      <c r="K6" s="62">
        <f>'CurPol_industry_final_energ (2)'!K35</f>
        <v>1.9324960000000001E-4</v>
      </c>
      <c r="L6" s="62">
        <f>'CurPol_industry_final_energ (2)'!L35</f>
        <v>2.068801E-4</v>
      </c>
      <c r="M6" s="62">
        <f>'CurPol_industry_final_energ (2)'!M35</f>
        <v>1.9815060000000001E-4</v>
      </c>
      <c r="N6" s="62">
        <f>'CurPol_industry_final_energ (2)'!N35</f>
        <v>1.8293716E-4</v>
      </c>
      <c r="O6" s="62">
        <f>'CurPol_industry_final_energ (2)'!O35</f>
        <v>1.6858239999999999E-4</v>
      </c>
      <c r="P6" s="62">
        <f>'CurPol_industry_final_energ (2)'!P35</f>
        <v>1.4395139999999999E-4</v>
      </c>
      <c r="Q6" s="62">
        <f>'CurPol_industry_final_energ (2)'!Q35</f>
        <v>1.077834E-4</v>
      </c>
      <c r="R6" s="93" t="s">
        <v>78</v>
      </c>
      <c r="V6" s="27"/>
      <c r="W6" s="4">
        <f>SUM(W3:W5)</f>
        <v>1.1172044700000001</v>
      </c>
      <c r="X6" s="4">
        <f t="shared" ref="X6:AD6" si="3">SUM(X3:X5)</f>
        <v>1.0606365585299995</v>
      </c>
      <c r="Y6" s="4">
        <f t="shared" si="3"/>
        <v>1.14805649717</v>
      </c>
      <c r="Z6" s="4">
        <f t="shared" si="3"/>
        <v>1.1239895265299991</v>
      </c>
      <c r="AA6" s="4">
        <f t="shared" si="3"/>
        <v>1.07361295047</v>
      </c>
      <c r="AB6" s="4">
        <f t="shared" si="3"/>
        <v>1.03445027276</v>
      </c>
      <c r="AC6" s="4">
        <f t="shared" si="3"/>
        <v>0.97279365168999998</v>
      </c>
      <c r="AD6" s="4">
        <f t="shared" si="3"/>
        <v>0.88991055915999995</v>
      </c>
      <c r="AH6" s="9"/>
      <c r="AO6" s="62">
        <f>SUM(AO3:AO5)</f>
        <v>39.340000000000003</v>
      </c>
      <c r="AP6" s="62">
        <f t="shared" ref="AP6:AY6" si="4">SUM(AP3:AP5)</f>
        <v>47.7</v>
      </c>
      <c r="AQ6" s="62">
        <f t="shared" si="4"/>
        <v>58.9</v>
      </c>
      <c r="AR6" s="62">
        <f t="shared" si="4"/>
        <v>69.7</v>
      </c>
      <c r="AS6" s="62">
        <f t="shared" si="4"/>
        <v>66.445709999999892</v>
      </c>
      <c r="AT6" s="62">
        <f t="shared" si="4"/>
        <v>74.238116999999903</v>
      </c>
      <c r="AU6" s="62">
        <f t="shared" si="4"/>
        <v>75.214940999999996</v>
      </c>
      <c r="AV6" s="62">
        <f t="shared" si="4"/>
        <v>74.1688299999999</v>
      </c>
      <c r="AW6" s="62">
        <f t="shared" si="4"/>
        <v>73.611871999999906</v>
      </c>
      <c r="AX6" s="62">
        <f t="shared" si="4"/>
        <v>73.059169999999895</v>
      </c>
      <c r="AY6" s="62">
        <f t="shared" si="4"/>
        <v>72.510311000000016</v>
      </c>
      <c r="AZ6" s="63"/>
      <c r="BA6" s="93"/>
    </row>
    <row r="7" spans="1:53">
      <c r="A7" s="62" t="str">
        <f>'CurPol_industry_final_energ (2)'!A36</f>
        <v>CurPol,date=2022-3-7T01:16:15-015:00</v>
      </c>
      <c r="B7" s="62" t="str">
        <f>'CurPol_industry_final_energ (2)'!B36</f>
        <v>South Korea</v>
      </c>
      <c r="C7" s="62" t="str">
        <f>'CurPol_industry_final_energ (2)'!C36</f>
        <v>iron and steel</v>
      </c>
      <c r="D7" s="62" t="str">
        <f>'CurPol_industry_final_energ (2)'!D36</f>
        <v>EAF with DRI</v>
      </c>
      <c r="E7" s="62" t="str">
        <f>'CurPol_industry_final_energ (2)'!E36</f>
        <v>delivered coal</v>
      </c>
      <c r="F7" s="62" t="str">
        <f>'CurPol_industry_final_energ (2)'!F36</f>
        <v>EAF with DRI</v>
      </c>
      <c r="G7" s="62">
        <f>'CurPol_industry_final_energ (2)'!G36</f>
        <v>1.2028799999999999E-2</v>
      </c>
      <c r="H7" s="62">
        <f>'CurPol_industry_final_energ (2)'!H36</f>
        <v>0</v>
      </c>
      <c r="I7" s="62">
        <f>'CurPol_industry_final_energ (2)'!I36</f>
        <v>0</v>
      </c>
      <c r="J7" s="62">
        <f>'CurPol_industry_final_energ (2)'!J36</f>
        <v>2.5251300000000001E-2</v>
      </c>
      <c r="K7" s="62">
        <f>'CurPol_industry_final_energ (2)'!K36</f>
        <v>2.44097299999999E-2</v>
      </c>
      <c r="L7" s="62">
        <f>'CurPol_industry_final_energ (2)'!L36</f>
        <v>2.9592719999999999E-2</v>
      </c>
      <c r="M7" s="62">
        <f>'CurPol_industry_final_energ (2)'!M36</f>
        <v>3.4226479999999997E-2</v>
      </c>
      <c r="N7" s="62">
        <f>'CurPol_industry_final_energ (2)'!N36</f>
        <v>3.9598949000000001E-2</v>
      </c>
      <c r="O7" s="62">
        <f>'CurPol_industry_final_energ (2)'!O36</f>
        <v>4.4860119999999899E-2</v>
      </c>
      <c r="P7" s="62">
        <f>'CurPol_industry_final_energ (2)'!P36</f>
        <v>5.3761000000000003E-2</v>
      </c>
      <c r="Q7" s="62">
        <f>'CurPol_industry_final_energ (2)'!Q36</f>
        <v>6.7360709999999893E-2</v>
      </c>
      <c r="R7" s="93" t="s">
        <v>78</v>
      </c>
      <c r="V7" s="27"/>
      <c r="AH7" s="9"/>
      <c r="AI7" s="62" t="s">
        <v>639</v>
      </c>
      <c r="AU7" s="63"/>
      <c r="AV7" s="63"/>
      <c r="AW7" s="63"/>
      <c r="AX7" s="63"/>
      <c r="AY7" s="63"/>
      <c r="AZ7" s="63"/>
      <c r="BA7" s="93"/>
    </row>
    <row r="8" spans="1:53">
      <c r="A8" s="62" t="str">
        <f>'CurPol_industry_final_energ (2)'!A37</f>
        <v>CurPol,date=2022-3-7T01:16:15-015:00</v>
      </c>
      <c r="B8" s="62" t="str">
        <f>'CurPol_industry_final_energ (2)'!B37</f>
        <v>South Korea</v>
      </c>
      <c r="C8" s="62" t="str">
        <f>'CurPol_industry_final_energ (2)'!C37</f>
        <v>iron and steel</v>
      </c>
      <c r="D8" s="62" t="str">
        <f>'CurPol_industry_final_energ (2)'!D37</f>
        <v>EAF with DRI</v>
      </c>
      <c r="E8" s="62" t="str">
        <f>'CurPol_industry_final_energ (2)'!E37</f>
        <v>elect_td_ind</v>
      </c>
      <c r="F8" s="62" t="str">
        <f>'CurPol_industry_final_energ (2)'!F37</f>
        <v>EAF with DRI</v>
      </c>
      <c r="G8" s="62">
        <f>'CurPol_industry_final_energ (2)'!G37</f>
        <v>1.1003300000000001E-2</v>
      </c>
      <c r="H8" s="62">
        <f>'CurPol_industry_final_energ (2)'!H37</f>
        <v>4.8056399999999999E-2</v>
      </c>
      <c r="I8" s="62">
        <f>'CurPol_industry_final_energ (2)'!I37</f>
        <v>5.3370800000000003E-2</v>
      </c>
      <c r="J8" s="62">
        <f>'CurPol_industry_final_energ (2)'!J37</f>
        <v>4.7853699999999999E-2</v>
      </c>
      <c r="K8" s="62">
        <f>'CurPol_industry_final_energ (2)'!K37</f>
        <v>4.6258719999999899E-2</v>
      </c>
      <c r="L8" s="62">
        <f>'CurPol_industry_final_energ (2)'!L37</f>
        <v>5.6080930000000001E-2</v>
      </c>
      <c r="M8" s="62">
        <f>'CurPol_industry_final_energ (2)'!M37</f>
        <v>6.4862630000000004E-2</v>
      </c>
      <c r="N8" s="62">
        <f>'CurPol_industry_final_energ (2)'!N37</f>
        <v>7.5043730000000003E-2</v>
      </c>
      <c r="O8" s="62">
        <f>'CurPol_industry_final_energ (2)'!O37</f>
        <v>8.5014430000000002E-2</v>
      </c>
      <c r="P8" s="62">
        <f>'CurPol_industry_final_energ (2)'!P37</f>
        <v>0.10188216999999999</v>
      </c>
      <c r="Q8" s="62">
        <f>'CurPol_industry_final_energ (2)'!Q37</f>
        <v>0.12765498</v>
      </c>
      <c r="R8" s="93" t="s">
        <v>78</v>
      </c>
      <c r="V8" s="27"/>
      <c r="AH8" s="9"/>
      <c r="AJ8" s="62">
        <f>AR2</f>
        <v>2015</v>
      </c>
      <c r="AK8" s="62">
        <f t="shared" ref="AK8:AP8" si="5">AS2</f>
        <v>2020</v>
      </c>
      <c r="AL8" s="62">
        <f t="shared" si="5"/>
        <v>2025</v>
      </c>
      <c r="AM8" s="62">
        <f t="shared" si="5"/>
        <v>2030</v>
      </c>
      <c r="AN8" s="62">
        <f t="shared" si="5"/>
        <v>2035</v>
      </c>
      <c r="AO8" s="62">
        <f t="shared" si="5"/>
        <v>2040</v>
      </c>
      <c r="AP8" s="62">
        <f t="shared" si="5"/>
        <v>2045</v>
      </c>
      <c r="AQ8" s="62">
        <f>AY2</f>
        <v>2050</v>
      </c>
      <c r="AU8" s="63"/>
      <c r="AV8" s="63"/>
      <c r="AW8" s="63"/>
      <c r="AX8" s="63"/>
      <c r="AY8" s="63"/>
      <c r="AZ8" s="63"/>
      <c r="BA8" s="93"/>
    </row>
    <row r="9" spans="1:53">
      <c r="A9" s="62" t="str">
        <f>'CurPol_industry_final_energ (2)'!A38</f>
        <v>CurPol,date=2022-3-7T01:16:15-015:00</v>
      </c>
      <c r="B9" s="62" t="str">
        <f>'CurPol_industry_final_energ (2)'!B38</f>
        <v>South Korea</v>
      </c>
      <c r="C9" s="62" t="str">
        <f>'CurPol_industry_final_energ (2)'!C38</f>
        <v>iron and steel</v>
      </c>
      <c r="D9" s="62" t="str">
        <f>'CurPol_industry_final_energ (2)'!D38</f>
        <v>EAF with DRI</v>
      </c>
      <c r="E9" s="62" t="str">
        <f>'CurPol_industry_final_energ (2)'!E38</f>
        <v>refined liquids industrial</v>
      </c>
      <c r="F9" s="62" t="str">
        <f>'CurPol_industry_final_energ (2)'!F38</f>
        <v>EAF with DRI</v>
      </c>
      <c r="G9" s="62">
        <f>'CurPol_industry_final_energ (2)'!G38</f>
        <v>3.1203700000000001E-2</v>
      </c>
      <c r="H9" s="62">
        <f>'CurPol_industry_final_energ (2)'!H38</f>
        <v>1.9871199999999999E-2</v>
      </c>
      <c r="I9" s="62">
        <f>'CurPol_industry_final_energ (2)'!I38</f>
        <v>9.5727999999999994E-3</v>
      </c>
      <c r="J9" s="62">
        <f>'CurPol_industry_final_energ (2)'!J38</f>
        <v>3.3750400000000002E-3</v>
      </c>
      <c r="K9" s="62">
        <f>'CurPol_industry_final_energ (2)'!K38</f>
        <v>3.2625479999999901E-3</v>
      </c>
      <c r="L9" s="62">
        <f>'CurPol_industry_final_energ (2)'!L38</f>
        <v>3.9553039999999998E-3</v>
      </c>
      <c r="M9" s="62">
        <f>'CurPol_industry_final_energ (2)'!M38</f>
        <v>4.5746459999999999E-3</v>
      </c>
      <c r="N9" s="62">
        <f>'CurPol_industry_final_energ (2)'!N38</f>
        <v>5.29271639999999E-3</v>
      </c>
      <c r="O9" s="62">
        <f>'CurPol_industry_final_energ (2)'!O38</f>
        <v>5.9959139999999998E-3</v>
      </c>
      <c r="P9" s="62">
        <f>'CurPol_industry_final_energ (2)'!P38</f>
        <v>7.1855740000000001E-3</v>
      </c>
      <c r="Q9" s="62">
        <f>'CurPol_industry_final_energ (2)'!Q38</f>
        <v>9.0032859999999992E-3</v>
      </c>
      <c r="R9" s="93" t="s">
        <v>78</v>
      </c>
      <c r="V9" s="27"/>
      <c r="AH9" s="9"/>
      <c r="AI9" s="62" t="s">
        <v>33</v>
      </c>
      <c r="AJ9" s="62">
        <f t="shared" ref="AJ9:AJ11" si="6">AR3</f>
        <v>48.5</v>
      </c>
      <c r="AK9" s="62">
        <f t="shared" ref="AK9:AK11" si="7">AS3</f>
        <v>46.336269999999999</v>
      </c>
      <c r="AL9" s="62">
        <f t="shared" ref="AL9:AL11" si="8">AT3</f>
        <v>51.594719999999903</v>
      </c>
      <c r="AM9" s="62">
        <f t="shared" ref="AM9:AM11" si="9">AU3</f>
        <v>51.547269999999997</v>
      </c>
      <c r="AN9" s="62">
        <f t="shared" ref="AN9:AN11" si="10">AV3</f>
        <v>49.443460000000002</v>
      </c>
      <c r="AO9" s="62">
        <f t="shared" ref="AO9:AO11" si="11">AW3</f>
        <v>46.515990000000002</v>
      </c>
      <c r="AP9" s="62">
        <f t="shared" ref="AP9:AQ11" si="12">AX3</f>
        <v>40.699269999999999</v>
      </c>
      <c r="AQ9" s="62">
        <f t="shared" si="12"/>
        <v>31.140630000000002</v>
      </c>
      <c r="AU9" s="63"/>
      <c r="AV9" s="63"/>
      <c r="AW9" s="63"/>
      <c r="AX9" s="63"/>
      <c r="AY9" s="63"/>
      <c r="AZ9" s="63"/>
      <c r="BA9" s="93"/>
    </row>
    <row r="10" spans="1:53">
      <c r="A10" s="62" t="str">
        <f>'CurPol_industry_final_energ (2)'!A39</f>
        <v>CurPol,date=2022-3-7T01:16:15-015:00</v>
      </c>
      <c r="B10" s="62" t="str">
        <f>'CurPol_industry_final_energ (2)'!B39</f>
        <v>South Korea</v>
      </c>
      <c r="C10" s="62" t="str">
        <f>'CurPol_industry_final_energ (2)'!C39</f>
        <v>iron and steel</v>
      </c>
      <c r="D10" s="62" t="str">
        <f>'CurPol_industry_final_energ (2)'!D39</f>
        <v>EAF with DRI</v>
      </c>
      <c r="E10" s="62" t="str">
        <f>'CurPol_industry_final_energ (2)'!E39</f>
        <v>wholesale gas</v>
      </c>
      <c r="F10" s="62" t="str">
        <f>'CurPol_industry_final_energ (2)'!F39</f>
        <v>EAF with DRI</v>
      </c>
      <c r="G10" s="62">
        <f>'CurPol_industry_final_energ (2)'!G39</f>
        <v>0</v>
      </c>
      <c r="H10" s="62">
        <f>'CurPol_industry_final_energ (2)'!H39</f>
        <v>3.8401600000000001E-2</v>
      </c>
      <c r="I10" s="62">
        <f>'CurPol_industry_final_energ (2)'!I39</f>
        <v>6.6848400000000002E-2</v>
      </c>
      <c r="J10" s="62">
        <f>'CurPol_industry_final_energ (2)'!J39</f>
        <v>6.3758999999999996E-2</v>
      </c>
      <c r="K10" s="62">
        <f>'CurPol_industry_final_energ (2)'!K39</f>
        <v>6.1633979999999998E-2</v>
      </c>
      <c r="L10" s="62">
        <f>'CurPol_industry_final_energ (2)'!L39</f>
        <v>7.4720829999999905E-2</v>
      </c>
      <c r="M10" s="62">
        <f>'CurPol_industry_final_energ (2)'!M39</f>
        <v>8.6421139999999994E-2</v>
      </c>
      <c r="N10" s="62">
        <f>'CurPol_industry_final_energ (2)'!N39</f>
        <v>9.9986379999999903E-2</v>
      </c>
      <c r="O10" s="62">
        <f>'CurPol_industry_final_energ (2)'!O39</f>
        <v>0.11327094</v>
      </c>
      <c r="P10" s="62">
        <f>'CurPol_industry_final_energ (2)'!P39</f>
        <v>0.13574522</v>
      </c>
      <c r="Q10" s="62">
        <f>'CurPol_industry_final_energ (2)'!Q39</f>
        <v>0.17008421000000001</v>
      </c>
      <c r="R10" s="93" t="s">
        <v>78</v>
      </c>
      <c r="V10" s="27"/>
      <c r="AH10" s="9"/>
      <c r="AI10" s="62" t="s">
        <v>36</v>
      </c>
      <c r="AJ10" s="62">
        <f t="shared" si="6"/>
        <v>10.6</v>
      </c>
      <c r="AK10" s="62">
        <f t="shared" si="7"/>
        <v>10.328109999999899</v>
      </c>
      <c r="AL10" s="62">
        <f t="shared" si="8"/>
        <v>13.098789999999999</v>
      </c>
      <c r="AM10" s="62">
        <f t="shared" si="9"/>
        <v>15.818035</v>
      </c>
      <c r="AN10" s="62">
        <f t="shared" si="10"/>
        <v>18.943725999999899</v>
      </c>
      <c r="AO10" s="62">
        <f t="shared" si="11"/>
        <v>21.940469999999902</v>
      </c>
      <c r="AP10" s="62">
        <f t="shared" si="12"/>
        <v>27.0064799999999</v>
      </c>
      <c r="AQ10" s="62">
        <f t="shared" ref="AQ10:AQ11" si="13">AY4</f>
        <v>34.737540000000003</v>
      </c>
      <c r="AR10" s="63"/>
      <c r="AS10" s="63"/>
      <c r="AT10" s="63"/>
      <c r="AU10" s="63"/>
      <c r="AV10" s="63"/>
      <c r="AW10" s="63"/>
      <c r="AX10" s="63"/>
      <c r="AY10" s="63"/>
      <c r="AZ10" s="63"/>
      <c r="BA10" s="93"/>
    </row>
    <row r="11" spans="1:53">
      <c r="A11" s="62" t="str">
        <f>'CurPol_industry_final_energ (2)'!A40</f>
        <v>CurPol,date=2022-3-7T01:16:15-015:00</v>
      </c>
      <c r="B11" s="62" t="str">
        <f>'CurPol_industry_final_energ (2)'!B40</f>
        <v>South Korea</v>
      </c>
      <c r="C11" s="62" t="str">
        <f>'CurPol_industry_final_energ (2)'!C40</f>
        <v>iron and steel</v>
      </c>
      <c r="D11" s="62" t="str">
        <f>'CurPol_industry_final_energ (2)'!D40</f>
        <v>EAF with scrap</v>
      </c>
      <c r="E11" s="62" t="str">
        <f>'CurPol_industry_final_energ (2)'!E40</f>
        <v>elect_td_ind</v>
      </c>
      <c r="F11" s="62" t="str">
        <f>'CurPol_industry_final_energ (2)'!F40</f>
        <v>EAF with scrap</v>
      </c>
      <c r="G11" s="62">
        <f>'CurPol_industry_final_energ (2)'!G40</f>
        <v>1.29474E-2</v>
      </c>
      <c r="H11" s="62">
        <f>'CurPol_industry_final_energ (2)'!H40</f>
        <v>5.65499E-2</v>
      </c>
      <c r="I11" s="62">
        <f>'CurPol_industry_final_energ (2)'!I40</f>
        <v>6.2802300000000005E-2</v>
      </c>
      <c r="J11" s="62">
        <f>'CurPol_industry_final_energ (2)'!J40</f>
        <v>5.6310399999999997E-2</v>
      </c>
      <c r="K11" s="62">
        <f>'CurPol_industry_final_energ (2)'!K40</f>
        <v>5.1673039999999899E-2</v>
      </c>
      <c r="L11" s="62">
        <f>'CurPol_industry_final_energ (2)'!L40</f>
        <v>4.8791260000000003E-2</v>
      </c>
      <c r="M11" s="62">
        <f>'CurPol_industry_final_energ (2)'!M40</f>
        <v>3.8547720000000001E-2</v>
      </c>
      <c r="N11" s="62">
        <f>'CurPol_industry_final_energ (2)'!N40</f>
        <v>2.718835E-2</v>
      </c>
      <c r="O11" s="62">
        <f>'CurPol_industry_final_energ (2)'!O40</f>
        <v>2.3679229999999999E-2</v>
      </c>
      <c r="P11" s="62">
        <f>'CurPol_industry_final_energ (2)'!P40</f>
        <v>2.3820589999999999E-2</v>
      </c>
      <c r="Q11" s="62">
        <f>'CurPol_industry_final_energ (2)'!Q40</f>
        <v>2.867803E-2</v>
      </c>
      <c r="R11" s="93" t="s">
        <v>78</v>
      </c>
      <c r="V11" s="27"/>
      <c r="AH11" s="9"/>
      <c r="AI11" s="62" t="s">
        <v>38</v>
      </c>
      <c r="AJ11" s="62">
        <f t="shared" si="6"/>
        <v>10.6</v>
      </c>
      <c r="AK11" s="62">
        <f t="shared" si="7"/>
        <v>9.7813300000000005</v>
      </c>
      <c r="AL11" s="62">
        <f t="shared" si="8"/>
        <v>9.5446069999999992</v>
      </c>
      <c r="AM11" s="62">
        <f t="shared" si="9"/>
        <v>7.8496360000000003</v>
      </c>
      <c r="AN11" s="62">
        <f t="shared" si="10"/>
        <v>5.781644</v>
      </c>
      <c r="AO11" s="62">
        <f t="shared" si="11"/>
        <v>5.1554120000000001</v>
      </c>
      <c r="AP11" s="62">
        <f t="shared" si="12"/>
        <v>5.3534199999999998</v>
      </c>
      <c r="AQ11" s="62">
        <f t="shared" si="13"/>
        <v>6.6321409999999998</v>
      </c>
      <c r="AU11" s="63"/>
      <c r="AV11" s="63"/>
      <c r="AW11" s="63"/>
      <c r="AX11" s="63"/>
      <c r="AY11" s="63"/>
      <c r="AZ11" s="63"/>
      <c r="BA11" s="93"/>
    </row>
    <row r="12" spans="1:53">
      <c r="A12" s="62" t="str">
        <f>'CurPol_industry_final_energ (2)'!A41</f>
        <v>CurPol,date=2022-3-7T01:16:15-015:00</v>
      </c>
      <c r="B12" s="62" t="str">
        <f>'CurPol_industry_final_energ (2)'!B41</f>
        <v>South Korea</v>
      </c>
      <c r="C12" s="62" t="str">
        <f>'CurPol_industry_final_energ (2)'!C41</f>
        <v>iron and steel</v>
      </c>
      <c r="D12" s="62" t="str">
        <f>'CurPol_industry_final_energ (2)'!D41</f>
        <v>EAF with scrap</v>
      </c>
      <c r="E12" s="62" t="str">
        <f>'CurPol_industry_final_energ (2)'!E41</f>
        <v>refined liquids industrial</v>
      </c>
      <c r="F12" s="62" t="str">
        <f>'CurPol_industry_final_energ (2)'!F41</f>
        <v>EAF with scrap</v>
      </c>
      <c r="G12" s="62">
        <f>'CurPol_industry_final_energ (2)'!G41</f>
        <v>6.9363999999999997E-3</v>
      </c>
      <c r="H12" s="62">
        <f>'CurPol_industry_final_energ (2)'!H41</f>
        <v>4.4173499999999996E-3</v>
      </c>
      <c r="I12" s="62">
        <f>'CurPol_industry_final_energ (2)'!I41</f>
        <v>2.1278400000000002E-3</v>
      </c>
      <c r="J12" s="62">
        <f>'CurPol_industry_final_energ (2)'!J41</f>
        <v>7.5047999999999998E-4</v>
      </c>
      <c r="K12" s="62">
        <f>'CurPol_industry_final_energ (2)'!K41</f>
        <v>6.8867559999999904E-4</v>
      </c>
      <c r="L12" s="62">
        <f>'CurPol_industry_final_energ (2)'!L41</f>
        <v>6.5026880000000002E-4</v>
      </c>
      <c r="M12" s="62">
        <f>'CurPol_industry_final_energ (2)'!M41</f>
        <v>5.1374769999999997E-4</v>
      </c>
      <c r="N12" s="62">
        <f>'CurPol_industry_final_energ (2)'!N41</f>
        <v>3.6235439999999998E-4</v>
      </c>
      <c r="O12" s="62">
        <f>'CurPol_industry_final_energ (2)'!O41</f>
        <v>3.155861E-4</v>
      </c>
      <c r="P12" s="62">
        <f>'CurPol_industry_final_energ (2)'!P41</f>
        <v>3.174699E-4</v>
      </c>
      <c r="Q12" s="62">
        <f>'CurPol_industry_final_energ (2)'!Q41</f>
        <v>3.822082E-4</v>
      </c>
      <c r="R12" s="93" t="s">
        <v>78</v>
      </c>
      <c r="V12" s="27"/>
      <c r="W12" s="63"/>
      <c r="X12" s="63"/>
      <c r="Y12" s="63"/>
      <c r="Z12" s="63"/>
      <c r="AA12" s="63"/>
      <c r="AB12" s="63"/>
      <c r="AC12" s="63"/>
      <c r="AD12" s="63"/>
      <c r="AH12" s="9"/>
      <c r="AU12" s="63"/>
      <c r="AV12" s="63"/>
      <c r="AW12" s="63"/>
      <c r="AX12" s="63"/>
      <c r="AY12" s="63"/>
      <c r="AZ12" s="63"/>
      <c r="BA12" s="93"/>
    </row>
    <row r="13" spans="1:53">
      <c r="H13" s="63"/>
      <c r="I13" s="63"/>
      <c r="J13" s="4">
        <f>SUM(J3:J12)</f>
        <v>1.1172044699999999</v>
      </c>
      <c r="K13" s="4">
        <f>SUM(K3:K12)</f>
        <v>1.0606365585299995</v>
      </c>
      <c r="L13" s="63"/>
      <c r="M13" s="63"/>
      <c r="N13" s="63"/>
      <c r="O13" s="63"/>
      <c r="P13" s="63"/>
      <c r="Q13" s="63"/>
      <c r="R13" s="93"/>
      <c r="AH13" s="9"/>
      <c r="AQ13" s="63"/>
      <c r="AR13" s="63"/>
      <c r="AS13" s="63"/>
      <c r="AT13" s="63"/>
      <c r="AU13" s="63"/>
      <c r="AV13" s="63"/>
      <c r="AW13" s="63"/>
      <c r="AX13" s="63"/>
      <c r="AY13" s="63"/>
      <c r="AZ13" s="63"/>
      <c r="BA13" s="93"/>
    </row>
    <row r="14" spans="1:53">
      <c r="K14" s="63"/>
      <c r="L14" s="63"/>
      <c r="M14" s="63"/>
      <c r="N14" s="63"/>
      <c r="O14" s="63"/>
      <c r="P14" s="63"/>
      <c r="Q14" s="63"/>
      <c r="R14" s="93"/>
      <c r="AH14" s="9"/>
      <c r="AU14" s="63"/>
      <c r="AV14" s="63"/>
      <c r="AW14" s="63"/>
      <c r="AX14" s="63"/>
      <c r="AY14" s="63"/>
      <c r="AZ14" s="63"/>
      <c r="BA14" s="93"/>
    </row>
    <row r="15" spans="1:53">
      <c r="K15" s="63"/>
      <c r="L15" s="63"/>
      <c r="M15" s="63"/>
      <c r="N15" s="63"/>
      <c r="O15" s="63"/>
      <c r="P15" s="63"/>
      <c r="Q15" s="63"/>
      <c r="R15" s="93"/>
      <c r="AH15" s="9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93"/>
    </row>
    <row r="16" spans="1:53">
      <c r="R16" s="93"/>
      <c r="AH16" s="9"/>
      <c r="AU16" s="63"/>
      <c r="AV16" s="63"/>
      <c r="AW16" s="63"/>
      <c r="AX16" s="63"/>
      <c r="AY16" s="63"/>
      <c r="AZ16" s="63"/>
      <c r="BA16" s="93"/>
    </row>
    <row r="17" spans="1:53">
      <c r="R17" s="93"/>
      <c r="AH17" s="9"/>
      <c r="AU17" s="63"/>
      <c r="AV17" s="63"/>
      <c r="AW17" s="63"/>
      <c r="AX17" s="63"/>
      <c r="AY17" s="63"/>
      <c r="AZ17" s="63"/>
      <c r="BA17" s="93"/>
    </row>
    <row r="18" spans="1:53">
      <c r="R18" s="93"/>
      <c r="AH18" s="9"/>
      <c r="AU18" s="63"/>
      <c r="BA18" s="93"/>
    </row>
    <row r="19" spans="1:53">
      <c r="J19" s="63"/>
      <c r="K19" s="63"/>
      <c r="L19" s="63"/>
      <c r="M19" s="63"/>
      <c r="N19" s="63"/>
      <c r="O19" s="63"/>
      <c r="P19" s="63"/>
      <c r="R19" s="93"/>
      <c r="AH19" s="9"/>
      <c r="AU19" s="63"/>
      <c r="AV19" s="63"/>
      <c r="AW19" s="63"/>
      <c r="BA19" s="93"/>
    </row>
    <row r="20" spans="1:53">
      <c r="R20" s="93"/>
      <c r="AH20" s="9"/>
      <c r="AS20" s="63"/>
      <c r="AT20" s="63"/>
      <c r="AU20" s="63"/>
      <c r="AV20" s="63"/>
      <c r="AW20" s="63"/>
      <c r="AX20" s="63"/>
      <c r="AY20" s="63"/>
      <c r="AZ20" s="63"/>
      <c r="BA20" s="93"/>
    </row>
    <row r="21" spans="1:53">
      <c r="R21" s="93"/>
      <c r="AH21" s="9"/>
      <c r="BA21" s="93"/>
    </row>
    <row r="22" spans="1:53">
      <c r="R22" s="93"/>
      <c r="AH22" s="9"/>
      <c r="AT22" s="63"/>
      <c r="AU22" s="63"/>
      <c r="AV22" s="63"/>
      <c r="AW22" s="63"/>
      <c r="AX22" s="63"/>
      <c r="AY22" s="63"/>
      <c r="AZ22" s="63"/>
      <c r="BA22" s="93"/>
    </row>
    <row r="23" spans="1:53">
      <c r="J23" s="63"/>
      <c r="K23" s="63"/>
      <c r="L23" s="63"/>
      <c r="M23" s="63"/>
      <c r="R23" s="93"/>
      <c r="AH23" s="9"/>
      <c r="AU23" s="63"/>
      <c r="AV23" s="63"/>
      <c r="AW23" s="63"/>
      <c r="AX23" s="63"/>
      <c r="BA23" s="93"/>
    </row>
    <row r="24" spans="1:53">
      <c r="AH24" s="9"/>
    </row>
    <row r="25" spans="1:53">
      <c r="A25" s="1" t="s">
        <v>55</v>
      </c>
      <c r="T25" s="1"/>
      <c r="AH25" s="9"/>
    </row>
    <row r="26" spans="1:53">
      <c r="A26" s="62" t="s">
        <v>8</v>
      </c>
      <c r="B26" s="62" t="s">
        <v>9</v>
      </c>
      <c r="G26" s="7">
        <v>2015</v>
      </c>
      <c r="H26" s="62">
        <v>2020</v>
      </c>
      <c r="I26" s="62">
        <v>2025</v>
      </c>
      <c r="J26" s="62">
        <v>2030</v>
      </c>
      <c r="K26" s="62">
        <v>2035</v>
      </c>
      <c r="L26" s="62">
        <v>2040</v>
      </c>
      <c r="M26" s="62">
        <v>2045</v>
      </c>
      <c r="N26" s="62">
        <v>2050</v>
      </c>
      <c r="AH26" s="9"/>
    </row>
    <row r="27" spans="1:53">
      <c r="A27" s="62" t="s">
        <v>0</v>
      </c>
      <c r="B27" s="62" t="s">
        <v>2</v>
      </c>
      <c r="E27" s="62" t="s">
        <v>2</v>
      </c>
      <c r="F27" s="62" t="s">
        <v>12</v>
      </c>
      <c r="G27" s="9">
        <f>SUMIF($E$3:$E$23,$E27,J$3:J$23)</f>
        <v>0</v>
      </c>
      <c r="H27" s="62">
        <f t="shared" ref="G27:N36" si="14">SUMIF($E$3:$E$23,$E27,K$3:K$23)</f>
        <v>0</v>
      </c>
      <c r="I27" s="62">
        <f t="shared" si="14"/>
        <v>0</v>
      </c>
      <c r="J27" s="62">
        <f t="shared" si="14"/>
        <v>0</v>
      </c>
      <c r="K27" s="62">
        <f t="shared" si="14"/>
        <v>0</v>
      </c>
      <c r="L27" s="62">
        <f t="shared" si="14"/>
        <v>0</v>
      </c>
      <c r="M27" s="62">
        <f t="shared" si="14"/>
        <v>0</v>
      </c>
      <c r="N27" s="62">
        <f t="shared" si="14"/>
        <v>0</v>
      </c>
      <c r="AH27" s="9"/>
      <c r="AS27" s="63"/>
      <c r="AT27" s="63"/>
      <c r="AU27" s="63"/>
      <c r="AV27" s="63"/>
      <c r="AW27" s="63"/>
      <c r="AX27" s="63"/>
      <c r="AY27" s="63"/>
      <c r="AZ27" s="63"/>
    </row>
    <row r="28" spans="1:53">
      <c r="A28" s="62" t="s">
        <v>0</v>
      </c>
      <c r="B28" s="62" t="s">
        <v>5</v>
      </c>
      <c r="E28" s="62" t="s">
        <v>5</v>
      </c>
      <c r="F28" s="62" t="s">
        <v>17</v>
      </c>
      <c r="G28" s="9">
        <f>SUMIF($E$3:$E$23,$E28,J$3:J$23)</f>
        <v>0.19544590000000001</v>
      </c>
      <c r="H28" s="62">
        <f t="shared" si="14"/>
        <v>0.18453055999999979</v>
      </c>
      <c r="I28" s="62">
        <f t="shared" si="14"/>
        <v>0.19757906</v>
      </c>
      <c r="J28" s="62">
        <f t="shared" si="14"/>
        <v>0.19220533000000001</v>
      </c>
      <c r="K28" s="62">
        <f t="shared" si="14"/>
        <v>0.18420979000000001</v>
      </c>
      <c r="L28" s="62">
        <f t="shared" si="14"/>
        <v>0.18423875000000001</v>
      </c>
      <c r="M28" s="62">
        <f t="shared" si="14"/>
        <v>0.19021017999999998</v>
      </c>
      <c r="N28" s="62">
        <f t="shared" si="14"/>
        <v>0.20463289999999998</v>
      </c>
      <c r="AH28" s="9"/>
      <c r="AS28" s="4"/>
      <c r="AT28" s="4"/>
      <c r="AZ28" s="100"/>
    </row>
    <row r="29" spans="1:53">
      <c r="A29" s="62" t="s">
        <v>0</v>
      </c>
      <c r="B29" s="62" t="s">
        <v>3</v>
      </c>
      <c r="E29" s="62" t="s">
        <v>3</v>
      </c>
      <c r="F29" s="62" t="s">
        <v>13</v>
      </c>
      <c r="G29" s="9">
        <f t="shared" si="14"/>
        <v>0</v>
      </c>
      <c r="H29" s="62">
        <f t="shared" si="14"/>
        <v>0</v>
      </c>
      <c r="I29" s="62">
        <f t="shared" si="14"/>
        <v>0</v>
      </c>
      <c r="J29" s="62">
        <f t="shared" si="14"/>
        <v>0</v>
      </c>
      <c r="K29" s="62">
        <f t="shared" si="14"/>
        <v>0</v>
      </c>
      <c r="L29" s="62">
        <f t="shared" si="14"/>
        <v>0</v>
      </c>
      <c r="M29" s="62">
        <f t="shared" si="14"/>
        <v>0</v>
      </c>
      <c r="N29" s="62">
        <f t="shared" si="14"/>
        <v>0</v>
      </c>
      <c r="AH29" s="9"/>
    </row>
    <row r="30" spans="1:53">
      <c r="F30" s="62" t="s">
        <v>114</v>
      </c>
      <c r="G30" s="9"/>
      <c r="AH30" s="9"/>
      <c r="AI30" s="62" t="s">
        <v>33</v>
      </c>
      <c r="AJ30" s="62" t="s">
        <v>36</v>
      </c>
      <c r="AK30" s="62" t="s">
        <v>38</v>
      </c>
    </row>
    <row r="31" spans="1:53">
      <c r="A31" s="62" t="s">
        <v>0</v>
      </c>
      <c r="B31" s="62" t="s">
        <v>7</v>
      </c>
      <c r="E31" s="62" t="s">
        <v>7</v>
      </c>
      <c r="F31" s="62" t="s">
        <v>15</v>
      </c>
      <c r="G31" s="9">
        <f>SUMIF($E$3:$E$23,$E31,J$3:J$23)</f>
        <v>6.3962699999999997E-2</v>
      </c>
      <c r="H31" s="62">
        <f t="shared" si="14"/>
        <v>6.1827229599999999E-2</v>
      </c>
      <c r="I31" s="62">
        <f t="shared" si="14"/>
        <v>7.4927710099999906E-2</v>
      </c>
      <c r="J31" s="62">
        <f t="shared" si="14"/>
        <v>8.6619290599999996E-2</v>
      </c>
      <c r="K31" s="62">
        <f t="shared" si="14"/>
        <v>0.1001693171599999</v>
      </c>
      <c r="L31" s="62">
        <f t="shared" si="14"/>
        <v>0.11343952240000001</v>
      </c>
      <c r="M31" s="62">
        <f t="shared" si="14"/>
        <v>0.13588917140000001</v>
      </c>
      <c r="N31" s="62">
        <f t="shared" si="14"/>
        <v>0.17019199340000002</v>
      </c>
      <c r="AH31" s="9"/>
      <c r="AI31" s="62">
        <v>10.6</v>
      </c>
      <c r="AJ31" s="62">
        <v>9.7813300000000005</v>
      </c>
      <c r="AK31" s="62">
        <v>9.5446069999999992</v>
      </c>
      <c r="AL31" s="62">
        <v>7.8496360000000003</v>
      </c>
      <c r="AM31" s="62">
        <v>5.781644</v>
      </c>
      <c r="AN31" s="62">
        <v>5.1554120000000001</v>
      </c>
      <c r="AO31" s="62">
        <v>5.3534199999999998</v>
      </c>
      <c r="AP31" s="62">
        <v>6.6321409999999998</v>
      </c>
      <c r="AS31" s="63"/>
      <c r="AT31" s="63"/>
      <c r="AU31" s="63"/>
    </row>
    <row r="32" spans="1:53">
      <c r="F32" s="62" t="s">
        <v>115</v>
      </c>
      <c r="G32" s="9"/>
      <c r="AH32" s="9"/>
      <c r="AI32" s="27">
        <v>48.5</v>
      </c>
      <c r="AJ32" s="27">
        <v>10.6</v>
      </c>
      <c r="AK32" s="27">
        <v>10.6</v>
      </c>
    </row>
    <row r="33" spans="1:55">
      <c r="A33" s="62" t="s">
        <v>0</v>
      </c>
      <c r="B33" s="62" t="s">
        <v>4</v>
      </c>
      <c r="E33" s="62" t="s">
        <v>4</v>
      </c>
      <c r="F33" s="62" t="s">
        <v>14</v>
      </c>
      <c r="G33" s="9">
        <f>SUMIF($E$3:$E$23,$E33,J$3:J$23)</f>
        <v>0.85360729999999996</v>
      </c>
      <c r="H33" s="62">
        <f t="shared" si="14"/>
        <v>0.81026772999999985</v>
      </c>
      <c r="I33" s="62">
        <f t="shared" si="14"/>
        <v>0.87088012000000004</v>
      </c>
      <c r="J33" s="62">
        <f t="shared" si="14"/>
        <v>0.84001517999999897</v>
      </c>
      <c r="K33" s="62">
        <f t="shared" si="14"/>
        <v>0.78352214900000006</v>
      </c>
      <c r="L33" s="62">
        <f t="shared" si="14"/>
        <v>0.73040832</v>
      </c>
      <c r="M33" s="62">
        <f t="shared" si="14"/>
        <v>0.63914669999999996</v>
      </c>
      <c r="N33" s="62">
        <f t="shared" si="14"/>
        <v>0.50566680999999991</v>
      </c>
      <c r="AH33" s="9"/>
      <c r="AI33" s="27">
        <v>46.336269999999999</v>
      </c>
      <c r="AJ33" s="27">
        <v>10.328109999999899</v>
      </c>
      <c r="AK33" s="27">
        <v>9.7813300000000005</v>
      </c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</row>
    <row r="34" spans="1:55">
      <c r="A34" s="62" t="s">
        <v>26</v>
      </c>
      <c r="F34" s="62" t="s">
        <v>30</v>
      </c>
      <c r="G34" s="9">
        <f t="shared" si="14"/>
        <v>0</v>
      </c>
      <c r="H34" s="62">
        <f t="shared" si="14"/>
        <v>0</v>
      </c>
      <c r="I34" s="62">
        <f t="shared" si="14"/>
        <v>0</v>
      </c>
      <c r="J34" s="62">
        <f t="shared" si="14"/>
        <v>0</v>
      </c>
      <c r="K34" s="62">
        <f t="shared" si="14"/>
        <v>0</v>
      </c>
      <c r="L34" s="62">
        <f t="shared" si="14"/>
        <v>0</v>
      </c>
      <c r="M34" s="62">
        <f t="shared" si="14"/>
        <v>0</v>
      </c>
      <c r="N34" s="62">
        <f t="shared" si="14"/>
        <v>0</v>
      </c>
      <c r="AH34" s="9"/>
      <c r="AI34" s="27">
        <v>51.594719999999903</v>
      </c>
      <c r="AJ34" s="27">
        <v>13.098789999999999</v>
      </c>
      <c r="AK34" s="27">
        <v>9.5446069999999992</v>
      </c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</row>
    <row r="35" spans="1:55">
      <c r="A35" s="62" t="s">
        <v>27</v>
      </c>
      <c r="B35" s="62" t="s">
        <v>6</v>
      </c>
      <c r="E35" s="62" t="s">
        <v>6</v>
      </c>
      <c r="F35" s="62" t="s">
        <v>16</v>
      </c>
      <c r="G35" s="9">
        <f t="shared" si="14"/>
        <v>4.18857E-3</v>
      </c>
      <c r="H35" s="62">
        <f t="shared" si="14"/>
        <v>4.0110389299999891E-3</v>
      </c>
      <c r="I35" s="62">
        <f t="shared" si="14"/>
        <v>4.6696070699999998E-3</v>
      </c>
      <c r="J35" s="62">
        <f t="shared" si="14"/>
        <v>5.1497259299999997E-3</v>
      </c>
      <c r="K35" s="62">
        <f t="shared" si="14"/>
        <v>5.7116943099999899E-3</v>
      </c>
      <c r="L35" s="62">
        <f t="shared" si="14"/>
        <v>6.3636803599999995E-3</v>
      </c>
      <c r="M35" s="62">
        <f t="shared" si="14"/>
        <v>7.5476002899999995E-3</v>
      </c>
      <c r="N35" s="62">
        <f t="shared" si="14"/>
        <v>9.418855759999999E-3</v>
      </c>
      <c r="AH35" s="9"/>
      <c r="AI35" s="27">
        <v>51.547269999999997</v>
      </c>
      <c r="AJ35" s="27">
        <v>15.818035</v>
      </c>
      <c r="AK35" s="27">
        <v>7.8496360000000003</v>
      </c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</row>
    <row r="36" spans="1:55">
      <c r="A36" s="62" t="s">
        <v>28</v>
      </c>
      <c r="F36" s="62" t="s">
        <v>31</v>
      </c>
      <c r="G36" s="10">
        <f t="shared" si="14"/>
        <v>0</v>
      </c>
      <c r="H36" s="62">
        <f t="shared" si="14"/>
        <v>0</v>
      </c>
      <c r="I36" s="62">
        <f t="shared" si="14"/>
        <v>0</v>
      </c>
      <c r="J36" s="62">
        <f t="shared" si="14"/>
        <v>0</v>
      </c>
      <c r="K36" s="62">
        <f t="shared" si="14"/>
        <v>0</v>
      </c>
      <c r="L36" s="62">
        <f t="shared" si="14"/>
        <v>0</v>
      </c>
      <c r="M36" s="62">
        <f t="shared" si="14"/>
        <v>0</v>
      </c>
      <c r="N36" s="62">
        <f t="shared" si="14"/>
        <v>0</v>
      </c>
      <c r="AH36" s="9"/>
      <c r="AI36" s="27">
        <v>49.443460000000002</v>
      </c>
      <c r="AJ36" s="27">
        <v>18.943725999999899</v>
      </c>
      <c r="AK36" s="27">
        <v>5.781644</v>
      </c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</row>
    <row r="37" spans="1:55">
      <c r="A37" s="115" t="s">
        <v>29</v>
      </c>
      <c r="B37" s="115"/>
      <c r="C37" s="115"/>
      <c r="D37" s="115"/>
      <c r="E37" s="115"/>
      <c r="F37" s="115"/>
      <c r="G37" s="62">
        <f t="shared" ref="G37:N37" si="15">SUM(G27:G36)</f>
        <v>1.1172044699999999</v>
      </c>
      <c r="H37" s="62">
        <f t="shared" si="15"/>
        <v>1.0606365585299997</v>
      </c>
      <c r="I37" s="62">
        <f t="shared" si="15"/>
        <v>1.14805649717</v>
      </c>
      <c r="J37" s="62">
        <f t="shared" si="15"/>
        <v>1.1239895265299991</v>
      </c>
      <c r="K37" s="62">
        <f t="shared" si="15"/>
        <v>1.0736129504699998</v>
      </c>
      <c r="L37" s="62">
        <f t="shared" si="15"/>
        <v>1.03445027276</v>
      </c>
      <c r="M37" s="62">
        <f t="shared" si="15"/>
        <v>0.97279365168999998</v>
      </c>
      <c r="N37" s="62">
        <f t="shared" si="15"/>
        <v>0.88991055915999995</v>
      </c>
      <c r="AH37" s="9"/>
      <c r="AI37" s="27">
        <v>46.515990000000002</v>
      </c>
      <c r="AJ37" s="27">
        <v>21.940469999999902</v>
      </c>
      <c r="AK37" s="27">
        <v>5.1554120000000001</v>
      </c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BC37" s="1"/>
    </row>
    <row r="38" spans="1:55">
      <c r="H38" s="62">
        <f>H27/H37</f>
        <v>0</v>
      </c>
      <c r="AH38" s="9"/>
      <c r="AI38" s="27">
        <v>40.699269999999999</v>
      </c>
      <c r="AJ38" s="27">
        <v>27.0064799999999</v>
      </c>
      <c r="AK38" s="27">
        <v>5.3534199999999998</v>
      </c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</row>
    <row r="39" spans="1:55">
      <c r="AH39" s="9"/>
      <c r="AI39" s="27">
        <v>31.140630000000002</v>
      </c>
      <c r="AJ39" s="27">
        <v>34.737540000000003</v>
      </c>
      <c r="AK39" s="27">
        <v>6.6321409999999998</v>
      </c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</row>
    <row r="40" spans="1:55">
      <c r="C40" s="62">
        <v>4.18857E-3</v>
      </c>
      <c r="D40" s="62">
        <v>4.0110389299999891E-3</v>
      </c>
      <c r="E40" s="62">
        <v>4.6696070699999998E-3</v>
      </c>
      <c r="F40" s="62">
        <v>5.1497259299999997E-3</v>
      </c>
      <c r="G40" s="62">
        <v>5.7116943099999899E-3</v>
      </c>
      <c r="H40" s="62">
        <v>6.3636803599999995E-3</v>
      </c>
      <c r="I40" s="62">
        <v>7.5476002899999995E-3</v>
      </c>
      <c r="J40" s="62">
        <v>9.418855759999999E-3</v>
      </c>
      <c r="AH40" s="9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</row>
    <row r="41" spans="1:55">
      <c r="C41" s="27">
        <v>0</v>
      </c>
      <c r="D41" s="27">
        <v>0.19544590000000001</v>
      </c>
      <c r="E41" s="27">
        <v>0</v>
      </c>
      <c r="F41" s="27">
        <v>6.3962699999999997E-2</v>
      </c>
      <c r="G41" s="27">
        <v>0.85360729999999996</v>
      </c>
      <c r="H41" s="27">
        <v>4.18857E-3</v>
      </c>
      <c r="AH41" s="9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</row>
    <row r="42" spans="1:55">
      <c r="C42" s="27">
        <v>0</v>
      </c>
      <c r="D42" s="27">
        <v>0.18453055999999979</v>
      </c>
      <c r="E42" s="27">
        <v>0</v>
      </c>
      <c r="F42" s="27">
        <v>6.1827229599999999E-2</v>
      </c>
      <c r="G42" s="27">
        <v>0.81026772999999985</v>
      </c>
      <c r="H42" s="27">
        <v>4.0110389299999891E-3</v>
      </c>
      <c r="AH42" s="9"/>
      <c r="AM42" s="45"/>
      <c r="AN42" s="45"/>
      <c r="AO42" s="35"/>
      <c r="AP42" s="45"/>
      <c r="AQ42" s="45"/>
      <c r="AR42" s="45"/>
      <c r="AS42" s="45"/>
      <c r="AT42" s="45"/>
      <c r="AU42" s="45"/>
      <c r="AV42" s="45"/>
      <c r="AW42" s="45"/>
      <c r="AX42" s="45"/>
      <c r="AY42" s="45"/>
    </row>
    <row r="43" spans="1:55">
      <c r="C43" s="27">
        <v>0</v>
      </c>
      <c r="D43" s="27">
        <v>0.19757906</v>
      </c>
      <c r="E43" s="27">
        <v>0</v>
      </c>
      <c r="F43" s="27">
        <v>7.4927710099999906E-2</v>
      </c>
      <c r="G43" s="27">
        <v>0.87088012000000004</v>
      </c>
      <c r="H43" s="27">
        <v>4.6696070699999998E-3</v>
      </c>
      <c r="AH43" s="9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</row>
    <row r="44" spans="1:55">
      <c r="C44" s="27">
        <v>0</v>
      </c>
      <c r="D44" s="27">
        <v>0.19220533000000001</v>
      </c>
      <c r="E44" s="27">
        <v>0</v>
      </c>
      <c r="F44" s="27">
        <v>8.6619290599999996E-2</v>
      </c>
      <c r="G44" s="27">
        <v>0.84001517999999897</v>
      </c>
      <c r="H44" s="27">
        <v>5.1497259299999997E-3</v>
      </c>
      <c r="AH44" s="9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</row>
    <row r="45" spans="1:55">
      <c r="A45" s="1"/>
      <c r="C45" s="27">
        <v>0</v>
      </c>
      <c r="D45" s="27">
        <v>0.18420979000000001</v>
      </c>
      <c r="E45" s="27">
        <v>0</v>
      </c>
      <c r="F45" s="27">
        <v>0.1001693171599999</v>
      </c>
      <c r="G45" s="27">
        <v>0.78352214900000006</v>
      </c>
      <c r="H45" s="27">
        <v>5.7116943099999899E-3</v>
      </c>
      <c r="AH45" s="9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</row>
    <row r="46" spans="1:55">
      <c r="C46" s="27">
        <v>0</v>
      </c>
      <c r="D46" s="27">
        <v>0.18423875000000001</v>
      </c>
      <c r="E46" s="27">
        <v>0</v>
      </c>
      <c r="F46" s="27">
        <v>0.11343952240000001</v>
      </c>
      <c r="G46" s="27">
        <v>0.73040832</v>
      </c>
      <c r="H46" s="27">
        <v>6.3636803599999995E-3</v>
      </c>
      <c r="AH46" s="9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</row>
    <row r="47" spans="1:55">
      <c r="C47" s="27">
        <v>0</v>
      </c>
      <c r="D47" s="27">
        <v>0.19021017999999998</v>
      </c>
      <c r="E47" s="27">
        <v>0</v>
      </c>
      <c r="F47" s="27">
        <v>0.13588917140000001</v>
      </c>
      <c r="G47" s="27">
        <v>0.63914669999999996</v>
      </c>
      <c r="H47" s="27">
        <v>7.5476002899999995E-3</v>
      </c>
      <c r="AH47" s="9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35"/>
    </row>
    <row r="48" spans="1:55">
      <c r="C48" s="27">
        <v>0</v>
      </c>
      <c r="D48" s="27">
        <v>0.20463289999999998</v>
      </c>
      <c r="E48" s="27">
        <v>0</v>
      </c>
      <c r="F48" s="27">
        <v>0.17019199340000002</v>
      </c>
      <c r="G48" s="27">
        <v>0.50566680999999991</v>
      </c>
      <c r="H48" s="27">
        <v>9.418855759999999E-3</v>
      </c>
      <c r="AH48" s="9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</row>
    <row r="49" spans="1:41">
      <c r="AH49" s="9"/>
      <c r="AJ49" s="115"/>
      <c r="AK49" s="115"/>
      <c r="AL49" s="115"/>
      <c r="AM49" s="115"/>
      <c r="AN49" s="115"/>
      <c r="AO49" s="115"/>
    </row>
    <row r="50" spans="1:41">
      <c r="AH50" s="9"/>
    </row>
    <row r="51" spans="1:41">
      <c r="AH51" s="9"/>
    </row>
    <row r="52" spans="1:41">
      <c r="AH52" s="9"/>
    </row>
    <row r="53" spans="1:41">
      <c r="AH53" s="9"/>
    </row>
    <row r="54" spans="1:41">
      <c r="AH54" s="9"/>
    </row>
    <row r="55" spans="1:41">
      <c r="A55" s="3"/>
      <c r="B55" s="3"/>
      <c r="C55" s="3"/>
      <c r="AH55" s="9"/>
    </row>
    <row r="56" spans="1:41">
      <c r="AH56" s="9"/>
    </row>
    <row r="57" spans="1:41">
      <c r="AH57" s="9"/>
      <c r="AJ57" s="1"/>
    </row>
    <row r="58" spans="1:41">
      <c r="AH58" s="9"/>
    </row>
    <row r="59" spans="1:41">
      <c r="AH59" s="9"/>
    </row>
    <row r="60" spans="1:41">
      <c r="AH60" s="9"/>
    </row>
    <row r="61" spans="1:41">
      <c r="AH61" s="9"/>
    </row>
    <row r="62" spans="1:41">
      <c r="AH62" s="9"/>
    </row>
    <row r="63" spans="1:41">
      <c r="AH63" s="9"/>
    </row>
    <row r="64" spans="1:41" ht="18" thickBot="1">
      <c r="AH64" s="9"/>
    </row>
    <row r="65" spans="1:38" ht="18" thickBot="1">
      <c r="A65" s="98" t="s">
        <v>454</v>
      </c>
      <c r="B65" s="98" t="s">
        <v>615</v>
      </c>
      <c r="C65" s="98" t="s">
        <v>616</v>
      </c>
      <c r="D65" s="98" t="s">
        <v>617</v>
      </c>
      <c r="E65" s="98" t="s">
        <v>618</v>
      </c>
      <c r="AH65" s="9"/>
    </row>
    <row r="66" spans="1:38" ht="19.2" thickBot="1">
      <c r="A66" s="99" t="s">
        <v>619</v>
      </c>
      <c r="B66" s="5">
        <v>0</v>
      </c>
      <c r="C66" s="9">
        <v>0</v>
      </c>
      <c r="D66" s="98">
        <v>0</v>
      </c>
      <c r="E66" s="98">
        <v>0</v>
      </c>
      <c r="AH66" s="9"/>
    </row>
    <row r="67" spans="1:38" ht="19.2" thickBot="1">
      <c r="A67" s="99" t="s">
        <v>524</v>
      </c>
      <c r="B67" s="5">
        <v>0.1308375</v>
      </c>
      <c r="C67" s="9">
        <v>0.19544590000000001</v>
      </c>
      <c r="D67" s="98">
        <v>0.11545938359999999</v>
      </c>
      <c r="E67" s="98">
        <v>0.2157539</v>
      </c>
      <c r="AH67" s="9"/>
      <c r="AJ67" s="3"/>
      <c r="AK67" s="3"/>
      <c r="AL67" s="3"/>
    </row>
    <row r="68" spans="1:38" ht="19.2" thickBot="1">
      <c r="A68" s="99" t="s">
        <v>620</v>
      </c>
      <c r="B68" s="5">
        <v>0</v>
      </c>
      <c r="C68" s="9">
        <v>0</v>
      </c>
      <c r="D68" s="98">
        <v>0</v>
      </c>
      <c r="E68" s="98">
        <v>0</v>
      </c>
      <c r="AH68" s="9"/>
    </row>
    <row r="69" spans="1:38" ht="19.2" thickBot="1">
      <c r="A69" s="99" t="s">
        <v>621</v>
      </c>
      <c r="B69" s="5">
        <v>9.1896073199999997E-2</v>
      </c>
      <c r="C69" s="98">
        <v>6.3962699999999997E-2</v>
      </c>
      <c r="D69" s="98">
        <v>9.5320875599999993E-2</v>
      </c>
      <c r="E69" s="98">
        <v>7.4465338299999892E-2</v>
      </c>
      <c r="AH69" s="9"/>
    </row>
    <row r="70" spans="1:38" ht="19.2" thickBot="1">
      <c r="A70" s="99" t="s">
        <v>622</v>
      </c>
      <c r="B70" s="5">
        <v>1.0072017288000001</v>
      </c>
      <c r="C70" s="98">
        <v>0.85360729999999996</v>
      </c>
      <c r="D70" s="98">
        <v>1.5740483940000001</v>
      </c>
      <c r="E70" s="98">
        <v>0.95469640999999994</v>
      </c>
      <c r="AH70" s="9"/>
    </row>
    <row r="71" spans="1:38" ht="19.2" thickBot="1">
      <c r="A71" s="99" t="s">
        <v>623</v>
      </c>
      <c r="B71" s="5">
        <v>2.1478284000000002E-3</v>
      </c>
      <c r="C71" s="98">
        <v>4.18857E-3</v>
      </c>
      <c r="D71" s="98">
        <v>4.6222271999999997E-3</v>
      </c>
      <c r="E71" s="98">
        <v>4.7741064999999999E-3</v>
      </c>
      <c r="AH71" s="9"/>
    </row>
    <row r="72" spans="1:38" ht="18" thickBot="1">
      <c r="A72" s="98" t="s">
        <v>624</v>
      </c>
      <c r="B72" s="98"/>
      <c r="C72" s="98"/>
      <c r="D72" s="98"/>
      <c r="E72" s="98"/>
      <c r="AH72" s="9"/>
    </row>
    <row r="73" spans="1:38" ht="18" thickBot="1">
      <c r="A73" s="98" t="s">
        <v>625</v>
      </c>
      <c r="B73" s="98">
        <v>1.5547</v>
      </c>
      <c r="C73" s="98">
        <v>2.1945389999999998</v>
      </c>
      <c r="D73" s="98">
        <v>1.7767999999999999</v>
      </c>
      <c r="E73" s="98">
        <v>2.2177229999999999</v>
      </c>
      <c r="AH73" s="9"/>
    </row>
    <row r="74" spans="1:38">
      <c r="AH74" s="9"/>
    </row>
    <row r="75" spans="1:38">
      <c r="AH75" s="9"/>
    </row>
    <row r="76" spans="1:38">
      <c r="AH76" s="9"/>
    </row>
    <row r="77" spans="1:38">
      <c r="AH77" s="9"/>
    </row>
    <row r="78" spans="1:38">
      <c r="AH78" s="9"/>
    </row>
    <row r="79" spans="1:38">
      <c r="AH79" s="9"/>
    </row>
  </sheetData>
  <mergeCells count="2">
    <mergeCell ref="A37:F37"/>
    <mergeCell ref="AJ49:AO49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C56BC-C78F-441B-9043-E8C180B69E41}">
  <dimension ref="A1:AW67"/>
  <sheetViews>
    <sheetView topLeftCell="C1" zoomScale="40" zoomScaleNormal="40" workbookViewId="0">
      <selection activeCell="K55" sqref="K55:R62"/>
    </sheetView>
  </sheetViews>
  <sheetFormatPr defaultColWidth="8.69921875" defaultRowHeight="17.399999999999999"/>
  <cols>
    <col min="1" max="3" width="8.69921875" style="62"/>
    <col min="4" max="4" width="14.19921875" style="62" bestFit="1" customWidth="1"/>
    <col min="5" max="5" width="23.59765625" style="62" bestFit="1" customWidth="1"/>
    <col min="6" max="6" width="24.5" style="62" bestFit="1" customWidth="1"/>
    <col min="7" max="9" width="8.69921875" style="62"/>
    <col min="10" max="10" width="9.3984375" style="62" bestFit="1" customWidth="1"/>
    <col min="11" max="18" width="10.09765625" style="62" bestFit="1" customWidth="1"/>
    <col min="19" max="20" width="8.69921875" style="62"/>
    <col min="21" max="21" width="13.3984375" style="62" customWidth="1"/>
    <col min="22" max="16384" width="8.69921875" style="62"/>
  </cols>
  <sheetData>
    <row r="1" spans="1:49">
      <c r="A1" s="1" t="s">
        <v>54</v>
      </c>
      <c r="AE1" s="9"/>
      <c r="AF1" s="1" t="s">
        <v>638</v>
      </c>
    </row>
    <row r="2" spans="1:49">
      <c r="A2" s="62" t="s">
        <v>8</v>
      </c>
      <c r="B2" s="62" t="s">
        <v>9</v>
      </c>
      <c r="C2" s="62" t="s">
        <v>39</v>
      </c>
      <c r="D2" s="62" t="s">
        <v>40</v>
      </c>
      <c r="E2" s="62" t="s">
        <v>10</v>
      </c>
      <c r="F2" s="62" t="s">
        <v>42</v>
      </c>
      <c r="G2" s="62">
        <v>1990</v>
      </c>
      <c r="H2" s="62">
        <v>2005</v>
      </c>
      <c r="I2" s="62">
        <v>2010</v>
      </c>
      <c r="J2" s="62">
        <v>2015</v>
      </c>
      <c r="K2" s="62">
        <v>2020</v>
      </c>
      <c r="L2" s="62">
        <v>2025</v>
      </c>
      <c r="M2" s="62">
        <v>2030</v>
      </c>
      <c r="N2" s="62">
        <v>2035</v>
      </c>
      <c r="O2" s="62">
        <v>2040</v>
      </c>
      <c r="P2" s="62">
        <v>2045</v>
      </c>
      <c r="Q2" s="62">
        <v>2050</v>
      </c>
      <c r="R2" s="93" t="s">
        <v>76</v>
      </c>
      <c r="U2" s="62" t="s">
        <v>42</v>
      </c>
      <c r="V2" s="62">
        <v>2015</v>
      </c>
      <c r="W2" s="62">
        <v>2020</v>
      </c>
      <c r="X2" s="62">
        <v>2025</v>
      </c>
      <c r="Y2" s="62">
        <v>2030</v>
      </c>
      <c r="Z2" s="62">
        <v>2035</v>
      </c>
      <c r="AA2" s="62">
        <v>2040</v>
      </c>
      <c r="AB2" s="62">
        <v>2045</v>
      </c>
      <c r="AC2" s="62">
        <v>2050</v>
      </c>
      <c r="AE2" s="9"/>
      <c r="AF2" s="62" t="s">
        <v>8</v>
      </c>
      <c r="AG2" s="62" t="s">
        <v>9</v>
      </c>
      <c r="AH2" s="62" t="s">
        <v>39</v>
      </c>
      <c r="AI2" s="62" t="s">
        <v>40</v>
      </c>
      <c r="AJ2" s="62" t="s">
        <v>10</v>
      </c>
      <c r="AK2" s="62" t="s">
        <v>42</v>
      </c>
      <c r="AL2" s="62">
        <v>1990</v>
      </c>
      <c r="AM2" s="62">
        <v>2005</v>
      </c>
      <c r="AN2" s="62">
        <v>2010</v>
      </c>
      <c r="AO2" s="62">
        <v>2015</v>
      </c>
      <c r="AP2" s="62">
        <v>2020</v>
      </c>
      <c r="AQ2" s="62">
        <v>2025</v>
      </c>
      <c r="AR2" s="62">
        <v>2030</v>
      </c>
      <c r="AS2" s="62">
        <v>2035</v>
      </c>
      <c r="AT2" s="62">
        <v>2040</v>
      </c>
      <c r="AU2" s="62">
        <v>2045</v>
      </c>
      <c r="AV2" s="62">
        <v>2050</v>
      </c>
      <c r="AW2" s="94" t="s">
        <v>76</v>
      </c>
    </row>
    <row r="3" spans="1:49">
      <c r="A3" s="62" t="str">
        <f>NZ2050_industry_final_energy!D41</f>
        <v>NZ2050,date=2022-3-7T01:15:47-015:00</v>
      </c>
      <c r="B3" s="62" t="str">
        <f>NZ2050_industry_final_energy!E41</f>
        <v>South Korea</v>
      </c>
      <c r="C3" s="62" t="str">
        <f>NZ2050_industry_final_energy!F41</f>
        <v>iron and steel</v>
      </c>
      <c r="D3" s="62" t="str">
        <f>NZ2050_industry_final_energy!G41</f>
        <v>BLASTFUR</v>
      </c>
      <c r="E3" s="62" t="str">
        <f>NZ2050_industry_final_energy!H41</f>
        <v>H2 enduse</v>
      </c>
      <c r="F3" s="62" t="str">
        <f>NZ2050_industry_final_energy!I41</f>
        <v>BLASTFUR with hydrogen</v>
      </c>
      <c r="G3" s="62">
        <f>NZ2050_industry_final_energy!J41</f>
        <v>0</v>
      </c>
      <c r="H3" s="62">
        <f>NZ2050_industry_final_energy!K41</f>
        <v>0</v>
      </c>
      <c r="I3" s="62">
        <f>NZ2050_industry_final_energy!L41</f>
        <v>0</v>
      </c>
      <c r="J3" s="62">
        <f>NZ2050_industry_final_energy!M41</f>
        <v>0</v>
      </c>
      <c r="K3" s="62">
        <f>NZ2050_industry_final_energy!N41</f>
        <v>0</v>
      </c>
      <c r="L3" s="62">
        <f>NZ2050_industry_final_energy!O41</f>
        <v>2.3053799999999999E-4</v>
      </c>
      <c r="M3" s="62">
        <f>NZ2050_industry_final_energy!P41</f>
        <v>9.6761199999999996E-4</v>
      </c>
      <c r="N3" s="62">
        <f>NZ2050_industry_final_energy!Q41</f>
        <v>2.3822000000000001E-3</v>
      </c>
      <c r="O3" s="62">
        <f>NZ2050_industry_final_energy!R41</f>
        <v>3.5230316E-3</v>
      </c>
      <c r="P3" s="62">
        <f>NZ2050_industry_final_energy!S41</f>
        <v>3.1855069999999902E-3</v>
      </c>
      <c r="Q3" s="62">
        <f>NZ2050_industry_final_energy!T41</f>
        <v>6.4921049999999995E-4</v>
      </c>
      <c r="R3" s="93" t="s">
        <v>78</v>
      </c>
      <c r="U3" s="62" t="s">
        <v>34</v>
      </c>
      <c r="V3" s="62">
        <f>SUMIF($F$3:$F$27,$U3,J$3:J$27)</f>
        <v>0</v>
      </c>
      <c r="W3" s="62">
        <f t="shared" ref="W3:AC9" si="0">SUMIF($F$3:$F$27,$U3,K$3:K$27)</f>
        <v>0</v>
      </c>
      <c r="X3" s="62">
        <f t="shared" si="0"/>
        <v>1.2247056660000001E-3</v>
      </c>
      <c r="Y3" s="62">
        <f t="shared" si="0"/>
        <v>5.1403214739999988E-3</v>
      </c>
      <c r="Z3" s="62">
        <f t="shared" si="0"/>
        <v>1.2655160116E-2</v>
      </c>
      <c r="AA3" s="62">
        <f t="shared" si="0"/>
        <v>1.8715707586E-2</v>
      </c>
      <c r="AB3" s="62">
        <f t="shared" si="0"/>
        <v>1.6922626765999985E-2</v>
      </c>
      <c r="AC3" s="62">
        <f t="shared" si="0"/>
        <v>3.4488469913999996E-3</v>
      </c>
      <c r="AE3" s="9"/>
      <c r="AF3" s="62" t="s">
        <v>607</v>
      </c>
      <c r="AG3" s="62" t="s">
        <v>1</v>
      </c>
      <c r="AH3" s="62" t="s">
        <v>32</v>
      </c>
      <c r="AI3" s="62" t="s">
        <v>33</v>
      </c>
      <c r="AJ3" s="62" t="s">
        <v>32</v>
      </c>
      <c r="AK3" s="62" t="s">
        <v>33</v>
      </c>
      <c r="AL3" s="62">
        <v>22.5</v>
      </c>
      <c r="AM3" s="62">
        <v>26.7</v>
      </c>
      <c r="AN3" s="62">
        <v>34.1</v>
      </c>
      <c r="AO3" s="62">
        <v>48.5</v>
      </c>
      <c r="AP3" s="62">
        <v>46.354930000000003</v>
      </c>
      <c r="AQ3" s="62">
        <v>39.105150000000002</v>
      </c>
      <c r="AR3" s="62">
        <v>26.47278</v>
      </c>
      <c r="AS3" s="62">
        <v>14.954049999999899</v>
      </c>
      <c r="AT3" s="62">
        <v>9.1141299999999994</v>
      </c>
      <c r="AU3" s="62">
        <v>4.164676</v>
      </c>
      <c r="AV3" s="62">
        <v>0.22938305</v>
      </c>
      <c r="AW3" s="62" t="s">
        <v>636</v>
      </c>
    </row>
    <row r="4" spans="1:49">
      <c r="A4" s="62" t="str">
        <f>NZ2050_industry_final_energy!D42</f>
        <v>NZ2050,date=2022-3-7T01:15:47-015:00</v>
      </c>
      <c r="B4" s="62" t="str">
        <f>NZ2050_industry_final_energy!E42</f>
        <v>South Korea</v>
      </c>
      <c r="C4" s="62" t="str">
        <f>NZ2050_industry_final_energy!F42</f>
        <v>iron and steel</v>
      </c>
      <c r="D4" s="62" t="str">
        <f>NZ2050_industry_final_energy!G42</f>
        <v>BLASTFUR</v>
      </c>
      <c r="E4" s="62" t="str">
        <f>NZ2050_industry_final_energy!H42</f>
        <v>delivered coal</v>
      </c>
      <c r="F4" s="62" t="str">
        <f>NZ2050_industry_final_energy!I42</f>
        <v>BLASTFUR</v>
      </c>
      <c r="G4" s="62">
        <f>NZ2050_industry_final_energy!J42</f>
        <v>0.230465</v>
      </c>
      <c r="H4" s="62">
        <f>NZ2050_industry_final_energy!K42</f>
        <v>0</v>
      </c>
      <c r="I4" s="62">
        <f>NZ2050_industry_final_energy!L42</f>
        <v>0</v>
      </c>
      <c r="J4" s="62">
        <f>NZ2050_industry_final_energy!M42</f>
        <v>0.82835599999999998</v>
      </c>
      <c r="K4" s="62">
        <f>NZ2050_industry_final_energy!N42</f>
        <v>0.78616200000000003</v>
      </c>
      <c r="L4" s="62">
        <f>NZ2050_industry_final_energy!O42</f>
        <v>0.64812369999999997</v>
      </c>
      <c r="M4" s="62">
        <f>NZ2050_industry_final_energy!P42</f>
        <v>0.42369639999999997</v>
      </c>
      <c r="N4" s="62">
        <f>NZ2050_industry_final_energy!Q42</f>
        <v>0.22737389999999999</v>
      </c>
      <c r="O4" s="62">
        <f>NZ2050_industry_final_energy!R42</f>
        <v>0.13610849999999999</v>
      </c>
      <c r="P4" s="62">
        <f>NZ2050_industry_final_energy!S42</f>
        <v>6.1055289999999998E-2</v>
      </c>
      <c r="Q4" s="62">
        <f>NZ2050_industry_final_energy!T42</f>
        <v>3.2978064999999901E-3</v>
      </c>
      <c r="R4" s="93" t="s">
        <v>78</v>
      </c>
      <c r="U4" s="62" t="s">
        <v>33</v>
      </c>
      <c r="V4" s="62">
        <f t="shared" ref="V4:V9" si="1">SUMIF($F$3:$F$27,$U4,J$3:J$27)</f>
        <v>0.91990454999999993</v>
      </c>
      <c r="W4" s="62">
        <f t="shared" si="0"/>
        <v>0.87304736219000001</v>
      </c>
      <c r="X4" s="62">
        <f t="shared" si="0"/>
        <v>0.71975320097999995</v>
      </c>
      <c r="Y4" s="62">
        <f t="shared" si="0"/>
        <v>0.47052278044999996</v>
      </c>
      <c r="Z4" s="62">
        <f t="shared" si="0"/>
        <v>0.25250289966999995</v>
      </c>
      <c r="AA4" s="62">
        <f t="shared" si="0"/>
        <v>0.15115100014999999</v>
      </c>
      <c r="AB4" s="62">
        <f t="shared" si="0"/>
        <v>6.7803021222999998E-2</v>
      </c>
      <c r="AC4" s="62">
        <f t="shared" si="0"/>
        <v>3.6622744704799901E-3</v>
      </c>
      <c r="AE4" s="9"/>
      <c r="AF4" s="62" t="s">
        <v>607</v>
      </c>
      <c r="AG4" s="62" t="s">
        <v>1</v>
      </c>
      <c r="AH4" s="62" t="s">
        <v>32</v>
      </c>
      <c r="AI4" s="62" t="s">
        <v>33</v>
      </c>
      <c r="AJ4" s="62" t="s">
        <v>32</v>
      </c>
      <c r="AK4" s="62" t="s">
        <v>79</v>
      </c>
      <c r="AL4" s="62">
        <v>0</v>
      </c>
      <c r="AM4" s="62">
        <v>0</v>
      </c>
      <c r="AN4" s="62">
        <v>0</v>
      </c>
      <c r="AO4" s="62">
        <v>0</v>
      </c>
      <c r="AP4" s="62">
        <v>0</v>
      </c>
      <c r="AQ4" s="62">
        <v>0.118632</v>
      </c>
      <c r="AR4" s="62">
        <v>0.58431690000000003</v>
      </c>
      <c r="AS4" s="62">
        <v>1.8484881</v>
      </c>
      <c r="AT4" s="62">
        <v>3.3879937999999998</v>
      </c>
      <c r="AU4" s="62">
        <v>5.0107558999999897</v>
      </c>
      <c r="AV4" s="62">
        <v>4.8522650000000001</v>
      </c>
      <c r="AW4" s="62" t="s">
        <v>636</v>
      </c>
    </row>
    <row r="5" spans="1:49">
      <c r="A5" s="62" t="str">
        <f>NZ2050_industry_final_energy!D43</f>
        <v>NZ2050,date=2022-3-7T01:15:47-015:00</v>
      </c>
      <c r="B5" s="62" t="str">
        <f>NZ2050_industry_final_energy!E43</f>
        <v>South Korea</v>
      </c>
      <c r="C5" s="62" t="str">
        <f>NZ2050_industry_final_energy!F43</f>
        <v>iron and steel</v>
      </c>
      <c r="D5" s="62" t="str">
        <f>NZ2050_industry_final_energy!G43</f>
        <v>BLASTFUR</v>
      </c>
      <c r="E5" s="62" t="str">
        <f>NZ2050_industry_final_energy!H43</f>
        <v>delivered coal</v>
      </c>
      <c r="F5" s="62" t="str">
        <f>NZ2050_industry_final_energy!I43</f>
        <v>BLASTFUR CCS</v>
      </c>
      <c r="G5" s="62">
        <f>NZ2050_industry_final_energy!J43</f>
        <v>0</v>
      </c>
      <c r="H5" s="62">
        <f>NZ2050_industry_final_energy!K43</f>
        <v>0</v>
      </c>
      <c r="I5" s="62">
        <f>NZ2050_industry_final_energy!L43</f>
        <v>0</v>
      </c>
      <c r="J5" s="62">
        <f>NZ2050_industry_final_energy!M43</f>
        <v>0</v>
      </c>
      <c r="K5" s="62">
        <f>NZ2050_industry_final_energy!N43</f>
        <v>0</v>
      </c>
      <c r="L5" s="62">
        <f>NZ2050_industry_final_energy!O43</f>
        <v>1.83428E-3</v>
      </c>
      <c r="M5" s="62">
        <f>NZ2050_industry_final_energy!P43</f>
        <v>8.8489499999999995E-3</v>
      </c>
      <c r="N5" s="62">
        <f>NZ2050_industry_final_energy!Q43</f>
        <v>2.7383107E-2</v>
      </c>
      <c r="O5" s="62">
        <f>NZ2050_industry_final_energy!R43</f>
        <v>4.9223019E-2</v>
      </c>
      <c r="P5" s="62">
        <f>NZ2050_industry_final_energy!S43</f>
        <v>7.1287240000000002E-2</v>
      </c>
      <c r="Q5" s="62">
        <f>NZ2050_industry_final_energy!T43</f>
        <v>6.7920030000000006E-2</v>
      </c>
      <c r="R5" s="93" t="s">
        <v>78</v>
      </c>
      <c r="U5" s="62" t="s">
        <v>79</v>
      </c>
      <c r="V5" s="62">
        <f t="shared" si="1"/>
        <v>0</v>
      </c>
      <c r="W5" s="62">
        <f t="shared" si="0"/>
        <v>0</v>
      </c>
      <c r="X5" s="62">
        <f t="shared" si="0"/>
        <v>2.037001679E-3</v>
      </c>
      <c r="Y5" s="62">
        <f t="shared" si="0"/>
        <v>9.826922565E-3</v>
      </c>
      <c r="Z5" s="62">
        <f t="shared" si="0"/>
        <v>3.0409436992300001E-2</v>
      </c>
      <c r="AA5" s="62">
        <f t="shared" si="0"/>
        <v>5.4663066457800003E-2</v>
      </c>
      <c r="AB5" s="62">
        <f t="shared" si="0"/>
        <v>7.9165787152999989E-2</v>
      </c>
      <c r="AC5" s="62">
        <f t="shared" si="0"/>
        <v>7.5426456892000004E-2</v>
      </c>
      <c r="AE5" s="9"/>
      <c r="AF5" s="62" t="s">
        <v>607</v>
      </c>
      <c r="AG5" s="62" t="s">
        <v>1</v>
      </c>
      <c r="AH5" s="62" t="s">
        <v>32</v>
      </c>
      <c r="AI5" s="62" t="s">
        <v>33</v>
      </c>
      <c r="AJ5" s="62" t="s">
        <v>32</v>
      </c>
      <c r="AK5" s="62" t="s">
        <v>34</v>
      </c>
      <c r="AL5" s="62">
        <v>0</v>
      </c>
      <c r="AM5" s="62">
        <v>0</v>
      </c>
      <c r="AN5" s="62">
        <v>0</v>
      </c>
      <c r="AO5" s="62">
        <v>0</v>
      </c>
      <c r="AP5" s="62">
        <v>0</v>
      </c>
      <c r="AQ5" s="62">
        <v>7.7194700000000005E-2</v>
      </c>
      <c r="AR5" s="62">
        <v>0.33059139999999998</v>
      </c>
      <c r="AS5" s="62">
        <v>0.83098669999999997</v>
      </c>
      <c r="AT5" s="62">
        <v>1.2516788000000001</v>
      </c>
      <c r="AU5" s="62">
        <v>1.1478173999999901</v>
      </c>
      <c r="AV5" s="62">
        <v>0.23623796</v>
      </c>
      <c r="AW5" s="62" t="s">
        <v>636</v>
      </c>
    </row>
    <row r="6" spans="1:49">
      <c r="A6" s="62" t="str">
        <f>NZ2050_industry_final_energy!D44</f>
        <v>NZ2050,date=2022-3-7T01:15:47-015:00</v>
      </c>
      <c r="B6" s="62" t="str">
        <f>NZ2050_industry_final_energy!E44</f>
        <v>South Korea</v>
      </c>
      <c r="C6" s="62" t="str">
        <f>NZ2050_industry_final_energy!F44</f>
        <v>iron and steel</v>
      </c>
      <c r="D6" s="62" t="str">
        <f>NZ2050_industry_final_energy!G44</f>
        <v>BLASTFUR</v>
      </c>
      <c r="E6" s="62" t="str">
        <f>NZ2050_industry_final_energy!H44</f>
        <v>delivered coal</v>
      </c>
      <c r="F6" s="62" t="str">
        <f>NZ2050_industry_final_energy!I44</f>
        <v>BLASTFUR with hydrogen</v>
      </c>
      <c r="G6" s="62">
        <f>NZ2050_industry_final_energy!J44</f>
        <v>0</v>
      </c>
      <c r="H6" s="62">
        <f>NZ2050_industry_final_energy!K44</f>
        <v>0</v>
      </c>
      <c r="I6" s="62">
        <f>NZ2050_industry_final_energy!L44</f>
        <v>0</v>
      </c>
      <c r="J6" s="62">
        <f>NZ2050_industry_final_energy!M44</f>
        <v>0</v>
      </c>
      <c r="K6" s="62">
        <f>NZ2050_industry_final_energy!N44</f>
        <v>0</v>
      </c>
      <c r="L6" s="62">
        <f>NZ2050_industry_final_energy!O44</f>
        <v>9.5445999999999997E-4</v>
      </c>
      <c r="M6" s="62">
        <f>NZ2050_industry_final_energy!P44</f>
        <v>4.0060490000000002E-3</v>
      </c>
      <c r="N6" s="62">
        <f>NZ2050_industry_final_energy!Q44</f>
        <v>9.8626519999999995E-3</v>
      </c>
      <c r="O6" s="62">
        <f>NZ2050_industry_final_energy!R44</f>
        <v>1.4585871E-2</v>
      </c>
      <c r="P6" s="62">
        <f>NZ2050_industry_final_energy!S44</f>
        <v>1.3188449E-2</v>
      </c>
      <c r="Q6" s="62">
        <f>NZ2050_industry_final_energy!T44</f>
        <v>2.6878169999999999E-3</v>
      </c>
      <c r="R6" s="93" t="s">
        <v>78</v>
      </c>
      <c r="U6" s="62" t="s">
        <v>37</v>
      </c>
      <c r="V6" s="62">
        <f t="shared" si="1"/>
        <v>0</v>
      </c>
      <c r="W6" s="62">
        <f t="shared" si="0"/>
        <v>0</v>
      </c>
      <c r="X6" s="62">
        <f t="shared" si="0"/>
        <v>0</v>
      </c>
      <c r="Y6" s="62">
        <f t="shared" si="0"/>
        <v>3.4257309999999999E-2</v>
      </c>
      <c r="Z6" s="62">
        <f t="shared" si="0"/>
        <v>0.10220779999999981</v>
      </c>
      <c r="AA6" s="62">
        <f t="shared" si="0"/>
        <v>0.17050340000000003</v>
      </c>
      <c r="AB6" s="62">
        <f t="shared" si="0"/>
        <v>0.25730261999999998</v>
      </c>
      <c r="AC6" s="62">
        <f t="shared" si="0"/>
        <v>0.3810468199999999</v>
      </c>
      <c r="AE6" s="9"/>
      <c r="AF6" s="62" t="s">
        <v>607</v>
      </c>
      <c r="AG6" s="62" t="s">
        <v>1</v>
      </c>
      <c r="AH6" s="62" t="s">
        <v>32</v>
      </c>
      <c r="AI6" s="62" t="s">
        <v>36</v>
      </c>
      <c r="AJ6" s="62" t="s">
        <v>32</v>
      </c>
      <c r="AK6" s="62" t="s">
        <v>36</v>
      </c>
      <c r="AL6" s="62">
        <v>8.42</v>
      </c>
      <c r="AM6" s="62">
        <v>10.5</v>
      </c>
      <c r="AN6" s="62">
        <v>12.4</v>
      </c>
      <c r="AO6" s="62">
        <v>10.6</v>
      </c>
      <c r="AP6" s="62">
        <v>10.31274</v>
      </c>
      <c r="AQ6" s="62">
        <v>16.804310000000001</v>
      </c>
      <c r="AR6" s="62">
        <v>19.995266999999998</v>
      </c>
      <c r="AS6" s="62">
        <v>20.256753</v>
      </c>
      <c r="AT6" s="62">
        <v>18.034109999999998</v>
      </c>
      <c r="AU6" s="62">
        <v>14.193439999999899</v>
      </c>
      <c r="AV6" s="62">
        <v>7.99898799999999</v>
      </c>
      <c r="AW6" s="62" t="s">
        <v>636</v>
      </c>
    </row>
    <row r="7" spans="1:49">
      <c r="A7" s="62" t="str">
        <f>NZ2050_industry_final_energy!D45</f>
        <v>NZ2050,date=2022-3-7T01:15:47-015:00</v>
      </c>
      <c r="B7" s="62" t="str">
        <f>NZ2050_industry_final_energy!E45</f>
        <v>South Korea</v>
      </c>
      <c r="C7" s="62" t="str">
        <f>NZ2050_industry_final_energy!F45</f>
        <v>iron and steel</v>
      </c>
      <c r="D7" s="62" t="str">
        <f>NZ2050_industry_final_energy!G45</f>
        <v>BLASTFUR</v>
      </c>
      <c r="E7" s="62" t="str">
        <f>NZ2050_industry_final_energy!H45</f>
        <v>elect_td_ind</v>
      </c>
      <c r="F7" s="62" t="str">
        <f>NZ2050_industry_final_energy!I45</f>
        <v>BLASTFUR</v>
      </c>
      <c r="G7" s="62">
        <f>NZ2050_industry_final_energy!J45</f>
        <v>1.2258E-2</v>
      </c>
      <c r="H7" s="62">
        <f>NZ2050_industry_final_energy!K45</f>
        <v>5.09463E-2</v>
      </c>
      <c r="I7" s="62">
        <f>NZ2050_industry_final_energy!L45</f>
        <v>6.1189E-2</v>
      </c>
      <c r="J7" s="62">
        <f>NZ2050_industry_final_energy!M45</f>
        <v>9.1281799999999996E-2</v>
      </c>
      <c r="K7" s="62">
        <f>NZ2050_industry_final_energy!N45</f>
        <v>8.6632199999999895E-2</v>
      </c>
      <c r="L7" s="62">
        <f>NZ2050_industry_final_energy!O45</f>
        <v>7.1420789999999998E-2</v>
      </c>
      <c r="M7" s="62">
        <f>NZ2050_industry_final_energy!P45</f>
        <v>4.6689939999999999E-2</v>
      </c>
      <c r="N7" s="62">
        <f>NZ2050_industry_final_energy!Q45</f>
        <v>2.505578E-2</v>
      </c>
      <c r="O7" s="62">
        <f>NZ2050_industry_final_energy!R45</f>
        <v>1.499867E-2</v>
      </c>
      <c r="P7" s="62">
        <f>NZ2050_industry_final_energy!S45</f>
        <v>6.7280700000000001E-3</v>
      </c>
      <c r="Q7" s="62">
        <f>NZ2050_industry_final_energy!T45</f>
        <v>3.6340599999999998E-4</v>
      </c>
      <c r="R7" s="93" t="s">
        <v>78</v>
      </c>
      <c r="U7" s="62" t="s">
        <v>36</v>
      </c>
      <c r="V7" s="62">
        <f t="shared" si="1"/>
        <v>0.14023903999999998</v>
      </c>
      <c r="W7" s="62">
        <f t="shared" si="0"/>
        <v>0.13537120399999999</v>
      </c>
      <c r="X7" s="62">
        <f t="shared" si="0"/>
        <v>0.208727318</v>
      </c>
      <c r="Y7" s="62">
        <f t="shared" si="0"/>
        <v>0.239774449</v>
      </c>
      <c r="Z7" s="62">
        <f t="shared" si="0"/>
        <v>0.23623118249999897</v>
      </c>
      <c r="AA7" s="62">
        <f t="shared" si="0"/>
        <v>0.2062959389999999</v>
      </c>
      <c r="AB7" s="62">
        <f t="shared" si="0"/>
        <v>0.158555363</v>
      </c>
      <c r="AC7" s="62">
        <f t="shared" si="0"/>
        <v>8.7965823999999998E-2</v>
      </c>
      <c r="AE7" s="9"/>
      <c r="AF7" s="62" t="s">
        <v>607</v>
      </c>
      <c r="AG7" s="62" t="s">
        <v>1</v>
      </c>
      <c r="AH7" s="62" t="s">
        <v>32</v>
      </c>
      <c r="AI7" s="62" t="s">
        <v>36</v>
      </c>
      <c r="AJ7" s="62" t="s">
        <v>32</v>
      </c>
      <c r="AK7" s="62" t="s">
        <v>80</v>
      </c>
      <c r="AL7" s="62">
        <v>0</v>
      </c>
      <c r="AM7" s="62">
        <v>0</v>
      </c>
      <c r="AN7" s="62">
        <v>0</v>
      </c>
      <c r="AO7" s="62">
        <v>0</v>
      </c>
      <c r="AP7" s="62">
        <v>0</v>
      </c>
      <c r="AQ7" s="62">
        <v>0.31505499999999997</v>
      </c>
      <c r="AR7" s="62">
        <v>0.97584799999999905</v>
      </c>
      <c r="AS7" s="62">
        <v>2.0471550000000001</v>
      </c>
      <c r="AT7" s="62">
        <v>3.3400264000000002</v>
      </c>
      <c r="AU7" s="62">
        <v>5.152711</v>
      </c>
      <c r="AV7" s="62">
        <v>6.8535750000000002</v>
      </c>
      <c r="AW7" s="62" t="s">
        <v>636</v>
      </c>
    </row>
    <row r="8" spans="1:49">
      <c r="A8" s="62" t="str">
        <f>NZ2050_industry_final_energy!D46</f>
        <v>NZ2050,date=2022-3-7T01:15:47-015:00</v>
      </c>
      <c r="B8" s="62" t="str">
        <f>NZ2050_industry_final_energy!E46</f>
        <v>South Korea</v>
      </c>
      <c r="C8" s="62" t="str">
        <f>NZ2050_industry_final_energy!F46</f>
        <v>iron and steel</v>
      </c>
      <c r="D8" s="62" t="str">
        <f>NZ2050_industry_final_energy!G46</f>
        <v>BLASTFUR</v>
      </c>
      <c r="E8" s="62" t="str">
        <f>NZ2050_industry_final_energy!H46</f>
        <v>elect_td_ind</v>
      </c>
      <c r="F8" s="62" t="str">
        <f>NZ2050_industry_final_energy!I46</f>
        <v>BLASTFUR CCS</v>
      </c>
      <c r="G8" s="62">
        <f>NZ2050_industry_final_energy!J46</f>
        <v>0</v>
      </c>
      <c r="H8" s="62">
        <f>NZ2050_industry_final_energy!K46</f>
        <v>0</v>
      </c>
      <c r="I8" s="62">
        <f>NZ2050_industry_final_energy!L46</f>
        <v>0</v>
      </c>
      <c r="J8" s="62">
        <f>NZ2050_industry_final_energy!M46</f>
        <v>0</v>
      </c>
      <c r="K8" s="62">
        <f>NZ2050_industry_final_energy!N46</f>
        <v>0</v>
      </c>
      <c r="L8" s="62">
        <f>NZ2050_industry_final_energy!O46</f>
        <v>2.0213100000000001E-4</v>
      </c>
      <c r="M8" s="62">
        <f>NZ2050_industry_final_energy!P46</f>
        <v>9.7512300000000005E-4</v>
      </c>
      <c r="N8" s="62">
        <f>NZ2050_industry_final_energy!Q46</f>
        <v>3.017512E-3</v>
      </c>
      <c r="O8" s="62">
        <f>NZ2050_industry_final_energy!R46</f>
        <v>5.4241964999999998E-3</v>
      </c>
      <c r="P8" s="62">
        <f>NZ2050_industry_final_energy!S46</f>
        <v>7.8555910000000003E-3</v>
      </c>
      <c r="Q8" s="62">
        <f>NZ2050_industry_final_energy!T46</f>
        <v>7.4845550000000004E-3</v>
      </c>
      <c r="R8" s="93" t="s">
        <v>78</v>
      </c>
      <c r="U8" s="62" t="s">
        <v>80</v>
      </c>
      <c r="V8" s="62">
        <f t="shared" si="1"/>
        <v>0</v>
      </c>
      <c r="W8" s="62">
        <f t="shared" si="0"/>
        <v>0</v>
      </c>
      <c r="X8" s="62">
        <f t="shared" si="0"/>
        <v>3.7734325999999999E-3</v>
      </c>
      <c r="Y8" s="62">
        <f t="shared" si="0"/>
        <v>1.1475832E-2</v>
      </c>
      <c r="Z8" s="62">
        <f t="shared" si="0"/>
        <v>2.3586661799999999E-2</v>
      </c>
      <c r="AA8" s="62">
        <f t="shared" si="0"/>
        <v>3.7672531799999992E-2</v>
      </c>
      <c r="AB8" s="62">
        <f t="shared" si="0"/>
        <v>5.6742337899999898E-2</v>
      </c>
      <c r="AC8" s="62">
        <f t="shared" si="0"/>
        <v>7.378228249999999E-2</v>
      </c>
      <c r="AE8" s="9"/>
      <c r="AF8" s="62" t="s">
        <v>607</v>
      </c>
      <c r="AG8" s="62" t="s">
        <v>1</v>
      </c>
      <c r="AH8" s="62" t="s">
        <v>32</v>
      </c>
      <c r="AI8" s="62" t="s">
        <v>36</v>
      </c>
      <c r="AJ8" s="62" t="s">
        <v>32</v>
      </c>
      <c r="AK8" s="62" t="s">
        <v>37</v>
      </c>
      <c r="AL8" s="62">
        <v>0</v>
      </c>
      <c r="AM8" s="62">
        <v>0</v>
      </c>
      <c r="AN8" s="62">
        <v>0</v>
      </c>
      <c r="AO8" s="62">
        <v>0</v>
      </c>
      <c r="AP8" s="62">
        <v>0</v>
      </c>
      <c r="AQ8" s="62">
        <v>0</v>
      </c>
      <c r="AR8" s="62">
        <v>2.0545100000000001</v>
      </c>
      <c r="AS8" s="62">
        <v>6.2432099999999897</v>
      </c>
      <c r="AT8" s="62">
        <v>10.603819999999899</v>
      </c>
      <c r="AU8" s="62">
        <v>16.365545000000001</v>
      </c>
      <c r="AV8" s="62">
        <v>24.852947999999898</v>
      </c>
      <c r="AW8" s="62" t="s">
        <v>636</v>
      </c>
    </row>
    <row r="9" spans="1:49">
      <c r="A9" s="62" t="str">
        <f>NZ2050_industry_final_energy!D47</f>
        <v>NZ2050,date=2022-3-7T01:15:47-015:00</v>
      </c>
      <c r="B9" s="62" t="str">
        <f>NZ2050_industry_final_energy!E47</f>
        <v>South Korea</v>
      </c>
      <c r="C9" s="62" t="str">
        <f>NZ2050_industry_final_energy!F47</f>
        <v>iron and steel</v>
      </c>
      <c r="D9" s="62" t="str">
        <f>NZ2050_industry_final_energy!G47</f>
        <v>BLASTFUR</v>
      </c>
      <c r="E9" s="62" t="str">
        <f>NZ2050_industry_final_energy!H47</f>
        <v>elect_td_ind</v>
      </c>
      <c r="F9" s="62" t="str">
        <f>NZ2050_industry_final_energy!I47</f>
        <v>BLASTFUR with hydrogen</v>
      </c>
      <c r="G9" s="62">
        <f>NZ2050_industry_final_energy!J47</f>
        <v>0</v>
      </c>
      <c r="H9" s="62">
        <f>NZ2050_industry_final_energy!K47</f>
        <v>0</v>
      </c>
      <c r="I9" s="62">
        <f>NZ2050_industry_final_energy!L47</f>
        <v>0</v>
      </c>
      <c r="J9" s="62">
        <f>NZ2050_industry_final_energy!M47</f>
        <v>0</v>
      </c>
      <c r="K9" s="62">
        <f>NZ2050_industry_final_energy!N47</f>
        <v>0</v>
      </c>
      <c r="L9" s="62">
        <f>NZ2050_industry_final_energy!O47</f>
        <v>3.8309999999999997E-5</v>
      </c>
      <c r="M9" s="62">
        <f>NZ2050_industry_final_energy!P47</f>
        <v>1.60794199999999E-4</v>
      </c>
      <c r="N9" s="62">
        <f>NZ2050_industry_final_energy!Q47</f>
        <v>3.9586569999999999E-4</v>
      </c>
      <c r="O9" s="62">
        <f>NZ2050_industry_final_energy!R47</f>
        <v>5.8544612000000005E-4</v>
      </c>
      <c r="P9" s="62">
        <f>NZ2050_industry_final_energy!S47</f>
        <v>5.2935820000000002E-4</v>
      </c>
      <c r="Q9" s="62">
        <f>NZ2050_industry_final_energy!T47</f>
        <v>1.0788357E-4</v>
      </c>
      <c r="R9" s="93" t="s">
        <v>78</v>
      </c>
      <c r="U9" s="62" t="s">
        <v>38</v>
      </c>
      <c r="V9" s="62">
        <f t="shared" si="1"/>
        <v>5.7060879999999994E-2</v>
      </c>
      <c r="W9" s="62">
        <f t="shared" si="0"/>
        <v>5.2345056099999995E-2</v>
      </c>
      <c r="X9" s="62">
        <f t="shared" si="0"/>
        <v>5.6831930200000005E-2</v>
      </c>
      <c r="Y9" s="62">
        <f t="shared" si="0"/>
        <v>5.52587878E-2</v>
      </c>
      <c r="Z9" s="62">
        <f t="shared" si="0"/>
        <v>4.93028758E-2</v>
      </c>
      <c r="AA9" s="62">
        <f t="shared" si="0"/>
        <v>4.9787963899999996E-2</v>
      </c>
      <c r="AB9" s="62">
        <f t="shared" si="0"/>
        <v>5.4891183599999997E-2</v>
      </c>
      <c r="AC9" s="62">
        <f t="shared" si="0"/>
        <v>6.4957155000000003E-2</v>
      </c>
      <c r="AE9" s="9"/>
      <c r="AF9" s="62" t="s">
        <v>607</v>
      </c>
      <c r="AG9" s="62" t="s">
        <v>1</v>
      </c>
      <c r="AH9" s="62" t="s">
        <v>32</v>
      </c>
      <c r="AI9" s="62" t="s">
        <v>38</v>
      </c>
      <c r="AJ9" s="62" t="s">
        <v>32</v>
      </c>
      <c r="AK9" s="62" t="s">
        <v>38</v>
      </c>
      <c r="AL9" s="62">
        <v>8.42</v>
      </c>
      <c r="AM9" s="62">
        <v>10.5</v>
      </c>
      <c r="AN9" s="62">
        <v>12.4</v>
      </c>
      <c r="AO9" s="62">
        <v>10.6</v>
      </c>
      <c r="AP9" s="62">
        <v>9.77806</v>
      </c>
      <c r="AQ9" s="62">
        <v>11.061123</v>
      </c>
      <c r="AR9" s="62">
        <v>11.225959</v>
      </c>
      <c r="AS9" s="62">
        <v>10.39066</v>
      </c>
      <c r="AT9" s="62">
        <v>10.739789999999999</v>
      </c>
      <c r="AU9" s="62">
        <v>12.189919</v>
      </c>
      <c r="AV9" s="62">
        <v>14.813368000000001</v>
      </c>
      <c r="AW9" s="62" t="s">
        <v>636</v>
      </c>
    </row>
    <row r="10" spans="1:49">
      <c r="A10" s="62" t="str">
        <f>NZ2050_industry_final_energy!D48</f>
        <v>NZ2050,date=2022-3-7T01:15:47-015:00</v>
      </c>
      <c r="B10" s="62" t="str">
        <f>NZ2050_industry_final_energy!E48</f>
        <v>South Korea</v>
      </c>
      <c r="C10" s="62" t="str">
        <f>NZ2050_industry_final_energy!F48</f>
        <v>iron and steel</v>
      </c>
      <c r="D10" s="62" t="str">
        <f>NZ2050_industry_final_energy!G48</f>
        <v>BLASTFUR</v>
      </c>
      <c r="E10" s="62" t="str">
        <f>NZ2050_industry_final_energy!H48</f>
        <v>refined liquids industrial</v>
      </c>
      <c r="F10" s="62" t="str">
        <f>NZ2050_industry_final_energy!I48</f>
        <v>BLASTFUR</v>
      </c>
      <c r="G10" s="62">
        <f>NZ2050_industry_final_energy!J48</f>
        <v>3.2850000000000002E-4</v>
      </c>
      <c r="H10" s="62">
        <f>NZ2050_industry_final_energy!K48</f>
        <v>2.0024999999999999E-4</v>
      </c>
      <c r="I10" s="62">
        <f>NZ2050_industry_final_energy!L48</f>
        <v>1.0230000000000001E-4</v>
      </c>
      <c r="J10" s="62">
        <f>NZ2050_industry_final_energy!M48</f>
        <v>6.3050000000000001E-5</v>
      </c>
      <c r="K10" s="62">
        <f>NZ2050_industry_final_energy!N48</f>
        <v>5.9838389999999999E-5</v>
      </c>
      <c r="L10" s="62">
        <f>NZ2050_industry_final_energy!O48</f>
        <v>4.9331579999999999E-5</v>
      </c>
      <c r="M10" s="62">
        <f>NZ2050_industry_final_energy!P48</f>
        <v>3.224955E-5</v>
      </c>
      <c r="N10" s="62">
        <f>NZ2050_industry_final_energy!Q48</f>
        <v>1.730648E-5</v>
      </c>
      <c r="O10" s="62">
        <f>NZ2050_industry_final_energy!R48</f>
        <v>1.035985E-5</v>
      </c>
      <c r="P10" s="62">
        <f>NZ2050_industry_final_energy!S48</f>
        <v>4.647203E-6</v>
      </c>
      <c r="Q10" s="62">
        <f>NZ2050_industry_final_energy!T48</f>
        <v>2.5101118000000001E-7</v>
      </c>
      <c r="R10" s="93" t="s">
        <v>78</v>
      </c>
      <c r="V10" s="62">
        <f>SUM(V3:V9)</f>
        <v>1.1172044700000001</v>
      </c>
      <c r="W10" s="62">
        <f>SUM(W3:W9)</f>
        <v>1.0607636222900001</v>
      </c>
      <c r="X10" s="62">
        <f t="shared" ref="X10:AC10" si="2">SUM(X3:X9)</f>
        <v>0.99234758912499987</v>
      </c>
      <c r="Y10" s="62">
        <f t="shared" si="2"/>
        <v>0.82625640328900007</v>
      </c>
      <c r="Z10" s="62">
        <f t="shared" si="2"/>
        <v>0.70689601687829873</v>
      </c>
      <c r="AA10" s="62">
        <f t="shared" si="2"/>
        <v>0.68878960889379981</v>
      </c>
      <c r="AB10" s="62">
        <f t="shared" si="2"/>
        <v>0.69138293964199993</v>
      </c>
      <c r="AC10" s="62">
        <f t="shared" si="2"/>
        <v>0.6902896598538798</v>
      </c>
      <c r="AE10" s="9"/>
      <c r="AL10" s="62">
        <f>SUM(AL3:AL9)</f>
        <v>39.340000000000003</v>
      </c>
      <c r="AM10" s="62">
        <f t="shared" ref="AM10:AV10" si="3">SUM(AM3:AM9)</f>
        <v>47.7</v>
      </c>
      <c r="AN10" s="62">
        <f t="shared" si="3"/>
        <v>58.9</v>
      </c>
      <c r="AO10" s="62">
        <f t="shared" si="3"/>
        <v>69.7</v>
      </c>
      <c r="AP10" s="62">
        <f t="shared" si="3"/>
        <v>66.445729999999998</v>
      </c>
      <c r="AQ10" s="62">
        <f t="shared" si="3"/>
        <v>67.481464700000004</v>
      </c>
      <c r="AR10" s="62">
        <f t="shared" si="3"/>
        <v>61.639272300000002</v>
      </c>
      <c r="AS10" s="62">
        <f t="shared" si="3"/>
        <v>56.571302799999884</v>
      </c>
      <c r="AT10" s="62">
        <f t="shared" si="3"/>
        <v>56.471548999999897</v>
      </c>
      <c r="AU10" s="62">
        <f t="shared" si="3"/>
        <v>58.224864299999879</v>
      </c>
      <c r="AV10" s="62">
        <f t="shared" si="3"/>
        <v>59.836765009999894</v>
      </c>
    </row>
    <row r="11" spans="1:49">
      <c r="A11" s="62" t="str">
        <f>NZ2050_industry_final_energy!D49</f>
        <v>NZ2050,date=2022-3-7T01:15:47-015:00</v>
      </c>
      <c r="B11" s="62" t="str">
        <f>NZ2050_industry_final_energy!E49</f>
        <v>South Korea</v>
      </c>
      <c r="C11" s="62" t="str">
        <f>NZ2050_industry_final_energy!F49</f>
        <v>iron and steel</v>
      </c>
      <c r="D11" s="62" t="str">
        <f>NZ2050_industry_final_energy!G49</f>
        <v>BLASTFUR</v>
      </c>
      <c r="E11" s="62" t="str">
        <f>NZ2050_industry_final_energy!H49</f>
        <v>refined liquids industrial</v>
      </c>
      <c r="F11" s="62" t="str">
        <f>NZ2050_industry_final_energy!I49</f>
        <v>BLASTFUR CCS</v>
      </c>
      <c r="G11" s="62">
        <f>NZ2050_industry_final_energy!J49</f>
        <v>0</v>
      </c>
      <c r="H11" s="62">
        <f>NZ2050_industry_final_energy!K49</f>
        <v>0</v>
      </c>
      <c r="I11" s="62">
        <f>NZ2050_industry_final_energy!L49</f>
        <v>0</v>
      </c>
      <c r="J11" s="62">
        <f>NZ2050_industry_final_energy!M49</f>
        <v>0</v>
      </c>
      <c r="K11" s="62">
        <f>NZ2050_industry_final_energy!N49</f>
        <v>0</v>
      </c>
      <c r="L11" s="62">
        <f>NZ2050_industry_final_energy!O49</f>
        <v>1.39615E-7</v>
      </c>
      <c r="M11" s="62">
        <f>NZ2050_industry_final_energy!P49</f>
        <v>6.7353399999999997E-7</v>
      </c>
      <c r="N11" s="62">
        <f>NZ2050_industry_final_energy!Q49</f>
        <v>2.0842553000000002E-6</v>
      </c>
      <c r="O11" s="62">
        <f>NZ2050_industry_final_energy!R49</f>
        <v>3.7465897000000002E-6</v>
      </c>
      <c r="P11" s="62">
        <f>NZ2050_industry_final_energy!S49</f>
        <v>5.426006E-6</v>
      </c>
      <c r="Q11" s="62">
        <f>NZ2050_industry_final_energy!T49</f>
        <v>5.169722E-6</v>
      </c>
      <c r="R11" s="93" t="s">
        <v>78</v>
      </c>
      <c r="AE11" s="9"/>
    </row>
    <row r="12" spans="1:49">
      <c r="A12" s="62" t="str">
        <f>NZ2050_industry_final_energy!D50</f>
        <v>NZ2050,date=2022-3-7T01:15:47-015:00</v>
      </c>
      <c r="B12" s="62" t="str">
        <f>NZ2050_industry_final_energy!E50</f>
        <v>South Korea</v>
      </c>
      <c r="C12" s="62" t="str">
        <f>NZ2050_industry_final_energy!F50</f>
        <v>iron and steel</v>
      </c>
      <c r="D12" s="62" t="str">
        <f>NZ2050_industry_final_energy!G50</f>
        <v>BLASTFUR</v>
      </c>
      <c r="E12" s="62" t="str">
        <f>NZ2050_industry_final_energy!H50</f>
        <v>refined liquids industrial</v>
      </c>
      <c r="F12" s="62" t="str">
        <f>NZ2050_industry_final_energy!I50</f>
        <v>BLASTFUR with hydrogen</v>
      </c>
      <c r="G12" s="62">
        <f>NZ2050_industry_final_energy!J50</f>
        <v>0</v>
      </c>
      <c r="H12" s="62">
        <f>NZ2050_industry_final_energy!K50</f>
        <v>0</v>
      </c>
      <c r="I12" s="62">
        <f>NZ2050_industry_final_energy!L50</f>
        <v>0</v>
      </c>
      <c r="J12" s="62">
        <f>NZ2050_industry_final_energy!M50</f>
        <v>0</v>
      </c>
      <c r="K12" s="62">
        <f>NZ2050_industry_final_energy!N50</f>
        <v>0</v>
      </c>
      <c r="L12" s="62">
        <f>NZ2050_industry_final_energy!O50</f>
        <v>6.9883300000000005E-7</v>
      </c>
      <c r="M12" s="62">
        <f>NZ2050_industry_final_energy!P50</f>
        <v>2.9331369999999999E-6</v>
      </c>
      <c r="N12" s="62">
        <f>NZ2050_industry_final_energy!Q50</f>
        <v>7.2212079999999998E-6</v>
      </c>
      <c r="O12" s="62">
        <f>NZ2050_industry_final_energy!R50</f>
        <v>1.06794329999999E-5</v>
      </c>
      <c r="P12" s="62">
        <f>NZ2050_industry_final_energy!S50</f>
        <v>9.6562829999999995E-6</v>
      </c>
      <c r="Q12" s="62">
        <f>NZ2050_industry_final_energy!T50</f>
        <v>1.96796069999999E-6</v>
      </c>
      <c r="R12" s="93" t="s">
        <v>78</v>
      </c>
      <c r="AE12" s="9"/>
      <c r="AF12" s="62" t="s">
        <v>639</v>
      </c>
    </row>
    <row r="13" spans="1:49">
      <c r="A13" s="62" t="str">
        <f>NZ2050_industry_final_energy!D51</f>
        <v>NZ2050,date=2022-3-7T01:15:47-015:00</v>
      </c>
      <c r="B13" s="62" t="str">
        <f>NZ2050_industry_final_energy!E51</f>
        <v>South Korea</v>
      </c>
      <c r="C13" s="62" t="str">
        <f>NZ2050_industry_final_energy!F51</f>
        <v>iron and steel</v>
      </c>
      <c r="D13" s="62" t="str">
        <f>NZ2050_industry_final_energy!G51</f>
        <v>BLASTFUR</v>
      </c>
      <c r="E13" s="62" t="str">
        <f>NZ2050_industry_final_energy!H51</f>
        <v>wholesale gas</v>
      </c>
      <c r="F13" s="62" t="str">
        <f>NZ2050_industry_final_energy!I51</f>
        <v>BLASTFUR</v>
      </c>
      <c r="G13" s="62">
        <f>NZ2050_industry_final_energy!J51</f>
        <v>0</v>
      </c>
      <c r="H13" s="62">
        <f>NZ2050_industry_final_energy!K51</f>
        <v>6.6749999999999996E-5</v>
      </c>
      <c r="I13" s="62">
        <f>NZ2050_industry_final_energy!L51</f>
        <v>1.2957999999999999E-4</v>
      </c>
      <c r="J13" s="62">
        <f>NZ2050_industry_final_energy!M51</f>
        <v>2.0369999999999999E-4</v>
      </c>
      <c r="K13" s="62">
        <f>NZ2050_industry_final_energy!N51</f>
        <v>1.9332379999999999E-4</v>
      </c>
      <c r="L13" s="62">
        <f>NZ2050_industry_final_energy!O51</f>
        <v>1.5937939999999999E-4</v>
      </c>
      <c r="M13" s="62">
        <f>NZ2050_industry_final_energy!P51</f>
        <v>1.041909E-4</v>
      </c>
      <c r="N13" s="62">
        <f>NZ2050_industry_final_energy!Q51</f>
        <v>5.5913189999999998E-5</v>
      </c>
      <c r="O13" s="62">
        <f>NZ2050_industry_final_energy!R51</f>
        <v>3.3470299999999997E-5</v>
      </c>
      <c r="P13" s="62">
        <f>NZ2050_industry_final_energy!S51</f>
        <v>1.501402E-5</v>
      </c>
      <c r="Q13" s="62">
        <f>NZ2050_industry_final_energy!T51</f>
        <v>8.1095929999999905E-7</v>
      </c>
      <c r="R13" s="93" t="s">
        <v>78</v>
      </c>
      <c r="AE13" s="9"/>
      <c r="AG13" s="62">
        <f>AO2</f>
        <v>2015</v>
      </c>
      <c r="AH13" s="62">
        <f t="shared" ref="AH13:AL13" si="4">AP2</f>
        <v>2020</v>
      </c>
      <c r="AI13" s="62">
        <f t="shared" si="4"/>
        <v>2025</v>
      </c>
      <c r="AJ13" s="62">
        <f t="shared" si="4"/>
        <v>2030</v>
      </c>
      <c r="AK13" s="62">
        <f t="shared" si="4"/>
        <v>2035</v>
      </c>
      <c r="AL13" s="62">
        <f t="shared" si="4"/>
        <v>2040</v>
      </c>
      <c r="AM13" s="62">
        <f>AU2</f>
        <v>2045</v>
      </c>
      <c r="AN13" s="62">
        <f t="shared" ref="AN13" si="5">AV2</f>
        <v>2050</v>
      </c>
    </row>
    <row r="14" spans="1:49">
      <c r="A14" s="62" t="str">
        <f>NZ2050_industry_final_energy!D52</f>
        <v>NZ2050,date=2022-3-7T01:15:47-015:00</v>
      </c>
      <c r="B14" s="62" t="str">
        <f>NZ2050_industry_final_energy!E52</f>
        <v>South Korea</v>
      </c>
      <c r="C14" s="62" t="str">
        <f>NZ2050_industry_final_energy!F52</f>
        <v>iron and steel</v>
      </c>
      <c r="D14" s="62" t="str">
        <f>NZ2050_industry_final_energy!G52</f>
        <v>BLASTFUR</v>
      </c>
      <c r="E14" s="62" t="str">
        <f>NZ2050_industry_final_energy!H52</f>
        <v>wholesale gas</v>
      </c>
      <c r="F14" s="62" t="str">
        <f>NZ2050_industry_final_energy!I52</f>
        <v>BLASTFUR CCS</v>
      </c>
      <c r="G14" s="62">
        <f>NZ2050_industry_final_energy!J52</f>
        <v>0</v>
      </c>
      <c r="H14" s="62">
        <f>NZ2050_industry_final_energy!K52</f>
        <v>0</v>
      </c>
      <c r="I14" s="62">
        <f>NZ2050_industry_final_energy!L52</f>
        <v>0</v>
      </c>
      <c r="J14" s="62">
        <f>NZ2050_industry_final_energy!M52</f>
        <v>0</v>
      </c>
      <c r="K14" s="62">
        <f>NZ2050_industry_final_energy!N52</f>
        <v>0</v>
      </c>
      <c r="L14" s="62">
        <f>NZ2050_industry_final_energy!O52</f>
        <v>4.5106400000000002E-7</v>
      </c>
      <c r="M14" s="62">
        <f>NZ2050_industry_final_energy!P52</f>
        <v>2.1760309999999998E-6</v>
      </c>
      <c r="N14" s="62">
        <f>NZ2050_industry_final_energy!Q52</f>
        <v>6.733737E-6</v>
      </c>
      <c r="O14" s="62">
        <f>NZ2050_industry_final_energy!R52</f>
        <v>1.21043681E-5</v>
      </c>
      <c r="P14" s="62">
        <f>NZ2050_industry_final_energy!S52</f>
        <v>1.7530146999999999E-5</v>
      </c>
      <c r="Q14" s="62">
        <f>NZ2050_industry_final_energy!T52</f>
        <v>1.6702169999999999E-5</v>
      </c>
      <c r="R14" s="93" t="s">
        <v>78</v>
      </c>
      <c r="AE14" s="9"/>
      <c r="AF14" s="62" t="s">
        <v>33</v>
      </c>
      <c r="AG14" s="62">
        <f t="shared" ref="AG14:AG19" si="6">AO3</f>
        <v>48.5</v>
      </c>
      <c r="AH14" s="62">
        <f t="shared" ref="AH14:AH19" si="7">AP3</f>
        <v>46.354930000000003</v>
      </c>
      <c r="AI14" s="62">
        <f t="shared" ref="AI14:AI19" si="8">AQ3</f>
        <v>39.105150000000002</v>
      </c>
      <c r="AJ14" s="62">
        <f t="shared" ref="AJ14:AJ19" si="9">AR3</f>
        <v>26.47278</v>
      </c>
      <c r="AK14" s="62">
        <f t="shared" ref="AK14:AK19" si="10">AS3</f>
        <v>14.954049999999899</v>
      </c>
      <c r="AL14" s="62">
        <f t="shared" ref="AL14:AM19" si="11">AT3</f>
        <v>9.1141299999999994</v>
      </c>
      <c r="AM14" s="62">
        <f t="shared" si="11"/>
        <v>4.164676</v>
      </c>
      <c r="AN14" s="62">
        <f t="shared" ref="AN14:AN19" si="12">AV3</f>
        <v>0.22938305</v>
      </c>
    </row>
    <row r="15" spans="1:49">
      <c r="A15" s="62" t="str">
        <f>NZ2050_industry_final_energy!D53</f>
        <v>NZ2050,date=2022-3-7T01:15:47-015:00</v>
      </c>
      <c r="B15" s="62" t="str">
        <f>NZ2050_industry_final_energy!E53</f>
        <v>South Korea</v>
      </c>
      <c r="C15" s="62" t="str">
        <f>NZ2050_industry_final_energy!F53</f>
        <v>iron and steel</v>
      </c>
      <c r="D15" s="62" t="str">
        <f>NZ2050_industry_final_energy!G53</f>
        <v>BLASTFUR</v>
      </c>
      <c r="E15" s="62" t="str">
        <f>NZ2050_industry_final_energy!H53</f>
        <v>wholesale gas</v>
      </c>
      <c r="F15" s="62" t="str">
        <f>NZ2050_industry_final_energy!I53</f>
        <v>BLASTFUR with hydrogen</v>
      </c>
      <c r="G15" s="62">
        <f>NZ2050_industry_final_energy!J53</f>
        <v>0</v>
      </c>
      <c r="H15" s="62">
        <f>NZ2050_industry_final_energy!K53</f>
        <v>0</v>
      </c>
      <c r="I15" s="62">
        <f>NZ2050_industry_final_energy!L53</f>
        <v>0</v>
      </c>
      <c r="J15" s="62">
        <f>NZ2050_industry_final_energy!M53</f>
        <v>0</v>
      </c>
      <c r="K15" s="62">
        <f>NZ2050_industry_final_energy!N53</f>
        <v>0</v>
      </c>
      <c r="L15" s="62">
        <f>NZ2050_industry_final_energy!O53</f>
        <v>6.9883300000000005E-7</v>
      </c>
      <c r="M15" s="62">
        <f>NZ2050_industry_final_energy!P53</f>
        <v>2.9331369999999999E-6</v>
      </c>
      <c r="N15" s="62">
        <f>NZ2050_industry_final_energy!Q53</f>
        <v>7.2212079999999998E-6</v>
      </c>
      <c r="O15" s="62">
        <f>NZ2050_industry_final_energy!R53</f>
        <v>1.06794329999999E-5</v>
      </c>
      <c r="P15" s="62">
        <f>NZ2050_industry_final_energy!S53</f>
        <v>9.6562829999999995E-6</v>
      </c>
      <c r="Q15" s="62">
        <f>NZ2050_industry_final_energy!T53</f>
        <v>1.96796069999999E-6</v>
      </c>
      <c r="R15" s="93" t="s">
        <v>78</v>
      </c>
      <c r="AE15" s="9"/>
      <c r="AF15" s="62" t="s">
        <v>79</v>
      </c>
      <c r="AG15" s="62">
        <f t="shared" si="6"/>
        <v>0</v>
      </c>
      <c r="AH15" s="62">
        <f t="shared" si="7"/>
        <v>0</v>
      </c>
      <c r="AI15" s="62">
        <f t="shared" si="8"/>
        <v>0.118632</v>
      </c>
      <c r="AJ15" s="62">
        <f t="shared" si="9"/>
        <v>0.58431690000000003</v>
      </c>
      <c r="AK15" s="62">
        <f t="shared" si="10"/>
        <v>1.8484881</v>
      </c>
      <c r="AL15" s="62">
        <f t="shared" si="11"/>
        <v>3.3879937999999998</v>
      </c>
      <c r="AM15" s="62">
        <f t="shared" ref="AM15:AM19" si="13">AU4</f>
        <v>5.0107558999999897</v>
      </c>
      <c r="AN15" s="62">
        <f t="shared" si="12"/>
        <v>4.8522650000000001</v>
      </c>
    </row>
    <row r="16" spans="1:49">
      <c r="A16" s="62" t="str">
        <f>NZ2050_industry_final_energy!D54</f>
        <v>NZ2050,date=2022-3-7T01:15:47-015:00</v>
      </c>
      <c r="B16" s="62" t="str">
        <f>NZ2050_industry_final_energy!E54</f>
        <v>South Korea</v>
      </c>
      <c r="C16" s="62" t="str">
        <f>NZ2050_industry_final_energy!F54</f>
        <v>iron and steel</v>
      </c>
      <c r="D16" s="62" t="str">
        <f>NZ2050_industry_final_energy!G54</f>
        <v>EAF with DRI</v>
      </c>
      <c r="E16" s="62" t="str">
        <f>NZ2050_industry_final_energy!H54</f>
        <v>H2 enduse</v>
      </c>
      <c r="F16" s="62" t="str">
        <f>NZ2050_industry_final_energy!I54</f>
        <v>Hydrogen-based DRI</v>
      </c>
      <c r="G16" s="62">
        <f>NZ2050_industry_final_energy!J54</f>
        <v>0</v>
      </c>
      <c r="H16" s="62">
        <f>NZ2050_industry_final_energy!K54</f>
        <v>0</v>
      </c>
      <c r="I16" s="62">
        <f>NZ2050_industry_final_energy!L54</f>
        <v>0</v>
      </c>
      <c r="J16" s="62">
        <f>NZ2050_industry_final_energy!M54</f>
        <v>0</v>
      </c>
      <c r="K16" s="62">
        <f>NZ2050_industry_final_energy!N54</f>
        <v>0</v>
      </c>
      <c r="L16" s="62">
        <f>NZ2050_industry_final_energy!O54</f>
        <v>0</v>
      </c>
      <c r="M16" s="62">
        <f>NZ2050_industry_final_energy!P54</f>
        <v>2.60675E-2</v>
      </c>
      <c r="N16" s="62">
        <f>NZ2050_industry_final_energy!Q54</f>
        <v>7.7773299999999906E-2</v>
      </c>
      <c r="O16" s="62">
        <f>NZ2050_industry_final_energy!R54</f>
        <v>0.12974160000000001</v>
      </c>
      <c r="P16" s="62">
        <f>NZ2050_industry_final_energy!S54</f>
        <v>0.19579004999999999</v>
      </c>
      <c r="Q16" s="62">
        <f>NZ2050_industry_final_energy!T54</f>
        <v>0.28995110000000002</v>
      </c>
      <c r="R16" s="93" t="s">
        <v>78</v>
      </c>
      <c r="AE16" s="9"/>
      <c r="AF16" s="62" t="s">
        <v>34</v>
      </c>
      <c r="AG16" s="62">
        <f t="shared" si="6"/>
        <v>0</v>
      </c>
      <c r="AH16" s="62">
        <f t="shared" si="7"/>
        <v>0</v>
      </c>
      <c r="AI16" s="62">
        <f t="shared" si="8"/>
        <v>7.7194700000000005E-2</v>
      </c>
      <c r="AJ16" s="62">
        <f t="shared" si="9"/>
        <v>0.33059139999999998</v>
      </c>
      <c r="AK16" s="62">
        <f t="shared" si="10"/>
        <v>0.83098669999999997</v>
      </c>
      <c r="AL16" s="62">
        <f t="shared" si="11"/>
        <v>1.2516788000000001</v>
      </c>
      <c r="AM16" s="62">
        <f t="shared" si="13"/>
        <v>1.1478173999999901</v>
      </c>
      <c r="AN16" s="62">
        <f t="shared" si="12"/>
        <v>0.23623796</v>
      </c>
    </row>
    <row r="17" spans="1:40">
      <c r="A17" s="62" t="str">
        <f>NZ2050_industry_final_energy!D55</f>
        <v>NZ2050,date=2022-3-7T01:15:47-015:00</v>
      </c>
      <c r="B17" s="62" t="str">
        <f>NZ2050_industry_final_energy!E55</f>
        <v>South Korea</v>
      </c>
      <c r="C17" s="62" t="str">
        <f>NZ2050_industry_final_energy!F55</f>
        <v>iron and steel</v>
      </c>
      <c r="D17" s="62" t="str">
        <f>NZ2050_industry_final_energy!G55</f>
        <v>EAF with DRI</v>
      </c>
      <c r="E17" s="62" t="str">
        <f>NZ2050_industry_final_energy!H55</f>
        <v>delivered coal</v>
      </c>
      <c r="F17" s="62" t="str">
        <f>NZ2050_industry_final_energy!I55</f>
        <v>EAF with DRI</v>
      </c>
      <c r="G17" s="62">
        <f>NZ2050_industry_final_energy!J55</f>
        <v>1.2028799999999999E-2</v>
      </c>
      <c r="H17" s="62">
        <f>NZ2050_industry_final_energy!K55</f>
        <v>0</v>
      </c>
      <c r="I17" s="62">
        <f>NZ2050_industry_final_energy!L55</f>
        <v>0</v>
      </c>
      <c r="J17" s="62">
        <f>NZ2050_industry_final_energy!M55</f>
        <v>2.5251300000000001E-2</v>
      </c>
      <c r="K17" s="62">
        <f>NZ2050_industry_final_energy!N55</f>
        <v>2.4374779999999999E-2</v>
      </c>
      <c r="L17" s="62">
        <f>NZ2050_industry_final_energy!O55</f>
        <v>3.7583239999999997E-2</v>
      </c>
      <c r="M17" s="62">
        <f>NZ2050_industry_final_energy!P55</f>
        <v>4.3173589999999998E-2</v>
      </c>
      <c r="N17" s="62">
        <f>NZ2050_industry_final_energy!Q55</f>
        <v>4.2535631999999997E-2</v>
      </c>
      <c r="O17" s="62">
        <f>NZ2050_industry_final_energy!R55</f>
        <v>3.7145440000000002E-2</v>
      </c>
      <c r="P17" s="62">
        <f>NZ2050_industry_final_energy!S55</f>
        <v>2.854932E-2</v>
      </c>
      <c r="Q17" s="62">
        <f>NZ2050_industry_final_energy!T55</f>
        <v>1.5839039999999999E-2</v>
      </c>
      <c r="R17" s="93" t="s">
        <v>78</v>
      </c>
      <c r="AE17" s="9"/>
      <c r="AF17" s="62" t="s">
        <v>36</v>
      </c>
      <c r="AG17" s="62">
        <f t="shared" si="6"/>
        <v>10.6</v>
      </c>
      <c r="AH17" s="62">
        <f t="shared" si="7"/>
        <v>10.31274</v>
      </c>
      <c r="AI17" s="62">
        <f t="shared" si="8"/>
        <v>16.804310000000001</v>
      </c>
      <c r="AJ17" s="62">
        <f t="shared" si="9"/>
        <v>19.995266999999998</v>
      </c>
      <c r="AK17" s="62">
        <f t="shared" si="10"/>
        <v>20.256753</v>
      </c>
      <c r="AL17" s="62">
        <f t="shared" si="11"/>
        <v>18.034109999999998</v>
      </c>
      <c r="AM17" s="62">
        <f t="shared" si="13"/>
        <v>14.193439999999899</v>
      </c>
      <c r="AN17" s="62">
        <f t="shared" si="12"/>
        <v>7.99898799999999</v>
      </c>
    </row>
    <row r="18" spans="1:40">
      <c r="A18" s="62" t="str">
        <f>NZ2050_industry_final_energy!D56</f>
        <v>NZ2050,date=2022-3-7T01:15:47-015:00</v>
      </c>
      <c r="B18" s="62" t="str">
        <f>NZ2050_industry_final_energy!E56</f>
        <v>South Korea</v>
      </c>
      <c r="C18" s="62" t="str">
        <f>NZ2050_industry_final_energy!F56</f>
        <v>iron and steel</v>
      </c>
      <c r="D18" s="62" t="str">
        <f>NZ2050_industry_final_energy!G56</f>
        <v>EAF with DRI</v>
      </c>
      <c r="E18" s="62" t="str">
        <f>NZ2050_industry_final_energy!H56</f>
        <v>delivered coal</v>
      </c>
      <c r="F18" s="62" t="str">
        <f>NZ2050_industry_final_energy!I56</f>
        <v>EAF with DRI CCS</v>
      </c>
      <c r="G18" s="62">
        <f>NZ2050_industry_final_energy!J56</f>
        <v>0</v>
      </c>
      <c r="H18" s="62">
        <f>NZ2050_industry_final_energy!K56</f>
        <v>0</v>
      </c>
      <c r="I18" s="62">
        <f>NZ2050_industry_final_energy!L56</f>
        <v>0</v>
      </c>
      <c r="J18" s="62">
        <f>NZ2050_industry_final_energy!M56</f>
        <v>0</v>
      </c>
      <c r="K18" s="62">
        <f>NZ2050_industry_final_energy!N56</f>
        <v>0</v>
      </c>
      <c r="L18" s="62">
        <f>NZ2050_industry_final_energy!O56</f>
        <v>6.7944000000000001E-4</v>
      </c>
      <c r="M18" s="62">
        <f>NZ2050_industry_final_energy!P56</f>
        <v>2.0663309999999998E-3</v>
      </c>
      <c r="N18" s="62">
        <f>NZ2050_industry_final_energy!Q56</f>
        <v>4.2469969999999998E-3</v>
      </c>
      <c r="O18" s="62">
        <f>NZ2050_industry_final_energy!R56</f>
        <v>6.7832799999999896E-3</v>
      </c>
      <c r="P18" s="62">
        <f>NZ2050_industry_final_energy!S56</f>
        <v>1.0216975E-2</v>
      </c>
      <c r="Q18" s="62">
        <f>NZ2050_industry_final_energy!T56</f>
        <v>1.3285170000000001E-2</v>
      </c>
      <c r="R18" s="93" t="s">
        <v>78</v>
      </c>
      <c r="AE18" s="9"/>
      <c r="AF18" s="62" t="s">
        <v>80</v>
      </c>
      <c r="AG18" s="62">
        <f t="shared" si="6"/>
        <v>0</v>
      </c>
      <c r="AH18" s="62">
        <f t="shared" si="7"/>
        <v>0</v>
      </c>
      <c r="AI18" s="62">
        <f t="shared" si="8"/>
        <v>0.31505499999999997</v>
      </c>
      <c r="AJ18" s="62">
        <f t="shared" si="9"/>
        <v>0.97584799999999905</v>
      </c>
      <c r="AK18" s="62">
        <f t="shared" si="10"/>
        <v>2.0471550000000001</v>
      </c>
      <c r="AL18" s="62">
        <f t="shared" si="11"/>
        <v>3.3400264000000002</v>
      </c>
      <c r="AM18" s="62">
        <f t="shared" si="13"/>
        <v>5.152711</v>
      </c>
      <c r="AN18" s="62">
        <f t="shared" si="12"/>
        <v>6.8535750000000002</v>
      </c>
    </row>
    <row r="19" spans="1:40">
      <c r="A19" s="62" t="str">
        <f>NZ2050_industry_final_energy!D57</f>
        <v>NZ2050,date=2022-3-7T01:15:47-015:00</v>
      </c>
      <c r="B19" s="62" t="str">
        <f>NZ2050_industry_final_energy!E57</f>
        <v>South Korea</v>
      </c>
      <c r="C19" s="62" t="str">
        <f>NZ2050_industry_final_energy!F57</f>
        <v>iron and steel</v>
      </c>
      <c r="D19" s="62" t="str">
        <f>NZ2050_industry_final_energy!G57</f>
        <v>EAF with DRI</v>
      </c>
      <c r="E19" s="62" t="str">
        <f>NZ2050_industry_final_energy!H57</f>
        <v>elect_td_ind</v>
      </c>
      <c r="F19" s="62" t="str">
        <f>NZ2050_industry_final_energy!I57</f>
        <v>EAF with DRI</v>
      </c>
      <c r="G19" s="62">
        <f>NZ2050_industry_final_energy!J57</f>
        <v>1.1003300000000001E-2</v>
      </c>
      <c r="H19" s="62">
        <f>NZ2050_industry_final_energy!K57</f>
        <v>4.8056399999999999E-2</v>
      </c>
      <c r="I19" s="62">
        <f>NZ2050_industry_final_energy!L57</f>
        <v>5.3370800000000003E-2</v>
      </c>
      <c r="J19" s="62">
        <f>NZ2050_industry_final_energy!M57</f>
        <v>4.7853699999999999E-2</v>
      </c>
      <c r="K19" s="62">
        <f>NZ2050_industry_final_energy!N57</f>
        <v>4.619268E-2</v>
      </c>
      <c r="L19" s="62">
        <f>NZ2050_industry_final_energy!O57</f>
        <v>7.1223930000000005E-2</v>
      </c>
      <c r="M19" s="62">
        <f>NZ2050_industry_final_energy!P57</f>
        <v>8.1818100000000005E-2</v>
      </c>
      <c r="N19" s="62">
        <f>NZ2050_industry_final_energy!Q57</f>
        <v>8.0608949999999999E-2</v>
      </c>
      <c r="O19" s="62">
        <f>NZ2050_industry_final_energy!R57</f>
        <v>7.0394309999999904E-2</v>
      </c>
      <c r="P19" s="62">
        <f>NZ2050_industry_final_energy!S57</f>
        <v>5.4103779999999997E-2</v>
      </c>
      <c r="Q19" s="62">
        <f>NZ2050_industry_final_energy!T57</f>
        <v>3.001653E-2</v>
      </c>
      <c r="R19" s="93" t="s">
        <v>78</v>
      </c>
      <c r="AE19" s="9"/>
      <c r="AF19" s="62" t="s">
        <v>37</v>
      </c>
      <c r="AG19" s="62">
        <f t="shared" si="6"/>
        <v>0</v>
      </c>
      <c r="AH19" s="62">
        <f t="shared" si="7"/>
        <v>0</v>
      </c>
      <c r="AI19" s="62">
        <f t="shared" si="8"/>
        <v>0</v>
      </c>
      <c r="AJ19" s="62">
        <f t="shared" si="9"/>
        <v>2.0545100000000001</v>
      </c>
      <c r="AK19" s="62">
        <f t="shared" si="10"/>
        <v>6.2432099999999897</v>
      </c>
      <c r="AL19" s="62">
        <f t="shared" si="11"/>
        <v>10.603819999999899</v>
      </c>
      <c r="AM19" s="62">
        <f t="shared" si="13"/>
        <v>16.365545000000001</v>
      </c>
      <c r="AN19" s="62">
        <f t="shared" si="12"/>
        <v>24.852947999999898</v>
      </c>
    </row>
    <row r="20" spans="1:40">
      <c r="A20" s="62" t="str">
        <f>NZ2050_industry_final_energy!D58</f>
        <v>NZ2050,date=2022-3-7T01:15:47-015:00</v>
      </c>
      <c r="B20" s="62" t="str">
        <f>NZ2050_industry_final_energy!E58</f>
        <v>South Korea</v>
      </c>
      <c r="C20" s="62" t="str">
        <f>NZ2050_industry_final_energy!F58</f>
        <v>iron and steel</v>
      </c>
      <c r="D20" s="62" t="str">
        <f>NZ2050_industry_final_energy!G58</f>
        <v>EAF with DRI</v>
      </c>
      <c r="E20" s="62" t="str">
        <f>NZ2050_industry_final_energy!H58</f>
        <v>elect_td_ind</v>
      </c>
      <c r="F20" s="62" t="str">
        <f>NZ2050_industry_final_energy!I58</f>
        <v>EAF with DRI CCS</v>
      </c>
      <c r="G20" s="62">
        <f>NZ2050_industry_final_energy!J58</f>
        <v>0</v>
      </c>
      <c r="H20" s="62">
        <f>NZ2050_industry_final_energy!K58</f>
        <v>0</v>
      </c>
      <c r="I20" s="62">
        <f>NZ2050_industry_final_energy!L58</f>
        <v>0</v>
      </c>
      <c r="J20" s="62">
        <f>NZ2050_industry_final_energy!M58</f>
        <v>0</v>
      </c>
      <c r="K20" s="62">
        <f>NZ2050_industry_final_energy!N58</f>
        <v>0</v>
      </c>
      <c r="L20" s="62">
        <f>NZ2050_industry_final_energy!O58</f>
        <v>1.28761E-3</v>
      </c>
      <c r="M20" s="62">
        <f>NZ2050_industry_final_energy!P58</f>
        <v>3.91589E-3</v>
      </c>
      <c r="N20" s="62">
        <f>NZ2050_industry_final_energy!Q58</f>
        <v>8.0484619999999993E-3</v>
      </c>
      <c r="O20" s="62">
        <f>NZ2050_industry_final_energy!R58</f>
        <v>1.2854983E-2</v>
      </c>
      <c r="P20" s="62">
        <f>NZ2050_industry_final_energy!S58</f>
        <v>1.9362132000000001E-2</v>
      </c>
      <c r="Q20" s="62">
        <f>NZ2050_industry_final_energy!T58</f>
        <v>2.5176693E-2</v>
      </c>
      <c r="R20" s="93" t="s">
        <v>78</v>
      </c>
      <c r="AE20" s="9"/>
      <c r="AF20" s="62" t="s">
        <v>38</v>
      </c>
      <c r="AG20" s="62">
        <f t="shared" ref="AG20" si="14">AO9</f>
        <v>10.6</v>
      </c>
      <c r="AH20" s="62">
        <f t="shared" ref="AH20" si="15">AP9</f>
        <v>9.77806</v>
      </c>
      <c r="AI20" s="62">
        <f t="shared" ref="AI20" si="16">AQ9</f>
        <v>11.061123</v>
      </c>
      <c r="AJ20" s="62">
        <f t="shared" ref="AJ20" si="17">AR9</f>
        <v>11.225959</v>
      </c>
      <c r="AK20" s="62">
        <f t="shared" ref="AK20" si="18">AS9</f>
        <v>10.39066</v>
      </c>
      <c r="AL20" s="62">
        <f t="shared" ref="AL20" si="19">AT9</f>
        <v>10.739789999999999</v>
      </c>
      <c r="AM20" s="62">
        <f t="shared" ref="AM20" si="20">AU9</f>
        <v>12.189919</v>
      </c>
      <c r="AN20" s="62">
        <f t="shared" ref="AN20" si="21">AV9</f>
        <v>14.813368000000001</v>
      </c>
    </row>
    <row r="21" spans="1:40">
      <c r="A21" s="62" t="str">
        <f>NZ2050_industry_final_energy!D59</f>
        <v>NZ2050,date=2022-3-7T01:15:47-015:00</v>
      </c>
      <c r="B21" s="62" t="str">
        <f>NZ2050_industry_final_energy!E59</f>
        <v>South Korea</v>
      </c>
      <c r="C21" s="62" t="str">
        <f>NZ2050_industry_final_energy!F59</f>
        <v>iron and steel</v>
      </c>
      <c r="D21" s="62" t="str">
        <f>NZ2050_industry_final_energy!G59</f>
        <v>EAF with DRI</v>
      </c>
      <c r="E21" s="62" t="str">
        <f>NZ2050_industry_final_energy!H59</f>
        <v>elect_td_ind</v>
      </c>
      <c r="F21" s="62" t="str">
        <f>NZ2050_industry_final_energy!I59</f>
        <v>Hydrogen-based DRI</v>
      </c>
      <c r="G21" s="62">
        <f>NZ2050_industry_final_energy!J59</f>
        <v>0</v>
      </c>
      <c r="H21" s="62">
        <f>NZ2050_industry_final_energy!K59</f>
        <v>0</v>
      </c>
      <c r="I21" s="62">
        <f>NZ2050_industry_final_energy!L59</f>
        <v>0</v>
      </c>
      <c r="J21" s="62">
        <f>NZ2050_industry_final_energy!M59</f>
        <v>0</v>
      </c>
      <c r="K21" s="62">
        <f>NZ2050_industry_final_energy!N59</f>
        <v>0</v>
      </c>
      <c r="L21" s="62">
        <f>NZ2050_industry_final_energy!O59</f>
        <v>0</v>
      </c>
      <c r="M21" s="62">
        <f>NZ2050_industry_final_energy!P59</f>
        <v>8.1898100000000005E-3</v>
      </c>
      <c r="N21" s="62">
        <f>NZ2050_industry_final_energy!Q59</f>
        <v>2.4434499999999901E-2</v>
      </c>
      <c r="O21" s="62">
        <f>NZ2050_industry_final_energy!R59</f>
        <v>4.0761800000000001E-2</v>
      </c>
      <c r="P21" s="62">
        <f>NZ2050_industry_final_energy!S59</f>
        <v>6.1512570000000003E-2</v>
      </c>
      <c r="Q21" s="62">
        <f>NZ2050_industry_final_energy!T59</f>
        <v>9.1095719999999894E-2</v>
      </c>
      <c r="R21" s="93" t="s">
        <v>78</v>
      </c>
      <c r="AE21" s="9"/>
    </row>
    <row r="22" spans="1:40">
      <c r="A22" s="62" t="str">
        <f>NZ2050_industry_final_energy!D60</f>
        <v>NZ2050,date=2022-3-7T01:15:47-015:00</v>
      </c>
      <c r="B22" s="62" t="str">
        <f>NZ2050_industry_final_energy!E60</f>
        <v>South Korea</v>
      </c>
      <c r="C22" s="62" t="str">
        <f>NZ2050_industry_final_energy!F60</f>
        <v>iron and steel</v>
      </c>
      <c r="D22" s="62" t="str">
        <f>NZ2050_industry_final_energy!G60</f>
        <v>EAF with DRI</v>
      </c>
      <c r="E22" s="62" t="str">
        <f>NZ2050_industry_final_energy!H60</f>
        <v>refined liquids industrial</v>
      </c>
      <c r="F22" s="62" t="str">
        <f>NZ2050_industry_final_energy!I60</f>
        <v>EAF with DRI</v>
      </c>
      <c r="G22" s="62">
        <f>NZ2050_industry_final_energy!J60</f>
        <v>3.1203700000000001E-2</v>
      </c>
      <c r="H22" s="62">
        <f>NZ2050_industry_final_energy!K60</f>
        <v>1.9871300000000001E-2</v>
      </c>
      <c r="I22" s="62">
        <f>NZ2050_industry_final_energy!L60</f>
        <v>9.5727999999999994E-3</v>
      </c>
      <c r="J22" s="62">
        <f>NZ2050_industry_final_energy!M60</f>
        <v>3.3750400000000002E-3</v>
      </c>
      <c r="K22" s="62">
        <f>NZ2050_industry_final_energy!N60</f>
        <v>3.2578939999999999E-3</v>
      </c>
      <c r="L22" s="62">
        <f>NZ2050_industry_final_energy!O60</f>
        <v>5.0232979999999998E-3</v>
      </c>
      <c r="M22" s="62">
        <f>NZ2050_industry_final_energy!P60</f>
        <v>5.7704890000000002E-3</v>
      </c>
      <c r="N22" s="62">
        <f>NZ2050_industry_final_energy!Q60</f>
        <v>5.6852204999999897E-3</v>
      </c>
      <c r="O22" s="62">
        <f>NZ2050_industry_final_energy!R60</f>
        <v>4.9647889999999998E-3</v>
      </c>
      <c r="P22" s="62">
        <f>NZ2050_industry_final_energy!S60</f>
        <v>3.8158329999999998E-3</v>
      </c>
      <c r="Q22" s="62">
        <f>NZ2050_industry_final_energy!T60</f>
        <v>2.117014E-3</v>
      </c>
      <c r="R22" s="93" t="s">
        <v>78</v>
      </c>
      <c r="AE22" s="9"/>
    </row>
    <row r="23" spans="1:40">
      <c r="A23" s="62" t="str">
        <f>NZ2050_industry_final_energy!D61</f>
        <v>NZ2050,date=2022-3-7T01:15:47-015:00</v>
      </c>
      <c r="B23" s="62" t="str">
        <f>NZ2050_industry_final_energy!E61</f>
        <v>South Korea</v>
      </c>
      <c r="C23" s="62" t="str">
        <f>NZ2050_industry_final_energy!F61</f>
        <v>iron and steel</v>
      </c>
      <c r="D23" s="62" t="str">
        <f>NZ2050_industry_final_energy!G61</f>
        <v>EAF with DRI</v>
      </c>
      <c r="E23" s="62" t="str">
        <f>NZ2050_industry_final_energy!H61</f>
        <v>refined liquids industrial</v>
      </c>
      <c r="F23" s="62" t="str">
        <f>NZ2050_industry_final_energy!I61</f>
        <v>EAF with DRI CCS</v>
      </c>
      <c r="G23" s="62">
        <f>NZ2050_industry_final_energy!J61</f>
        <v>0</v>
      </c>
      <c r="H23" s="62">
        <f>NZ2050_industry_final_energy!K61</f>
        <v>0</v>
      </c>
      <c r="I23" s="62">
        <f>NZ2050_industry_final_energy!L61</f>
        <v>0</v>
      </c>
      <c r="J23" s="62">
        <f>NZ2050_industry_final_energy!M61</f>
        <v>0</v>
      </c>
      <c r="K23" s="62">
        <f>NZ2050_industry_final_energy!N61</f>
        <v>0</v>
      </c>
      <c r="L23" s="62">
        <f>NZ2050_industry_final_energy!O61</f>
        <v>9.0812599999999999E-5</v>
      </c>
      <c r="M23" s="62">
        <f>NZ2050_industry_final_energy!P61</f>
        <v>2.7618100000000002E-4</v>
      </c>
      <c r="N23" s="62">
        <f>NZ2050_industry_final_energy!Q61</f>
        <v>5.676438E-4</v>
      </c>
      <c r="O23" s="62">
        <f>NZ2050_industry_final_energy!R61</f>
        <v>9.0664079999999995E-4</v>
      </c>
      <c r="P23" s="62">
        <f>NZ2050_industry_final_energy!S61</f>
        <v>1.3655789E-3</v>
      </c>
      <c r="Q23" s="62">
        <f>NZ2050_industry_final_energy!T61</f>
        <v>1.7756694999999901E-3</v>
      </c>
      <c r="R23" s="93" t="s">
        <v>78</v>
      </c>
      <c r="AE23" s="9"/>
    </row>
    <row r="24" spans="1:40">
      <c r="A24" s="62" t="str">
        <f>NZ2050_industry_final_energy!D62</f>
        <v>NZ2050,date=2022-3-7T01:15:47-015:00</v>
      </c>
      <c r="B24" s="62" t="str">
        <f>NZ2050_industry_final_energy!E62</f>
        <v>South Korea</v>
      </c>
      <c r="C24" s="62" t="str">
        <f>NZ2050_industry_final_energy!F62</f>
        <v>iron and steel</v>
      </c>
      <c r="D24" s="62" t="str">
        <f>NZ2050_industry_final_energy!G62</f>
        <v>EAF with DRI</v>
      </c>
      <c r="E24" s="62" t="str">
        <f>NZ2050_industry_final_energy!H62</f>
        <v>wholesale gas</v>
      </c>
      <c r="F24" s="62" t="str">
        <f>NZ2050_industry_final_energy!I62</f>
        <v>EAF with DRI</v>
      </c>
      <c r="G24" s="62">
        <f>NZ2050_industry_final_energy!J62</f>
        <v>0</v>
      </c>
      <c r="H24" s="62">
        <f>NZ2050_industry_final_energy!K62</f>
        <v>3.8401699999999997E-2</v>
      </c>
      <c r="I24" s="62">
        <f>NZ2050_industry_final_energy!L62</f>
        <v>6.6848400000000002E-2</v>
      </c>
      <c r="J24" s="62">
        <f>NZ2050_industry_final_energy!M62</f>
        <v>6.3758999999999996E-2</v>
      </c>
      <c r="K24" s="62">
        <f>NZ2050_industry_final_energy!N62</f>
        <v>6.1545849999999999E-2</v>
      </c>
      <c r="L24" s="62">
        <f>NZ2050_industry_final_energy!O62</f>
        <v>9.4896850000000005E-2</v>
      </c>
      <c r="M24" s="62">
        <f>NZ2050_industry_final_energy!P62</f>
        <v>0.10901226999999999</v>
      </c>
      <c r="N24" s="62">
        <f>NZ2050_industry_final_energy!Q62</f>
        <v>0.10740137999999901</v>
      </c>
      <c r="O24" s="62">
        <f>NZ2050_industry_final_energy!R62</f>
        <v>9.3791399999999997E-2</v>
      </c>
      <c r="P24" s="62">
        <f>NZ2050_industry_final_energy!S62</f>
        <v>7.2086430000000007E-2</v>
      </c>
      <c r="Q24" s="62">
        <f>NZ2050_industry_final_energy!T62</f>
        <v>3.9993239999999999E-2</v>
      </c>
      <c r="AE24" s="9"/>
    </row>
    <row r="25" spans="1:40">
      <c r="A25" s="62" t="str">
        <f>NZ2050_industry_final_energy!D63</f>
        <v>NZ2050,date=2022-3-7T01:15:47-015:00</v>
      </c>
      <c r="B25" s="62" t="str">
        <f>NZ2050_industry_final_energy!E63</f>
        <v>South Korea</v>
      </c>
      <c r="C25" s="62" t="str">
        <f>NZ2050_industry_final_energy!F63</f>
        <v>iron and steel</v>
      </c>
      <c r="D25" s="62" t="str">
        <f>NZ2050_industry_final_energy!G63</f>
        <v>EAF with DRI</v>
      </c>
      <c r="E25" s="62" t="str">
        <f>NZ2050_industry_final_energy!H63</f>
        <v>wholesale gas</v>
      </c>
      <c r="F25" s="62" t="str">
        <f>NZ2050_industry_final_energy!I63</f>
        <v>EAF with DRI CCS</v>
      </c>
      <c r="G25" s="62">
        <f>NZ2050_industry_final_energy!J63</f>
        <v>0</v>
      </c>
      <c r="H25" s="62">
        <f>NZ2050_industry_final_energy!K63</f>
        <v>0</v>
      </c>
      <c r="I25" s="62">
        <f>NZ2050_industry_final_energy!L63</f>
        <v>0</v>
      </c>
      <c r="J25" s="62">
        <f>NZ2050_industry_final_energy!M63</f>
        <v>0</v>
      </c>
      <c r="K25" s="62">
        <f>NZ2050_industry_final_energy!N63</f>
        <v>0</v>
      </c>
      <c r="L25" s="62">
        <f>NZ2050_industry_final_energy!O63</f>
        <v>1.71557E-3</v>
      </c>
      <c r="M25" s="62">
        <f>NZ2050_industry_final_energy!P63</f>
        <v>5.2174300000000003E-3</v>
      </c>
      <c r="N25" s="62">
        <f>NZ2050_industry_final_energy!Q63</f>
        <v>1.0723559000000001E-2</v>
      </c>
      <c r="O25" s="62">
        <f>NZ2050_industry_final_energy!R63</f>
        <v>1.7127627999999999E-2</v>
      </c>
      <c r="P25" s="62">
        <f>NZ2050_industry_final_energy!S63</f>
        <v>2.57976519999999E-2</v>
      </c>
      <c r="Q25" s="62">
        <f>NZ2050_industry_final_energy!T63</f>
        <v>3.3544749999999998E-2</v>
      </c>
      <c r="AE25" s="9"/>
    </row>
    <row r="26" spans="1:40">
      <c r="A26" s="62" t="str">
        <f>NZ2050_industry_final_energy!D64</f>
        <v>NZ2050,date=2022-3-7T01:15:47-015:00</v>
      </c>
      <c r="B26" s="62" t="str">
        <f>NZ2050_industry_final_energy!E64</f>
        <v>South Korea</v>
      </c>
      <c r="C26" s="62" t="str">
        <f>NZ2050_industry_final_energy!F64</f>
        <v>iron and steel</v>
      </c>
      <c r="D26" s="62" t="str">
        <f>NZ2050_industry_final_energy!G64</f>
        <v>EAF with scrap</v>
      </c>
      <c r="E26" s="62" t="str">
        <f>NZ2050_industry_final_energy!H64</f>
        <v>elect_td_ind</v>
      </c>
      <c r="F26" s="62" t="str">
        <f>NZ2050_industry_final_energy!I64</f>
        <v>EAF with scrap</v>
      </c>
      <c r="G26" s="62">
        <f>NZ2050_industry_final_energy!J64</f>
        <v>1.29474E-2</v>
      </c>
      <c r="H26" s="62">
        <f>NZ2050_industry_final_energy!K64</f>
        <v>5.6549799999999997E-2</v>
      </c>
      <c r="I26" s="62">
        <f>NZ2050_industry_final_energy!L64</f>
        <v>6.2802300000000005E-2</v>
      </c>
      <c r="J26" s="62">
        <f>NZ2050_industry_final_energy!M64</f>
        <v>5.6310399999999997E-2</v>
      </c>
      <c r="K26" s="62">
        <f>NZ2050_industry_final_energy!N64</f>
        <v>5.1656599999999997E-2</v>
      </c>
      <c r="L26" s="62">
        <f>NZ2050_industry_final_energy!O64</f>
        <v>5.6084460000000003E-2</v>
      </c>
      <c r="M26" s="62">
        <f>NZ2050_industry_final_energy!P64</f>
        <v>5.4532009999999999E-2</v>
      </c>
      <c r="N26" s="62">
        <f>NZ2050_industry_final_energy!Q64</f>
        <v>4.8654429999999999E-2</v>
      </c>
      <c r="O26" s="62">
        <f>NZ2050_industry_final_energy!R64</f>
        <v>4.9133139999999999E-2</v>
      </c>
      <c r="P26" s="62">
        <f>NZ2050_industry_final_energy!S64</f>
        <v>5.416924E-2</v>
      </c>
      <c r="Q26" s="62">
        <f>NZ2050_industry_final_energy!T64</f>
        <v>6.4102820000000005E-2</v>
      </c>
      <c r="AE26" s="9"/>
    </row>
    <row r="27" spans="1:40">
      <c r="A27" s="62" t="str">
        <f>NZ2050_industry_final_energy!D65</f>
        <v>NZ2050,date=2022-3-7T01:15:47-015:00</v>
      </c>
      <c r="B27" s="62" t="str">
        <f>NZ2050_industry_final_energy!E65</f>
        <v>South Korea</v>
      </c>
      <c r="C27" s="62" t="str">
        <f>NZ2050_industry_final_energy!F65</f>
        <v>iron and steel</v>
      </c>
      <c r="D27" s="62" t="str">
        <f>NZ2050_industry_final_energy!G65</f>
        <v>EAF with scrap</v>
      </c>
      <c r="E27" s="62" t="str">
        <f>NZ2050_industry_final_energy!H65</f>
        <v>refined liquids industrial</v>
      </c>
      <c r="F27" s="62" t="str">
        <f>NZ2050_industry_final_energy!I65</f>
        <v>EAF with scrap</v>
      </c>
      <c r="G27" s="62">
        <f>NZ2050_industry_final_energy!J65</f>
        <v>6.9363999999999997E-3</v>
      </c>
      <c r="H27" s="62">
        <f>NZ2050_industry_final_energy!K65</f>
        <v>4.4173499999999996E-3</v>
      </c>
      <c r="I27" s="62">
        <f>NZ2050_industry_final_energy!L65</f>
        <v>2.1278400000000002E-3</v>
      </c>
      <c r="J27" s="62">
        <f>NZ2050_industry_final_energy!M65</f>
        <v>7.5047999999999998E-4</v>
      </c>
      <c r="K27" s="62">
        <f>NZ2050_industry_final_energy!N65</f>
        <v>6.8845609999999998E-4</v>
      </c>
      <c r="L27" s="62">
        <f>NZ2050_industry_final_energy!O65</f>
        <v>7.4747020000000004E-4</v>
      </c>
      <c r="M27" s="62">
        <f>NZ2050_industry_final_energy!P65</f>
        <v>7.2677780000000001E-4</v>
      </c>
      <c r="N27" s="62">
        <f>NZ2050_industry_final_energy!Q65</f>
        <v>6.4844580000000005E-4</v>
      </c>
      <c r="O27" s="62">
        <f>NZ2050_industry_final_energy!R65</f>
        <v>6.548239E-4</v>
      </c>
      <c r="P27" s="62">
        <f>NZ2050_industry_final_energy!S65</f>
        <v>7.2194360000000005E-4</v>
      </c>
      <c r="Q27" s="62">
        <f>NZ2050_industry_final_energy!T65</f>
        <v>8.5433500000000001E-4</v>
      </c>
      <c r="AE27" s="9"/>
    </row>
    <row r="28" spans="1:40">
      <c r="J28" s="4">
        <f>SUM(J3:J27)</f>
        <v>1.1172044699999999</v>
      </c>
      <c r="K28" s="4">
        <f>SUM(K3:K27)</f>
        <v>1.0607636222900001</v>
      </c>
      <c r="Q28" s="100">
        <f>SUM(Q3:Q27)</f>
        <v>0.69028965985387991</v>
      </c>
      <c r="AE28" s="9"/>
    </row>
    <row r="29" spans="1:40">
      <c r="Q29" s="62">
        <f>N45/N49</f>
        <v>3.1616674519823772E-2</v>
      </c>
      <c r="AE29" s="9"/>
    </row>
    <row r="30" spans="1:40">
      <c r="AE30" s="9"/>
    </row>
    <row r="31" spans="1:40">
      <c r="J31" s="63"/>
      <c r="K31" s="63"/>
      <c r="L31" s="63"/>
      <c r="AE31" s="9"/>
    </row>
    <row r="32" spans="1:40">
      <c r="AE32" s="9"/>
    </row>
    <row r="33" spans="1:47">
      <c r="AE33" s="9"/>
    </row>
    <row r="34" spans="1:47">
      <c r="AE34" s="9"/>
    </row>
    <row r="35" spans="1:47">
      <c r="AE35" s="9"/>
    </row>
    <row r="36" spans="1:47">
      <c r="AE36" s="9"/>
    </row>
    <row r="37" spans="1:47">
      <c r="A37" s="1" t="s">
        <v>55</v>
      </c>
      <c r="T37" s="1"/>
      <c r="AE37" s="9"/>
    </row>
    <row r="38" spans="1:47">
      <c r="A38" s="62" t="s">
        <v>8</v>
      </c>
      <c r="B38" s="62" t="s">
        <v>9</v>
      </c>
      <c r="G38" s="7">
        <v>2015</v>
      </c>
      <c r="H38" s="62">
        <v>2020</v>
      </c>
      <c r="I38" s="62">
        <v>2025</v>
      </c>
      <c r="J38" s="62">
        <v>2030</v>
      </c>
      <c r="K38" s="62">
        <v>2035</v>
      </c>
      <c r="L38" s="62">
        <v>2040</v>
      </c>
      <c r="M38" s="62">
        <v>2045</v>
      </c>
      <c r="N38" s="62">
        <v>2050</v>
      </c>
      <c r="AE38" s="9"/>
    </row>
    <row r="39" spans="1:47">
      <c r="A39" s="62" t="s">
        <v>0</v>
      </c>
      <c r="B39" s="62" t="s">
        <v>2</v>
      </c>
      <c r="E39" s="62" t="s">
        <v>2</v>
      </c>
      <c r="F39" s="62" t="s">
        <v>12</v>
      </c>
      <c r="G39" s="8">
        <f>SUMIF($E$3:$E$31,$E39,J$3:J$31)</f>
        <v>0</v>
      </c>
      <c r="H39" s="8">
        <f t="shared" ref="G39:N48" si="22">SUMIF($E$3:$E$31,$E39,K$3:K$31)</f>
        <v>0</v>
      </c>
      <c r="I39" s="8">
        <f t="shared" si="22"/>
        <v>2.3053799999999999E-4</v>
      </c>
      <c r="J39" s="8">
        <f t="shared" si="22"/>
        <v>2.7035112E-2</v>
      </c>
      <c r="K39" s="8">
        <f t="shared" si="22"/>
        <v>8.0155499999999907E-2</v>
      </c>
      <c r="L39" s="8">
        <f t="shared" si="22"/>
        <v>0.13326463160000002</v>
      </c>
      <c r="M39" s="8">
        <f t="shared" si="22"/>
        <v>0.19897555699999997</v>
      </c>
      <c r="N39" s="8">
        <f t="shared" si="22"/>
        <v>0.29060031050000001</v>
      </c>
      <c r="AE39" s="9"/>
    </row>
    <row r="40" spans="1:47">
      <c r="A40" s="62" t="s">
        <v>0</v>
      </c>
      <c r="B40" s="62" t="s">
        <v>5</v>
      </c>
      <c r="E40" s="62" t="s">
        <v>5</v>
      </c>
      <c r="F40" s="62" t="s">
        <v>17</v>
      </c>
      <c r="G40" s="8">
        <f t="shared" si="22"/>
        <v>0.19544590000000001</v>
      </c>
      <c r="H40" s="8">
        <f t="shared" si="22"/>
        <v>0.18448147999999989</v>
      </c>
      <c r="I40" s="8">
        <f t="shared" si="22"/>
        <v>0.20025723099999998</v>
      </c>
      <c r="J40" s="8">
        <f t="shared" si="22"/>
        <v>0.19628166719999998</v>
      </c>
      <c r="K40" s="8">
        <f t="shared" si="22"/>
        <v>0.19021549969999987</v>
      </c>
      <c r="L40" s="8">
        <f t="shared" si="22"/>
        <v>0.19415254561999989</v>
      </c>
      <c r="M40" s="8">
        <f t="shared" si="22"/>
        <v>0.20426074120000001</v>
      </c>
      <c r="N40" s="8">
        <f t="shared" si="22"/>
        <v>0.21834760756999988</v>
      </c>
      <c r="AE40" s="9"/>
      <c r="AF40" s="62" t="s">
        <v>33</v>
      </c>
      <c r="AG40" s="62" t="s">
        <v>79</v>
      </c>
      <c r="AH40" s="62" t="s">
        <v>34</v>
      </c>
      <c r="AI40" s="62" t="s">
        <v>36</v>
      </c>
      <c r="AJ40" s="62" t="s">
        <v>80</v>
      </c>
      <c r="AK40" s="62" t="s">
        <v>37</v>
      </c>
      <c r="AL40" s="62" t="s">
        <v>38</v>
      </c>
      <c r="AN40" s="62">
        <v>10.6</v>
      </c>
      <c r="AO40" s="62">
        <v>9.77806</v>
      </c>
      <c r="AP40" s="62">
        <v>11.061123</v>
      </c>
      <c r="AQ40" s="62">
        <v>11.225959</v>
      </c>
      <c r="AR40" s="62">
        <v>10.39066</v>
      </c>
      <c r="AS40" s="62">
        <v>10.739789999999999</v>
      </c>
      <c r="AT40" s="62">
        <v>12.189919</v>
      </c>
      <c r="AU40" s="62">
        <v>14.813368000000001</v>
      </c>
    </row>
    <row r="41" spans="1:47">
      <c r="A41" s="62" t="s">
        <v>0</v>
      </c>
      <c r="B41" s="62" t="s">
        <v>3</v>
      </c>
      <c r="E41" s="62" t="s">
        <v>3</v>
      </c>
      <c r="F41" s="62" t="s">
        <v>13</v>
      </c>
      <c r="G41" s="8">
        <f>SUMIF($E$3:$E$31,$E41,J$3:J$31)</f>
        <v>0</v>
      </c>
      <c r="H41" s="8">
        <f t="shared" si="22"/>
        <v>0</v>
      </c>
      <c r="I41" s="8">
        <f t="shared" si="22"/>
        <v>0</v>
      </c>
      <c r="J41" s="8">
        <f t="shared" si="22"/>
        <v>0</v>
      </c>
      <c r="K41" s="8">
        <f t="shared" si="22"/>
        <v>0</v>
      </c>
      <c r="L41" s="8">
        <f t="shared" si="22"/>
        <v>0</v>
      </c>
      <c r="M41" s="8">
        <f t="shared" si="22"/>
        <v>0</v>
      </c>
      <c r="N41" s="8">
        <f t="shared" si="22"/>
        <v>0</v>
      </c>
      <c r="AE41" s="9"/>
      <c r="AF41" s="27">
        <v>48.5</v>
      </c>
      <c r="AG41" s="27">
        <v>0</v>
      </c>
      <c r="AH41" s="27">
        <v>0</v>
      </c>
      <c r="AI41" s="27">
        <v>10.6</v>
      </c>
      <c r="AJ41" s="27">
        <v>0</v>
      </c>
      <c r="AK41" s="27">
        <v>0</v>
      </c>
      <c r="AL41" s="27">
        <v>10.6</v>
      </c>
    </row>
    <row r="42" spans="1:47">
      <c r="F42" s="35" t="s">
        <v>114</v>
      </c>
      <c r="G42" s="8">
        <f>J14+J25</f>
        <v>0</v>
      </c>
      <c r="H42" s="8">
        <f t="shared" ref="H42:N42" si="23">K14+K25</f>
        <v>0</v>
      </c>
      <c r="I42" s="8">
        <f t="shared" si="23"/>
        <v>1.716021064E-3</v>
      </c>
      <c r="J42" s="8">
        <f t="shared" si="23"/>
        <v>5.2196060310000002E-3</v>
      </c>
      <c r="K42" s="8">
        <f t="shared" si="23"/>
        <v>1.0730292737E-2</v>
      </c>
      <c r="L42" s="8">
        <f t="shared" si="23"/>
        <v>1.71397323681E-2</v>
      </c>
      <c r="M42" s="8">
        <f t="shared" si="23"/>
        <v>2.5815182146999901E-2</v>
      </c>
      <c r="N42" s="8">
        <f t="shared" si="23"/>
        <v>3.3561452169999999E-2</v>
      </c>
      <c r="AE42" s="9"/>
      <c r="AF42" s="27">
        <v>46.354930000000003</v>
      </c>
      <c r="AG42" s="27">
        <v>0</v>
      </c>
      <c r="AH42" s="27">
        <v>0</v>
      </c>
      <c r="AI42" s="27">
        <v>10.31274</v>
      </c>
      <c r="AJ42" s="27">
        <v>0</v>
      </c>
      <c r="AK42" s="27">
        <v>0</v>
      </c>
      <c r="AL42" s="27">
        <v>9.77806</v>
      </c>
    </row>
    <row r="43" spans="1:47">
      <c r="A43" s="62" t="s">
        <v>0</v>
      </c>
      <c r="B43" s="62" t="s">
        <v>7</v>
      </c>
      <c r="E43" s="62" t="s">
        <v>7</v>
      </c>
      <c r="F43" s="62" t="s">
        <v>15</v>
      </c>
      <c r="G43" s="8">
        <f>SUMIF($E$3:$E$31,$E43,J$3:J$31)-G42</f>
        <v>6.3962699999999997E-2</v>
      </c>
      <c r="H43" s="8">
        <f t="shared" ref="H43:N43" si="24">SUMIF($E$3:$E$31,$E43,K$3:K$31)-H42</f>
        <v>6.1739173799999998E-2</v>
      </c>
      <c r="I43" s="8">
        <f t="shared" si="24"/>
        <v>9.5056928233000007E-2</v>
      </c>
      <c r="J43" s="8">
        <f t="shared" si="24"/>
        <v>0.10911939403699999</v>
      </c>
      <c r="K43" s="8">
        <f t="shared" si="24"/>
        <v>0.10746451439799899</v>
      </c>
      <c r="L43" s="8">
        <f t="shared" si="24"/>
        <v>9.3835549732999998E-2</v>
      </c>
      <c r="M43" s="8">
        <f t="shared" si="24"/>
        <v>7.2111100302999998E-2</v>
      </c>
      <c r="N43" s="8">
        <f t="shared" si="24"/>
        <v>3.9996018919999994E-2</v>
      </c>
      <c r="AE43" s="9"/>
      <c r="AF43" s="27">
        <v>39.105150000000002</v>
      </c>
      <c r="AG43" s="27">
        <v>0.118632</v>
      </c>
      <c r="AH43" s="27">
        <v>7.7194700000000005E-2</v>
      </c>
      <c r="AI43" s="27">
        <v>16.804310000000001</v>
      </c>
      <c r="AJ43" s="27">
        <v>0.31505499999999997</v>
      </c>
      <c r="AK43" s="27">
        <v>0</v>
      </c>
      <c r="AL43" s="27">
        <v>11.061123</v>
      </c>
    </row>
    <row r="44" spans="1:47">
      <c r="F44" s="62" t="s">
        <v>115</v>
      </c>
      <c r="G44" s="8">
        <f>J5+J18</f>
        <v>0</v>
      </c>
      <c r="H44" s="8">
        <f t="shared" ref="H44:N44" si="25">K5+K18</f>
        <v>0</v>
      </c>
      <c r="I44" s="8">
        <f t="shared" si="25"/>
        <v>2.5137200000000001E-3</v>
      </c>
      <c r="J44" s="8">
        <f t="shared" si="25"/>
        <v>1.0915280999999999E-2</v>
      </c>
      <c r="K44" s="8">
        <f t="shared" si="25"/>
        <v>3.1630103999999999E-2</v>
      </c>
      <c r="L44" s="8">
        <f t="shared" si="25"/>
        <v>5.6006298999999989E-2</v>
      </c>
      <c r="M44" s="8">
        <f t="shared" si="25"/>
        <v>8.1504215000000005E-2</v>
      </c>
      <c r="N44" s="8">
        <f t="shared" si="25"/>
        <v>8.1205200000000005E-2</v>
      </c>
      <c r="AE44" s="9"/>
      <c r="AF44" s="27">
        <v>26.47278</v>
      </c>
      <c r="AG44" s="27">
        <v>0.58431690000000003</v>
      </c>
      <c r="AH44" s="27">
        <v>0.33059139999999998</v>
      </c>
      <c r="AI44" s="27">
        <v>19.995266999999998</v>
      </c>
      <c r="AJ44" s="27">
        <v>0.97584799999999905</v>
      </c>
      <c r="AK44" s="27">
        <v>2.0545100000000001</v>
      </c>
      <c r="AL44" s="27">
        <v>11.225959</v>
      </c>
    </row>
    <row r="45" spans="1:47">
      <c r="A45" s="62" t="s">
        <v>0</v>
      </c>
      <c r="B45" s="62" t="s">
        <v>4</v>
      </c>
      <c r="E45" s="62" t="s">
        <v>4</v>
      </c>
      <c r="F45" s="62" t="s">
        <v>14</v>
      </c>
      <c r="G45" s="8">
        <f>SUMIF($E$3:$E$31,$E45,J$3:J$31)-G44</f>
        <v>0.85360729999999996</v>
      </c>
      <c r="H45" s="8">
        <f t="shared" ref="H45:N45" si="26">SUMIF($E$3:$E$31,$E45,K$3:K$31)-H44</f>
        <v>0.81053678000000007</v>
      </c>
      <c r="I45" s="8">
        <f t="shared" si="26"/>
        <v>0.68666139999999987</v>
      </c>
      <c r="J45" s="8">
        <f t="shared" si="26"/>
        <v>0.47087603899999997</v>
      </c>
      <c r="K45" s="8">
        <f t="shared" si="26"/>
        <v>0.27977218399999992</v>
      </c>
      <c r="L45" s="8">
        <f t="shared" si="26"/>
        <v>0.18783981100000002</v>
      </c>
      <c r="M45" s="8">
        <f t="shared" si="26"/>
        <v>0.10279305899999998</v>
      </c>
      <c r="N45" s="8">
        <f t="shared" si="26"/>
        <v>2.182466349999998E-2</v>
      </c>
      <c r="AE45" s="9"/>
      <c r="AF45" s="27">
        <v>14.954049999999899</v>
      </c>
      <c r="AG45" s="27">
        <v>1.8484881</v>
      </c>
      <c r="AH45" s="27">
        <v>0.83098669999999997</v>
      </c>
      <c r="AI45" s="27">
        <v>20.256753</v>
      </c>
      <c r="AJ45" s="27">
        <v>2.0471550000000001</v>
      </c>
      <c r="AK45" s="27">
        <v>6.2432099999999897</v>
      </c>
      <c r="AL45" s="27">
        <v>10.39066</v>
      </c>
    </row>
    <row r="46" spans="1:47">
      <c r="A46" s="62" t="s">
        <v>26</v>
      </c>
      <c r="F46" s="62" t="s">
        <v>30</v>
      </c>
      <c r="G46" s="8">
        <f t="shared" si="22"/>
        <v>0</v>
      </c>
      <c r="H46" s="8">
        <f t="shared" si="22"/>
        <v>0</v>
      </c>
      <c r="I46" s="8">
        <f t="shared" si="22"/>
        <v>0</v>
      </c>
      <c r="J46" s="8">
        <f t="shared" si="22"/>
        <v>0</v>
      </c>
      <c r="K46" s="8">
        <f t="shared" si="22"/>
        <v>0</v>
      </c>
      <c r="L46" s="8">
        <f t="shared" si="22"/>
        <v>0</v>
      </c>
      <c r="M46" s="8">
        <f t="shared" si="22"/>
        <v>0</v>
      </c>
      <c r="N46" s="8">
        <f t="shared" si="22"/>
        <v>0</v>
      </c>
      <c r="AE46" s="9"/>
      <c r="AF46" s="27">
        <v>9.1141299999999994</v>
      </c>
      <c r="AG46" s="27">
        <v>3.3879937999999998</v>
      </c>
      <c r="AH46" s="27">
        <v>1.2516788000000001</v>
      </c>
      <c r="AI46" s="27">
        <v>18.034109999999998</v>
      </c>
      <c r="AJ46" s="27">
        <v>3.3400264000000002</v>
      </c>
      <c r="AK46" s="27">
        <v>10.603819999999899</v>
      </c>
      <c r="AL46" s="27">
        <v>10.739789999999999</v>
      </c>
    </row>
    <row r="47" spans="1:47">
      <c r="A47" s="62" t="s">
        <v>27</v>
      </c>
      <c r="B47" s="62" t="s">
        <v>6</v>
      </c>
      <c r="E47" s="62" t="s">
        <v>6</v>
      </c>
      <c r="F47" s="62" t="s">
        <v>16</v>
      </c>
      <c r="G47" s="8">
        <f>SUMIF($E$3:$E$31,$E47,J$3:J$31)</f>
        <v>4.18857E-3</v>
      </c>
      <c r="H47" s="8">
        <f t="shared" si="22"/>
        <v>4.0061884899999997E-3</v>
      </c>
      <c r="I47" s="8">
        <f t="shared" si="22"/>
        <v>5.9117508280000005E-3</v>
      </c>
      <c r="J47" s="8">
        <f t="shared" si="22"/>
        <v>6.8093040210000007E-3</v>
      </c>
      <c r="K47" s="8">
        <f t="shared" si="22"/>
        <v>6.9279220432999899E-3</v>
      </c>
      <c r="L47" s="8">
        <f t="shared" si="22"/>
        <v>6.5510395727000001E-3</v>
      </c>
      <c r="M47" s="8">
        <f t="shared" si="22"/>
        <v>5.9230849919999998E-3</v>
      </c>
      <c r="N47" s="8">
        <f t="shared" si="22"/>
        <v>4.7544071938799906E-3</v>
      </c>
      <c r="P47" s="35">
        <f>SUM(N39:N40)/N49</f>
        <v>0.73729616372601281</v>
      </c>
      <c r="AE47" s="9"/>
      <c r="AF47" s="27">
        <v>4.164676</v>
      </c>
      <c r="AG47" s="27">
        <v>5.0107558999999897</v>
      </c>
      <c r="AH47" s="27">
        <v>1.1478173999999901</v>
      </c>
      <c r="AI47" s="27">
        <v>14.193439999999899</v>
      </c>
      <c r="AJ47" s="27">
        <v>5.152711</v>
      </c>
      <c r="AK47" s="27">
        <v>16.365545000000001</v>
      </c>
      <c r="AL47" s="27">
        <v>12.189919</v>
      </c>
    </row>
    <row r="48" spans="1:47">
      <c r="A48" s="62" t="s">
        <v>28</v>
      </c>
      <c r="F48" s="62" t="s">
        <v>31</v>
      </c>
      <c r="G48" s="8">
        <f t="shared" si="22"/>
        <v>0</v>
      </c>
      <c r="H48" s="8">
        <f t="shared" si="22"/>
        <v>0</v>
      </c>
      <c r="I48" s="8">
        <f t="shared" si="22"/>
        <v>0</v>
      </c>
      <c r="J48" s="8">
        <f t="shared" si="22"/>
        <v>0</v>
      </c>
      <c r="K48" s="8">
        <f t="shared" si="22"/>
        <v>0</v>
      </c>
      <c r="L48" s="8">
        <f t="shared" si="22"/>
        <v>0</v>
      </c>
      <c r="M48" s="8">
        <f t="shared" si="22"/>
        <v>0</v>
      </c>
      <c r="N48" s="8">
        <f t="shared" si="22"/>
        <v>0</v>
      </c>
      <c r="AE48" s="9"/>
      <c r="AF48" s="27">
        <v>0.22938305</v>
      </c>
      <c r="AG48" s="27">
        <v>4.8522650000000001</v>
      </c>
      <c r="AH48" s="27">
        <v>0.23623796</v>
      </c>
      <c r="AI48" s="27">
        <v>7.99898799999999</v>
      </c>
      <c r="AJ48" s="27">
        <v>6.8535750000000002</v>
      </c>
      <c r="AK48" s="27">
        <v>24.852947999999898</v>
      </c>
      <c r="AL48" s="27">
        <v>14.813368000000001</v>
      </c>
    </row>
    <row r="49" spans="1:31">
      <c r="A49" s="115" t="s">
        <v>29</v>
      </c>
      <c r="B49" s="115"/>
      <c r="C49" s="115"/>
      <c r="D49" s="115"/>
      <c r="E49" s="115"/>
      <c r="F49" s="115"/>
      <c r="G49" s="62">
        <f t="shared" ref="G49:N49" si="27">SUM(G39:G48)</f>
        <v>1.1172044699999999</v>
      </c>
      <c r="H49" s="62">
        <f t="shared" si="27"/>
        <v>1.0607636222899999</v>
      </c>
      <c r="I49" s="62">
        <f t="shared" si="27"/>
        <v>0.99234758912499987</v>
      </c>
      <c r="J49" s="62">
        <f t="shared" si="27"/>
        <v>0.82625640328899985</v>
      </c>
      <c r="K49" s="62">
        <f t="shared" si="27"/>
        <v>0.70689601687829862</v>
      </c>
      <c r="L49" s="62">
        <f t="shared" si="27"/>
        <v>0.68878960889379992</v>
      </c>
      <c r="M49" s="62">
        <f t="shared" si="27"/>
        <v>0.69138293964199993</v>
      </c>
      <c r="N49" s="62">
        <f t="shared" si="27"/>
        <v>0.6902896598538798</v>
      </c>
      <c r="AE49" s="9"/>
    </row>
    <row r="50" spans="1:31">
      <c r="AE50" s="9"/>
    </row>
    <row r="54" spans="1:31">
      <c r="K54" s="62">
        <v>4.18857E-3</v>
      </c>
      <c r="L54" s="62">
        <v>4.0061884899999997E-3</v>
      </c>
      <c r="M54" s="62">
        <v>5.9117508280000005E-3</v>
      </c>
      <c r="N54" s="62">
        <v>6.8093040210000007E-3</v>
      </c>
      <c r="O54" s="62">
        <v>6.9279220432999899E-3</v>
      </c>
      <c r="P54" s="62">
        <v>6.5510395727000001E-3</v>
      </c>
      <c r="Q54" s="62">
        <v>5.9230849919999998E-3</v>
      </c>
      <c r="R54" s="62">
        <v>4.7544071938799906E-3</v>
      </c>
    </row>
    <row r="55" spans="1:31">
      <c r="K55" s="27">
        <v>0</v>
      </c>
      <c r="L55" s="27">
        <v>0.19544590000000001</v>
      </c>
      <c r="M55" s="27">
        <v>0</v>
      </c>
      <c r="N55" s="27">
        <v>0</v>
      </c>
      <c r="O55" s="27">
        <v>6.3962699999999997E-2</v>
      </c>
      <c r="P55" s="27">
        <v>0</v>
      </c>
      <c r="Q55" s="27">
        <v>0.85360729999999996</v>
      </c>
      <c r="R55" s="27">
        <v>4.18857E-3</v>
      </c>
    </row>
    <row r="56" spans="1:31">
      <c r="K56" s="27">
        <v>0</v>
      </c>
      <c r="L56" s="27">
        <v>0.18448147999999989</v>
      </c>
      <c r="M56" s="27">
        <v>0</v>
      </c>
      <c r="N56" s="27">
        <v>0</v>
      </c>
      <c r="O56" s="27">
        <v>6.1739173799999998E-2</v>
      </c>
      <c r="P56" s="27">
        <v>0</v>
      </c>
      <c r="Q56" s="27">
        <v>0.81053678000000007</v>
      </c>
      <c r="R56" s="27">
        <v>4.0061884899999997E-3</v>
      </c>
    </row>
    <row r="57" spans="1:31">
      <c r="A57" s="1"/>
      <c r="K57" s="27">
        <v>2.3053799999999999E-4</v>
      </c>
      <c r="L57" s="27">
        <v>0.20025723099999998</v>
      </c>
      <c r="M57" s="27">
        <v>0</v>
      </c>
      <c r="N57" s="27">
        <v>1.716021064E-3</v>
      </c>
      <c r="O57" s="27">
        <v>9.5056928233000007E-2</v>
      </c>
      <c r="P57" s="27">
        <v>2.5137200000000001E-3</v>
      </c>
      <c r="Q57" s="27">
        <v>0.68666139999999987</v>
      </c>
      <c r="R57" s="27">
        <v>5.9117508280000005E-3</v>
      </c>
    </row>
    <row r="58" spans="1:31">
      <c r="K58" s="27">
        <v>2.7035112E-2</v>
      </c>
      <c r="L58" s="27">
        <v>0.19628166719999998</v>
      </c>
      <c r="M58" s="27">
        <v>0</v>
      </c>
      <c r="N58" s="27">
        <v>5.2196060310000002E-3</v>
      </c>
      <c r="O58" s="27">
        <v>0.10911939403699999</v>
      </c>
      <c r="P58" s="27">
        <v>1.0915280999999999E-2</v>
      </c>
      <c r="Q58" s="27">
        <v>0.47087603899999997</v>
      </c>
      <c r="R58" s="27">
        <v>6.8093040210000007E-3</v>
      </c>
    </row>
    <row r="59" spans="1:31">
      <c r="K59" s="27">
        <v>8.0155499999999907E-2</v>
      </c>
      <c r="L59" s="27">
        <v>0.19021549969999987</v>
      </c>
      <c r="M59" s="27">
        <v>0</v>
      </c>
      <c r="N59" s="27">
        <v>1.0730292737E-2</v>
      </c>
      <c r="O59" s="27">
        <v>0.10746451439799899</v>
      </c>
      <c r="P59" s="27">
        <v>3.1630103999999999E-2</v>
      </c>
      <c r="Q59" s="27">
        <v>0.27977218399999992</v>
      </c>
      <c r="R59" s="27">
        <v>6.9279220432999899E-3</v>
      </c>
    </row>
    <row r="60" spans="1:31">
      <c r="K60" s="27">
        <v>0.13326463160000002</v>
      </c>
      <c r="L60" s="27">
        <v>0.19415254561999989</v>
      </c>
      <c r="M60" s="27">
        <v>0</v>
      </c>
      <c r="N60" s="27">
        <v>1.71397323681E-2</v>
      </c>
      <c r="O60" s="27">
        <v>9.3835549732999998E-2</v>
      </c>
      <c r="P60" s="27">
        <v>5.6006298999999989E-2</v>
      </c>
      <c r="Q60" s="27">
        <v>0.18783981100000002</v>
      </c>
      <c r="R60" s="27">
        <v>6.5510395727000001E-3</v>
      </c>
    </row>
    <row r="61" spans="1:31">
      <c r="K61" s="27">
        <v>0.19897555699999997</v>
      </c>
      <c r="L61" s="27">
        <v>0.20426074120000001</v>
      </c>
      <c r="M61" s="27">
        <v>0</v>
      </c>
      <c r="N61" s="27">
        <v>2.5815182146999901E-2</v>
      </c>
      <c r="O61" s="27">
        <v>7.2111100302999998E-2</v>
      </c>
      <c r="P61" s="27">
        <v>8.1504215000000005E-2</v>
      </c>
      <c r="Q61" s="27">
        <v>0.10279305899999998</v>
      </c>
      <c r="R61" s="27">
        <v>5.9230849919999998E-3</v>
      </c>
    </row>
    <row r="62" spans="1:31">
      <c r="K62" s="27">
        <v>0.29060031050000001</v>
      </c>
      <c r="L62" s="27">
        <v>0.21834760756999988</v>
      </c>
      <c r="M62" s="27">
        <v>0</v>
      </c>
      <c r="N62" s="27">
        <v>3.3561452169999999E-2</v>
      </c>
      <c r="O62" s="27">
        <v>3.9996018919999994E-2</v>
      </c>
      <c r="P62" s="27">
        <v>8.1205200000000005E-2</v>
      </c>
      <c r="Q62" s="27">
        <v>2.182466349999998E-2</v>
      </c>
      <c r="R62" s="27">
        <v>4.7544071938799906E-3</v>
      </c>
    </row>
    <row r="67" spans="1:3">
      <c r="A67" s="3"/>
      <c r="B67" s="3"/>
      <c r="C67" s="3"/>
    </row>
  </sheetData>
  <mergeCells count="1">
    <mergeCell ref="A49:F49"/>
  </mergeCell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78503-E429-4D03-80D1-219AECD6D0A7}">
  <dimension ref="A1:W63"/>
  <sheetViews>
    <sheetView topLeftCell="A34" zoomScale="40" zoomScaleNormal="40" workbookViewId="0">
      <selection activeCell="F22" sqref="F22:N30"/>
    </sheetView>
  </sheetViews>
  <sheetFormatPr defaultRowHeight="17.399999999999999"/>
  <cols>
    <col min="1" max="2" width="8.796875" style="62"/>
    <col min="3" max="3" width="13.69921875" style="62" customWidth="1"/>
    <col min="4" max="4" width="24.796875" style="62" customWidth="1"/>
    <col min="5" max="5" width="28.59765625" style="62" customWidth="1"/>
    <col min="6" max="6" width="14.796875" style="62" customWidth="1"/>
    <col min="7" max="16384" width="8.796875" style="62"/>
  </cols>
  <sheetData>
    <row r="1" spans="1:17">
      <c r="A1" s="1" t="s">
        <v>54</v>
      </c>
    </row>
    <row r="2" spans="1:17">
      <c r="A2" s="62" t="s">
        <v>8</v>
      </c>
      <c r="B2" s="62" t="s">
        <v>9</v>
      </c>
      <c r="C2" s="62" t="s">
        <v>39</v>
      </c>
      <c r="D2" s="62" t="s">
        <v>40</v>
      </c>
      <c r="E2" s="62" t="s">
        <v>10</v>
      </c>
      <c r="F2" s="62" t="s">
        <v>42</v>
      </c>
      <c r="G2" s="62">
        <v>1990</v>
      </c>
      <c r="H2" s="62">
        <v>2005</v>
      </c>
      <c r="I2" s="62">
        <v>2010</v>
      </c>
      <c r="J2" s="62">
        <v>2015</v>
      </c>
      <c r="K2" s="62">
        <v>2020</v>
      </c>
      <c r="L2" s="62">
        <v>2025</v>
      </c>
      <c r="M2" s="62">
        <v>2030</v>
      </c>
      <c r="N2" s="62">
        <v>2035</v>
      </c>
      <c r="O2" s="62">
        <v>2040</v>
      </c>
      <c r="P2" s="62">
        <v>2045</v>
      </c>
      <c r="Q2" s="62">
        <v>2050</v>
      </c>
    </row>
    <row r="3" spans="1:17">
      <c r="A3" s="62" t="str">
        <f>'CurPol_industry_final_energ (2)'!A11</f>
        <v>CurPol,date=2022-3-7T01:16:15-015:00</v>
      </c>
      <c r="B3" s="62" t="str">
        <f>'CurPol_industry_final_energ (2)'!B11</f>
        <v>South Korea</v>
      </c>
      <c r="C3" s="62" t="str">
        <f>'CurPol_industry_final_energ (2)'!C11</f>
        <v>chemical energy use</v>
      </c>
      <c r="D3" s="62" t="str">
        <f>'CurPol_industry_final_energ (2)'!D11</f>
        <v>biomass</v>
      </c>
      <c r="E3" s="62" t="str">
        <f>'CurPol_industry_final_energ (2)'!E11</f>
        <v>delivered biomass</v>
      </c>
      <c r="F3" s="62" t="str">
        <f>'CurPol_industry_final_energ (2)'!F11</f>
        <v>biomass</v>
      </c>
      <c r="G3" s="62">
        <f>'CurPol_industry_final_energ (2)'!G11</f>
        <v>2.5953E-3</v>
      </c>
      <c r="H3" s="62">
        <f>'CurPol_industry_final_energ (2)'!H11</f>
        <v>5.4836900000000003E-3</v>
      </c>
      <c r="I3" s="62">
        <f>'CurPol_industry_final_energ (2)'!I11</f>
        <v>3.5999999999999999E-3</v>
      </c>
      <c r="J3" s="62">
        <f>'CurPol_industry_final_energ (2)'!J11</f>
        <v>1.1344099999999999E-2</v>
      </c>
      <c r="K3" s="62">
        <f>'CurPol_industry_final_energ (2)'!K11</f>
        <v>1.2378729999999999E-2</v>
      </c>
      <c r="L3" s="62">
        <f>'CurPol_industry_final_energ (2)'!L11</f>
        <v>1.5954240000000001E-2</v>
      </c>
      <c r="M3" s="62">
        <f>'CurPol_industry_final_energ (2)'!M11</f>
        <v>1.8907380000000001E-2</v>
      </c>
      <c r="N3" s="62">
        <f>'CurPol_industry_final_energ (2)'!N11</f>
        <v>2.3147838E-2</v>
      </c>
      <c r="O3" s="62">
        <f>'CurPol_industry_final_energ (2)'!O11</f>
        <v>2.8654427E-2</v>
      </c>
      <c r="P3" s="62">
        <f>'CurPol_industry_final_energ (2)'!P11</f>
        <v>3.2934755000000003E-2</v>
      </c>
      <c r="Q3" s="62">
        <f>'CurPol_industry_final_energ (2)'!Q11</f>
        <v>3.65222376E-2</v>
      </c>
    </row>
    <row r="4" spans="1:17">
      <c r="A4" s="62" t="str">
        <f>'CurPol_industry_final_energ (2)'!A12</f>
        <v>CurPol,date=2022-3-7T01:16:15-015:00</v>
      </c>
      <c r="B4" s="62" t="str">
        <f>'CurPol_industry_final_energ (2)'!B12</f>
        <v>South Korea</v>
      </c>
      <c r="C4" s="62" t="str">
        <f>'CurPol_industry_final_energ (2)'!C12</f>
        <v>chemical energy use</v>
      </c>
      <c r="D4" s="62" t="str">
        <f>'CurPol_industry_final_energ (2)'!D12</f>
        <v>coal</v>
      </c>
      <c r="E4" s="62" t="str">
        <f>'CurPol_industry_final_energ (2)'!E12</f>
        <v>delivered coal</v>
      </c>
      <c r="F4" s="62" t="str">
        <f>'CurPol_industry_final_energ (2)'!F12</f>
        <v>coal</v>
      </c>
      <c r="G4" s="62">
        <f>'CurPol_industry_final_energ (2)'!G12</f>
        <v>1.8837000000000001E-3</v>
      </c>
      <c r="H4" s="62">
        <f>'CurPol_industry_final_energ (2)'!H12</f>
        <v>3.1814E-3</v>
      </c>
      <c r="I4" s="62">
        <f>'CurPol_industry_final_energ (2)'!I12</f>
        <v>4.2278999999999997E-3</v>
      </c>
      <c r="J4" s="62">
        <f>'CurPol_industry_final_energ (2)'!J12</f>
        <v>4.6464999999999996E-3</v>
      </c>
      <c r="K4" s="62">
        <f>'CurPol_industry_final_energ (2)'!K12</f>
        <v>5.0266099999999999E-3</v>
      </c>
      <c r="L4" s="62">
        <f>'CurPol_industry_final_energ (2)'!L12</f>
        <v>6.2833029999999996E-3</v>
      </c>
      <c r="M4" s="62">
        <f>'CurPol_industry_final_energ (2)'!M12</f>
        <v>7.2012320000000001E-3</v>
      </c>
      <c r="N4" s="62">
        <f>'CurPol_industry_final_energ (2)'!N12</f>
        <v>8.378445E-3</v>
      </c>
      <c r="O4" s="62">
        <f>'CurPol_industry_final_energ (2)'!O12</f>
        <v>1.00713E-2</v>
      </c>
      <c r="P4" s="62">
        <f>'CurPol_industry_final_energ (2)'!P12</f>
        <v>1.15589424999999E-2</v>
      </c>
      <c r="Q4" s="62">
        <f>'CurPol_industry_final_energ (2)'!Q12</f>
        <v>1.2957587899999999E-2</v>
      </c>
    </row>
    <row r="5" spans="1:17">
      <c r="A5" s="62" t="str">
        <f>'CurPol_industry_final_energ (2)'!A13</f>
        <v>CurPol,date=2022-3-7T01:16:15-015:00</v>
      </c>
      <c r="B5" s="62" t="str">
        <f>'CurPol_industry_final_energ (2)'!B13</f>
        <v>South Korea</v>
      </c>
      <c r="C5" s="62" t="str">
        <f>'CurPol_industry_final_energ (2)'!C13</f>
        <v>chemical energy use</v>
      </c>
      <c r="D5" s="62" t="str">
        <f>'CurPol_industry_final_energ (2)'!D13</f>
        <v>electricity</v>
      </c>
      <c r="E5" s="62" t="str">
        <f>'CurPol_industry_final_energ (2)'!E13</f>
        <v>elect_td_ind</v>
      </c>
      <c r="F5" s="62" t="str">
        <f>'CurPol_industry_final_energ (2)'!F13</f>
        <v>electricity</v>
      </c>
      <c r="G5" s="62">
        <f>'CurPol_industry_final_energ (2)'!G13</f>
        <v>3.9306500000000001E-2</v>
      </c>
      <c r="H5" s="62">
        <f>'CurPol_industry_final_energ (2)'!H13</f>
        <v>0.143622</v>
      </c>
      <c r="I5" s="62">
        <f>'CurPol_industry_final_energ (2)'!I13</f>
        <v>0.14705399999999999</v>
      </c>
      <c r="J5" s="62">
        <f>'CurPol_industry_final_energ (2)'!J13</f>
        <v>0.17627200000000001</v>
      </c>
      <c r="K5" s="62">
        <f>'CurPol_industry_final_energ (2)'!K13</f>
        <v>0.1860851</v>
      </c>
      <c r="L5" s="62">
        <f>'CurPol_industry_final_energ (2)'!L13</f>
        <v>0.22395290000000001</v>
      </c>
      <c r="M5" s="62">
        <f>'CurPol_industry_final_energ (2)'!M13</f>
        <v>0.24429319999999999</v>
      </c>
      <c r="N5" s="62">
        <f>'CurPol_industry_final_energ (2)'!N13</f>
        <v>0.27028079999999999</v>
      </c>
      <c r="O5" s="62">
        <f>'CurPol_industry_final_energ (2)'!O13</f>
        <v>0.30377803999999903</v>
      </c>
      <c r="P5" s="62">
        <f>'CurPol_industry_final_energ (2)'!P13</f>
        <v>0.34101284999999998</v>
      </c>
      <c r="Q5" s="62">
        <f>'CurPol_industry_final_energ (2)'!Q13</f>
        <v>0.38396806</v>
      </c>
    </row>
    <row r="6" spans="1:17">
      <c r="A6" s="62" t="str">
        <f>'CurPol_industry_final_energ (2)'!A14</f>
        <v>CurPol,date=2022-3-7T01:16:15-015:00</v>
      </c>
      <c r="B6" s="62" t="str">
        <f>'CurPol_industry_final_energ (2)'!B14</f>
        <v>South Korea</v>
      </c>
      <c r="C6" s="62" t="str">
        <f>'CurPol_industry_final_energ (2)'!C14</f>
        <v>chemical energy use</v>
      </c>
      <c r="D6" s="62" t="str">
        <f>'CurPol_industry_final_energ (2)'!D14</f>
        <v>gas</v>
      </c>
      <c r="E6" s="62" t="str">
        <f>'CurPol_industry_final_energ (2)'!E14</f>
        <v>wholesale gas</v>
      </c>
      <c r="F6" s="62" t="str">
        <f>'CurPol_industry_final_energ (2)'!F14</f>
        <v>gas</v>
      </c>
      <c r="G6" s="62">
        <f>'CurPol_industry_final_energ (2)'!G14</f>
        <v>0</v>
      </c>
      <c r="H6" s="62">
        <f>'CurPol_industry_final_energ (2)'!H14</f>
        <v>2.2174E-3</v>
      </c>
      <c r="I6" s="62">
        <f>'CurPol_industry_final_energ (2)'!I14</f>
        <v>5.9310599999999998E-2</v>
      </c>
      <c r="J6" s="62">
        <f>'CurPol_industry_final_energ (2)'!J14</f>
        <v>5.4361800000000002E-2</v>
      </c>
      <c r="K6" s="62">
        <f>'CurPol_industry_final_energ (2)'!K14</f>
        <v>5.8544550000000001E-2</v>
      </c>
      <c r="L6" s="62">
        <f>'CurPol_industry_final_energ (2)'!L14</f>
        <v>7.3017059999999995E-2</v>
      </c>
      <c r="M6" s="62">
        <f>'CurPol_industry_final_energ (2)'!M14</f>
        <v>8.4488560000000004E-2</v>
      </c>
      <c r="N6" s="62">
        <f>'CurPol_industry_final_energ (2)'!N14</f>
        <v>0.10038295</v>
      </c>
      <c r="O6" s="62">
        <f>'CurPol_industry_final_energ (2)'!O14</f>
        <v>0.117798049999999</v>
      </c>
      <c r="P6" s="62">
        <f>'CurPol_industry_final_energ (2)'!P14</f>
        <v>0.13359601800000001</v>
      </c>
      <c r="Q6" s="62">
        <f>'CurPol_industry_final_energ (2)'!Q14</f>
        <v>0.14771389499999901</v>
      </c>
    </row>
    <row r="7" spans="1:17">
      <c r="A7" s="62" t="str">
        <f>'CurPol_industry_final_energ (2)'!A15</f>
        <v>CurPol,date=2022-3-7T01:16:15-015:00</v>
      </c>
      <c r="B7" s="62" t="str">
        <f>'CurPol_industry_final_energ (2)'!B15</f>
        <v>South Korea</v>
      </c>
      <c r="C7" s="62" t="str">
        <f>'CurPol_industry_final_energ (2)'!C15</f>
        <v>chemical energy use</v>
      </c>
      <c r="D7" s="62" t="str">
        <f>'CurPol_industry_final_energ (2)'!D15</f>
        <v>hydrogen</v>
      </c>
      <c r="E7" s="62" t="str">
        <f>'CurPol_industry_final_energ (2)'!E15</f>
        <v>H2 enduse</v>
      </c>
      <c r="F7" s="62" t="str">
        <f>'CurPol_industry_final_energ (2)'!F15</f>
        <v>hydrogen</v>
      </c>
      <c r="G7" s="62">
        <f>'CurPol_industry_final_energ (2)'!G15</f>
        <v>0</v>
      </c>
      <c r="H7" s="62">
        <f>'CurPol_industry_final_energ (2)'!H15</f>
        <v>0</v>
      </c>
      <c r="I7" s="62">
        <f>'CurPol_industry_final_energ (2)'!I15</f>
        <v>0</v>
      </c>
      <c r="J7" s="62">
        <f>'CurPol_industry_final_energ (2)'!J15</f>
        <v>0</v>
      </c>
      <c r="K7" s="62">
        <f>'CurPol_industry_final_energ (2)'!K15</f>
        <v>4.5020800000000001E-4</v>
      </c>
      <c r="L7" s="62">
        <f>'CurPol_industry_final_energ (2)'!L15</f>
        <v>3.7202509999999999E-3</v>
      </c>
      <c r="M7" s="62">
        <f>'CurPol_industry_final_energ (2)'!M15</f>
        <v>9.6094449999999994E-3</v>
      </c>
      <c r="N7" s="62">
        <f>'CurPol_industry_final_energ (2)'!N15</f>
        <v>2.4222681999999999E-2</v>
      </c>
      <c r="O7" s="62">
        <f>'CurPol_industry_final_energ (2)'!O15</f>
        <v>4.5396032000000003E-2</v>
      </c>
      <c r="P7" s="62">
        <f>'CurPol_industry_final_energ (2)'!P15</f>
        <v>6.6204000799999996E-2</v>
      </c>
      <c r="Q7" s="62">
        <f>'CurPol_industry_final_energ (2)'!Q15</f>
        <v>8.8846513199999894E-2</v>
      </c>
    </row>
    <row r="8" spans="1:17">
      <c r="A8" s="62" t="str">
        <f>'CurPol_industry_final_energ (2)'!A16</f>
        <v>CurPol,date=2022-3-7T01:16:15-015:00</v>
      </c>
      <c r="B8" s="62" t="str">
        <f>'CurPol_industry_final_energ (2)'!B16</f>
        <v>South Korea</v>
      </c>
      <c r="C8" s="62" t="str">
        <f>'CurPol_industry_final_energ (2)'!C16</f>
        <v>chemical energy use</v>
      </c>
      <c r="D8" s="62" t="str">
        <f>'CurPol_industry_final_energ (2)'!D16</f>
        <v>refined liquids</v>
      </c>
      <c r="E8" s="62" t="str">
        <f>'CurPol_industry_final_energ (2)'!E16</f>
        <v>refined liquids industrial</v>
      </c>
      <c r="F8" s="62" t="str">
        <f>'CurPol_industry_final_energ (2)'!F16</f>
        <v>refined liquids</v>
      </c>
      <c r="G8" s="62">
        <f>'CurPol_industry_final_energ (2)'!G16</f>
        <v>9.6065499999999998E-2</v>
      </c>
      <c r="H8" s="62">
        <f>'CurPol_industry_final_energ (2)'!H16</f>
        <v>7.1915400000000004E-2</v>
      </c>
      <c r="I8" s="62">
        <f>'CurPol_industry_final_energ (2)'!I16</f>
        <v>4.75948E-2</v>
      </c>
      <c r="J8" s="62">
        <f>'CurPol_industry_final_energ (2)'!J16</f>
        <v>2.2311399999999999E-2</v>
      </c>
      <c r="K8" s="62">
        <f>'CurPol_industry_final_energ (2)'!K16</f>
        <v>2.4399069999999998E-2</v>
      </c>
      <c r="L8" s="62">
        <f>'CurPol_industry_final_energ (2)'!L16</f>
        <v>3.20188E-2</v>
      </c>
      <c r="M8" s="62">
        <f>'CurPol_industry_final_energ (2)'!M16</f>
        <v>3.8661470000000003E-2</v>
      </c>
      <c r="N8" s="62">
        <f>'CurPol_industry_final_energ (2)'!N16</f>
        <v>4.8644560000000003E-2</v>
      </c>
      <c r="O8" s="62">
        <f>'CurPol_industry_final_energ (2)'!O16</f>
        <v>6.2147809999999998E-2</v>
      </c>
      <c r="P8" s="62">
        <f>'CurPol_industry_final_energ (2)'!P16</f>
        <v>7.3270552000000003E-2</v>
      </c>
      <c r="Q8" s="62">
        <f>'CurPol_industry_final_energ (2)'!Q16</f>
        <v>8.4043622999999998E-2</v>
      </c>
    </row>
    <row r="9" spans="1:17">
      <c r="A9" s="62" t="str">
        <f>'CurPol_industry_final_energ (2)'!A17</f>
        <v>CurPol,date=2022-3-7T01:16:15-015:00</v>
      </c>
      <c r="B9" s="62" t="str">
        <f>'CurPol_industry_final_energ (2)'!B17</f>
        <v>South Korea</v>
      </c>
      <c r="C9" s="62" t="str">
        <f>'CurPol_industry_final_energ (2)'!C17</f>
        <v>chemical feedstocks</v>
      </c>
      <c r="D9" s="62" t="str">
        <f>'CurPol_industry_final_energ (2)'!D17</f>
        <v>coal</v>
      </c>
      <c r="E9" s="62" t="str">
        <f>'CurPol_industry_final_energ (2)'!E17</f>
        <v>delivered coal</v>
      </c>
      <c r="F9" s="62" t="str">
        <f>'CurPol_industry_final_energ (2)'!F17</f>
        <v>coal</v>
      </c>
      <c r="G9" s="62">
        <f>'CurPol_industry_final_energ (2)'!G17</f>
        <v>0</v>
      </c>
      <c r="H9" s="62">
        <f>'CurPol_industry_final_energ (2)'!H17</f>
        <v>0</v>
      </c>
      <c r="I9" s="62">
        <f>'CurPol_industry_final_energ (2)'!I17</f>
        <v>1.6953300000000001E-2</v>
      </c>
      <c r="J9" s="62">
        <f>'CurPol_industry_final_energ (2)'!J17</f>
        <v>2.3106700000000001E-2</v>
      </c>
      <c r="K9" s="62">
        <f>'CurPol_industry_final_energ (2)'!K17</f>
        <v>1.8826900000000001E-2</v>
      </c>
      <c r="L9" s="62">
        <f>'CurPol_industry_final_energ (2)'!L17</f>
        <v>1.99977E-2</v>
      </c>
      <c r="M9" s="62">
        <f>'CurPol_industry_final_energ (2)'!M17</f>
        <v>1.9488100000000001E-2</v>
      </c>
      <c r="N9" s="62">
        <f>'CurPol_industry_final_energ (2)'!N17</f>
        <v>2.0002900000000001E-2</v>
      </c>
      <c r="O9" s="62">
        <f>'CurPol_industry_final_energ (2)'!O17</f>
        <v>2.1653599999999999E-2</v>
      </c>
      <c r="P9" s="62">
        <f>'CurPol_industry_final_energ (2)'!P17</f>
        <v>2.3451300000000001E-2</v>
      </c>
      <c r="Q9" s="62">
        <f>'CurPol_industry_final_energ (2)'!Q17</f>
        <v>2.3886899999999999E-2</v>
      </c>
    </row>
    <row r="10" spans="1:17">
      <c r="A10" s="62" t="str">
        <f>'CurPol_industry_final_energ (2)'!A18</f>
        <v>CurPol,date=2022-3-7T01:16:15-015:00</v>
      </c>
      <c r="B10" s="62" t="str">
        <f>'CurPol_industry_final_energ (2)'!B18</f>
        <v>South Korea</v>
      </c>
      <c r="C10" s="62" t="str">
        <f>'CurPol_industry_final_energ (2)'!C18</f>
        <v>chemical feedstocks</v>
      </c>
      <c r="D10" s="62" t="str">
        <f>'CurPol_industry_final_energ (2)'!D18</f>
        <v>refined liquids</v>
      </c>
      <c r="E10" s="62" t="str">
        <f>'CurPol_industry_final_energ (2)'!E18</f>
        <v>refined liquids industrial</v>
      </c>
      <c r="F10" s="62" t="str">
        <f>'CurPol_industry_final_energ (2)'!F18</f>
        <v>refined liquids</v>
      </c>
      <c r="G10" s="62">
        <f>'CurPol_industry_final_energ (2)'!G18</f>
        <v>0.23639399999999999</v>
      </c>
      <c r="H10" s="62">
        <f>'CurPol_industry_final_energ (2)'!H18</f>
        <v>1.18882</v>
      </c>
      <c r="I10" s="62">
        <f>'CurPol_industry_final_energ (2)'!I18</f>
        <v>1.5032799999999999</v>
      </c>
      <c r="J10" s="62">
        <f>'CurPol_industry_final_energ (2)'!J18</f>
        <v>1.8793899999999999</v>
      </c>
      <c r="K10" s="62">
        <f>'CurPol_industry_final_energ (2)'!K18</f>
        <v>1.89863</v>
      </c>
      <c r="L10" s="62">
        <f>'CurPol_industry_final_energ (2)'!L18</f>
        <v>2.1570999999999998</v>
      </c>
      <c r="M10" s="62">
        <f>'CurPol_industry_final_energ (2)'!M18</f>
        <v>2.2750400000000002</v>
      </c>
      <c r="N10" s="62">
        <f>'CurPol_industry_final_energ (2)'!N18</f>
        <v>2.3559000000000001</v>
      </c>
      <c r="O10" s="62">
        <f>'CurPol_industry_final_energ (2)'!O18</f>
        <v>2.4420299999999999</v>
      </c>
      <c r="P10" s="62">
        <f>'CurPol_industry_final_energ (2)'!P18</f>
        <v>2.5479500000000002</v>
      </c>
      <c r="Q10" s="62">
        <f>'CurPol_industry_final_energ (2)'!Q18</f>
        <v>2.6657500000000001</v>
      </c>
    </row>
    <row r="11" spans="1:17">
      <c r="A11" s="115" t="s">
        <v>29</v>
      </c>
      <c r="B11" s="115"/>
      <c r="C11" s="115"/>
      <c r="D11" s="115"/>
      <c r="E11" s="115"/>
      <c r="F11" s="115"/>
      <c r="G11" s="115"/>
      <c r="H11" s="62">
        <f>SUM(H3:H10)</f>
        <v>1.4152398900000001</v>
      </c>
      <c r="I11" s="62">
        <f t="shared" ref="I11:Q11" si="0">SUM(I3:I10)</f>
        <v>1.7820206000000001</v>
      </c>
      <c r="J11" s="62">
        <f t="shared" si="0"/>
        <v>2.1714324999999999</v>
      </c>
      <c r="K11" s="62">
        <f t="shared" si="0"/>
        <v>2.204341168</v>
      </c>
      <c r="L11" s="62">
        <f t="shared" si="0"/>
        <v>2.5320442539999997</v>
      </c>
      <c r="M11" s="62">
        <f t="shared" si="0"/>
        <v>2.697689387</v>
      </c>
      <c r="N11" s="62">
        <f t="shared" si="0"/>
        <v>2.850960175</v>
      </c>
      <c r="O11" s="62">
        <f t="shared" si="0"/>
        <v>3.0315292589999983</v>
      </c>
      <c r="P11" s="62">
        <f t="shared" si="0"/>
        <v>3.2299784183</v>
      </c>
      <c r="Q11" s="62">
        <f t="shared" si="0"/>
        <v>3.443688816699999</v>
      </c>
    </row>
    <row r="12" spans="1:17">
      <c r="K12" s="63"/>
      <c r="L12" s="63"/>
      <c r="M12" s="63"/>
      <c r="N12" s="63"/>
      <c r="O12" s="63"/>
      <c r="P12" s="63"/>
      <c r="Q12" s="63"/>
    </row>
    <row r="14" spans="1:17">
      <c r="A14" s="1" t="s">
        <v>23</v>
      </c>
    </row>
    <row r="15" spans="1:17">
      <c r="A15" s="62" t="s">
        <v>8</v>
      </c>
      <c r="B15" s="62" t="s">
        <v>9</v>
      </c>
      <c r="C15" s="62" t="s">
        <v>24</v>
      </c>
      <c r="D15" s="62" t="s">
        <v>10</v>
      </c>
      <c r="E15" s="62">
        <v>1990</v>
      </c>
      <c r="F15" s="62">
        <v>2005</v>
      </c>
      <c r="G15" s="62">
        <v>2010</v>
      </c>
      <c r="H15" s="62">
        <v>2015</v>
      </c>
      <c r="I15" s="62">
        <v>2020</v>
      </c>
      <c r="J15" s="62">
        <v>2025</v>
      </c>
      <c r="K15" s="62">
        <v>2030</v>
      </c>
      <c r="L15" s="62">
        <v>2035</v>
      </c>
      <c r="M15" s="62">
        <v>2040</v>
      </c>
      <c r="N15" s="62">
        <v>2045</v>
      </c>
      <c r="O15" s="62">
        <v>2050</v>
      </c>
    </row>
    <row r="16" spans="1:17">
      <c r="A16" s="62" t="str">
        <f>'CurPol_industry_final_energ (2)'!A72</f>
        <v>CurPol,date=2022-3-7T01:16:15-015:00</v>
      </c>
      <c r="B16" s="62" t="str">
        <f>'CurPol_industry_final_energ (2)'!B72</f>
        <v>South Korea</v>
      </c>
      <c r="C16" s="62" t="str">
        <f>'CurPol_industry_final_energ (2)'!C72</f>
        <v>chemical feedstocks</v>
      </c>
      <c r="D16" s="62" t="str">
        <f>'CurPol_industry_final_energ (2)'!D72</f>
        <v>delivered coal</v>
      </c>
      <c r="E16" s="62">
        <f>'CurPol_industry_final_energ (2)'!E72</f>
        <v>0</v>
      </c>
      <c r="F16" s="62">
        <f>'CurPol_industry_final_energ (2)'!F72</f>
        <v>0</v>
      </c>
      <c r="G16" s="62">
        <f>'CurPol_industry_final_energ (2)'!G72</f>
        <v>1.6953300000000001E-2</v>
      </c>
      <c r="H16" s="62">
        <f>'CurPol_industry_final_energ (2)'!H72</f>
        <v>2.3106700000000001E-2</v>
      </c>
      <c r="I16" s="62">
        <f>'CurPol_industry_final_energ (2)'!I72</f>
        <v>1.8826900000000001E-2</v>
      </c>
      <c r="J16" s="62">
        <f>'CurPol_industry_final_energ (2)'!J72</f>
        <v>1.99977E-2</v>
      </c>
      <c r="K16" s="62">
        <f>'CurPol_industry_final_energ (2)'!K72</f>
        <v>1.9488100000000001E-2</v>
      </c>
      <c r="L16" s="62">
        <f>'CurPol_industry_final_energ (2)'!L72</f>
        <v>2.0002900000000001E-2</v>
      </c>
      <c r="M16" s="62">
        <f>'CurPol_industry_final_energ (2)'!M72</f>
        <v>2.1653599999999999E-2</v>
      </c>
      <c r="N16" s="62">
        <f>'CurPol_industry_final_energ (2)'!N72</f>
        <v>2.3451300000000001E-2</v>
      </c>
      <c r="O16" s="62">
        <f>'CurPol_industry_final_energ (2)'!O72</f>
        <v>2.3886899999999999E-2</v>
      </c>
    </row>
    <row r="17" spans="1:23">
      <c r="A17" s="62" t="str">
        <f>'CurPol_industry_final_energ (2)'!A73</f>
        <v>CurPol,date=2022-3-7T01:16:15-015:00</v>
      </c>
      <c r="B17" s="62" t="str">
        <f>'CurPol_industry_final_energ (2)'!B73</f>
        <v>South Korea</v>
      </c>
      <c r="C17" s="62" t="str">
        <f>'CurPol_industry_final_energ (2)'!C73</f>
        <v>chemical feedstocks</v>
      </c>
      <c r="D17" s="62" t="str">
        <f>'CurPol_industry_final_energ (2)'!D73</f>
        <v>refined liquids industrial</v>
      </c>
      <c r="E17" s="62">
        <f>'CurPol_industry_final_energ (2)'!E73</f>
        <v>0.23639399999999999</v>
      </c>
      <c r="F17" s="62">
        <f>'CurPol_industry_final_energ (2)'!F73</f>
        <v>1.18882</v>
      </c>
      <c r="G17" s="62">
        <f>'CurPol_industry_final_energ (2)'!G73</f>
        <v>1.5032799999999999</v>
      </c>
      <c r="H17" s="62">
        <f>'CurPol_industry_final_energ (2)'!H73</f>
        <v>1.8793899999999999</v>
      </c>
      <c r="I17" s="62">
        <f>'CurPol_industry_final_energ (2)'!I73</f>
        <v>1.89863</v>
      </c>
      <c r="J17" s="62">
        <f>'CurPol_industry_final_energ (2)'!J73</f>
        <v>2.1570999999999998</v>
      </c>
      <c r="K17" s="62">
        <f>'CurPol_industry_final_energ (2)'!K73</f>
        <v>2.2750400000000002</v>
      </c>
      <c r="L17" s="62">
        <f>'CurPol_industry_final_energ (2)'!L73</f>
        <v>2.3559000000000001</v>
      </c>
      <c r="M17" s="62">
        <f>'CurPol_industry_final_energ (2)'!M73</f>
        <v>2.4420299999999999</v>
      </c>
      <c r="N17" s="62">
        <f>'CurPol_industry_final_energ (2)'!N73</f>
        <v>2.5479500000000002</v>
      </c>
      <c r="O17" s="62">
        <f>'CurPol_industry_final_energ (2)'!O73</f>
        <v>2.6657500000000001</v>
      </c>
    </row>
    <row r="18" spans="1:23">
      <c r="A18" s="62" t="str">
        <f>'CurPol_industry_final_energ (2)'!A74</f>
        <v>CurPol,date=2022-3-7T01:16:15-015:00</v>
      </c>
      <c r="B18" s="62" t="str">
        <f>'CurPol_industry_final_energ (2)'!B74</f>
        <v>South Korea</v>
      </c>
      <c r="C18" s="62" t="str">
        <f>'CurPol_industry_final_energ (2)'!C74</f>
        <v>construction feedstocks</v>
      </c>
      <c r="D18" s="62" t="str">
        <f>'CurPol_industry_final_energ (2)'!D74</f>
        <v>refined liquids industrial</v>
      </c>
      <c r="E18" s="62">
        <f>'CurPol_industry_final_energ (2)'!E74</f>
        <v>3.2608900000000003E-2</v>
      </c>
      <c r="F18" s="62">
        <f>'CurPol_industry_final_energ (2)'!F74</f>
        <v>5.08599E-2</v>
      </c>
      <c r="G18" s="62">
        <f>'CurPol_industry_final_energ (2)'!G74</f>
        <v>5.3873799999999999E-2</v>
      </c>
      <c r="H18" s="62">
        <f>'CurPol_industry_final_energ (2)'!H74</f>
        <v>4.94367E-2</v>
      </c>
      <c r="I18" s="62">
        <f>'CurPol_industry_final_energ (2)'!I74</f>
        <v>5.4238799999999997E-2</v>
      </c>
      <c r="J18" s="62">
        <f>'CurPol_industry_final_energ (2)'!J74</f>
        <v>5.7499799999999997E-2</v>
      </c>
      <c r="K18" s="62">
        <f>'CurPol_industry_final_energ (2)'!K74</f>
        <v>5.8557600000000001E-2</v>
      </c>
      <c r="L18" s="62">
        <f>'CurPol_industry_final_energ (2)'!L74</f>
        <v>5.9224600000000002E-2</v>
      </c>
      <c r="M18" s="62">
        <f>'CurPol_industry_final_energ (2)'!M74</f>
        <v>6.0279899999999997E-2</v>
      </c>
      <c r="N18" s="62">
        <f>'CurPol_industry_final_energ (2)'!N74</f>
        <v>6.1346600000000001E-2</v>
      </c>
      <c r="O18" s="62">
        <f>'CurPol_industry_final_energ (2)'!O74</f>
        <v>6.2424199999999999E-2</v>
      </c>
    </row>
    <row r="19" spans="1:23">
      <c r="A19" s="62" t="str">
        <f>'CurPol_industry_final_energ (2)'!A75</f>
        <v>CurPol,date=2022-3-7T01:16:15-015:00</v>
      </c>
      <c r="B19" s="62" t="str">
        <f>'CurPol_industry_final_energ (2)'!B75</f>
        <v>South Korea</v>
      </c>
      <c r="C19" s="62" t="str">
        <f>'CurPol_industry_final_energ (2)'!C75</f>
        <v>other industrial feedstocks</v>
      </c>
      <c r="D19" s="62" t="str">
        <f>'CurPol_industry_final_energ (2)'!D75</f>
        <v>refined liquids industrial</v>
      </c>
      <c r="E19" s="62">
        <f>'CurPol_industry_final_energ (2)'!E75</f>
        <v>0</v>
      </c>
      <c r="F19" s="62">
        <f>'CurPol_industry_final_energ (2)'!F75</f>
        <v>3.1394999999999999E-2</v>
      </c>
      <c r="G19" s="62">
        <f>'CurPol_industry_final_energ (2)'!G75</f>
        <v>3.1520600000000003E-2</v>
      </c>
      <c r="H19" s="62">
        <f>'CurPol_industry_final_energ (2)'!H75</f>
        <v>2.9218299999999999E-2</v>
      </c>
      <c r="I19" s="62">
        <f>'CurPol_industry_final_energ (2)'!I75</f>
        <v>3.22203E-2</v>
      </c>
      <c r="J19" s="62">
        <f>'CurPol_industry_final_energ (2)'!J75</f>
        <v>3.8402800000000001E-2</v>
      </c>
      <c r="K19" s="62">
        <f>'CurPol_industry_final_energ (2)'!K75</f>
        <v>4.89063E-2</v>
      </c>
      <c r="L19" s="62">
        <f>'CurPol_industry_final_energ (2)'!L75</f>
        <v>7.4603199999999995E-2</v>
      </c>
      <c r="M19" s="62">
        <f>'CurPol_industry_final_energ (2)'!M75</f>
        <v>0.10693</v>
      </c>
      <c r="N19" s="62">
        <f>'CurPol_industry_final_energ (2)'!N75</f>
        <v>0.125863</v>
      </c>
      <c r="O19" s="62">
        <f>'CurPol_industry_final_energ (2)'!O75</f>
        <v>0.139158</v>
      </c>
    </row>
    <row r="21" spans="1:23">
      <c r="A21" s="1" t="s">
        <v>11</v>
      </c>
      <c r="T21" s="1" t="s">
        <v>74</v>
      </c>
    </row>
    <row r="22" spans="1:23">
      <c r="A22" s="62" t="s">
        <v>8</v>
      </c>
      <c r="B22" s="62" t="s">
        <v>9</v>
      </c>
      <c r="G22" s="62">
        <v>2015</v>
      </c>
      <c r="H22" s="62">
        <v>2020</v>
      </c>
      <c r="I22" s="62">
        <v>2025</v>
      </c>
      <c r="J22" s="62">
        <v>2030</v>
      </c>
      <c r="K22" s="62">
        <v>2035</v>
      </c>
      <c r="L22" s="62">
        <v>2040</v>
      </c>
      <c r="M22" s="62">
        <v>2045</v>
      </c>
      <c r="N22" s="62">
        <v>2050</v>
      </c>
      <c r="U22" s="62">
        <v>2005</v>
      </c>
      <c r="V22" s="62">
        <v>2010</v>
      </c>
      <c r="W22" s="62">
        <v>2015</v>
      </c>
    </row>
    <row r="23" spans="1:23">
      <c r="A23" s="62" t="s">
        <v>0</v>
      </c>
      <c r="B23" s="62" t="s">
        <v>2</v>
      </c>
      <c r="E23" s="62" t="s">
        <v>2</v>
      </c>
      <c r="F23" s="62" t="s">
        <v>12</v>
      </c>
      <c r="G23" s="62">
        <f>SUMIF($E$3:$E$10,$E23,J$3:J$10)</f>
        <v>0</v>
      </c>
      <c r="H23" s="62">
        <f t="shared" ref="H23:N23" si="1">SUMIF($E$3:$E$10,$E23,K$3:K$10)</f>
        <v>4.5020800000000001E-4</v>
      </c>
      <c r="I23" s="62">
        <f t="shared" si="1"/>
        <v>3.7202509999999999E-3</v>
      </c>
      <c r="J23" s="62">
        <f t="shared" si="1"/>
        <v>9.6094449999999994E-3</v>
      </c>
      <c r="K23" s="62">
        <f t="shared" si="1"/>
        <v>2.4222681999999999E-2</v>
      </c>
      <c r="L23" s="62">
        <f t="shared" si="1"/>
        <v>4.5396032000000003E-2</v>
      </c>
      <c r="M23" s="62">
        <f t="shared" si="1"/>
        <v>6.6204000799999996E-2</v>
      </c>
      <c r="N23" s="62">
        <f t="shared" si="1"/>
        <v>8.8846513199999894E-2</v>
      </c>
      <c r="T23" s="62" t="s">
        <v>12</v>
      </c>
      <c r="V23" s="62">
        <v>0</v>
      </c>
      <c r="W23" s="5">
        <v>0</v>
      </c>
    </row>
    <row r="24" spans="1:23">
      <c r="A24" s="62" t="s">
        <v>0</v>
      </c>
      <c r="B24" s="62" t="s">
        <v>5</v>
      </c>
      <c r="E24" s="62" t="s">
        <v>5</v>
      </c>
      <c r="F24" s="62" t="s">
        <v>17</v>
      </c>
      <c r="G24" s="62">
        <f t="shared" ref="G24:N26" si="2">SUMIF($E$3:$E$12,$E24,J$3:J$12)</f>
        <v>0.17627200000000001</v>
      </c>
      <c r="H24" s="62">
        <f t="shared" si="2"/>
        <v>0.1860851</v>
      </c>
      <c r="I24" s="62">
        <f t="shared" si="2"/>
        <v>0.22395290000000001</v>
      </c>
      <c r="J24" s="62">
        <f t="shared" si="2"/>
        <v>0.24429319999999999</v>
      </c>
      <c r="K24" s="62">
        <f t="shared" si="2"/>
        <v>0.27028079999999999</v>
      </c>
      <c r="L24" s="62">
        <f t="shared" si="2"/>
        <v>0.30377803999999903</v>
      </c>
      <c r="M24" s="62">
        <f t="shared" si="2"/>
        <v>0.34101284999999998</v>
      </c>
      <c r="N24" s="62">
        <f t="shared" si="2"/>
        <v>0.38396806</v>
      </c>
      <c r="T24" s="62" t="s">
        <v>17</v>
      </c>
      <c r="V24" s="62">
        <v>0.14132501532000002</v>
      </c>
      <c r="W24" s="5">
        <v>0.20692002960000003</v>
      </c>
    </row>
    <row r="25" spans="1:23">
      <c r="A25" s="62" t="s">
        <v>0</v>
      </c>
      <c r="B25" s="62" t="s">
        <v>3</v>
      </c>
      <c r="E25" s="62" t="s">
        <v>3</v>
      </c>
      <c r="F25" s="62" t="s">
        <v>13</v>
      </c>
      <c r="G25" s="62">
        <f t="shared" si="2"/>
        <v>1.1344099999999999E-2</v>
      </c>
      <c r="H25" s="62">
        <f t="shared" si="2"/>
        <v>1.2378729999999999E-2</v>
      </c>
      <c r="I25" s="62">
        <f t="shared" si="2"/>
        <v>1.5954240000000001E-2</v>
      </c>
      <c r="J25" s="62">
        <f t="shared" si="2"/>
        <v>1.8907380000000001E-2</v>
      </c>
      <c r="K25" s="62">
        <f t="shared" si="2"/>
        <v>2.3147838E-2</v>
      </c>
      <c r="L25" s="62">
        <f t="shared" si="2"/>
        <v>2.8654427E-2</v>
      </c>
      <c r="M25" s="62">
        <f t="shared" si="2"/>
        <v>3.2934755000000003E-2</v>
      </c>
      <c r="N25" s="62">
        <f t="shared" si="2"/>
        <v>3.65222376E-2</v>
      </c>
      <c r="T25" s="62" t="s">
        <v>13</v>
      </c>
      <c r="V25" s="62">
        <v>0</v>
      </c>
      <c r="W25" s="5">
        <v>0</v>
      </c>
    </row>
    <row r="26" spans="1:23">
      <c r="A26" s="62" t="s">
        <v>0</v>
      </c>
      <c r="B26" s="62" t="s">
        <v>7</v>
      </c>
      <c r="E26" s="62" t="s">
        <v>7</v>
      </c>
      <c r="F26" s="62" t="s">
        <v>15</v>
      </c>
      <c r="G26" s="62">
        <f t="shared" si="2"/>
        <v>5.4361800000000002E-2</v>
      </c>
      <c r="H26" s="62">
        <f t="shared" si="2"/>
        <v>5.8544550000000001E-2</v>
      </c>
      <c r="I26" s="62">
        <f t="shared" si="2"/>
        <v>7.3017059999999995E-2</v>
      </c>
      <c r="J26" s="62">
        <f t="shared" si="2"/>
        <v>8.4488560000000004E-2</v>
      </c>
      <c r="K26" s="62">
        <f t="shared" si="2"/>
        <v>0.10038295</v>
      </c>
      <c r="L26" s="62">
        <f t="shared" si="2"/>
        <v>0.117798049999999</v>
      </c>
      <c r="M26" s="62">
        <f t="shared" si="2"/>
        <v>0.13359601800000001</v>
      </c>
      <c r="N26" s="62">
        <f t="shared" si="2"/>
        <v>0.14771389499999901</v>
      </c>
      <c r="T26" s="62" t="s">
        <v>15</v>
      </c>
      <c r="V26" s="62">
        <v>5.0651906400000002E-2</v>
      </c>
      <c r="W26" s="5">
        <v>6.2274463199999991E-2</v>
      </c>
    </row>
    <row r="27" spans="1:23">
      <c r="A27" s="62" t="s">
        <v>0</v>
      </c>
      <c r="B27" s="62" t="s">
        <v>4</v>
      </c>
      <c r="E27" s="62" t="s">
        <v>4</v>
      </c>
      <c r="F27" s="62" t="s">
        <v>14</v>
      </c>
      <c r="G27" s="62">
        <f>SUMIF($E$3:$E$12,$E27,J$3:J$12)-G28</f>
        <v>4.6464999999999979E-3</v>
      </c>
      <c r="H27" s="62">
        <f t="shared" ref="H27:N27" si="3">SUMIF($E$3:$E$12,$E27,K$3:K$12)-H28</f>
        <v>5.0266100000000008E-3</v>
      </c>
      <c r="I27" s="62">
        <f t="shared" si="3"/>
        <v>6.2833030000000005E-3</v>
      </c>
      <c r="J27" s="62">
        <f t="shared" si="3"/>
        <v>7.2012320000000019E-3</v>
      </c>
      <c r="K27" s="62">
        <f t="shared" si="3"/>
        <v>8.3784450000000017E-3</v>
      </c>
      <c r="L27" s="62">
        <f t="shared" si="3"/>
        <v>1.0071300000000002E-2</v>
      </c>
      <c r="M27" s="62">
        <f t="shared" si="3"/>
        <v>1.1558942499999898E-2</v>
      </c>
      <c r="N27" s="62">
        <f t="shared" si="3"/>
        <v>1.2957587900000001E-2</v>
      </c>
      <c r="T27" s="62" t="s">
        <v>14</v>
      </c>
      <c r="V27" s="62">
        <v>1.5414960239999999E-2</v>
      </c>
      <c r="W27" s="5">
        <v>1.64080692E-2</v>
      </c>
    </row>
    <row r="28" spans="1:23">
      <c r="A28" s="62" t="s">
        <v>26</v>
      </c>
      <c r="D28" s="62" t="s">
        <v>20</v>
      </c>
      <c r="E28" s="62" t="s">
        <v>4</v>
      </c>
      <c r="F28" s="62" t="s">
        <v>30</v>
      </c>
      <c r="G28" s="62">
        <f>H16</f>
        <v>2.3106700000000001E-2</v>
      </c>
      <c r="H28" s="62">
        <f t="shared" ref="H28:N28" si="4">I16</f>
        <v>1.8826900000000001E-2</v>
      </c>
      <c r="I28" s="62">
        <f t="shared" si="4"/>
        <v>1.99977E-2</v>
      </c>
      <c r="J28" s="62">
        <f t="shared" si="4"/>
        <v>1.9488100000000001E-2</v>
      </c>
      <c r="K28" s="62">
        <f t="shared" si="4"/>
        <v>2.0002900000000001E-2</v>
      </c>
      <c r="L28" s="62">
        <f t="shared" si="4"/>
        <v>2.1653599999999999E-2</v>
      </c>
      <c r="M28" s="62">
        <f t="shared" si="4"/>
        <v>2.3451300000000001E-2</v>
      </c>
      <c r="N28" s="62">
        <f t="shared" si="4"/>
        <v>2.3886899999999999E-2</v>
      </c>
      <c r="T28" s="62" t="s">
        <v>30</v>
      </c>
      <c r="V28" s="62">
        <v>0</v>
      </c>
      <c r="W28" s="5">
        <v>0</v>
      </c>
    </row>
    <row r="29" spans="1:23">
      <c r="A29" s="62" t="s">
        <v>27</v>
      </c>
      <c r="B29" s="62" t="s">
        <v>6</v>
      </c>
      <c r="E29" s="62" t="s">
        <v>6</v>
      </c>
      <c r="F29" s="62" t="s">
        <v>305</v>
      </c>
      <c r="G29" s="62">
        <f t="shared" ref="G29:N29" si="5">SUMIF($E$3:$E$12,$E29,J$3:J$12)-G30</f>
        <v>2.2311399999999981E-2</v>
      </c>
      <c r="H29" s="62">
        <f t="shared" si="5"/>
        <v>2.4399070000000078E-2</v>
      </c>
      <c r="I29" s="62">
        <f t="shared" si="5"/>
        <v>3.2018799999999903E-2</v>
      </c>
      <c r="J29" s="62">
        <f t="shared" si="5"/>
        <v>3.8661470000000087E-2</v>
      </c>
      <c r="K29" s="62">
        <f t="shared" si="5"/>
        <v>4.8644560000000059E-2</v>
      </c>
      <c r="L29" s="62">
        <f t="shared" si="5"/>
        <v>6.2147809999999915E-2</v>
      </c>
      <c r="M29" s="62">
        <f t="shared" si="5"/>
        <v>7.3270551999999878E-2</v>
      </c>
      <c r="N29" s="62">
        <f t="shared" si="5"/>
        <v>8.4043622999999901E-2</v>
      </c>
      <c r="T29" s="62" t="s">
        <v>16</v>
      </c>
      <c r="V29" s="62">
        <v>0.27588541788000009</v>
      </c>
      <c r="W29" s="5">
        <v>0.31739293440000005</v>
      </c>
    </row>
    <row r="30" spans="1:23">
      <c r="A30" s="62" t="s">
        <v>28</v>
      </c>
      <c r="D30" s="62" t="s">
        <v>20</v>
      </c>
      <c r="E30" s="62" t="s">
        <v>6</v>
      </c>
      <c r="F30" s="62" t="s">
        <v>626</v>
      </c>
      <c r="G30" s="62">
        <f>SUMIFS(H$16:H$19,$C$16:$C$19,$D30,$D$16:$D$19,$E30)</f>
        <v>1.8793899999999999</v>
      </c>
      <c r="H30" s="62">
        <f t="shared" ref="H30:N30" si="6">SUMIFS(I$16:I$19,$C$16:$C$19,$D30,$D$16:$D$19,$E30)</f>
        <v>1.89863</v>
      </c>
      <c r="I30" s="62">
        <f t="shared" si="6"/>
        <v>2.1570999999999998</v>
      </c>
      <c r="J30" s="62">
        <f t="shared" si="6"/>
        <v>2.2750400000000002</v>
      </c>
      <c r="K30" s="62">
        <f t="shared" si="6"/>
        <v>2.3559000000000001</v>
      </c>
      <c r="L30" s="62">
        <f t="shared" si="6"/>
        <v>2.4420299999999999</v>
      </c>
      <c r="M30" s="62">
        <f t="shared" si="6"/>
        <v>2.5479500000000002</v>
      </c>
      <c r="N30" s="62">
        <f t="shared" si="6"/>
        <v>2.6657500000000001</v>
      </c>
      <c r="T30" s="62" t="s">
        <v>31</v>
      </c>
      <c r="V30" s="62">
        <v>0.8139352726800001</v>
      </c>
      <c r="W30" s="5">
        <v>0.95168894759999989</v>
      </c>
    </row>
    <row r="31" spans="1:23">
      <c r="A31" s="115" t="s">
        <v>29</v>
      </c>
      <c r="B31" s="115"/>
      <c r="C31" s="115"/>
      <c r="D31" s="115"/>
      <c r="E31" s="115"/>
      <c r="F31" s="115"/>
      <c r="G31" s="62">
        <f t="shared" ref="G31:N31" si="7">SUM(G23:G30)</f>
        <v>2.1714324999999999</v>
      </c>
      <c r="H31" s="62">
        <f t="shared" si="7"/>
        <v>2.204341168</v>
      </c>
      <c r="I31" s="62">
        <f t="shared" si="7"/>
        <v>2.5320442539999997</v>
      </c>
      <c r="J31" s="62">
        <f t="shared" si="7"/>
        <v>2.697689387</v>
      </c>
      <c r="K31" s="62">
        <f t="shared" si="7"/>
        <v>2.850960175</v>
      </c>
      <c r="L31" s="62">
        <f t="shared" si="7"/>
        <v>3.0315292589999978</v>
      </c>
      <c r="M31" s="62">
        <f t="shared" si="7"/>
        <v>3.2299784183</v>
      </c>
      <c r="N31" s="62">
        <f t="shared" si="7"/>
        <v>3.443688816699999</v>
      </c>
    </row>
    <row r="32" spans="1:23">
      <c r="T32" s="62" t="s">
        <v>75</v>
      </c>
    </row>
    <row r="54" spans="1:5" ht="18" thickBot="1"/>
    <row r="55" spans="1:5" ht="18" thickBot="1">
      <c r="A55" s="98" t="s">
        <v>627</v>
      </c>
      <c r="B55" s="98" t="s">
        <v>615</v>
      </c>
      <c r="C55" s="98" t="s">
        <v>616</v>
      </c>
      <c r="D55" s="98" t="s">
        <v>617</v>
      </c>
      <c r="E55" s="98" t="s">
        <v>618</v>
      </c>
    </row>
    <row r="56" spans="1:5" ht="18" thickBot="1">
      <c r="A56" s="99" t="s">
        <v>619</v>
      </c>
      <c r="B56" s="98">
        <v>0</v>
      </c>
      <c r="C56" s="98">
        <v>0</v>
      </c>
      <c r="D56" s="98">
        <v>0</v>
      </c>
      <c r="E56" s="98">
        <v>0</v>
      </c>
    </row>
    <row r="57" spans="1:5" ht="18" thickBot="1">
      <c r="A57" s="99" t="s">
        <v>524</v>
      </c>
      <c r="B57" s="98">
        <v>0.2069</v>
      </c>
      <c r="C57" s="98">
        <v>0.17627200000000001</v>
      </c>
      <c r="D57" s="98">
        <v>0.22589999999999999</v>
      </c>
      <c r="E57" s="98">
        <v>0.17776900000000001</v>
      </c>
    </row>
    <row r="58" spans="1:5" ht="18" thickBot="1">
      <c r="A58" s="99" t="s">
        <v>620</v>
      </c>
      <c r="B58" s="98">
        <v>0</v>
      </c>
      <c r="C58" s="98">
        <v>1.1344E-2</v>
      </c>
      <c r="D58" s="98">
        <v>0</v>
      </c>
      <c r="E58" s="98">
        <v>1.166E-2</v>
      </c>
    </row>
    <row r="59" spans="1:5" ht="18" thickBot="1">
      <c r="A59" s="99" t="s">
        <v>621</v>
      </c>
      <c r="B59" s="98">
        <v>6.2300000000000001E-2</v>
      </c>
      <c r="C59" s="98">
        <v>5.4362000000000001E-2</v>
      </c>
      <c r="D59" s="98">
        <v>9.3299999999999994E-2</v>
      </c>
      <c r="E59" s="98">
        <v>5.5620000000000003E-2</v>
      </c>
    </row>
    <row r="60" spans="1:5" ht="18" thickBot="1">
      <c r="A60" s="99" t="s">
        <v>622</v>
      </c>
      <c r="B60" s="98">
        <v>1.6400000000000001E-2</v>
      </c>
      <c r="C60" s="98">
        <v>5.0860000000000002E-2</v>
      </c>
      <c r="D60" s="98">
        <v>1.5599999999999999E-2</v>
      </c>
      <c r="E60" s="98">
        <v>4.9732999999999999E-2</v>
      </c>
    </row>
    <row r="61" spans="1:5" ht="18" thickBot="1">
      <c r="A61" s="99" t="s">
        <v>623</v>
      </c>
      <c r="B61" s="98">
        <v>4.9000000000000002E-2</v>
      </c>
      <c r="C61" s="98">
        <v>2.2311000000000001E-2</v>
      </c>
      <c r="D61" s="98">
        <v>6.1199999999999997E-2</v>
      </c>
      <c r="E61" s="98">
        <v>2.2860999999999999E-2</v>
      </c>
    </row>
    <row r="62" spans="1:5" ht="18" thickBot="1">
      <c r="A62" s="98" t="s">
        <v>624</v>
      </c>
      <c r="B62" s="98">
        <v>1.2201</v>
      </c>
      <c r="C62" s="98">
        <v>1.8793899999999999</v>
      </c>
      <c r="D62" s="98">
        <v>1.3808</v>
      </c>
      <c r="E62" s="98">
        <v>1.90008</v>
      </c>
    </row>
    <row r="63" spans="1:5" ht="18" thickBot="1">
      <c r="A63" s="98" t="s">
        <v>625</v>
      </c>
      <c r="B63" s="98">
        <v>1.5547</v>
      </c>
      <c r="C63" s="98">
        <v>2.1945389999999998</v>
      </c>
      <c r="D63" s="98">
        <v>1.7767999999999999</v>
      </c>
      <c r="E63" s="98">
        <v>2.2177229999999999</v>
      </c>
    </row>
  </sheetData>
  <mergeCells count="2">
    <mergeCell ref="A11:G11"/>
    <mergeCell ref="A31:F31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ABF0-E617-4BBB-9E1A-F5554AAFF09C}">
  <dimension ref="A1:V39"/>
  <sheetViews>
    <sheetView topLeftCell="A34" zoomScale="55" zoomScaleNormal="55" workbookViewId="0">
      <selection activeCell="F25" sqref="F25:N37"/>
    </sheetView>
  </sheetViews>
  <sheetFormatPr defaultColWidth="8.69921875" defaultRowHeight="17.399999999999999"/>
  <cols>
    <col min="1" max="2" width="8.69921875" style="62"/>
    <col min="3" max="3" width="24.3984375" style="62" bestFit="1" customWidth="1"/>
    <col min="4" max="5" width="22.5" style="62" bestFit="1" customWidth="1"/>
    <col min="6" max="6" width="23.19921875" style="62" bestFit="1" customWidth="1"/>
    <col min="7" max="16384" width="8.69921875" style="62"/>
  </cols>
  <sheetData>
    <row r="1" spans="1:22">
      <c r="A1" s="1" t="s">
        <v>54</v>
      </c>
    </row>
    <row r="2" spans="1:22">
      <c r="A2" s="24" t="s">
        <v>8</v>
      </c>
      <c r="B2" s="24" t="s">
        <v>9</v>
      </c>
      <c r="C2" s="24" t="s">
        <v>39</v>
      </c>
      <c r="D2" s="24" t="s">
        <v>40</v>
      </c>
      <c r="E2" s="24" t="s">
        <v>10</v>
      </c>
      <c r="F2" s="24" t="s">
        <v>42</v>
      </c>
      <c r="G2" s="24">
        <v>1990</v>
      </c>
      <c r="H2" s="24">
        <v>2005</v>
      </c>
      <c r="I2" s="24">
        <v>2010</v>
      </c>
      <c r="J2" s="24">
        <v>2015</v>
      </c>
      <c r="K2" s="24">
        <v>2020</v>
      </c>
      <c r="L2" s="24">
        <v>2025</v>
      </c>
      <c r="M2" s="24">
        <v>2030</v>
      </c>
      <c r="N2" s="24">
        <v>2035</v>
      </c>
      <c r="O2" s="24">
        <v>2040</v>
      </c>
      <c r="P2" s="24">
        <v>2045</v>
      </c>
      <c r="Q2" s="24">
        <v>2050</v>
      </c>
    </row>
    <row r="3" spans="1:22">
      <c r="A3" s="62" t="str">
        <f>NZ2050_industry_final_energy!D16</f>
        <v>NZ2050,date=2022-3-7T01:15:47-015:00</v>
      </c>
      <c r="B3" s="62" t="str">
        <f>NZ2050_industry_final_energy!E16</f>
        <v>South Korea</v>
      </c>
      <c r="C3" s="62" t="str">
        <f>NZ2050_industry_final_energy!F16</f>
        <v>chemical energy use</v>
      </c>
      <c r="D3" s="62" t="str">
        <f>NZ2050_industry_final_energy!G16</f>
        <v>biomass</v>
      </c>
      <c r="E3" s="62" t="str">
        <f>NZ2050_industry_final_energy!H16</f>
        <v>delivered biomass</v>
      </c>
      <c r="F3" s="62" t="str">
        <f>NZ2050_industry_final_energy!I16</f>
        <v>biomass</v>
      </c>
      <c r="G3" s="62">
        <f>NZ2050_industry_final_energy!J16</f>
        <v>2.5953E-3</v>
      </c>
      <c r="H3" s="62">
        <f>NZ2050_industry_final_energy!K16</f>
        <v>5.4836900000000003E-3</v>
      </c>
      <c r="I3" s="62">
        <f>NZ2050_industry_final_energy!L16</f>
        <v>3.5999999999999999E-3</v>
      </c>
      <c r="J3" s="62">
        <f>NZ2050_industry_final_energy!M16</f>
        <v>1.1344099999999999E-2</v>
      </c>
      <c r="K3" s="62">
        <f>NZ2050_industry_final_energy!N16</f>
        <v>1.233681E-2</v>
      </c>
      <c r="L3" s="62">
        <f>NZ2050_industry_final_energy!O16</f>
        <v>1.6084330000000001E-2</v>
      </c>
      <c r="M3" s="62">
        <f>NZ2050_industry_final_energy!P16</f>
        <v>2.048695E-2</v>
      </c>
      <c r="N3" s="62">
        <f>NZ2050_industry_final_energy!Q16</f>
        <v>2.2287951E-2</v>
      </c>
      <c r="O3" s="62">
        <f>NZ2050_industry_final_energy!R16</f>
        <v>1.9297135E-2</v>
      </c>
      <c r="P3" s="62">
        <f>NZ2050_industry_final_energy!S16</f>
        <v>1.527919E-2</v>
      </c>
      <c r="Q3" s="62">
        <f>NZ2050_industry_final_energy!T16</f>
        <v>4.4383550600000004E-3</v>
      </c>
    </row>
    <row r="4" spans="1:22">
      <c r="A4" s="62" t="str">
        <f>NZ2050_industry_final_energy!D17</f>
        <v>NZ2050,date=2022-3-7T01:15:47-015:00</v>
      </c>
      <c r="B4" s="62" t="str">
        <f>NZ2050_industry_final_energy!E17</f>
        <v>South Korea</v>
      </c>
      <c r="C4" s="62" t="str">
        <f>NZ2050_industry_final_energy!F17</f>
        <v>chemical energy use</v>
      </c>
      <c r="D4" s="62" t="str">
        <f>NZ2050_industry_final_energy!G17</f>
        <v>biomass</v>
      </c>
      <c r="E4" s="62" t="str">
        <f>NZ2050_industry_final_energy!H17</f>
        <v>delivered biomass</v>
      </c>
      <c r="F4" s="62" t="str">
        <f>NZ2050_industry_final_energy!I17</f>
        <v>biomass CCS</v>
      </c>
      <c r="G4" s="62">
        <f>NZ2050_industry_final_energy!J17</f>
        <v>0</v>
      </c>
      <c r="H4" s="62">
        <f>NZ2050_industry_final_energy!K17</f>
        <v>0</v>
      </c>
      <c r="I4" s="62">
        <f>NZ2050_industry_final_energy!L17</f>
        <v>0</v>
      </c>
      <c r="J4" s="62">
        <f>NZ2050_industry_final_energy!M17</f>
        <v>0</v>
      </c>
      <c r="K4" s="62">
        <f>NZ2050_industry_final_energy!N17</f>
        <v>0</v>
      </c>
      <c r="L4" s="62">
        <f>NZ2050_industry_final_energy!O17</f>
        <v>1.20481E-4</v>
      </c>
      <c r="M4" s="62">
        <f>NZ2050_industry_final_energy!P17</f>
        <v>1.1075E-3</v>
      </c>
      <c r="N4" s="62">
        <f>NZ2050_industry_final_energy!Q17</f>
        <v>8.6422600000000006E-3</v>
      </c>
      <c r="O4" s="62">
        <f>NZ2050_industry_final_energy!R17</f>
        <v>2.4456311099999999E-2</v>
      </c>
      <c r="P4" s="62">
        <f>NZ2050_industry_final_energy!S17</f>
        <v>3.82185024E-2</v>
      </c>
      <c r="Q4" s="62">
        <f>NZ2050_industry_final_energy!T17</f>
        <v>4.6706898199999999E-2</v>
      </c>
    </row>
    <row r="5" spans="1:22">
      <c r="A5" s="62" t="str">
        <f>NZ2050_industry_final_energy!D18</f>
        <v>NZ2050,date=2022-3-7T01:15:47-015:00</v>
      </c>
      <c r="B5" s="62" t="str">
        <f>NZ2050_industry_final_energy!E18</f>
        <v>South Korea</v>
      </c>
      <c r="C5" s="62" t="str">
        <f>NZ2050_industry_final_energy!F18</f>
        <v>chemical energy use</v>
      </c>
      <c r="D5" s="62" t="str">
        <f>NZ2050_industry_final_energy!G18</f>
        <v>coal</v>
      </c>
      <c r="E5" s="62" t="str">
        <f>NZ2050_industry_final_energy!H18</f>
        <v>delivered coal</v>
      </c>
      <c r="F5" s="62" t="str">
        <f>NZ2050_industry_final_energy!I18</f>
        <v>coal</v>
      </c>
      <c r="G5" s="62">
        <f>NZ2050_industry_final_energy!J18</f>
        <v>1.8837000000000001E-3</v>
      </c>
      <c r="H5" s="62">
        <f>NZ2050_industry_final_energy!K18</f>
        <v>3.1814E-3</v>
      </c>
      <c r="I5" s="62">
        <f>NZ2050_industry_final_energy!L18</f>
        <v>4.2278999999999997E-3</v>
      </c>
      <c r="J5" s="62">
        <f>NZ2050_industry_final_energy!M18</f>
        <v>4.6464999999999996E-3</v>
      </c>
      <c r="K5" s="62">
        <f>NZ2050_industry_final_energy!N18</f>
        <v>5.0284020000000004E-3</v>
      </c>
      <c r="L5" s="62">
        <f>NZ2050_industry_final_energy!O18</f>
        <v>5.1862389999999996E-3</v>
      </c>
      <c r="M5" s="62">
        <f>NZ2050_industry_final_energy!P18</f>
        <v>4.8643030000000004E-3</v>
      </c>
      <c r="N5" s="62">
        <f>NZ2050_industry_final_energy!Q18</f>
        <v>3.5774269999999898E-3</v>
      </c>
      <c r="O5" s="62">
        <f>NZ2050_industry_final_energy!R18</f>
        <v>2.006931E-3</v>
      </c>
      <c r="P5" s="62">
        <f>NZ2050_industry_final_energy!S18</f>
        <v>1.0760766E-3</v>
      </c>
      <c r="Q5" s="62">
        <f>NZ2050_industry_final_energy!T18</f>
        <v>1.0820072E-4</v>
      </c>
    </row>
    <row r="6" spans="1:22">
      <c r="A6" s="62" t="str">
        <f>NZ2050_industry_final_energy!D19</f>
        <v>NZ2050,date=2022-3-7T01:15:47-015:00</v>
      </c>
      <c r="B6" s="62" t="str">
        <f>NZ2050_industry_final_energy!E19</f>
        <v>South Korea</v>
      </c>
      <c r="C6" s="62" t="str">
        <f>NZ2050_industry_final_energy!F19</f>
        <v>chemical energy use</v>
      </c>
      <c r="D6" s="62" t="str">
        <f>NZ2050_industry_final_energy!G19</f>
        <v>coal</v>
      </c>
      <c r="E6" s="62" t="str">
        <f>NZ2050_industry_final_energy!H19</f>
        <v>delivered coal</v>
      </c>
      <c r="F6" s="62" t="str">
        <f>NZ2050_industry_final_energy!I19</f>
        <v>coal CCS</v>
      </c>
      <c r="G6" s="62">
        <f>NZ2050_industry_final_energy!J19</f>
        <v>0</v>
      </c>
      <c r="H6" s="62">
        <f>NZ2050_industry_final_energy!K19</f>
        <v>0</v>
      </c>
      <c r="I6" s="62">
        <f>NZ2050_industry_final_energy!L19</f>
        <v>0</v>
      </c>
      <c r="J6" s="62">
        <f>NZ2050_industry_final_energy!M19</f>
        <v>0</v>
      </c>
      <c r="K6" s="62">
        <f>NZ2050_industry_final_energy!N19</f>
        <v>0</v>
      </c>
      <c r="L6" s="62">
        <f>NZ2050_industry_final_energy!O19</f>
        <v>1.1409999999999999E-5</v>
      </c>
      <c r="M6" s="62">
        <f>NZ2050_industry_final_energy!P19</f>
        <v>7.45547E-5</v>
      </c>
      <c r="N6" s="62">
        <f>NZ2050_industry_final_energy!Q19</f>
        <v>3.5170829999999999E-4</v>
      </c>
      <c r="O6" s="62">
        <f>NZ2050_industry_final_energy!R19</f>
        <v>8.6634843999999897E-4</v>
      </c>
      <c r="P6" s="62">
        <f>NZ2050_industry_final_energy!S19</f>
        <v>1.3245953499999999E-3</v>
      </c>
      <c r="Q6" s="62">
        <f>NZ2050_industry_final_energy!T19</f>
        <v>1.61949584E-3</v>
      </c>
    </row>
    <row r="7" spans="1:22">
      <c r="A7" s="62" t="str">
        <f>NZ2050_industry_final_energy!D20</f>
        <v>NZ2050,date=2022-3-7T01:15:47-015:00</v>
      </c>
      <c r="B7" s="62" t="str">
        <f>NZ2050_industry_final_energy!E20</f>
        <v>South Korea</v>
      </c>
      <c r="C7" s="62" t="str">
        <f>NZ2050_industry_final_energy!F20</f>
        <v>chemical energy use</v>
      </c>
      <c r="D7" s="62" t="str">
        <f>NZ2050_industry_final_energy!G20</f>
        <v>electricity</v>
      </c>
      <c r="E7" s="62" t="str">
        <f>NZ2050_industry_final_energy!H20</f>
        <v>elect_td_ind</v>
      </c>
      <c r="F7" s="62" t="str">
        <f>NZ2050_industry_final_energy!I20</f>
        <v>electricity</v>
      </c>
      <c r="G7" s="62">
        <f>NZ2050_industry_final_energy!J20</f>
        <v>3.9306500000000001E-2</v>
      </c>
      <c r="H7" s="62">
        <f>NZ2050_industry_final_energy!K20</f>
        <v>0.143622</v>
      </c>
      <c r="I7" s="62">
        <f>NZ2050_industry_final_energy!L20</f>
        <v>0.14705399999999999</v>
      </c>
      <c r="J7" s="62">
        <f>NZ2050_industry_final_energy!M20</f>
        <v>0.17627200000000001</v>
      </c>
      <c r="K7" s="62">
        <f>NZ2050_industry_final_energy!N20</f>
        <v>0.18617799999999901</v>
      </c>
      <c r="L7" s="62">
        <f>NZ2050_industry_final_energy!O20</f>
        <v>0.20609259999999999</v>
      </c>
      <c r="M7" s="62">
        <f>NZ2050_industry_final_energy!P20</f>
        <v>0.2279157</v>
      </c>
      <c r="N7" s="62">
        <f>NZ2050_industry_final_energy!Q20</f>
        <v>0.25670769999999998</v>
      </c>
      <c r="O7" s="62">
        <f>NZ2050_industry_final_energy!R20</f>
        <v>0.29568918</v>
      </c>
      <c r="P7" s="62">
        <f>NZ2050_industry_final_energy!S20</f>
        <v>0.33893118999999999</v>
      </c>
      <c r="Q7" s="62">
        <f>NZ2050_industry_final_energy!T20</f>
        <v>0.39745271799999998</v>
      </c>
    </row>
    <row r="8" spans="1:22">
      <c r="A8" s="62" t="str">
        <f>NZ2050_industry_final_energy!D21</f>
        <v>NZ2050,date=2022-3-7T01:15:47-015:00</v>
      </c>
      <c r="B8" s="62" t="str">
        <f>NZ2050_industry_final_energy!E21</f>
        <v>South Korea</v>
      </c>
      <c r="C8" s="62" t="str">
        <f>NZ2050_industry_final_energy!F21</f>
        <v>chemical energy use</v>
      </c>
      <c r="D8" s="62" t="str">
        <f>NZ2050_industry_final_energy!G21</f>
        <v>gas</v>
      </c>
      <c r="E8" s="62" t="str">
        <f>NZ2050_industry_final_energy!H21</f>
        <v>wholesale gas</v>
      </c>
      <c r="F8" s="62" t="str">
        <f>NZ2050_industry_final_energy!I21</f>
        <v>gas</v>
      </c>
      <c r="G8" s="62">
        <f>NZ2050_industry_final_energy!J21</f>
        <v>0</v>
      </c>
      <c r="H8" s="62">
        <f>NZ2050_industry_final_energy!K21</f>
        <v>2.2174E-3</v>
      </c>
      <c r="I8" s="62">
        <f>NZ2050_industry_final_energy!L21</f>
        <v>5.9310599999999998E-2</v>
      </c>
      <c r="J8" s="62">
        <f>NZ2050_industry_final_energy!M21</f>
        <v>5.4361800000000002E-2</v>
      </c>
      <c r="K8" s="62">
        <f>NZ2050_industry_final_energy!N21</f>
        <v>5.8510349999999899E-2</v>
      </c>
      <c r="L8" s="62">
        <f>NZ2050_industry_final_energy!O21</f>
        <v>6.5875920000000004E-2</v>
      </c>
      <c r="M8" s="62">
        <f>NZ2050_industry_final_energy!P21</f>
        <v>7.1550009999999997E-2</v>
      </c>
      <c r="N8" s="62">
        <f>NZ2050_industry_final_energy!Q21</f>
        <v>6.9225330000000002E-2</v>
      </c>
      <c r="O8" s="62">
        <f>NZ2050_industry_final_energy!R21</f>
        <v>5.7954859999999997E-2</v>
      </c>
      <c r="P8" s="62">
        <f>NZ2050_industry_final_energy!S21</f>
        <v>4.6938425999999998E-2</v>
      </c>
      <c r="Q8" s="62">
        <f>NZ2050_industry_final_energy!T21</f>
        <v>2.9799375999999999E-2</v>
      </c>
    </row>
    <row r="9" spans="1:22">
      <c r="A9" s="62" t="str">
        <f>NZ2050_industry_final_energy!D22</f>
        <v>NZ2050,date=2022-3-7T01:15:47-015:00</v>
      </c>
      <c r="B9" s="62" t="str">
        <f>NZ2050_industry_final_energy!E22</f>
        <v>South Korea</v>
      </c>
      <c r="C9" s="62" t="str">
        <f>NZ2050_industry_final_energy!F22</f>
        <v>chemical energy use</v>
      </c>
      <c r="D9" s="62" t="str">
        <f>NZ2050_industry_final_energy!G22</f>
        <v>gas</v>
      </c>
      <c r="E9" s="62" t="str">
        <f>NZ2050_industry_final_energy!H22</f>
        <v>wholesale gas</v>
      </c>
      <c r="F9" s="62" t="str">
        <f>NZ2050_industry_final_energy!I22</f>
        <v>gas CCS</v>
      </c>
      <c r="G9" s="62">
        <f>NZ2050_industry_final_energy!J22</f>
        <v>0</v>
      </c>
      <c r="H9" s="62">
        <f>NZ2050_industry_final_energy!K22</f>
        <v>0</v>
      </c>
      <c r="I9" s="62">
        <f>NZ2050_industry_final_energy!L22</f>
        <v>0</v>
      </c>
      <c r="J9" s="62">
        <f>NZ2050_industry_final_energy!M22</f>
        <v>0</v>
      </c>
      <c r="K9" s="62">
        <f>NZ2050_industry_final_energy!N22</f>
        <v>0</v>
      </c>
      <c r="L9" s="62">
        <f>NZ2050_industry_final_energy!O22</f>
        <v>6.0678900000000005E-4</v>
      </c>
      <c r="M9" s="62">
        <f>NZ2050_industry_final_energy!P22</f>
        <v>3.4086490000000001E-3</v>
      </c>
      <c r="N9" s="62">
        <f>NZ2050_industry_final_energy!Q22</f>
        <v>1.40432059999999E-2</v>
      </c>
      <c r="O9" s="62">
        <f>NZ2050_industry_final_energy!R22</f>
        <v>3.1662882000000003E-2</v>
      </c>
      <c r="P9" s="62">
        <f>NZ2050_industry_final_energy!S22</f>
        <v>4.8863589999999998E-2</v>
      </c>
      <c r="Q9" s="62">
        <f>NZ2050_industry_final_energy!T22</f>
        <v>6.5602020999999996E-2</v>
      </c>
    </row>
    <row r="10" spans="1:22">
      <c r="A10" s="62" t="str">
        <f>NZ2050_industry_final_energy!D23</f>
        <v>NZ2050,date=2022-3-7T01:15:47-015:00</v>
      </c>
      <c r="B10" s="62" t="str">
        <f>NZ2050_industry_final_energy!E23</f>
        <v>South Korea</v>
      </c>
      <c r="C10" s="62" t="str">
        <f>NZ2050_industry_final_energy!F23</f>
        <v>chemical energy use</v>
      </c>
      <c r="D10" s="62" t="str">
        <f>NZ2050_industry_final_energy!G23</f>
        <v>hydrogen</v>
      </c>
      <c r="E10" s="62" t="str">
        <f>NZ2050_industry_final_energy!H23</f>
        <v>H2 enduse</v>
      </c>
      <c r="F10" s="62" t="str">
        <f>NZ2050_industry_final_energy!I23</f>
        <v>hydrogen</v>
      </c>
      <c r="G10" s="62">
        <f>NZ2050_industry_final_energy!J23</f>
        <v>0</v>
      </c>
      <c r="H10" s="62">
        <f>NZ2050_industry_final_energy!K23</f>
        <v>0</v>
      </c>
      <c r="I10" s="62">
        <f>NZ2050_industry_final_energy!L23</f>
        <v>0</v>
      </c>
      <c r="J10" s="62">
        <f>NZ2050_industry_final_energy!M23</f>
        <v>0</v>
      </c>
      <c r="K10" s="62">
        <f>NZ2050_industry_final_energy!N23</f>
        <v>4.46217E-4</v>
      </c>
      <c r="L10" s="62">
        <f>NZ2050_industry_final_energy!O23</f>
        <v>2.5756959999999902E-3</v>
      </c>
      <c r="M10" s="62">
        <f>NZ2050_industry_final_energy!P23</f>
        <v>8.2967909999999995E-3</v>
      </c>
      <c r="N10" s="62">
        <f>NZ2050_industry_final_energy!Q23</f>
        <v>2.3364777E-2</v>
      </c>
      <c r="O10" s="62">
        <f>NZ2050_industry_final_energy!R23</f>
        <v>4.7715868000000002E-2</v>
      </c>
      <c r="P10" s="62">
        <f>NZ2050_industry_final_energy!S23</f>
        <v>7.2179282499999997E-2</v>
      </c>
      <c r="Q10" s="62">
        <f>NZ2050_industry_final_energy!T23</f>
        <v>0.10373313469999999</v>
      </c>
    </row>
    <row r="11" spans="1:22">
      <c r="A11" s="62" t="str">
        <f>NZ2050_industry_final_energy!D24</f>
        <v>NZ2050,date=2022-3-7T01:15:47-015:00</v>
      </c>
      <c r="B11" s="62" t="str">
        <f>NZ2050_industry_final_energy!E24</f>
        <v>South Korea</v>
      </c>
      <c r="C11" s="62" t="str">
        <f>NZ2050_industry_final_energy!F24</f>
        <v>chemical energy use</v>
      </c>
      <c r="D11" s="62" t="str">
        <f>NZ2050_industry_final_energy!G24</f>
        <v>refined liquids</v>
      </c>
      <c r="E11" s="62" t="str">
        <f>NZ2050_industry_final_energy!H24</f>
        <v>refined liquids industrial</v>
      </c>
      <c r="F11" s="62" t="str">
        <f>NZ2050_industry_final_energy!I24</f>
        <v>refined liquids</v>
      </c>
      <c r="G11" s="62">
        <f>NZ2050_industry_final_energy!J24</f>
        <v>9.6065499999999998E-2</v>
      </c>
      <c r="H11" s="62">
        <f>NZ2050_industry_final_energy!K24</f>
        <v>7.1915400000000004E-2</v>
      </c>
      <c r="I11" s="62">
        <f>NZ2050_industry_final_energy!L24</f>
        <v>4.75948E-2</v>
      </c>
      <c r="J11" s="62">
        <f>NZ2050_industry_final_energy!M24</f>
        <v>2.2311399999999999E-2</v>
      </c>
      <c r="K11" s="62">
        <f>NZ2050_industry_final_energy!N24</f>
        <v>2.4373530000000001E-2</v>
      </c>
      <c r="L11" s="62">
        <f>NZ2050_industry_final_energy!O24</f>
        <v>2.87533899999999E-2</v>
      </c>
      <c r="M11" s="62">
        <f>NZ2050_industry_final_energy!P24</f>
        <v>3.3271179999999997E-2</v>
      </c>
      <c r="N11" s="62">
        <f>NZ2050_industry_final_energy!Q24</f>
        <v>3.5414210000000002E-2</v>
      </c>
      <c r="O11" s="62">
        <f>NZ2050_industry_final_energy!R24</f>
        <v>3.2732539999999997E-2</v>
      </c>
      <c r="P11" s="62">
        <f>NZ2050_industry_final_energy!S24</f>
        <v>2.7650905999999999E-2</v>
      </c>
      <c r="Q11" s="62">
        <f>NZ2050_industry_final_energy!T24</f>
        <v>9.51474179999999E-3</v>
      </c>
    </row>
    <row r="12" spans="1:22">
      <c r="A12" s="62" t="str">
        <f>NZ2050_industry_final_energy!D25</f>
        <v>NZ2050,date=2022-3-7T01:15:47-015:00</v>
      </c>
      <c r="B12" s="62" t="str">
        <f>NZ2050_industry_final_energy!E25</f>
        <v>South Korea</v>
      </c>
      <c r="C12" s="62" t="str">
        <f>NZ2050_industry_final_energy!F25</f>
        <v>chemical energy use</v>
      </c>
      <c r="D12" s="62" t="str">
        <f>NZ2050_industry_final_energy!G25</f>
        <v>refined liquids</v>
      </c>
      <c r="E12" s="62" t="str">
        <f>NZ2050_industry_final_energy!H25</f>
        <v>refined liquids industrial</v>
      </c>
      <c r="F12" s="62" t="str">
        <f>NZ2050_industry_final_energy!I25</f>
        <v>refined liquids CCS</v>
      </c>
      <c r="G12" s="62">
        <f>NZ2050_industry_final_energy!J25</f>
        <v>0</v>
      </c>
      <c r="H12" s="62">
        <f>NZ2050_industry_final_energy!K25</f>
        <v>0</v>
      </c>
      <c r="I12" s="62">
        <f>NZ2050_industry_final_energy!L25</f>
        <v>0</v>
      </c>
      <c r="J12" s="62">
        <f>NZ2050_industry_final_energy!M25</f>
        <v>0</v>
      </c>
      <c r="K12" s="62">
        <f>NZ2050_industry_final_energy!N25</f>
        <v>0</v>
      </c>
      <c r="L12" s="62">
        <f>NZ2050_industry_final_energy!O25</f>
        <v>4.2380800000000002E-4</v>
      </c>
      <c r="M12" s="62">
        <f>NZ2050_industry_final_energy!P25</f>
        <v>2.2768739999999999E-3</v>
      </c>
      <c r="N12" s="62">
        <f>NZ2050_industry_final_energy!Q25</f>
        <v>8.9516349999999995E-3</v>
      </c>
      <c r="O12" s="62">
        <f>NZ2050_industry_final_energy!R25</f>
        <v>2.0077441000000001E-2</v>
      </c>
      <c r="P12" s="62">
        <f>NZ2050_industry_final_energy!S25</f>
        <v>3.0239005999999999E-2</v>
      </c>
      <c r="Q12" s="62">
        <f>NZ2050_industry_final_energy!T25</f>
        <v>3.9249225700000001E-2</v>
      </c>
    </row>
    <row r="13" spans="1:22">
      <c r="A13" s="62" t="str">
        <f>NZ2050_industry_final_energy!D26</f>
        <v>NZ2050,date=2022-3-7T01:15:47-015:00</v>
      </c>
      <c r="B13" s="62" t="str">
        <f>NZ2050_industry_final_energy!E26</f>
        <v>South Korea</v>
      </c>
      <c r="C13" s="62" t="str">
        <f>NZ2050_industry_final_energy!F26</f>
        <v>chemical feedstocks</v>
      </c>
      <c r="D13" s="62" t="str">
        <f>NZ2050_industry_final_energy!G26</f>
        <v>coal</v>
      </c>
      <c r="E13" s="62" t="str">
        <f>NZ2050_industry_final_energy!H26</f>
        <v>delivered coal</v>
      </c>
      <c r="F13" s="62" t="str">
        <f>NZ2050_industry_final_energy!I26</f>
        <v>coal</v>
      </c>
      <c r="G13" s="62">
        <f>NZ2050_industry_final_energy!J26</f>
        <v>0</v>
      </c>
      <c r="H13" s="62">
        <f>NZ2050_industry_final_energy!K26</f>
        <v>0</v>
      </c>
      <c r="I13" s="62">
        <f>NZ2050_industry_final_energy!L26</f>
        <v>1.6953300000000001E-2</v>
      </c>
      <c r="J13" s="62">
        <f>NZ2050_industry_final_energy!M26</f>
        <v>2.3106700000000001E-2</v>
      </c>
      <c r="K13" s="62">
        <f>NZ2050_industry_final_energy!N26</f>
        <v>1.99516E-2</v>
      </c>
      <c r="L13" s="62">
        <f>NZ2050_industry_final_energy!O26</f>
        <v>2.8079100000000002E-4</v>
      </c>
      <c r="M13" s="62">
        <f>NZ2050_industry_final_energy!P26</f>
        <v>1.09905E-4</v>
      </c>
      <c r="N13" s="62">
        <f>NZ2050_industry_final_energy!Q26</f>
        <v>4.41366E-5</v>
      </c>
      <c r="O13" s="62">
        <f>NZ2050_industry_final_energy!R26</f>
        <v>2.0372000000000001E-5</v>
      </c>
      <c r="P13" s="62">
        <f>NZ2050_industry_final_energy!S26</f>
        <v>9.3468300000000004E-6</v>
      </c>
      <c r="Q13" s="62">
        <f>NZ2050_industry_final_energy!T26</f>
        <v>1.38328E-6</v>
      </c>
    </row>
    <row r="14" spans="1:22">
      <c r="A14" s="62" t="str">
        <f>NZ2050_industry_final_energy!D27</f>
        <v>NZ2050,date=2022-3-7T01:15:47-015:00</v>
      </c>
      <c r="B14" s="62" t="str">
        <f>NZ2050_industry_final_energy!E27</f>
        <v>South Korea</v>
      </c>
      <c r="C14" s="62" t="str">
        <f>NZ2050_industry_final_energy!F27</f>
        <v>chemical feedstocks</v>
      </c>
      <c r="D14" s="62" t="str">
        <f>NZ2050_industry_final_energy!G27</f>
        <v>refined liquids</v>
      </c>
      <c r="E14" s="62" t="str">
        <f>NZ2050_industry_final_energy!H27</f>
        <v>refined liquids industrial</v>
      </c>
      <c r="F14" s="62" t="str">
        <f>NZ2050_industry_final_energy!I27</f>
        <v>refined liquids</v>
      </c>
      <c r="G14" s="62">
        <f>NZ2050_industry_final_energy!J27</f>
        <v>0.23639399999999999</v>
      </c>
      <c r="H14" s="62">
        <f>NZ2050_industry_final_energy!K27</f>
        <v>1.18882</v>
      </c>
      <c r="I14" s="62">
        <f>NZ2050_industry_final_energy!L27</f>
        <v>1.5032799999999999</v>
      </c>
      <c r="J14" s="62">
        <f>NZ2050_industry_final_energy!M27</f>
        <v>1.8793899999999999</v>
      </c>
      <c r="K14" s="62">
        <f>NZ2050_industry_final_energy!N27</f>
        <v>1.89751</v>
      </c>
      <c r="L14" s="62">
        <f>NZ2050_industry_final_energy!O27</f>
        <v>2.02014</v>
      </c>
      <c r="M14" s="62">
        <f>NZ2050_industry_final_energy!P27</f>
        <v>2.13828</v>
      </c>
      <c r="N14" s="62">
        <f>NZ2050_industry_final_energy!Q27</f>
        <v>2.2135099999999999</v>
      </c>
      <c r="O14" s="62">
        <f>NZ2050_industry_final_energy!R27</f>
        <v>2.2987000000000002</v>
      </c>
      <c r="P14" s="62">
        <f>NZ2050_industry_final_energy!S27</f>
        <v>2.41574</v>
      </c>
      <c r="Q14" s="62">
        <f>NZ2050_industry_final_energy!T27</f>
        <v>2.5107900000000001</v>
      </c>
    </row>
    <row r="15" spans="1:22">
      <c r="F15" s="24" t="s">
        <v>29</v>
      </c>
      <c r="G15" s="62">
        <f t="shared" ref="G15:P15" si="0">SUM(G3:G14)</f>
        <v>0.376245</v>
      </c>
      <c r="H15" s="62">
        <f t="shared" si="0"/>
        <v>1.4152398900000001</v>
      </c>
      <c r="I15" s="62">
        <f t="shared" si="0"/>
        <v>1.7820206000000001</v>
      </c>
      <c r="J15" s="62">
        <f t="shared" si="0"/>
        <v>2.1714324999999999</v>
      </c>
      <c r="K15" s="62">
        <f t="shared" si="0"/>
        <v>2.2043349089999991</v>
      </c>
      <c r="L15" s="62">
        <f t="shared" si="0"/>
        <v>2.3461514540000001</v>
      </c>
      <c r="M15" s="62">
        <f t="shared" si="0"/>
        <v>2.5116424167</v>
      </c>
      <c r="N15" s="62">
        <f t="shared" si="0"/>
        <v>2.6561203408999998</v>
      </c>
      <c r="O15" s="62">
        <f t="shared" si="0"/>
        <v>2.8311798685400005</v>
      </c>
      <c r="P15" s="62">
        <f t="shared" si="0"/>
        <v>3.0364501116799998</v>
      </c>
      <c r="Q15" s="62">
        <f>SUM(Q3:Q14)</f>
        <v>3.2090155503000002</v>
      </c>
    </row>
    <row r="16" spans="1:22">
      <c r="S16" s="62" t="s">
        <v>15</v>
      </c>
      <c r="U16" s="62">
        <v>5.0651906400000002E-2</v>
      </c>
      <c r="V16" s="5">
        <v>6.2274463199999991E-2</v>
      </c>
    </row>
    <row r="17" spans="1:22">
      <c r="A17" s="1" t="s">
        <v>23</v>
      </c>
      <c r="S17" s="62" t="s">
        <v>14</v>
      </c>
      <c r="U17" s="62">
        <v>1.5414960239999999E-2</v>
      </c>
      <c r="V17" s="5">
        <v>1.64080692E-2</v>
      </c>
    </row>
    <row r="18" spans="1:22">
      <c r="A18" s="62" t="s">
        <v>8</v>
      </c>
      <c r="B18" s="62" t="s">
        <v>9</v>
      </c>
      <c r="C18" s="62" t="s">
        <v>24</v>
      </c>
      <c r="D18" s="62" t="s">
        <v>10</v>
      </c>
      <c r="E18" s="62">
        <v>1990</v>
      </c>
      <c r="F18" s="62">
        <v>2005</v>
      </c>
      <c r="G18" s="62">
        <v>2010</v>
      </c>
      <c r="H18" s="62">
        <v>2015</v>
      </c>
      <c r="I18" s="62">
        <v>2020</v>
      </c>
      <c r="J18" s="62">
        <v>2025</v>
      </c>
      <c r="K18" s="62">
        <v>2030</v>
      </c>
      <c r="L18" s="62">
        <v>2035</v>
      </c>
      <c r="M18" s="62">
        <v>2040</v>
      </c>
      <c r="N18" s="62">
        <v>2045</v>
      </c>
      <c r="O18" s="62">
        <v>2050</v>
      </c>
      <c r="S18" s="62" t="s">
        <v>30</v>
      </c>
      <c r="U18" s="62">
        <v>0</v>
      </c>
      <c r="V18" s="5">
        <v>0</v>
      </c>
    </row>
    <row r="19" spans="1:22">
      <c r="A19" s="62" t="str">
        <f>NZ2050_industry_final_energy!D103</f>
        <v>NZ2050,date=2022-3-7T01:15:47-015:00</v>
      </c>
      <c r="B19" s="62" t="str">
        <f>NZ2050_industry_final_energy!E103</f>
        <v>South Korea</v>
      </c>
      <c r="C19" s="62" t="str">
        <f>NZ2050_industry_final_energy!F103</f>
        <v>chemical feedstocks</v>
      </c>
      <c r="D19" s="62" t="str">
        <f>NZ2050_industry_final_energy!G103</f>
        <v>delivered coal</v>
      </c>
      <c r="E19" s="62">
        <f>NZ2050_industry_final_energy!H103</f>
        <v>0</v>
      </c>
      <c r="F19" s="62">
        <f>NZ2050_industry_final_energy!I103</f>
        <v>0</v>
      </c>
      <c r="G19" s="62">
        <f>NZ2050_industry_final_energy!J103</f>
        <v>1.6953300000000001E-2</v>
      </c>
      <c r="H19" s="62">
        <f>NZ2050_industry_final_energy!K103</f>
        <v>2.3106700000000001E-2</v>
      </c>
      <c r="I19" s="62">
        <f>NZ2050_industry_final_energy!L103</f>
        <v>1.99516E-2</v>
      </c>
      <c r="J19" s="62">
        <f>NZ2050_industry_final_energy!M103</f>
        <v>2.8079100000000002E-4</v>
      </c>
      <c r="K19" s="62">
        <f>NZ2050_industry_final_energy!N103</f>
        <v>1.09905E-4</v>
      </c>
      <c r="L19" s="62">
        <f>NZ2050_industry_final_energy!O103</f>
        <v>4.41366E-5</v>
      </c>
      <c r="M19" s="62">
        <f>NZ2050_industry_final_energy!P103</f>
        <v>2.0372000000000001E-5</v>
      </c>
      <c r="N19" s="62">
        <f>NZ2050_industry_final_energy!Q103</f>
        <v>9.3468300000000004E-6</v>
      </c>
      <c r="O19" s="62">
        <f>NZ2050_industry_final_energy!R103</f>
        <v>1.38328E-6</v>
      </c>
      <c r="S19" s="62" t="s">
        <v>16</v>
      </c>
      <c r="U19" s="62">
        <v>0.27588541788000009</v>
      </c>
      <c r="V19" s="5">
        <v>0.31739293440000005</v>
      </c>
    </row>
    <row r="20" spans="1:22">
      <c r="A20" s="62" t="str">
        <f>NZ2050_industry_final_energy!D104</f>
        <v>NZ2050,date=2022-3-7T01:15:47-015:00</v>
      </c>
      <c r="B20" s="62" t="str">
        <f>NZ2050_industry_final_energy!E104</f>
        <v>South Korea</v>
      </c>
      <c r="C20" s="62" t="str">
        <f>NZ2050_industry_final_energy!F104</f>
        <v>chemical feedstocks</v>
      </c>
      <c r="D20" s="62" t="str">
        <f>NZ2050_industry_final_energy!G104</f>
        <v>refined liquids industrial</v>
      </c>
      <c r="E20" s="62">
        <f>NZ2050_industry_final_energy!H104</f>
        <v>0.23639399999999999</v>
      </c>
      <c r="F20" s="62">
        <f>NZ2050_industry_final_energy!I104</f>
        <v>1.18882</v>
      </c>
      <c r="G20" s="62">
        <f>NZ2050_industry_final_energy!J104</f>
        <v>1.5032799999999999</v>
      </c>
      <c r="H20" s="62">
        <f>NZ2050_industry_final_energy!K104</f>
        <v>1.8793899999999999</v>
      </c>
      <c r="I20" s="62">
        <f>NZ2050_industry_final_energy!L104</f>
        <v>1.89751</v>
      </c>
      <c r="J20" s="62">
        <f>NZ2050_industry_final_energy!M104</f>
        <v>2.02014</v>
      </c>
      <c r="K20" s="62">
        <f>NZ2050_industry_final_energy!N104</f>
        <v>2.13828</v>
      </c>
      <c r="L20" s="62">
        <f>NZ2050_industry_final_energy!O104</f>
        <v>2.2135099999999999</v>
      </c>
      <c r="M20" s="62">
        <f>NZ2050_industry_final_energy!P104</f>
        <v>2.2987000000000002</v>
      </c>
      <c r="N20" s="62">
        <f>NZ2050_industry_final_energy!Q104</f>
        <v>2.41574</v>
      </c>
      <c r="O20" s="62">
        <f>NZ2050_industry_final_energy!R104</f>
        <v>2.5107900000000001</v>
      </c>
      <c r="S20" s="62" t="s">
        <v>31</v>
      </c>
      <c r="U20" s="62">
        <v>0.8139352726800001</v>
      </c>
      <c r="V20" s="5">
        <v>0.95168894759999989</v>
      </c>
    </row>
    <row r="21" spans="1:22">
      <c r="A21" s="62" t="str">
        <f>NZ2050_industry_final_energy!D105</f>
        <v>NZ2050,date=2022-3-7T01:15:47-015:00</v>
      </c>
      <c r="B21" s="62" t="str">
        <f>NZ2050_industry_final_energy!E105</f>
        <v>South Korea</v>
      </c>
      <c r="C21" s="62" t="str">
        <f>NZ2050_industry_final_energy!F105</f>
        <v>construction feedstocks</v>
      </c>
      <c r="D21" s="62" t="str">
        <f>NZ2050_industry_final_energy!G105</f>
        <v>refined liquids industrial</v>
      </c>
      <c r="E21" s="62">
        <f>NZ2050_industry_final_energy!H105</f>
        <v>3.2608900000000003E-2</v>
      </c>
      <c r="F21" s="62">
        <f>NZ2050_industry_final_energy!I105</f>
        <v>5.08599E-2</v>
      </c>
      <c r="G21" s="62">
        <f>NZ2050_industry_final_energy!J105</f>
        <v>5.3873799999999999E-2</v>
      </c>
      <c r="H21" s="62">
        <f>NZ2050_industry_final_energy!K105</f>
        <v>4.94367E-2</v>
      </c>
      <c r="I21" s="62">
        <f>NZ2050_industry_final_energy!L105</f>
        <v>5.4238799999999997E-2</v>
      </c>
      <c r="J21" s="62">
        <f>NZ2050_industry_final_energy!M105</f>
        <v>5.7499799999999997E-2</v>
      </c>
      <c r="K21" s="62">
        <f>NZ2050_industry_final_energy!N105</f>
        <v>5.7588500000000001E-2</v>
      </c>
      <c r="L21" s="62">
        <f>NZ2050_industry_final_energy!O105</f>
        <v>5.6500700000000001E-2</v>
      </c>
      <c r="M21" s="62">
        <f>NZ2050_industry_final_energy!P105</f>
        <v>5.5040899999999997E-2</v>
      </c>
      <c r="N21" s="62">
        <f>NZ2050_industry_final_energy!Q105</f>
        <v>5.4190099999999998E-2</v>
      </c>
      <c r="O21" s="62">
        <f>NZ2050_industry_final_energy!R105</f>
        <v>5.3248700000000003E-2</v>
      </c>
    </row>
    <row r="22" spans="1:22">
      <c r="A22" s="62" t="str">
        <f>NZ2050_industry_final_energy!D106</f>
        <v>NZ2050,date=2022-3-7T01:15:47-015:00</v>
      </c>
      <c r="B22" s="62" t="str">
        <f>NZ2050_industry_final_energy!E106</f>
        <v>South Korea</v>
      </c>
      <c r="C22" s="62" t="str">
        <f>NZ2050_industry_final_energy!F106</f>
        <v>other industrial feedstocks</v>
      </c>
      <c r="D22" s="62" t="str">
        <f>NZ2050_industry_final_energy!G106</f>
        <v>refined liquids industrial</v>
      </c>
      <c r="E22" s="62">
        <f>NZ2050_industry_final_energy!H106</f>
        <v>0</v>
      </c>
      <c r="F22" s="62">
        <f>NZ2050_industry_final_energy!I106</f>
        <v>3.1394999999999999E-2</v>
      </c>
      <c r="G22" s="62">
        <f>NZ2050_industry_final_energy!J106</f>
        <v>3.1520600000000003E-2</v>
      </c>
      <c r="H22" s="62">
        <f>NZ2050_industry_final_energy!K106</f>
        <v>2.9218299999999999E-2</v>
      </c>
      <c r="I22" s="62">
        <f>NZ2050_industry_final_energy!L106</f>
        <v>3.22203E-2</v>
      </c>
      <c r="J22" s="62">
        <f>NZ2050_industry_final_energy!M106</f>
        <v>3.8403E-2</v>
      </c>
      <c r="K22" s="62">
        <f>NZ2050_industry_final_energy!N106</f>
        <v>4.7491199999999997E-2</v>
      </c>
      <c r="L22" s="62">
        <f>NZ2050_industry_final_energy!O106</f>
        <v>7.0613700000000001E-2</v>
      </c>
      <c r="M22" s="62">
        <f>NZ2050_industry_final_energy!P106</f>
        <v>0.100462</v>
      </c>
      <c r="N22" s="62">
        <f>NZ2050_industry_final_energy!Q106</f>
        <v>0.120015</v>
      </c>
      <c r="O22" s="62">
        <f>NZ2050_industry_final_energy!R106</f>
        <v>0.13555900000000001</v>
      </c>
      <c r="S22" s="62" t="s">
        <v>75</v>
      </c>
    </row>
    <row r="24" spans="1:22">
      <c r="A24" s="1" t="s">
        <v>11</v>
      </c>
    </row>
    <row r="25" spans="1:22">
      <c r="A25" s="62" t="s">
        <v>8</v>
      </c>
      <c r="B25" s="62" t="s">
        <v>9</v>
      </c>
      <c r="G25" s="62">
        <v>2015</v>
      </c>
      <c r="H25" s="62">
        <v>2020</v>
      </c>
      <c r="I25" s="62">
        <v>2025</v>
      </c>
      <c r="J25" s="62">
        <v>2030</v>
      </c>
      <c r="K25" s="62">
        <v>2035</v>
      </c>
      <c r="L25" s="62">
        <v>2040</v>
      </c>
      <c r="M25" s="62">
        <v>2045</v>
      </c>
      <c r="N25" s="62">
        <v>2050</v>
      </c>
      <c r="Q25" s="25" t="s">
        <v>57</v>
      </c>
    </row>
    <row r="26" spans="1:22">
      <c r="A26" s="62" t="s">
        <v>0</v>
      </c>
      <c r="B26" s="62" t="s">
        <v>2</v>
      </c>
      <c r="E26" s="62" t="s">
        <v>628</v>
      </c>
      <c r="F26" s="62" t="s">
        <v>12</v>
      </c>
      <c r="G26" s="62">
        <f>SUMIF($F$3:$F$14,$E26,J$3:J$14)</f>
        <v>0</v>
      </c>
      <c r="H26" s="62">
        <f t="shared" ref="H26:N35" si="1">SUMIF($F$3:$F$14,$E26,K$3:K$14)</f>
        <v>4.46217E-4</v>
      </c>
      <c r="I26" s="62">
        <f t="shared" si="1"/>
        <v>2.5756959999999902E-3</v>
      </c>
      <c r="J26" s="62">
        <f t="shared" si="1"/>
        <v>8.2967909999999995E-3</v>
      </c>
      <c r="K26" s="62">
        <f t="shared" si="1"/>
        <v>2.3364777E-2</v>
      </c>
      <c r="L26" s="62">
        <f t="shared" si="1"/>
        <v>4.7715868000000002E-2</v>
      </c>
      <c r="M26" s="62">
        <f t="shared" si="1"/>
        <v>7.2179282499999997E-2</v>
      </c>
      <c r="N26" s="62">
        <f t="shared" si="1"/>
        <v>0.10373313469999999</v>
      </c>
      <c r="Q26" s="25" t="s">
        <v>109</v>
      </c>
    </row>
    <row r="27" spans="1:22">
      <c r="A27" s="62" t="s">
        <v>0</v>
      </c>
      <c r="B27" s="62" t="s">
        <v>5</v>
      </c>
      <c r="E27" s="25" t="s">
        <v>629</v>
      </c>
      <c r="F27" s="62" t="s">
        <v>17</v>
      </c>
      <c r="G27" s="62">
        <f t="shared" ref="G27:G35" si="2">SUMIF($F$3:$F$14,$E27,J$3:J$14)</f>
        <v>0.17627200000000001</v>
      </c>
      <c r="H27" s="62">
        <f t="shared" si="1"/>
        <v>0.18617799999999901</v>
      </c>
      <c r="I27" s="62">
        <f t="shared" si="1"/>
        <v>0.20609259999999999</v>
      </c>
      <c r="J27" s="62">
        <f t="shared" si="1"/>
        <v>0.2279157</v>
      </c>
      <c r="K27" s="62">
        <f t="shared" si="1"/>
        <v>0.25670769999999998</v>
      </c>
      <c r="L27" s="62">
        <f t="shared" si="1"/>
        <v>0.29568918</v>
      </c>
      <c r="M27" s="62">
        <f t="shared" si="1"/>
        <v>0.33893118999999999</v>
      </c>
      <c r="N27" s="62">
        <f t="shared" si="1"/>
        <v>0.39745271799999998</v>
      </c>
      <c r="Q27" s="25" t="s">
        <v>58</v>
      </c>
    </row>
    <row r="28" spans="1:22">
      <c r="E28" s="25" t="s">
        <v>109</v>
      </c>
      <c r="F28" s="62" t="s">
        <v>113</v>
      </c>
      <c r="G28" s="62">
        <f t="shared" si="2"/>
        <v>0</v>
      </c>
      <c r="H28" s="62">
        <f t="shared" si="1"/>
        <v>0</v>
      </c>
      <c r="I28" s="62">
        <f t="shared" si="1"/>
        <v>1.20481E-4</v>
      </c>
      <c r="J28" s="62">
        <f t="shared" si="1"/>
        <v>1.1075E-3</v>
      </c>
      <c r="K28" s="62">
        <f t="shared" si="1"/>
        <v>8.6422600000000006E-3</v>
      </c>
      <c r="L28" s="62">
        <f t="shared" si="1"/>
        <v>2.4456311099999999E-2</v>
      </c>
      <c r="M28" s="62">
        <f t="shared" si="1"/>
        <v>3.82185024E-2</v>
      </c>
      <c r="N28" s="62">
        <f t="shared" si="1"/>
        <v>4.6706898199999999E-2</v>
      </c>
      <c r="O28" s="62">
        <f>SUM(N28:N29)</f>
        <v>5.1145253260000002E-2</v>
      </c>
      <c r="Q28" s="25" t="s">
        <v>110</v>
      </c>
    </row>
    <row r="29" spans="1:22">
      <c r="A29" s="62" t="s">
        <v>0</v>
      </c>
      <c r="B29" s="62" t="s">
        <v>3</v>
      </c>
      <c r="E29" s="25" t="s">
        <v>57</v>
      </c>
      <c r="F29" s="62" t="s">
        <v>13</v>
      </c>
      <c r="G29" s="62">
        <f t="shared" si="2"/>
        <v>1.1344099999999999E-2</v>
      </c>
      <c r="H29" s="62">
        <f t="shared" si="1"/>
        <v>1.233681E-2</v>
      </c>
      <c r="I29" s="62">
        <f t="shared" si="1"/>
        <v>1.6084330000000001E-2</v>
      </c>
      <c r="J29" s="62">
        <f t="shared" si="1"/>
        <v>2.048695E-2</v>
      </c>
      <c r="K29" s="62">
        <f t="shared" si="1"/>
        <v>2.2287951E-2</v>
      </c>
      <c r="L29" s="62">
        <f t="shared" si="1"/>
        <v>1.9297135E-2</v>
      </c>
      <c r="M29" s="62">
        <f t="shared" si="1"/>
        <v>1.527919E-2</v>
      </c>
      <c r="N29" s="62">
        <f t="shared" si="1"/>
        <v>4.4383550600000004E-3</v>
      </c>
      <c r="Q29" s="25" t="s">
        <v>59</v>
      </c>
    </row>
    <row r="30" spans="1:22">
      <c r="E30" s="25" t="s">
        <v>111</v>
      </c>
      <c r="F30" s="62" t="s">
        <v>114</v>
      </c>
      <c r="G30" s="62">
        <f t="shared" si="2"/>
        <v>0</v>
      </c>
      <c r="H30" s="62">
        <f t="shared" si="1"/>
        <v>0</v>
      </c>
      <c r="I30" s="62">
        <f t="shared" si="1"/>
        <v>6.0678900000000005E-4</v>
      </c>
      <c r="J30" s="62">
        <f t="shared" si="1"/>
        <v>3.4086490000000001E-3</v>
      </c>
      <c r="K30" s="62">
        <f t="shared" si="1"/>
        <v>1.40432059999999E-2</v>
      </c>
      <c r="L30" s="62">
        <f t="shared" si="1"/>
        <v>3.1662882000000003E-2</v>
      </c>
      <c r="M30" s="62">
        <f t="shared" si="1"/>
        <v>4.8863589999999998E-2</v>
      </c>
      <c r="N30" s="62">
        <f t="shared" si="1"/>
        <v>6.5602020999999996E-2</v>
      </c>
      <c r="Q30" s="25" t="s">
        <v>60</v>
      </c>
    </row>
    <row r="31" spans="1:22">
      <c r="A31" s="62" t="s">
        <v>0</v>
      </c>
      <c r="B31" s="62" t="s">
        <v>7</v>
      </c>
      <c r="E31" s="25" t="s">
        <v>60</v>
      </c>
      <c r="F31" s="62" t="s">
        <v>15</v>
      </c>
      <c r="G31" s="62">
        <f t="shared" si="2"/>
        <v>5.4361800000000002E-2</v>
      </c>
      <c r="H31" s="62">
        <f t="shared" si="1"/>
        <v>5.8510349999999899E-2</v>
      </c>
      <c r="I31" s="62">
        <f t="shared" si="1"/>
        <v>6.5875920000000004E-2</v>
      </c>
      <c r="J31" s="62">
        <f t="shared" si="1"/>
        <v>7.1550009999999997E-2</v>
      </c>
      <c r="K31" s="62">
        <f t="shared" si="1"/>
        <v>6.9225330000000002E-2</v>
      </c>
      <c r="L31" s="62">
        <f t="shared" si="1"/>
        <v>5.7954859999999997E-2</v>
      </c>
      <c r="M31" s="62">
        <f t="shared" si="1"/>
        <v>4.6938425999999998E-2</v>
      </c>
      <c r="N31" s="62">
        <f t="shared" si="1"/>
        <v>2.9799375999999999E-2</v>
      </c>
      <c r="Q31" s="25" t="s">
        <v>111</v>
      </c>
    </row>
    <row r="32" spans="1:22">
      <c r="E32" s="25" t="s">
        <v>110</v>
      </c>
      <c r="F32" s="62" t="s">
        <v>115</v>
      </c>
      <c r="G32" s="62">
        <f>SUMIF($F$3:$F$14,$E32,J$3:J$14)</f>
        <v>0</v>
      </c>
      <c r="H32" s="62">
        <f t="shared" si="1"/>
        <v>0</v>
      </c>
      <c r="I32" s="62">
        <f t="shared" si="1"/>
        <v>1.1409999999999999E-5</v>
      </c>
      <c r="J32" s="62">
        <f t="shared" si="1"/>
        <v>7.45547E-5</v>
      </c>
      <c r="K32" s="62">
        <f t="shared" si="1"/>
        <v>3.5170829999999999E-4</v>
      </c>
      <c r="L32" s="62">
        <f t="shared" si="1"/>
        <v>8.6634843999999897E-4</v>
      </c>
      <c r="M32" s="62">
        <f t="shared" si="1"/>
        <v>1.3245953499999999E-3</v>
      </c>
      <c r="N32" s="62">
        <f t="shared" si="1"/>
        <v>1.61949584E-3</v>
      </c>
      <c r="Q32" s="24" t="s">
        <v>19</v>
      </c>
    </row>
    <row r="33" spans="1:17">
      <c r="A33" s="62" t="s">
        <v>0</v>
      </c>
      <c r="B33" s="62" t="s">
        <v>4</v>
      </c>
      <c r="E33" s="25" t="s">
        <v>58</v>
      </c>
      <c r="F33" s="62" t="s">
        <v>14</v>
      </c>
      <c r="G33" s="62">
        <f>SUMIF($F$3:$F$14,$E33,J$3:J$14)-G34</f>
        <v>4.6464999999999979E-3</v>
      </c>
      <c r="H33" s="62">
        <f t="shared" ref="H33:N33" si="3">SUMIF($F$3:$F$14,$E33,K$3:K$14)-H34</f>
        <v>5.0284020000000013E-3</v>
      </c>
      <c r="I33" s="62">
        <f t="shared" si="3"/>
        <v>5.1862389999999996E-3</v>
      </c>
      <c r="J33" s="62">
        <f t="shared" si="3"/>
        <v>4.8643030000000004E-3</v>
      </c>
      <c r="K33" s="62">
        <f t="shared" si="3"/>
        <v>3.5774269999999898E-3</v>
      </c>
      <c r="L33" s="62">
        <f t="shared" si="3"/>
        <v>2.006931E-3</v>
      </c>
      <c r="M33" s="62">
        <f t="shared" si="3"/>
        <v>1.0760766E-3</v>
      </c>
      <c r="N33" s="62">
        <f t="shared" si="3"/>
        <v>1.0820072E-4</v>
      </c>
      <c r="Q33" s="24" t="s">
        <v>112</v>
      </c>
    </row>
    <row r="34" spans="1:17">
      <c r="A34" s="62" t="s">
        <v>26</v>
      </c>
      <c r="E34" s="62" t="s">
        <v>4</v>
      </c>
      <c r="F34" s="62" t="s">
        <v>30</v>
      </c>
      <c r="G34" s="62">
        <f>J13</f>
        <v>2.3106700000000001E-2</v>
      </c>
      <c r="H34" s="62">
        <f t="shared" ref="H34:N34" si="4">K13</f>
        <v>1.99516E-2</v>
      </c>
      <c r="I34" s="62">
        <f t="shared" si="4"/>
        <v>2.8079100000000002E-4</v>
      </c>
      <c r="J34" s="62">
        <f t="shared" si="4"/>
        <v>1.09905E-4</v>
      </c>
      <c r="K34" s="62">
        <f t="shared" si="4"/>
        <v>4.41366E-5</v>
      </c>
      <c r="L34" s="62">
        <f t="shared" si="4"/>
        <v>2.0372000000000001E-5</v>
      </c>
      <c r="M34" s="62">
        <f t="shared" si="4"/>
        <v>9.3468300000000004E-6</v>
      </c>
      <c r="N34" s="62">
        <f t="shared" si="4"/>
        <v>1.38328E-6</v>
      </c>
    </row>
    <row r="35" spans="1:17">
      <c r="E35" s="24" t="s">
        <v>112</v>
      </c>
      <c r="F35" s="62" t="s">
        <v>342</v>
      </c>
      <c r="G35" s="62">
        <f t="shared" si="2"/>
        <v>0</v>
      </c>
      <c r="H35" s="62">
        <f t="shared" si="1"/>
        <v>0</v>
      </c>
      <c r="I35" s="62">
        <f t="shared" si="1"/>
        <v>4.2380800000000002E-4</v>
      </c>
      <c r="J35" s="62">
        <f t="shared" si="1"/>
        <v>2.2768739999999999E-3</v>
      </c>
      <c r="K35" s="62">
        <f t="shared" si="1"/>
        <v>8.9516349999999995E-3</v>
      </c>
      <c r="L35" s="62">
        <f t="shared" si="1"/>
        <v>2.0077441000000001E-2</v>
      </c>
      <c r="M35" s="62">
        <f t="shared" si="1"/>
        <v>3.0239005999999999E-2</v>
      </c>
      <c r="N35" s="62">
        <f>SUMIF($F$3:$F$14,$E35,Q$3:Q$14)</f>
        <v>3.9249225700000001E-2</v>
      </c>
    </row>
    <row r="36" spans="1:17">
      <c r="A36" s="62" t="s">
        <v>27</v>
      </c>
      <c r="B36" s="62" t="s">
        <v>6</v>
      </c>
      <c r="E36" s="24" t="s">
        <v>19</v>
      </c>
      <c r="F36" s="62" t="s">
        <v>305</v>
      </c>
      <c r="G36" s="62">
        <f>SUMIF($F$3:$F$14,$E36,J$3:J$14)-G37</f>
        <v>2.2311399999999981E-2</v>
      </c>
      <c r="H36" s="62">
        <f t="shared" ref="H36:N36" si="5">SUMIF($F$3:$F$14,$E36,K$3:K$14)-H37</f>
        <v>2.4373530000000088E-2</v>
      </c>
      <c r="I36" s="62">
        <f t="shared" si="5"/>
        <v>2.8753389999999879E-2</v>
      </c>
      <c r="J36" s="62">
        <f t="shared" si="5"/>
        <v>3.3271179999999845E-2</v>
      </c>
      <c r="K36" s="62">
        <f t="shared" si="5"/>
        <v>3.541420999999989E-2</v>
      </c>
      <c r="L36" s="62">
        <f t="shared" si="5"/>
        <v>3.2732540000000032E-2</v>
      </c>
      <c r="M36" s="62">
        <f t="shared" si="5"/>
        <v>2.7650905999999864E-2</v>
      </c>
      <c r="N36" s="62">
        <f t="shared" si="5"/>
        <v>9.5147417999998929E-3</v>
      </c>
    </row>
    <row r="37" spans="1:17">
      <c r="A37" s="62" t="s">
        <v>28</v>
      </c>
      <c r="E37" s="62" t="s">
        <v>6</v>
      </c>
      <c r="F37" s="62" t="s">
        <v>320</v>
      </c>
      <c r="G37" s="62">
        <f>H20</f>
        <v>1.8793899999999999</v>
      </c>
      <c r="H37" s="62">
        <f t="shared" ref="H37:N37" si="6">I20</f>
        <v>1.89751</v>
      </c>
      <c r="I37" s="62">
        <f t="shared" si="6"/>
        <v>2.02014</v>
      </c>
      <c r="J37" s="62">
        <f t="shared" si="6"/>
        <v>2.13828</v>
      </c>
      <c r="K37" s="62">
        <f t="shared" si="6"/>
        <v>2.2135099999999999</v>
      </c>
      <c r="L37" s="62">
        <f t="shared" si="6"/>
        <v>2.2987000000000002</v>
      </c>
      <c r="M37" s="62">
        <f t="shared" si="6"/>
        <v>2.41574</v>
      </c>
      <c r="N37" s="62">
        <f t="shared" si="6"/>
        <v>2.5107900000000001</v>
      </c>
    </row>
    <row r="38" spans="1:17">
      <c r="A38" s="115" t="s">
        <v>29</v>
      </c>
      <c r="B38" s="115"/>
      <c r="C38" s="115"/>
      <c r="D38" s="115"/>
      <c r="E38" s="115"/>
      <c r="F38" s="115"/>
      <c r="G38" s="62">
        <f t="shared" ref="G38:N38" si="7">SUM(G26:G37)</f>
        <v>2.1714324999999999</v>
      </c>
      <c r="H38" s="62">
        <f t="shared" si="7"/>
        <v>2.2043349089999991</v>
      </c>
      <c r="I38" s="62">
        <f t="shared" si="7"/>
        <v>2.3461514540000001</v>
      </c>
      <c r="J38" s="62">
        <f t="shared" si="7"/>
        <v>2.5116424167</v>
      </c>
      <c r="K38" s="62">
        <f t="shared" si="7"/>
        <v>2.6561203408999998</v>
      </c>
      <c r="L38" s="62">
        <f t="shared" si="7"/>
        <v>2.8311798685400005</v>
      </c>
      <c r="M38" s="62">
        <f t="shared" si="7"/>
        <v>3.0364501116799998</v>
      </c>
      <c r="N38" s="62">
        <f t="shared" si="7"/>
        <v>3.2090155502999997</v>
      </c>
    </row>
    <row r="39" spans="1:17">
      <c r="O39" s="62">
        <f>O28/N38</f>
        <v>1.5937988600653121E-2</v>
      </c>
    </row>
  </sheetData>
  <mergeCells count="1">
    <mergeCell ref="A38:F38"/>
  </mergeCell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C431E-16C8-47CE-904D-65BB82BB31E4}">
  <dimension ref="A1:Q78"/>
  <sheetViews>
    <sheetView topLeftCell="A13" zoomScale="40" zoomScaleNormal="40" workbookViewId="0">
      <selection activeCell="T47" sqref="T47"/>
    </sheetView>
  </sheetViews>
  <sheetFormatPr defaultRowHeight="17.399999999999999"/>
  <cols>
    <col min="6" max="6" width="23" customWidth="1"/>
  </cols>
  <sheetData>
    <row r="1" spans="1:17">
      <c r="A1" s="62" t="s">
        <v>8</v>
      </c>
      <c r="B1" s="62" t="s">
        <v>9</v>
      </c>
      <c r="C1" s="62" t="s">
        <v>39</v>
      </c>
      <c r="D1" s="62" t="s">
        <v>40</v>
      </c>
      <c r="E1" s="62" t="s">
        <v>10</v>
      </c>
      <c r="F1" s="62" t="s">
        <v>42</v>
      </c>
      <c r="G1" s="62">
        <v>1990</v>
      </c>
      <c r="H1" s="62">
        <v>2005</v>
      </c>
      <c r="I1" s="62">
        <v>2010</v>
      </c>
      <c r="J1" s="62">
        <v>2015</v>
      </c>
      <c r="K1" s="62">
        <v>2020</v>
      </c>
      <c r="L1" s="62">
        <v>2025</v>
      </c>
      <c r="M1" s="62">
        <v>2030</v>
      </c>
      <c r="N1" s="62">
        <v>2035</v>
      </c>
      <c r="O1" s="62">
        <v>2040</v>
      </c>
      <c r="P1" s="62">
        <v>2045</v>
      </c>
      <c r="Q1" s="62">
        <v>2050</v>
      </c>
    </row>
    <row r="2" spans="1:17">
      <c r="A2" s="62" t="str">
        <f>'CurPol_industry_final_energ (2)'!A61</f>
        <v>CurPol,date=2022-3-7T01:16:15-015:00</v>
      </c>
      <c r="B2" s="62" t="str">
        <f>'CurPol_industry_final_energ (2)'!B61</f>
        <v>South Korea</v>
      </c>
      <c r="C2" s="62" t="str">
        <f>'CurPol_industry_final_energ (2)'!C61</f>
        <v>semiconductor</v>
      </c>
      <c r="D2" s="62" t="str">
        <f>'CurPol_industry_final_energ (2)'!D61</f>
        <v>SEMICON</v>
      </c>
      <c r="E2" s="62" t="str">
        <f>'CurPol_industry_final_energ (2)'!E61</f>
        <v>elect_td_ind</v>
      </c>
      <c r="F2" s="62" t="str">
        <f>'CurPol_industry_final_energ (2)'!F61</f>
        <v>SEMICON</v>
      </c>
      <c r="G2" s="62">
        <f>'CurPol_industry_final_energ (2)'!G61</f>
        <v>0</v>
      </c>
      <c r="H2" s="62">
        <f>'CurPol_industry_final_energ (2)'!H61</f>
        <v>3.3933699999999997E-2</v>
      </c>
      <c r="I2" s="62">
        <f>'CurPol_industry_final_energ (2)'!I61</f>
        <v>4.7037000000000002E-2</v>
      </c>
      <c r="J2" s="62">
        <f>'CurPol_industry_final_energ (2)'!J61</f>
        <v>6.5199999999999994E-2</v>
      </c>
      <c r="K2" s="62">
        <f>'CurPol_industry_final_energ (2)'!K61</f>
        <v>8.1128000000000006E-2</v>
      </c>
      <c r="L2" s="62">
        <f>'CurPol_industry_final_energ (2)'!L61</f>
        <v>9.2513700000000004E-2</v>
      </c>
      <c r="M2" s="62">
        <f>'CurPol_industry_final_energ (2)'!M61</f>
        <v>9.3548400000000004E-2</v>
      </c>
      <c r="N2" s="62">
        <f>'CurPol_industry_final_energ (2)'!N61</f>
        <v>9.4770549999999995E-2</v>
      </c>
      <c r="O2" s="62">
        <f>'CurPol_industry_final_energ (2)'!O61</f>
        <v>9.9712429999999894E-2</v>
      </c>
      <c r="P2" s="62">
        <f>'CurPol_industry_final_energ (2)'!P61</f>
        <v>0.10470014999999901</v>
      </c>
      <c r="Q2" s="62">
        <f>'CurPol_industry_final_energ (2)'!Q61</f>
        <v>0.109459289999999</v>
      </c>
    </row>
    <row r="3" spans="1:17">
      <c r="A3" s="62" t="str">
        <f>'CurPol_industry_final_energ (2)'!A62</f>
        <v>CurPol,date=2022-3-7T01:16:15-015:00</v>
      </c>
      <c r="B3" s="62" t="str">
        <f>'CurPol_industry_final_energ (2)'!B62</f>
        <v>South Korea</v>
      </c>
      <c r="C3" s="62" t="str">
        <f>'CurPol_industry_final_energ (2)'!C62</f>
        <v>semiconductor</v>
      </c>
      <c r="D3" s="62" t="str">
        <f>'CurPol_industry_final_energ (2)'!D62</f>
        <v>SEMICON</v>
      </c>
      <c r="E3" s="62" t="str">
        <f>'CurPol_industry_final_energ (2)'!E62</f>
        <v>elect_td_ind</v>
      </c>
      <c r="F3" s="62" t="str">
        <f>'CurPol_industry_final_energ (2)'!F62</f>
        <v>SEMICON HIEFF</v>
      </c>
      <c r="G3" s="62">
        <f>'CurPol_industry_final_energ (2)'!G62</f>
        <v>0</v>
      </c>
      <c r="H3" s="62">
        <f>'CurPol_industry_final_energ (2)'!H62</f>
        <v>0</v>
      </c>
      <c r="I3" s="62">
        <f>'CurPol_industry_final_energ (2)'!I62</f>
        <v>0</v>
      </c>
      <c r="J3" s="62">
        <f>'CurPol_industry_final_energ (2)'!J62</f>
        <v>0</v>
      </c>
      <c r="K3" s="62">
        <f>'CurPol_industry_final_energ (2)'!K62</f>
        <v>4.3412499999999996E-3</v>
      </c>
      <c r="L3" s="62">
        <f>'CurPol_industry_final_energ (2)'!L62</f>
        <v>9.4064400000000003E-3</v>
      </c>
      <c r="M3" s="62">
        <f>'CurPol_industry_final_energ (2)'!M62</f>
        <v>1.28284E-2</v>
      </c>
      <c r="N3" s="62">
        <f>'CurPol_industry_final_energ (2)'!N62</f>
        <v>1.4959976E-2</v>
      </c>
      <c r="O3" s="62">
        <f>'CurPol_industry_final_energ (2)'!O62</f>
        <v>1.552629E-2</v>
      </c>
      <c r="P3" s="62">
        <f>'CurPol_industry_final_energ (2)'!P62</f>
        <v>1.6179159999999901E-2</v>
      </c>
      <c r="Q3" s="62">
        <f>'CurPol_industry_final_energ (2)'!Q62</f>
        <v>1.7212539999999998E-2</v>
      </c>
    </row>
    <row r="4" spans="1:17">
      <c r="A4" s="62" t="str">
        <f>'CurPol_industry_final_energ (2)'!A63</f>
        <v>CurPol,date=2022-3-7T01:16:15-015:00</v>
      </c>
      <c r="B4" s="62" t="str">
        <f>'CurPol_industry_final_energ (2)'!B63</f>
        <v>South Korea</v>
      </c>
      <c r="C4" s="62" t="str">
        <f>'CurPol_industry_final_energ (2)'!C63</f>
        <v>semiconductor</v>
      </c>
      <c r="D4" s="62" t="str">
        <f>'CurPol_industry_final_energ (2)'!D63</f>
        <v>SEMICON</v>
      </c>
      <c r="E4" s="62" t="str">
        <f>'CurPol_industry_final_energ (2)'!E63</f>
        <v>elect_td_ind</v>
      </c>
      <c r="F4" s="62" t="str">
        <f>'CurPol_industry_final_energ (2)'!F63</f>
        <v>SEMICON HIEFF LOWF</v>
      </c>
      <c r="G4" s="62">
        <f>'CurPol_industry_final_energ (2)'!G63</f>
        <v>0</v>
      </c>
      <c r="H4" s="62">
        <f>'CurPol_industry_final_energ (2)'!H63</f>
        <v>0</v>
      </c>
      <c r="I4" s="62">
        <f>'CurPol_industry_final_energ (2)'!I63</f>
        <v>0</v>
      </c>
      <c r="J4" s="62">
        <f>'CurPol_industry_final_energ (2)'!J63</f>
        <v>0</v>
      </c>
      <c r="K4" s="62">
        <f>'CurPol_industry_final_energ (2)'!K63</f>
        <v>2.5229499999999999E-3</v>
      </c>
      <c r="L4" s="62">
        <f>'CurPol_industry_final_energ (2)'!L63</f>
        <v>5.5482099999999996E-3</v>
      </c>
      <c r="M4" s="62">
        <f>'CurPol_industry_final_energ (2)'!M63</f>
        <v>7.5612099999999996E-3</v>
      </c>
      <c r="N4" s="62">
        <f>'CurPol_industry_final_energ (2)'!N63</f>
        <v>8.7738109999999994E-3</v>
      </c>
      <c r="O4" s="62">
        <f>'CurPol_industry_final_energ (2)'!O63</f>
        <v>9.1631760000000003E-3</v>
      </c>
      <c r="P4" s="62">
        <f>'CurPol_industry_final_energ (2)'!P63</f>
        <v>9.5639809999999992E-3</v>
      </c>
      <c r="Q4" s="62">
        <f>'CurPol_industry_final_energ (2)'!Q63</f>
        <v>1.0127707E-2</v>
      </c>
    </row>
    <row r="5" spans="1:17">
      <c r="A5" s="62" t="str">
        <f>'CurPol_industry_final_energ (2)'!A64</f>
        <v>CurPol,date=2022-3-7T01:16:15-015:00</v>
      </c>
      <c r="B5" s="62" t="str">
        <f>'CurPol_industry_final_energ (2)'!B64</f>
        <v>South Korea</v>
      </c>
      <c r="C5" s="62" t="str">
        <f>'CurPol_industry_final_energ (2)'!C64</f>
        <v>semiconductor</v>
      </c>
      <c r="D5" s="62" t="str">
        <f>'CurPol_industry_final_energ (2)'!D64</f>
        <v>SEMICON</v>
      </c>
      <c r="E5" s="62" t="str">
        <f>'CurPol_industry_final_energ (2)'!E64</f>
        <v>wholesale gas</v>
      </c>
      <c r="F5" s="62" t="str">
        <f>'CurPol_industry_final_energ (2)'!F64</f>
        <v>SEMICON</v>
      </c>
      <c r="G5" s="62">
        <f>'CurPol_industry_final_energ (2)'!G64</f>
        <v>0</v>
      </c>
      <c r="H5" s="62">
        <f>'CurPol_industry_final_energ (2)'!H64</f>
        <v>7.5847600000000003E-3</v>
      </c>
      <c r="I5" s="62">
        <f>'CurPol_industry_final_energ (2)'!I64</f>
        <v>9.4303900000000003E-3</v>
      </c>
      <c r="J5" s="62">
        <f>'CurPol_industry_final_energ (2)'!J64</f>
        <v>1.23E-2</v>
      </c>
      <c r="K5" s="62">
        <f>'CurPol_industry_final_energ (2)'!K64</f>
        <v>1.535738E-2</v>
      </c>
      <c r="L5" s="62">
        <f>'CurPol_industry_final_energ (2)'!L64</f>
        <v>1.763677E-2</v>
      </c>
      <c r="M5" s="62">
        <f>'CurPol_industry_final_energ (2)'!M64</f>
        <v>1.8003289999999901E-2</v>
      </c>
      <c r="N5" s="62">
        <f>'CurPol_industry_final_energ (2)'!N64</f>
        <v>1.8444450000000001E-2</v>
      </c>
      <c r="O5" s="62">
        <f>'CurPol_industry_final_energ (2)'!O64</f>
        <v>1.959348E-2</v>
      </c>
      <c r="P5" s="62">
        <f>'CurPol_industry_final_energ (2)'!P64</f>
        <v>2.0781089999999999E-2</v>
      </c>
      <c r="Q5" s="62">
        <f>'CurPol_industry_final_energ (2)'!Q64</f>
        <v>2.1942449999999999E-2</v>
      </c>
    </row>
    <row r="6" spans="1:17">
      <c r="A6" s="62" t="str">
        <f>'CurPol_industry_final_energ (2)'!A65</f>
        <v>CurPol,date=2022-3-7T01:16:15-015:00</v>
      </c>
      <c r="B6" s="62" t="str">
        <f>'CurPol_industry_final_energ (2)'!B65</f>
        <v>South Korea</v>
      </c>
      <c r="C6" s="62" t="str">
        <f>'CurPol_industry_final_energ (2)'!C65</f>
        <v>semiconductor</v>
      </c>
      <c r="D6" s="62" t="str">
        <f>'CurPol_industry_final_energ (2)'!D65</f>
        <v>SEMICON</v>
      </c>
      <c r="E6" s="62" t="str">
        <f>'CurPol_industry_final_energ (2)'!E65</f>
        <v>wholesale gas</v>
      </c>
      <c r="F6" s="62" t="str">
        <f>'CurPol_industry_final_energ (2)'!F65</f>
        <v>SEMICON HIEFF</v>
      </c>
      <c r="G6" s="62">
        <f>'CurPol_industry_final_energ (2)'!G65</f>
        <v>0</v>
      </c>
      <c r="H6" s="62">
        <f>'CurPol_industry_final_energ (2)'!H65</f>
        <v>0</v>
      </c>
      <c r="I6" s="62">
        <f>'CurPol_industry_final_energ (2)'!I65</f>
        <v>0</v>
      </c>
      <c r="J6" s="62">
        <f>'CurPol_industry_final_energ (2)'!J65</f>
        <v>0</v>
      </c>
      <c r="K6" s="62">
        <f>'CurPol_industry_final_energ (2)'!K65</f>
        <v>8.2717700000000001E-4</v>
      </c>
      <c r="L6" s="62">
        <f>'CurPol_industry_final_energ (2)'!L65</f>
        <v>1.8034589999999899E-3</v>
      </c>
      <c r="M6" s="62">
        <f>'CurPol_industry_final_energ (2)'!M65</f>
        <v>2.475943E-3</v>
      </c>
      <c r="N6" s="62">
        <f>'CurPol_industry_final_energ (2)'!N65</f>
        <v>2.9116539999999901E-3</v>
      </c>
      <c r="O6" s="62">
        <f>'CurPol_industry_final_energ (2)'!O65</f>
        <v>3.050545E-3</v>
      </c>
      <c r="P6" s="62">
        <f>'CurPol_industry_final_energ (2)'!P65</f>
        <v>3.2109819999999998E-3</v>
      </c>
      <c r="Q6" s="62">
        <f>'CurPol_industry_final_energ (2)'!Q65</f>
        <v>3.4510470000000001E-3</v>
      </c>
    </row>
    <row r="7" spans="1:17">
      <c r="A7" s="62" t="str">
        <f>'CurPol_industry_final_energ (2)'!A66</f>
        <v>CurPol,date=2022-3-7T01:16:15-015:00</v>
      </c>
      <c r="B7" s="62" t="str">
        <f>'CurPol_industry_final_energ (2)'!B66</f>
        <v>South Korea</v>
      </c>
      <c r="C7" s="62" t="str">
        <f>'CurPol_industry_final_energ (2)'!C66</f>
        <v>semiconductor</v>
      </c>
      <c r="D7" s="62" t="str">
        <f>'CurPol_industry_final_energ (2)'!D66</f>
        <v>SEMICON</v>
      </c>
      <c r="E7" s="62" t="str">
        <f>'CurPol_industry_final_energ (2)'!E66</f>
        <v>wholesale gas</v>
      </c>
      <c r="F7" s="62" t="str">
        <f>'CurPol_industry_final_energ (2)'!F66</f>
        <v>SEMICON HIEFF LOWF</v>
      </c>
      <c r="G7" s="62">
        <f>'CurPol_industry_final_energ (2)'!G66</f>
        <v>0</v>
      </c>
      <c r="H7" s="62">
        <f>'CurPol_industry_final_energ (2)'!H66</f>
        <v>0</v>
      </c>
      <c r="I7" s="62">
        <f>'CurPol_industry_final_energ (2)'!I66</f>
        <v>0</v>
      </c>
      <c r="J7" s="62">
        <f>'CurPol_industry_final_energ (2)'!J66</f>
        <v>0</v>
      </c>
      <c r="K7" s="62">
        <f>'CurPol_industry_final_energ (2)'!K66</f>
        <v>4.8072000000000002E-4</v>
      </c>
      <c r="L7" s="62">
        <f>'CurPol_industry_final_energ (2)'!L66</f>
        <v>1.0637960000000001E-3</v>
      </c>
      <c r="M7" s="62">
        <f>'CurPol_industry_final_energ (2)'!M66</f>
        <v>1.4593639999999899E-3</v>
      </c>
      <c r="N7" s="62">
        <f>'CurPol_industry_final_energ (2)'!N66</f>
        <v>1.7075606000000001E-3</v>
      </c>
      <c r="O7" s="62">
        <f>'CurPol_industry_final_energ (2)'!O66</f>
        <v>1.8004200000000001E-3</v>
      </c>
      <c r="P7" s="62">
        <f>'CurPol_industry_final_energ (2)'!P66</f>
        <v>1.8981779999999999E-3</v>
      </c>
      <c r="Q7" s="62">
        <f>'CurPol_industry_final_energ (2)'!Q66</f>
        <v>2.0304659999999999E-3</v>
      </c>
    </row>
    <row r="8" spans="1:17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</row>
    <row r="9" spans="1:17">
      <c r="A9" s="62" t="str">
        <f>'CurPol_industry_final_energ (2)'!A26</f>
        <v>CurPol,date=2022-3-7T01:16:15-015:00</v>
      </c>
      <c r="B9" s="62" t="str">
        <f>'CurPol_industry_final_energ (2)'!B26</f>
        <v>South Korea</v>
      </c>
      <c r="C9" s="62" t="str">
        <f>'CurPol_industry_final_energ (2)'!C26</f>
        <v>display</v>
      </c>
      <c r="D9" s="62" t="str">
        <f>'CurPol_industry_final_energ (2)'!D26</f>
        <v>DISPLAY</v>
      </c>
      <c r="E9" s="62" t="str">
        <f>'CurPol_industry_final_energ (2)'!E26</f>
        <v>elect_td_ind</v>
      </c>
      <c r="F9" s="62" t="str">
        <f>'CurPol_industry_final_energ (2)'!F26</f>
        <v>DISPLAY</v>
      </c>
      <c r="G9" s="62">
        <f>'CurPol_industry_final_energ (2)'!G26</f>
        <v>0</v>
      </c>
      <c r="H9" s="62">
        <f>'CurPol_industry_final_energ (2)'!H26</f>
        <v>5.7160999999999997E-2</v>
      </c>
      <c r="I9" s="62">
        <f>'CurPol_industry_final_energ (2)'!I26</f>
        <v>6.5780599999999995E-2</v>
      </c>
      <c r="J9" s="62">
        <f>'CurPol_industry_final_energ (2)'!J26</f>
        <v>7.5700000000000003E-2</v>
      </c>
      <c r="K9" s="62">
        <f>'CurPol_industry_final_energ (2)'!K26</f>
        <v>7.5314499999999895E-2</v>
      </c>
      <c r="L9" s="62">
        <f>'CurPol_industry_final_energ (2)'!L26</f>
        <v>6.6825099999999998E-2</v>
      </c>
      <c r="M9" s="62">
        <f>'CurPol_industry_final_energ (2)'!M26</f>
        <v>5.3302040000000002E-2</v>
      </c>
      <c r="N9" s="62">
        <f>'CurPol_industry_final_energ (2)'!N26</f>
        <v>4.5862970000000003E-2</v>
      </c>
      <c r="O9" s="62">
        <f>'CurPol_industry_final_energ (2)'!O26</f>
        <v>4.8145300000000002E-2</v>
      </c>
      <c r="P9" s="62">
        <f>'CurPol_industry_final_energ (2)'!P26</f>
        <v>5.0483380000000001E-2</v>
      </c>
      <c r="Q9" s="62">
        <f>'CurPol_industry_final_energ (2)'!Q26</f>
        <v>5.2943369999999997E-2</v>
      </c>
    </row>
    <row r="10" spans="1:17">
      <c r="A10" s="62" t="str">
        <f>'CurPol_industry_final_energ (2)'!A27</f>
        <v>CurPol,date=2022-3-7T01:16:15-015:00</v>
      </c>
      <c r="B10" s="62" t="str">
        <f>'CurPol_industry_final_energ (2)'!B27</f>
        <v>South Korea</v>
      </c>
      <c r="C10" s="62" t="str">
        <f>'CurPol_industry_final_energ (2)'!C27</f>
        <v>display</v>
      </c>
      <c r="D10" s="62" t="str">
        <f>'CurPol_industry_final_energ (2)'!D27</f>
        <v>DISPLAY</v>
      </c>
      <c r="E10" s="62" t="str">
        <f>'CurPol_industry_final_energ (2)'!E27</f>
        <v>elect_td_ind</v>
      </c>
      <c r="F10" s="62" t="str">
        <f>'CurPol_industry_final_energ (2)'!F27</f>
        <v>DISPLAY HIEFF</v>
      </c>
      <c r="G10" s="62">
        <f>'CurPol_industry_final_energ (2)'!G27</f>
        <v>0</v>
      </c>
      <c r="H10" s="62">
        <f>'CurPol_industry_final_energ (2)'!H27</f>
        <v>0</v>
      </c>
      <c r="I10" s="62">
        <f>'CurPol_industry_final_energ (2)'!I27</f>
        <v>0</v>
      </c>
      <c r="J10" s="62">
        <f>'CurPol_industry_final_energ (2)'!J27</f>
        <v>0</v>
      </c>
      <c r="K10" s="62">
        <f>'CurPol_industry_final_energ (2)'!K27</f>
        <v>1.34241E-2</v>
      </c>
      <c r="L10" s="62">
        <f>'CurPol_industry_final_energ (2)'!L27</f>
        <v>2.89750999999999E-2</v>
      </c>
      <c r="M10" s="62">
        <f>'CurPol_industry_final_energ (2)'!M27</f>
        <v>3.9492439999999997E-2</v>
      </c>
      <c r="N10" s="62">
        <f>'CurPol_industry_final_energ (2)'!N27</f>
        <v>4.5862970000000003E-2</v>
      </c>
      <c r="O10" s="62">
        <f>'CurPol_industry_final_energ (2)'!O27</f>
        <v>4.8145300000000002E-2</v>
      </c>
      <c r="P10" s="62">
        <f>'CurPol_industry_final_energ (2)'!P27</f>
        <v>5.0483380000000001E-2</v>
      </c>
      <c r="Q10" s="62">
        <f>'CurPol_industry_final_energ (2)'!Q27</f>
        <v>5.2943369999999997E-2</v>
      </c>
    </row>
    <row r="11" spans="1:17">
      <c r="A11" s="62" t="str">
        <f>'CurPol_industry_final_energ (2)'!A28</f>
        <v>CurPol,date=2022-3-7T01:16:15-015:00</v>
      </c>
      <c r="B11" s="62" t="str">
        <f>'CurPol_industry_final_energ (2)'!B28</f>
        <v>South Korea</v>
      </c>
      <c r="C11" s="62" t="str">
        <f>'CurPol_industry_final_energ (2)'!C28</f>
        <v>display</v>
      </c>
      <c r="D11" s="62" t="str">
        <f>'CurPol_industry_final_energ (2)'!D28</f>
        <v>DISPLAY</v>
      </c>
      <c r="E11" s="62" t="str">
        <f>'CurPol_industry_final_energ (2)'!E28</f>
        <v>elect_td_ind</v>
      </c>
      <c r="F11" s="62" t="str">
        <f>'CurPol_industry_final_energ (2)'!F28</f>
        <v>DISPLAY HIEFF LOWF</v>
      </c>
      <c r="G11" s="62">
        <f>'CurPol_industry_final_energ (2)'!G28</f>
        <v>0</v>
      </c>
      <c r="H11" s="62">
        <f>'CurPol_industry_final_energ (2)'!H28</f>
        <v>0</v>
      </c>
      <c r="I11" s="62">
        <f>'CurPol_industry_final_energ (2)'!I28</f>
        <v>0</v>
      </c>
      <c r="J11" s="62">
        <f>'CurPol_industry_final_energ (2)'!J28</f>
        <v>0</v>
      </c>
      <c r="K11" s="62">
        <f>'CurPol_industry_final_energ (2)'!K28</f>
        <v>1.34241E-2</v>
      </c>
      <c r="L11" s="62">
        <f>'CurPol_industry_final_energ (2)'!L28</f>
        <v>2.89750999999999E-2</v>
      </c>
      <c r="M11" s="62">
        <f>'CurPol_industry_final_energ (2)'!M28</f>
        <v>3.9492439999999997E-2</v>
      </c>
      <c r="N11" s="62">
        <f>'CurPol_industry_final_energ (2)'!N28</f>
        <v>4.5862970000000003E-2</v>
      </c>
      <c r="O11" s="62">
        <f>'CurPol_industry_final_energ (2)'!O28</f>
        <v>4.8145300000000002E-2</v>
      </c>
      <c r="P11" s="62">
        <f>'CurPol_industry_final_energ (2)'!P28</f>
        <v>5.0483380000000001E-2</v>
      </c>
      <c r="Q11" s="62">
        <f>'CurPol_industry_final_energ (2)'!Q28</f>
        <v>5.2943369999999997E-2</v>
      </c>
    </row>
    <row r="12" spans="1:17">
      <c r="A12" s="62" t="str">
        <f>'CurPol_industry_final_energ (2)'!A29</f>
        <v>CurPol,date=2022-3-7T01:16:15-015:00</v>
      </c>
      <c r="B12" s="62" t="str">
        <f>'CurPol_industry_final_energ (2)'!B29</f>
        <v>South Korea</v>
      </c>
      <c r="C12" s="62" t="str">
        <f>'CurPol_industry_final_energ (2)'!C29</f>
        <v>display</v>
      </c>
      <c r="D12" s="62" t="str">
        <f>'CurPol_industry_final_energ (2)'!D29</f>
        <v>DISPLAY</v>
      </c>
      <c r="E12" s="62" t="str">
        <f>'CurPol_industry_final_energ (2)'!E29</f>
        <v>wholesale gas</v>
      </c>
      <c r="F12" s="62" t="str">
        <f>'CurPol_industry_final_energ (2)'!F29</f>
        <v>DISPLAY</v>
      </c>
      <c r="G12" s="62">
        <f>'CurPol_industry_final_energ (2)'!G29</f>
        <v>0</v>
      </c>
      <c r="H12" s="62">
        <f>'CurPol_industry_final_energ (2)'!H29</f>
        <v>5.6251000000000001E-3</v>
      </c>
      <c r="I12" s="62">
        <f>'CurPol_industry_final_energ (2)'!I29</f>
        <v>7.9520300000000006E-3</v>
      </c>
      <c r="J12" s="62">
        <f>'CurPol_industry_final_energ (2)'!J29</f>
        <v>1.1241599999999999E-2</v>
      </c>
      <c r="K12" s="62">
        <f>'CurPol_industry_final_energ (2)'!K29</f>
        <v>1.1204260000000001E-2</v>
      </c>
      <c r="L12" s="62">
        <f>'CurPol_industry_final_energ (2)'!L29</f>
        <v>9.9937299999999993E-3</v>
      </c>
      <c r="M12" s="62">
        <f>'CurPol_industry_final_energ (2)'!M29</f>
        <v>8.0507500000000006E-3</v>
      </c>
      <c r="N12" s="62">
        <f>'CurPol_industry_final_energ (2)'!N29</f>
        <v>7.0263249999999999E-3</v>
      </c>
      <c r="O12" s="62">
        <f>'CurPol_industry_final_energ (2)'!O29</f>
        <v>7.4469779999999999E-3</v>
      </c>
      <c r="P12" s="62">
        <f>'CurPol_industry_final_energ (2)'!P29</f>
        <v>7.887448E-3</v>
      </c>
      <c r="Q12" s="62">
        <f>'CurPol_industry_final_energ (2)'!Q29</f>
        <v>8.3546899999999997E-3</v>
      </c>
    </row>
    <row r="13" spans="1:17">
      <c r="A13" s="62" t="str">
        <f>'CurPol_industry_final_energ (2)'!A30</f>
        <v>CurPol,date=2022-3-7T01:16:15-015:00</v>
      </c>
      <c r="B13" s="62" t="str">
        <f>'CurPol_industry_final_energ (2)'!B30</f>
        <v>South Korea</v>
      </c>
      <c r="C13" s="62" t="str">
        <f>'CurPol_industry_final_energ (2)'!C30</f>
        <v>display</v>
      </c>
      <c r="D13" s="62" t="str">
        <f>'CurPol_industry_final_energ (2)'!D30</f>
        <v>DISPLAY</v>
      </c>
      <c r="E13" s="62" t="str">
        <f>'CurPol_industry_final_energ (2)'!E30</f>
        <v>wholesale gas</v>
      </c>
      <c r="F13" s="62" t="str">
        <f>'CurPol_industry_final_energ (2)'!F30</f>
        <v>DISPLAY HIEFF</v>
      </c>
      <c r="G13" s="62">
        <f>'CurPol_industry_final_energ (2)'!G30</f>
        <v>0</v>
      </c>
      <c r="H13" s="62">
        <f>'CurPol_industry_final_energ (2)'!H30</f>
        <v>0</v>
      </c>
      <c r="I13" s="62">
        <f>'CurPol_industry_final_energ (2)'!I30</f>
        <v>0</v>
      </c>
      <c r="J13" s="62">
        <f>'CurPol_industry_final_energ (2)'!J30</f>
        <v>0</v>
      </c>
      <c r="K13" s="62">
        <f>'CurPol_industry_final_energ (2)'!K30</f>
        <v>2.01345E-3</v>
      </c>
      <c r="L13" s="62">
        <f>'CurPol_industry_final_energ (2)'!L30</f>
        <v>4.3729499999999996E-3</v>
      </c>
      <c r="M13" s="62">
        <f>'CurPol_industry_final_energ (2)'!M30</f>
        <v>6.0000000000000001E-3</v>
      </c>
      <c r="N13" s="62">
        <f>'CurPol_industry_final_energ (2)'!N30</f>
        <v>7.0263249999999999E-3</v>
      </c>
      <c r="O13" s="62">
        <f>'CurPol_industry_final_energ (2)'!O30</f>
        <v>7.4469779999999999E-3</v>
      </c>
      <c r="P13" s="62">
        <f>'CurPol_industry_final_energ (2)'!P30</f>
        <v>7.887448E-3</v>
      </c>
      <c r="Q13" s="62">
        <f>'CurPol_industry_final_energ (2)'!Q30</f>
        <v>8.3546899999999997E-3</v>
      </c>
    </row>
    <row r="14" spans="1:17">
      <c r="A14" s="62" t="str">
        <f>'CurPol_industry_final_energ (2)'!A31</f>
        <v>CurPol,date=2022-3-7T01:16:15-015:00</v>
      </c>
      <c r="B14" s="62" t="str">
        <f>'CurPol_industry_final_energ (2)'!B31</f>
        <v>South Korea</v>
      </c>
      <c r="C14" s="62" t="str">
        <f>'CurPol_industry_final_energ (2)'!C31</f>
        <v>display</v>
      </c>
      <c r="D14" s="62" t="str">
        <f>'CurPol_industry_final_energ (2)'!D31</f>
        <v>DISPLAY</v>
      </c>
      <c r="E14" s="62" t="str">
        <f>'CurPol_industry_final_energ (2)'!E31</f>
        <v>wholesale gas</v>
      </c>
      <c r="F14" s="62" t="str">
        <f>'CurPol_industry_final_energ (2)'!F31</f>
        <v>DISPLAY HIEFF LOWF</v>
      </c>
      <c r="G14" s="62">
        <f>'CurPol_industry_final_energ (2)'!G31</f>
        <v>0</v>
      </c>
      <c r="H14" s="62">
        <f>'CurPol_industry_final_energ (2)'!H31</f>
        <v>0</v>
      </c>
      <c r="I14" s="62">
        <f>'CurPol_industry_final_energ (2)'!I31</f>
        <v>0</v>
      </c>
      <c r="J14" s="62">
        <f>'CurPol_industry_final_energ (2)'!J31</f>
        <v>0</v>
      </c>
      <c r="K14" s="62">
        <f>'CurPol_industry_final_energ (2)'!K31</f>
        <v>2.01345E-3</v>
      </c>
      <c r="L14" s="62">
        <f>'CurPol_industry_final_energ (2)'!L31</f>
        <v>4.3729499999999996E-3</v>
      </c>
      <c r="M14" s="62">
        <f>'CurPol_industry_final_energ (2)'!M31</f>
        <v>6.0000000000000001E-3</v>
      </c>
      <c r="N14" s="62">
        <f>'CurPol_industry_final_energ (2)'!N31</f>
        <v>7.0263249999999999E-3</v>
      </c>
      <c r="O14" s="62">
        <f>'CurPol_industry_final_energ (2)'!O31</f>
        <v>7.4469779999999999E-3</v>
      </c>
      <c r="P14" s="62">
        <f>'CurPol_industry_final_energ (2)'!P31</f>
        <v>7.887448E-3</v>
      </c>
      <c r="Q14" s="62">
        <f>'CurPol_industry_final_energ (2)'!Q31</f>
        <v>8.3546899999999997E-3</v>
      </c>
    </row>
    <row r="15" spans="1:17">
      <c r="A15" s="62"/>
      <c r="B15" s="62"/>
      <c r="C15" s="62"/>
      <c r="D15" s="6"/>
      <c r="E15" s="5"/>
      <c r="F15" s="62"/>
      <c r="G15" s="62"/>
      <c r="H15" s="62"/>
      <c r="I15" s="62"/>
      <c r="J15" s="62">
        <f t="shared" ref="J15:K15" si="0">SUM(J2:J14)</f>
        <v>0.16444159999999999</v>
      </c>
      <c r="K15" s="62">
        <f t="shared" si="0"/>
        <v>0.22205133699999988</v>
      </c>
      <c r="L15" s="62">
        <f>SUM(L2:L14)</f>
        <v>0.27148730499999973</v>
      </c>
      <c r="M15" s="62">
        <f t="shared" ref="M15:Q15" si="1">SUM(M2:M14)</f>
        <v>0.28821427699999991</v>
      </c>
      <c r="N15" s="62">
        <f t="shared" si="1"/>
        <v>0.3002358866</v>
      </c>
      <c r="O15" s="62">
        <f t="shared" si="1"/>
        <v>0.31562317499999987</v>
      </c>
      <c r="P15" s="62">
        <f t="shared" si="1"/>
        <v>0.33144602499999898</v>
      </c>
      <c r="Q15" s="62">
        <f t="shared" si="1"/>
        <v>0.34811767999999899</v>
      </c>
    </row>
    <row r="16" spans="1:17">
      <c r="A16" s="1" t="s">
        <v>11</v>
      </c>
      <c r="B16" s="62"/>
      <c r="C16" s="62"/>
      <c r="D16" s="6"/>
      <c r="E16" s="5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</row>
    <row r="17" spans="1:17">
      <c r="A17" s="62" t="s">
        <v>8</v>
      </c>
      <c r="B17" s="62" t="s">
        <v>9</v>
      </c>
      <c r="C17" s="62"/>
      <c r="D17" s="62"/>
      <c r="E17" s="62"/>
      <c r="F17" s="62"/>
      <c r="G17" s="62">
        <v>2015</v>
      </c>
      <c r="H17" s="62">
        <v>2020</v>
      </c>
      <c r="I17" s="62">
        <v>2025</v>
      </c>
      <c r="J17" s="62">
        <v>2030</v>
      </c>
      <c r="K17" s="62">
        <v>2035</v>
      </c>
      <c r="L17" s="62">
        <v>2040</v>
      </c>
      <c r="M17" s="62">
        <v>2045</v>
      </c>
      <c r="N17" s="62">
        <v>2050</v>
      </c>
      <c r="O17" s="62"/>
      <c r="P17" s="62"/>
      <c r="Q17" s="62"/>
    </row>
    <row r="18" spans="1:17">
      <c r="A18" s="62" t="s">
        <v>0</v>
      </c>
      <c r="B18" s="62" t="s">
        <v>2</v>
      </c>
      <c r="C18" s="62"/>
      <c r="D18" s="62"/>
      <c r="E18" s="62" t="s">
        <v>2</v>
      </c>
      <c r="F18" s="62" t="s">
        <v>12</v>
      </c>
      <c r="G18" s="62">
        <f>SUMIF($J$2:$J$14,$F18,E$2:E$14)</f>
        <v>0</v>
      </c>
      <c r="H18" s="62">
        <f t="shared" ref="H18:N18" si="2">SUMIF($J$2:$J$14,$F18,F$2:F$14)</f>
        <v>0</v>
      </c>
      <c r="I18" s="62">
        <f t="shared" si="2"/>
        <v>0</v>
      </c>
      <c r="J18" s="62">
        <f t="shared" si="2"/>
        <v>0</v>
      </c>
      <c r="K18" s="62">
        <f t="shared" si="2"/>
        <v>0</v>
      </c>
      <c r="L18" s="62">
        <f t="shared" si="2"/>
        <v>0</v>
      </c>
      <c r="M18" s="62">
        <f t="shared" si="2"/>
        <v>0</v>
      </c>
      <c r="N18" s="62">
        <f t="shared" si="2"/>
        <v>0</v>
      </c>
      <c r="O18" s="62"/>
      <c r="P18" s="62"/>
      <c r="Q18" s="62"/>
    </row>
    <row r="19" spans="1:17">
      <c r="A19" s="62" t="s">
        <v>0</v>
      </c>
      <c r="B19" s="62" t="s">
        <v>5</v>
      </c>
      <c r="C19" s="62"/>
      <c r="D19" s="62"/>
      <c r="E19" s="62" t="s">
        <v>5</v>
      </c>
      <c r="F19" s="62" t="s">
        <v>630</v>
      </c>
      <c r="G19" s="62">
        <f>SUM(J2,J9)</f>
        <v>0.1409</v>
      </c>
      <c r="H19" s="62">
        <f t="shared" ref="H19:N21" si="3">SUM(K2,K9)</f>
        <v>0.1564424999999999</v>
      </c>
      <c r="I19" s="62">
        <f t="shared" si="3"/>
        <v>0.1593388</v>
      </c>
      <c r="J19" s="62">
        <f t="shared" si="3"/>
        <v>0.14685044</v>
      </c>
      <c r="K19" s="62">
        <f t="shared" si="3"/>
        <v>0.14063352000000001</v>
      </c>
      <c r="L19" s="62">
        <f t="shared" si="3"/>
        <v>0.14785772999999991</v>
      </c>
      <c r="M19" s="62">
        <f t="shared" si="3"/>
        <v>0.15518352999999901</v>
      </c>
      <c r="N19" s="62">
        <f t="shared" si="3"/>
        <v>0.16240265999999901</v>
      </c>
      <c r="O19" s="62"/>
      <c r="P19" s="62"/>
      <c r="Q19" s="62"/>
    </row>
    <row r="20" spans="1:17">
      <c r="A20" s="62"/>
      <c r="B20" s="62"/>
      <c r="C20" s="62"/>
      <c r="D20" s="62"/>
      <c r="E20" s="62" t="s">
        <v>5</v>
      </c>
      <c r="F20" s="62" t="s">
        <v>631</v>
      </c>
      <c r="G20" s="62">
        <f>SUM(J3,J10)</f>
        <v>0</v>
      </c>
      <c r="H20" s="62">
        <f t="shared" si="3"/>
        <v>1.7765349999999999E-2</v>
      </c>
      <c r="I20" s="62">
        <f t="shared" si="3"/>
        <v>3.8381539999999902E-2</v>
      </c>
      <c r="J20" s="62">
        <f t="shared" si="3"/>
        <v>5.2320839999999993E-2</v>
      </c>
      <c r="K20" s="62">
        <f t="shared" si="3"/>
        <v>6.0822946000000003E-2</v>
      </c>
      <c r="L20" s="62">
        <f t="shared" si="3"/>
        <v>6.367159E-2</v>
      </c>
      <c r="M20" s="62">
        <f t="shared" si="3"/>
        <v>6.6662539999999909E-2</v>
      </c>
      <c r="N20" s="62">
        <f t="shared" si="3"/>
        <v>7.0155909999999988E-2</v>
      </c>
      <c r="O20" s="62"/>
      <c r="P20" s="62"/>
      <c r="Q20" s="62"/>
    </row>
    <row r="21" spans="1:17">
      <c r="A21" s="62"/>
      <c r="B21" s="62"/>
      <c r="C21" s="62"/>
      <c r="D21" s="62"/>
      <c r="E21" s="62" t="s">
        <v>5</v>
      </c>
      <c r="F21" s="62" t="s">
        <v>632</v>
      </c>
      <c r="G21" s="62">
        <f>SUM(J4,J11)</f>
        <v>0</v>
      </c>
      <c r="H21" s="62">
        <f t="shared" si="3"/>
        <v>1.5947050000000001E-2</v>
      </c>
      <c r="I21" s="62">
        <f t="shared" si="3"/>
        <v>3.4523309999999897E-2</v>
      </c>
      <c r="J21" s="62">
        <f t="shared" si="3"/>
        <v>4.7053649999999995E-2</v>
      </c>
      <c r="K21" s="62">
        <f t="shared" si="3"/>
        <v>5.4636781000000002E-2</v>
      </c>
      <c r="L21" s="62">
        <f t="shared" si="3"/>
        <v>5.7308476000000004E-2</v>
      </c>
      <c r="M21" s="62">
        <f t="shared" si="3"/>
        <v>6.0047361E-2</v>
      </c>
      <c r="N21" s="62">
        <f t="shared" si="3"/>
        <v>6.3071077000000003E-2</v>
      </c>
      <c r="O21" s="62"/>
      <c r="P21" s="62"/>
      <c r="Q21" s="62"/>
    </row>
    <row r="22" spans="1:17">
      <c r="A22" s="62" t="s">
        <v>0</v>
      </c>
      <c r="B22" s="62" t="s">
        <v>7</v>
      </c>
      <c r="C22" s="62"/>
      <c r="D22" s="62"/>
      <c r="E22" s="62" t="s">
        <v>7</v>
      </c>
      <c r="F22" s="62" t="s">
        <v>15</v>
      </c>
      <c r="G22" s="62">
        <f>SUM(J5:J7,J12:J14)</f>
        <v>2.3541599999999999E-2</v>
      </c>
      <c r="H22" s="62">
        <f t="shared" ref="H22:N22" si="4">SUM(K5:K7,K12:K14)</f>
        <v>3.1896437E-2</v>
      </c>
      <c r="I22" s="62">
        <f t="shared" si="4"/>
        <v>3.9243654999999988E-2</v>
      </c>
      <c r="J22" s="62">
        <f t="shared" si="4"/>
        <v>4.1989346999999892E-2</v>
      </c>
      <c r="K22" s="62">
        <f t="shared" si="4"/>
        <v>4.4142639599999992E-2</v>
      </c>
      <c r="L22" s="62">
        <f t="shared" si="4"/>
        <v>4.6785379000000002E-2</v>
      </c>
      <c r="M22" s="62">
        <f t="shared" si="4"/>
        <v>4.9552593999999998E-2</v>
      </c>
      <c r="N22" s="62">
        <f t="shared" si="4"/>
        <v>5.248803299999999E-2</v>
      </c>
      <c r="O22" s="62"/>
      <c r="P22" s="62"/>
      <c r="Q22" s="62"/>
    </row>
    <row r="23" spans="1:17">
      <c r="A23" s="115" t="s">
        <v>29</v>
      </c>
      <c r="B23" s="115"/>
      <c r="C23" s="115"/>
      <c r="D23" s="115"/>
      <c r="E23" s="115"/>
      <c r="F23" s="115"/>
      <c r="G23" s="62">
        <f t="shared" ref="G23:N23" si="5">SUM(G18:G22)</f>
        <v>0.16444159999999999</v>
      </c>
      <c r="H23" s="62">
        <f t="shared" si="5"/>
        <v>0.22205133699999988</v>
      </c>
      <c r="I23" s="62">
        <f t="shared" si="5"/>
        <v>0.27148730499999979</v>
      </c>
      <c r="J23" s="62">
        <f t="shared" si="5"/>
        <v>0.28821427699999991</v>
      </c>
      <c r="K23" s="62">
        <f t="shared" si="5"/>
        <v>0.3002358866</v>
      </c>
      <c r="L23" s="62">
        <f t="shared" si="5"/>
        <v>0.31562317499999992</v>
      </c>
      <c r="M23" s="62">
        <f t="shared" si="5"/>
        <v>0.33144602499999892</v>
      </c>
      <c r="N23" s="62">
        <f t="shared" si="5"/>
        <v>0.34811767999999899</v>
      </c>
      <c r="O23" s="62"/>
      <c r="P23" s="62"/>
      <c r="Q23" s="62"/>
    </row>
    <row r="24" spans="1:17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</row>
    <row r="25" spans="1:17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</row>
    <row r="26" spans="1:17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</row>
    <row r="27" spans="1:17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</row>
    <row r="28" spans="1:17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</row>
    <row r="29" spans="1:17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</row>
    <row r="31" spans="1:17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</row>
    <row r="32" spans="1:17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</row>
    <row r="33" spans="1:17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</row>
    <row r="34" spans="1:17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</row>
    <row r="35" spans="1:17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</row>
    <row r="36" spans="1:17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</row>
    <row r="37" spans="1:17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</row>
    <row r="38" spans="1:17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</row>
    <row r="39" spans="1:17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</row>
    <row r="40" spans="1:17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</row>
    <row r="41" spans="1:17">
      <c r="A41" s="62" t="s">
        <v>8</v>
      </c>
      <c r="B41" s="62" t="s">
        <v>9</v>
      </c>
      <c r="C41" s="62" t="s">
        <v>39</v>
      </c>
      <c r="D41" s="62" t="s">
        <v>40</v>
      </c>
      <c r="E41" s="62" t="s">
        <v>10</v>
      </c>
      <c r="F41" s="62" t="s">
        <v>42</v>
      </c>
      <c r="G41" s="62">
        <v>1990</v>
      </c>
      <c r="H41" s="62">
        <v>2005</v>
      </c>
      <c r="I41" s="62">
        <v>2010</v>
      </c>
      <c r="J41" s="62">
        <v>2015</v>
      </c>
      <c r="K41" s="62">
        <v>2020</v>
      </c>
      <c r="L41" s="62">
        <v>2025</v>
      </c>
      <c r="M41" s="62">
        <v>2030</v>
      </c>
      <c r="N41" s="62">
        <v>2035</v>
      </c>
      <c r="O41" s="62">
        <v>2040</v>
      </c>
      <c r="P41" s="62">
        <v>2045</v>
      </c>
      <c r="Q41" s="62">
        <v>2050</v>
      </c>
    </row>
    <row r="42" spans="1:17">
      <c r="A42" s="62" t="str">
        <f>NZ2050_industry_final_energy!D86</f>
        <v>NZ2050,date=2022-3-7T01:15:47-015:00</v>
      </c>
      <c r="B42" s="62" t="str">
        <f>NZ2050_industry_final_energy!E86</f>
        <v>South Korea</v>
      </c>
      <c r="C42" s="62" t="str">
        <f>NZ2050_industry_final_energy!F86</f>
        <v>semiconductor</v>
      </c>
      <c r="D42" s="62" t="str">
        <f>NZ2050_industry_final_energy!G86</f>
        <v>SEMICON</v>
      </c>
      <c r="E42" s="62" t="str">
        <f>NZ2050_industry_final_energy!H86</f>
        <v>elect_td_ind</v>
      </c>
      <c r="F42" s="62" t="str">
        <f>NZ2050_industry_final_energy!I86</f>
        <v>SEMICON</v>
      </c>
      <c r="G42" s="62">
        <f>NZ2050_industry_final_energy!J86</f>
        <v>0</v>
      </c>
      <c r="H42" s="62">
        <f>NZ2050_industry_final_energy!K86</f>
        <v>3.3933699999999997E-2</v>
      </c>
      <c r="I42" s="62">
        <f>NZ2050_industry_final_energy!L86</f>
        <v>4.7037000000000002E-2</v>
      </c>
      <c r="J42" s="62">
        <f>NZ2050_industry_final_energy!M86</f>
        <v>6.5199999999999994E-2</v>
      </c>
      <c r="K42" s="62">
        <f>NZ2050_industry_final_energy!N86</f>
        <v>8.1128000000000006E-2</v>
      </c>
      <c r="L42" s="62">
        <f>NZ2050_industry_final_energy!O86</f>
        <v>8.4139099999999994E-2</v>
      </c>
      <c r="M42" s="62">
        <f>NZ2050_industry_final_energy!P86</f>
        <v>8.7412400000000001E-2</v>
      </c>
      <c r="N42" s="62">
        <f>NZ2050_industry_final_energy!Q86</f>
        <v>9.1578049999999994E-2</v>
      </c>
      <c r="O42" s="62">
        <f>NZ2050_industry_final_energy!R86</f>
        <v>0.10054568999999999</v>
      </c>
      <c r="P42" s="62">
        <f>NZ2050_industry_final_energy!S86</f>
        <v>0.10960354</v>
      </c>
      <c r="Q42" s="62">
        <f>NZ2050_industry_final_energy!T86</f>
        <v>0.11881862999999999</v>
      </c>
    </row>
    <row r="43" spans="1:17">
      <c r="A43" s="62" t="str">
        <f>NZ2050_industry_final_energy!D87</f>
        <v>NZ2050,date=2022-3-7T01:15:47-015:00</v>
      </c>
      <c r="B43" s="62" t="str">
        <f>NZ2050_industry_final_energy!E87</f>
        <v>South Korea</v>
      </c>
      <c r="C43" s="62" t="str">
        <f>NZ2050_industry_final_energy!F87</f>
        <v>semiconductor</v>
      </c>
      <c r="D43" s="62" t="str">
        <f>NZ2050_industry_final_energy!G87</f>
        <v>SEMICON</v>
      </c>
      <c r="E43" s="62" t="str">
        <f>NZ2050_industry_final_energy!H87</f>
        <v>elect_td_ind</v>
      </c>
      <c r="F43" s="62" t="str">
        <f>NZ2050_industry_final_energy!I87</f>
        <v>SEMICON HIEFF</v>
      </c>
      <c r="G43" s="62">
        <f>NZ2050_industry_final_energy!J87</f>
        <v>0</v>
      </c>
      <c r="H43" s="62">
        <f>NZ2050_industry_final_energy!K87</f>
        <v>0</v>
      </c>
      <c r="I43" s="62">
        <f>NZ2050_industry_final_energy!L87</f>
        <v>0</v>
      </c>
      <c r="J43" s="62">
        <f>NZ2050_industry_final_energy!M87</f>
        <v>0</v>
      </c>
      <c r="K43" s="62">
        <f>NZ2050_industry_final_energy!N87</f>
        <v>4.3412499999999996E-3</v>
      </c>
      <c r="L43" s="62">
        <f>NZ2050_industry_final_energy!O87</f>
        <v>8.0867700000000001E-3</v>
      </c>
      <c r="M43" s="62">
        <f>NZ2050_industry_final_energy!P87</f>
        <v>1.18613E-2</v>
      </c>
      <c r="N43" s="62">
        <f>NZ2050_industry_final_energy!Q87</f>
        <v>1.4457395E-2</v>
      </c>
      <c r="O43" s="62">
        <f>NZ2050_industry_final_energy!R87</f>
        <v>1.5649469999999999E-2</v>
      </c>
      <c r="P43" s="62">
        <f>NZ2050_industry_final_energy!S87</f>
        <v>1.69334999999999E-2</v>
      </c>
      <c r="Q43" s="62">
        <f>NZ2050_industry_final_energy!T87</f>
        <v>1.8699210000000001E-2</v>
      </c>
    </row>
    <row r="44" spans="1:17">
      <c r="A44" s="62" t="str">
        <f>NZ2050_industry_final_energy!D88</f>
        <v>NZ2050,date=2022-3-7T01:15:47-015:00</v>
      </c>
      <c r="B44" s="62" t="str">
        <f>NZ2050_industry_final_energy!E88</f>
        <v>South Korea</v>
      </c>
      <c r="C44" s="62" t="str">
        <f>NZ2050_industry_final_energy!F88</f>
        <v>semiconductor</v>
      </c>
      <c r="D44" s="62" t="str">
        <f>NZ2050_industry_final_energy!G88</f>
        <v>SEMICON</v>
      </c>
      <c r="E44" s="62" t="str">
        <f>NZ2050_industry_final_energy!H88</f>
        <v>elect_td_ind</v>
      </c>
      <c r="F44" s="62" t="str">
        <f>NZ2050_industry_final_energy!I88</f>
        <v>SEMICON HIEFF LOWF</v>
      </c>
      <c r="G44" s="62">
        <f>NZ2050_industry_final_energy!J88</f>
        <v>0</v>
      </c>
      <c r="H44" s="62">
        <f>NZ2050_industry_final_energy!K88</f>
        <v>0</v>
      </c>
      <c r="I44" s="62">
        <f>NZ2050_industry_final_energy!L88</f>
        <v>0</v>
      </c>
      <c r="J44" s="62">
        <f>NZ2050_industry_final_energy!M88</f>
        <v>0</v>
      </c>
      <c r="K44" s="62">
        <f>NZ2050_industry_final_energy!N88</f>
        <v>2.5229499999999999E-3</v>
      </c>
      <c r="L44" s="62">
        <f>NZ2050_industry_final_energy!O88</f>
        <v>4.7628999999999996E-3</v>
      </c>
      <c r="M44" s="62">
        <f>NZ2050_industry_final_energy!P88</f>
        <v>6.9849200000000004E-3</v>
      </c>
      <c r="N44" s="62">
        <f>NZ2050_industry_final_energy!Q88</f>
        <v>8.4732809999999992E-3</v>
      </c>
      <c r="O44" s="62">
        <f>NZ2050_industry_final_energy!R88</f>
        <v>9.2359460000000001E-3</v>
      </c>
      <c r="P44" s="62">
        <f>NZ2050_industry_final_energy!S88</f>
        <v>1.0010956E-2</v>
      </c>
      <c r="Q44" s="62">
        <f>NZ2050_industry_final_energy!T88</f>
        <v>1.1000105E-2</v>
      </c>
    </row>
    <row r="45" spans="1:17">
      <c r="A45" s="62" t="str">
        <f>NZ2050_industry_final_energy!D89</f>
        <v>NZ2050,date=2022-3-7T01:15:47-015:00</v>
      </c>
      <c r="B45" s="62" t="str">
        <f>NZ2050_industry_final_energy!E89</f>
        <v>South Korea</v>
      </c>
      <c r="C45" s="62" t="str">
        <f>NZ2050_industry_final_energy!F89</f>
        <v>semiconductor</v>
      </c>
      <c r="D45" s="62" t="str">
        <f>NZ2050_industry_final_energy!G89</f>
        <v>SEMICON</v>
      </c>
      <c r="E45" s="62" t="str">
        <f>NZ2050_industry_final_energy!H89</f>
        <v>wholesale gas</v>
      </c>
      <c r="F45" s="62" t="str">
        <f>NZ2050_industry_final_energy!I89</f>
        <v>SEMICON</v>
      </c>
      <c r="G45" s="62">
        <f>NZ2050_industry_final_energy!J89</f>
        <v>0</v>
      </c>
      <c r="H45" s="62">
        <f>NZ2050_industry_final_energy!K89</f>
        <v>7.5847600000000003E-3</v>
      </c>
      <c r="I45" s="62">
        <f>NZ2050_industry_final_energy!L89</f>
        <v>9.4303900000000003E-3</v>
      </c>
      <c r="J45" s="62">
        <f>NZ2050_industry_final_energy!M89</f>
        <v>1.23E-2</v>
      </c>
      <c r="K45" s="62">
        <f>NZ2050_industry_final_energy!N89</f>
        <v>1.535738E-2</v>
      </c>
      <c r="L45" s="62">
        <f>NZ2050_industry_final_energy!O89</f>
        <v>1.6025109999999999E-2</v>
      </c>
      <c r="M45" s="62">
        <f>NZ2050_industry_final_energy!P89</f>
        <v>1.682382E-2</v>
      </c>
      <c r="N45" s="62">
        <f>NZ2050_industry_final_energy!Q89</f>
        <v>1.7832779999999999E-2</v>
      </c>
      <c r="O45" s="62">
        <f>NZ2050_industry_final_energy!R89</f>
        <v>1.976557E-2</v>
      </c>
      <c r="P45" s="62">
        <f>NZ2050_industry_final_energy!S89</f>
        <v>2.1758820000000002E-2</v>
      </c>
      <c r="Q45" s="62">
        <f>NZ2050_industry_final_energy!T89</f>
        <v>2.3826549999999998E-2</v>
      </c>
    </row>
    <row r="46" spans="1:17">
      <c r="A46" s="62" t="str">
        <f>NZ2050_industry_final_energy!D90</f>
        <v>NZ2050,date=2022-3-7T01:15:47-015:00</v>
      </c>
      <c r="B46" s="62" t="str">
        <f>NZ2050_industry_final_energy!E90</f>
        <v>South Korea</v>
      </c>
      <c r="C46" s="62" t="str">
        <f>NZ2050_industry_final_energy!F90</f>
        <v>semiconductor</v>
      </c>
      <c r="D46" s="62" t="str">
        <f>NZ2050_industry_final_energy!G90</f>
        <v>SEMICON</v>
      </c>
      <c r="E46" s="62" t="str">
        <f>NZ2050_industry_final_energy!H90</f>
        <v>wholesale gas</v>
      </c>
      <c r="F46" s="62" t="str">
        <f>NZ2050_industry_final_energy!I90</f>
        <v>SEMICON HIEFF</v>
      </c>
      <c r="G46" s="62">
        <f>NZ2050_industry_final_energy!J90</f>
        <v>0</v>
      </c>
      <c r="H46" s="62">
        <f>NZ2050_industry_final_energy!K90</f>
        <v>0</v>
      </c>
      <c r="I46" s="62">
        <f>NZ2050_industry_final_energy!L90</f>
        <v>0</v>
      </c>
      <c r="J46" s="62">
        <f>NZ2050_industry_final_energy!M90</f>
        <v>0</v>
      </c>
      <c r="K46" s="62">
        <f>NZ2050_industry_final_energy!N90</f>
        <v>8.2717700000000001E-4</v>
      </c>
      <c r="L46" s="62">
        <f>NZ2050_industry_final_energy!O90</f>
        <v>1.5494969999999999E-3</v>
      </c>
      <c r="M46" s="62">
        <f>NZ2050_industry_final_energy!P90</f>
        <v>2.2900379999999999E-3</v>
      </c>
      <c r="N46" s="62">
        <f>NZ2050_industry_final_energy!Q90</f>
        <v>2.8153729999999999E-3</v>
      </c>
      <c r="O46" s="62">
        <f>NZ2050_industry_final_energy!R90</f>
        <v>3.0760429999999901E-3</v>
      </c>
      <c r="P46" s="62">
        <f>NZ2050_industry_final_energy!S90</f>
        <v>3.3613799999999902E-3</v>
      </c>
      <c r="Q46" s="62">
        <f>NZ2050_industry_final_energy!T90</f>
        <v>3.7503739999999999E-3</v>
      </c>
    </row>
    <row r="47" spans="1:17">
      <c r="A47" s="62" t="str">
        <f>NZ2050_industry_final_energy!D91</f>
        <v>NZ2050,date=2022-3-7T01:15:47-015:00</v>
      </c>
      <c r="B47" s="62" t="str">
        <f>NZ2050_industry_final_energy!E91</f>
        <v>South Korea</v>
      </c>
      <c r="C47" s="62" t="str">
        <f>NZ2050_industry_final_energy!F91</f>
        <v>semiconductor</v>
      </c>
      <c r="D47" s="62" t="str">
        <f>NZ2050_industry_final_energy!G91</f>
        <v>SEMICON</v>
      </c>
      <c r="E47" s="62" t="str">
        <f>NZ2050_industry_final_energy!H91</f>
        <v>wholesale gas</v>
      </c>
      <c r="F47" s="62" t="str">
        <f>NZ2050_industry_final_energy!I91</f>
        <v>SEMICON HIEFF LOWF</v>
      </c>
      <c r="G47" s="62">
        <f>NZ2050_industry_final_energy!J91</f>
        <v>0</v>
      </c>
      <c r="H47" s="62">
        <f>NZ2050_industry_final_energy!K91</f>
        <v>0</v>
      </c>
      <c r="I47" s="62">
        <f>NZ2050_industry_final_energy!L91</f>
        <v>0</v>
      </c>
      <c r="J47" s="62">
        <f>NZ2050_industry_final_energy!M91</f>
        <v>0</v>
      </c>
      <c r="K47" s="62">
        <f>NZ2050_industry_final_energy!N91</f>
        <v>4.8072000000000002E-4</v>
      </c>
      <c r="L47" s="62">
        <f>NZ2050_industry_final_energy!O91</f>
        <v>9.1266700000000004E-4</v>
      </c>
      <c r="M47" s="62">
        <f>NZ2050_industry_final_energy!P91</f>
        <v>1.3485859999999999E-3</v>
      </c>
      <c r="N47" s="62">
        <f>NZ2050_industry_final_energy!Q91</f>
        <v>1.6499754999999899E-3</v>
      </c>
      <c r="O47" s="62">
        <f>NZ2050_industry_final_energy!R91</f>
        <v>1.8154960999999901E-3</v>
      </c>
      <c r="P47" s="62">
        <f>NZ2050_industry_final_energy!S91</f>
        <v>1.9873009999999999E-3</v>
      </c>
      <c r="Q47" s="62">
        <f>NZ2050_industry_final_energy!T91</f>
        <v>2.206104E-3</v>
      </c>
    </row>
    <row r="48" spans="1:17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</row>
    <row r="49" spans="1:17">
      <c r="A49" s="62" t="str">
        <f>NZ2050_industry_final_energy!D35</f>
        <v>NZ2050,date=2022-3-7T01:15:47-015:00</v>
      </c>
      <c r="B49" s="62" t="str">
        <f>NZ2050_industry_final_energy!E35</f>
        <v>South Korea</v>
      </c>
      <c r="C49" s="62" t="str">
        <f>NZ2050_industry_final_energy!F35</f>
        <v>display</v>
      </c>
      <c r="D49" s="62" t="str">
        <f>NZ2050_industry_final_energy!G35</f>
        <v>DISPLAY</v>
      </c>
      <c r="E49" s="62" t="str">
        <f>NZ2050_industry_final_energy!H35</f>
        <v>elect_td_ind</v>
      </c>
      <c r="F49" s="62" t="str">
        <f>NZ2050_industry_final_energy!I35</f>
        <v>DISPLAY</v>
      </c>
      <c r="G49" s="62">
        <f>NZ2050_industry_final_energy!J35</f>
        <v>0</v>
      </c>
      <c r="H49" s="62">
        <f>NZ2050_industry_final_energy!K35</f>
        <v>5.7160999999999997E-2</v>
      </c>
      <c r="I49" s="62">
        <f>NZ2050_industry_final_energy!L35</f>
        <v>6.5780599999999995E-2</v>
      </c>
      <c r="J49" s="62">
        <f>NZ2050_industry_final_energy!M35</f>
        <v>7.5700000000000003E-2</v>
      </c>
      <c r="K49" s="62">
        <f>NZ2050_industry_final_energy!N35</f>
        <v>7.5314499999999895E-2</v>
      </c>
      <c r="L49" s="62">
        <f>NZ2050_industry_final_energy!O35</f>
        <v>6.2769400000000003E-2</v>
      </c>
      <c r="M49" s="62">
        <f>NZ2050_industry_final_energy!P35</f>
        <v>5.3031839999999997E-2</v>
      </c>
      <c r="N49" s="62">
        <f>NZ2050_industry_final_energy!Q35</f>
        <v>4.6823999999999998E-2</v>
      </c>
      <c r="O49" s="62">
        <f>NZ2050_industry_final_energy!R35</f>
        <v>5.050988E-2</v>
      </c>
      <c r="P49" s="62">
        <f>NZ2050_industry_final_energy!S35</f>
        <v>5.4392459999999997E-2</v>
      </c>
      <c r="Q49" s="62">
        <f>NZ2050_industry_final_energy!T35</f>
        <v>5.8533519999999999E-2</v>
      </c>
    </row>
    <row r="50" spans="1:17">
      <c r="A50" s="62" t="str">
        <f>NZ2050_industry_final_energy!D36</f>
        <v>NZ2050,date=2022-3-7T01:15:47-015:00</v>
      </c>
      <c r="B50" s="62" t="str">
        <f>NZ2050_industry_final_energy!E36</f>
        <v>South Korea</v>
      </c>
      <c r="C50" s="62" t="str">
        <f>NZ2050_industry_final_energy!F36</f>
        <v>display</v>
      </c>
      <c r="D50" s="62" t="str">
        <f>NZ2050_industry_final_energy!G36</f>
        <v>DISPLAY</v>
      </c>
      <c r="E50" s="62" t="str">
        <f>NZ2050_industry_final_energy!H36</f>
        <v>elect_td_ind</v>
      </c>
      <c r="F50" s="62" t="str">
        <f>NZ2050_industry_final_energy!I36</f>
        <v>DISPLAY HIEFF</v>
      </c>
      <c r="G50" s="62">
        <f>NZ2050_industry_final_energy!J36</f>
        <v>0</v>
      </c>
      <c r="H50" s="62">
        <f>NZ2050_industry_final_energy!K36</f>
        <v>0</v>
      </c>
      <c r="I50" s="62">
        <f>NZ2050_industry_final_energy!L36</f>
        <v>0</v>
      </c>
      <c r="J50" s="62">
        <f>NZ2050_industry_final_energy!M36</f>
        <v>0</v>
      </c>
      <c r="K50" s="62">
        <f>NZ2050_industry_final_energy!N36</f>
        <v>1.34241E-2</v>
      </c>
      <c r="L50" s="62">
        <f>NZ2050_industry_final_energy!O36</f>
        <v>2.4919400000000001E-2</v>
      </c>
      <c r="M50" s="62">
        <f>NZ2050_industry_final_energy!P36</f>
        <v>3.9222239999999998E-2</v>
      </c>
      <c r="N50" s="62">
        <f>NZ2050_industry_final_energy!Q36</f>
        <v>4.6823999999999998E-2</v>
      </c>
      <c r="O50" s="62">
        <f>NZ2050_industry_final_energy!R36</f>
        <v>5.050988E-2</v>
      </c>
      <c r="P50" s="62">
        <f>NZ2050_industry_final_energy!S36</f>
        <v>5.4392459999999997E-2</v>
      </c>
      <c r="Q50" s="62">
        <f>NZ2050_industry_final_energy!T36</f>
        <v>5.8533519999999999E-2</v>
      </c>
    </row>
    <row r="51" spans="1:17">
      <c r="A51" s="62" t="str">
        <f>NZ2050_industry_final_energy!D37</f>
        <v>NZ2050,date=2022-3-7T01:15:47-015:00</v>
      </c>
      <c r="B51" s="62" t="str">
        <f>NZ2050_industry_final_energy!E37</f>
        <v>South Korea</v>
      </c>
      <c r="C51" s="62" t="str">
        <f>NZ2050_industry_final_energy!F37</f>
        <v>display</v>
      </c>
      <c r="D51" s="62" t="str">
        <f>NZ2050_industry_final_energy!G37</f>
        <v>DISPLAY</v>
      </c>
      <c r="E51" s="62" t="str">
        <f>NZ2050_industry_final_energy!H37</f>
        <v>elect_td_ind</v>
      </c>
      <c r="F51" s="62" t="str">
        <f>NZ2050_industry_final_energy!I37</f>
        <v>DISPLAY HIEFF LOWF</v>
      </c>
      <c r="G51" s="62">
        <f>NZ2050_industry_final_energy!J37</f>
        <v>0</v>
      </c>
      <c r="H51" s="62">
        <f>NZ2050_industry_final_energy!K37</f>
        <v>0</v>
      </c>
      <c r="I51" s="62">
        <f>NZ2050_industry_final_energy!L37</f>
        <v>0</v>
      </c>
      <c r="J51" s="62">
        <f>NZ2050_industry_final_energy!M37</f>
        <v>0</v>
      </c>
      <c r="K51" s="62">
        <f>NZ2050_industry_final_energy!N37</f>
        <v>1.34241E-2</v>
      </c>
      <c r="L51" s="62">
        <f>NZ2050_industry_final_energy!O37</f>
        <v>2.4919400000000001E-2</v>
      </c>
      <c r="M51" s="62">
        <f>NZ2050_industry_final_energy!P37</f>
        <v>3.9222239999999998E-2</v>
      </c>
      <c r="N51" s="62">
        <f>NZ2050_industry_final_energy!Q37</f>
        <v>4.6823999999999998E-2</v>
      </c>
      <c r="O51" s="62">
        <f>NZ2050_industry_final_energy!R37</f>
        <v>5.050988E-2</v>
      </c>
      <c r="P51" s="62">
        <f>NZ2050_industry_final_energy!S37</f>
        <v>5.4392459999999997E-2</v>
      </c>
      <c r="Q51" s="62">
        <f>NZ2050_industry_final_energy!T37</f>
        <v>5.8533519999999999E-2</v>
      </c>
    </row>
    <row r="52" spans="1:17">
      <c r="A52" s="62" t="str">
        <f>NZ2050_industry_final_energy!D38</f>
        <v>NZ2050,date=2022-3-7T01:15:47-015:00</v>
      </c>
      <c r="B52" s="62" t="str">
        <f>NZ2050_industry_final_energy!E38</f>
        <v>South Korea</v>
      </c>
      <c r="C52" s="62" t="str">
        <f>NZ2050_industry_final_energy!F38</f>
        <v>display</v>
      </c>
      <c r="D52" s="62" t="str">
        <f>NZ2050_industry_final_energy!G38</f>
        <v>DISPLAY</v>
      </c>
      <c r="E52" s="62" t="str">
        <f>NZ2050_industry_final_energy!H38</f>
        <v>wholesale gas</v>
      </c>
      <c r="F52" s="62" t="str">
        <f>NZ2050_industry_final_energy!I38</f>
        <v>DISPLAY</v>
      </c>
      <c r="G52" s="62">
        <f>NZ2050_industry_final_energy!J38</f>
        <v>0</v>
      </c>
      <c r="H52" s="62">
        <f>NZ2050_industry_final_energy!K38</f>
        <v>5.6251000000000001E-3</v>
      </c>
      <c r="I52" s="62">
        <f>NZ2050_industry_final_energy!L38</f>
        <v>7.9520300000000006E-3</v>
      </c>
      <c r="J52" s="62">
        <f>NZ2050_industry_final_energy!M38</f>
        <v>1.1241599999999999E-2</v>
      </c>
      <c r="K52" s="62">
        <f>NZ2050_industry_final_energy!N38</f>
        <v>1.1204260000000001E-2</v>
      </c>
      <c r="L52" s="62">
        <f>NZ2050_industry_final_energy!O38</f>
        <v>9.37933E-3</v>
      </c>
      <c r="M52" s="62">
        <f>NZ2050_industry_final_energy!P38</f>
        <v>8.0144299999999995E-3</v>
      </c>
      <c r="N52" s="62">
        <f>NZ2050_industry_final_energy!Q38</f>
        <v>7.1772349999999997E-3</v>
      </c>
      <c r="O52" s="62">
        <f>NZ2050_industry_final_energy!R38</f>
        <v>7.8141349999999998E-3</v>
      </c>
      <c r="P52" s="62">
        <f>NZ2050_industry_final_energy!S38</f>
        <v>8.4988389999999994E-3</v>
      </c>
      <c r="Q52" s="62">
        <f>NZ2050_industry_final_energy!T38</f>
        <v>9.2397460000000001E-3</v>
      </c>
    </row>
    <row r="53" spans="1:17">
      <c r="A53" s="62" t="str">
        <f>NZ2050_industry_final_energy!D39</f>
        <v>NZ2050,date=2022-3-7T01:15:47-015:00</v>
      </c>
      <c r="B53" s="62" t="str">
        <f>NZ2050_industry_final_energy!E39</f>
        <v>South Korea</v>
      </c>
      <c r="C53" s="62" t="str">
        <f>NZ2050_industry_final_energy!F39</f>
        <v>display</v>
      </c>
      <c r="D53" s="62" t="str">
        <f>NZ2050_industry_final_energy!G39</f>
        <v>DISPLAY</v>
      </c>
      <c r="E53" s="62" t="str">
        <f>NZ2050_industry_final_energy!H39</f>
        <v>wholesale gas</v>
      </c>
      <c r="F53" s="62" t="str">
        <f>NZ2050_industry_final_energy!I39</f>
        <v>DISPLAY HIEFF</v>
      </c>
      <c r="G53" s="62">
        <f>NZ2050_industry_final_energy!J39</f>
        <v>0</v>
      </c>
      <c r="H53" s="62">
        <f>NZ2050_industry_final_energy!K39</f>
        <v>0</v>
      </c>
      <c r="I53" s="62">
        <f>NZ2050_industry_final_energy!L39</f>
        <v>0</v>
      </c>
      <c r="J53" s="62">
        <f>NZ2050_industry_final_energy!M39</f>
        <v>0</v>
      </c>
      <c r="K53" s="62">
        <f>NZ2050_industry_final_energy!N39</f>
        <v>2.01345E-3</v>
      </c>
      <c r="L53" s="62">
        <f>NZ2050_industry_final_energy!O39</f>
        <v>3.7585499999999998E-3</v>
      </c>
      <c r="M53" s="62">
        <f>NZ2050_industry_final_energy!P39</f>
        <v>5.9636799999999998E-3</v>
      </c>
      <c r="N53" s="62">
        <f>NZ2050_industry_final_energy!Q39</f>
        <v>7.1772349999999997E-3</v>
      </c>
      <c r="O53" s="62">
        <f>NZ2050_industry_final_energy!R39</f>
        <v>7.8141349999999998E-3</v>
      </c>
      <c r="P53" s="62">
        <f>NZ2050_industry_final_energy!S39</f>
        <v>8.4988389999999994E-3</v>
      </c>
      <c r="Q53" s="62">
        <f>NZ2050_industry_final_energy!T39</f>
        <v>9.2397460000000001E-3</v>
      </c>
    </row>
    <row r="54" spans="1:17">
      <c r="A54" s="62" t="str">
        <f>NZ2050_industry_final_energy!D40</f>
        <v>NZ2050,date=2022-3-7T01:15:47-015:00</v>
      </c>
      <c r="B54" s="62" t="str">
        <f>NZ2050_industry_final_energy!E40</f>
        <v>South Korea</v>
      </c>
      <c r="C54" s="62" t="str">
        <f>NZ2050_industry_final_energy!F40</f>
        <v>display</v>
      </c>
      <c r="D54" s="62" t="str">
        <f>NZ2050_industry_final_energy!G40</f>
        <v>DISPLAY</v>
      </c>
      <c r="E54" s="62" t="str">
        <f>NZ2050_industry_final_energy!H40</f>
        <v>wholesale gas</v>
      </c>
      <c r="F54" s="62" t="str">
        <f>NZ2050_industry_final_energy!I40</f>
        <v>DISPLAY HIEFF LOWF</v>
      </c>
      <c r="G54" s="62">
        <f>NZ2050_industry_final_energy!J40</f>
        <v>0</v>
      </c>
      <c r="H54" s="62">
        <f>NZ2050_industry_final_energy!K40</f>
        <v>0</v>
      </c>
      <c r="I54" s="62">
        <f>NZ2050_industry_final_energy!L40</f>
        <v>0</v>
      </c>
      <c r="J54" s="62">
        <f>NZ2050_industry_final_energy!M40</f>
        <v>0</v>
      </c>
      <c r="K54" s="62">
        <f>NZ2050_industry_final_energy!N40</f>
        <v>2.01345E-3</v>
      </c>
      <c r="L54" s="62">
        <f>NZ2050_industry_final_energy!O40</f>
        <v>3.7585499999999998E-3</v>
      </c>
      <c r="M54" s="62">
        <f>NZ2050_industry_final_energy!P40</f>
        <v>5.9636799999999998E-3</v>
      </c>
      <c r="N54" s="62">
        <f>NZ2050_industry_final_energy!Q40</f>
        <v>7.1772349999999997E-3</v>
      </c>
      <c r="O54" s="62">
        <f>NZ2050_industry_final_energy!R40</f>
        <v>7.8141349999999998E-3</v>
      </c>
      <c r="P54" s="62">
        <f>NZ2050_industry_final_energy!S40</f>
        <v>8.4988389999999994E-3</v>
      </c>
      <c r="Q54" s="62">
        <f>NZ2050_industry_final_energy!T40</f>
        <v>9.2397460000000001E-3</v>
      </c>
    </row>
    <row r="55" spans="1:17">
      <c r="A55" s="62"/>
      <c r="B55" s="62"/>
      <c r="C55" s="62"/>
      <c r="D55" s="6"/>
      <c r="E55" s="5"/>
      <c r="F55" s="62"/>
      <c r="G55" s="62"/>
      <c r="H55" s="62"/>
      <c r="I55" s="62"/>
      <c r="J55" s="62">
        <f t="shared" ref="J55:K55" si="6">SUM(J42:J54)</f>
        <v>0.16444159999999999</v>
      </c>
      <c r="K55" s="62">
        <f t="shared" si="6"/>
        <v>0.22205133699999988</v>
      </c>
      <c r="L55" s="62">
        <f>SUM(L42:L54)</f>
        <v>0.24498067399999998</v>
      </c>
      <c r="M55" s="62">
        <f t="shared" ref="M55:Q55" si="7">SUM(M42:M54)</f>
        <v>0.2781391740000001</v>
      </c>
      <c r="N55" s="62">
        <f t="shared" si="7"/>
        <v>0.29881055950000002</v>
      </c>
      <c r="O55" s="62">
        <f t="shared" si="7"/>
        <v>0.3250602601</v>
      </c>
      <c r="P55" s="62">
        <f t="shared" si="7"/>
        <v>0.3523293939999998</v>
      </c>
      <c r="Q55" s="62">
        <f t="shared" si="7"/>
        <v>0.38162077099999997</v>
      </c>
    </row>
    <row r="56" spans="1:17">
      <c r="A56" s="1" t="s">
        <v>11</v>
      </c>
      <c r="B56" s="62"/>
      <c r="C56" s="62"/>
      <c r="D56" s="6"/>
      <c r="E56" s="5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</row>
    <row r="57" spans="1:17">
      <c r="A57" s="62" t="s">
        <v>8</v>
      </c>
      <c r="B57" s="62" t="s">
        <v>9</v>
      </c>
      <c r="C57" s="62"/>
      <c r="D57" s="62"/>
      <c r="E57" s="62"/>
      <c r="F57" s="62"/>
      <c r="G57" s="62">
        <v>2015</v>
      </c>
      <c r="H57" s="62">
        <v>2020</v>
      </c>
      <c r="I57" s="62">
        <v>2025</v>
      </c>
      <c r="J57" s="62">
        <v>2030</v>
      </c>
      <c r="K57" s="62">
        <v>2035</v>
      </c>
      <c r="L57" s="62">
        <v>2040</v>
      </c>
      <c r="M57" s="62">
        <v>2045</v>
      </c>
      <c r="N57" s="62">
        <v>2050</v>
      </c>
      <c r="O57" s="62"/>
      <c r="P57" s="62"/>
      <c r="Q57" s="62"/>
    </row>
    <row r="58" spans="1:17">
      <c r="A58" s="62" t="s">
        <v>0</v>
      </c>
      <c r="B58" s="62" t="s">
        <v>2</v>
      </c>
      <c r="C58" s="62"/>
      <c r="D58" s="62"/>
      <c r="E58" s="62" t="s">
        <v>2</v>
      </c>
      <c r="F58" s="62" t="s">
        <v>12</v>
      </c>
      <c r="G58" s="62">
        <v>0</v>
      </c>
      <c r="H58" s="62">
        <v>0</v>
      </c>
      <c r="I58" s="62">
        <v>0</v>
      </c>
      <c r="J58" s="62">
        <v>0</v>
      </c>
      <c r="K58" s="62">
        <v>0</v>
      </c>
      <c r="L58" s="62">
        <v>0</v>
      </c>
      <c r="M58" s="62">
        <v>0</v>
      </c>
      <c r="N58" s="62">
        <v>0</v>
      </c>
      <c r="O58" s="62"/>
      <c r="P58" s="62"/>
      <c r="Q58" s="62"/>
    </row>
    <row r="59" spans="1:17">
      <c r="A59" s="62" t="s">
        <v>0</v>
      </c>
      <c r="B59" s="62" t="s">
        <v>5</v>
      </c>
      <c r="C59" s="62"/>
      <c r="D59" s="62"/>
      <c r="E59" s="62" t="s">
        <v>5</v>
      </c>
      <c r="F59" s="62" t="s">
        <v>630</v>
      </c>
      <c r="G59" s="62">
        <f>SUM(J42,J49)</f>
        <v>0.1409</v>
      </c>
      <c r="H59" s="62">
        <f t="shared" ref="H59:N61" si="8">SUM(K42,K49)</f>
        <v>0.1564424999999999</v>
      </c>
      <c r="I59" s="62">
        <f t="shared" si="8"/>
        <v>0.1469085</v>
      </c>
      <c r="J59" s="62">
        <f t="shared" si="8"/>
        <v>0.14044424</v>
      </c>
      <c r="K59" s="62">
        <f t="shared" si="8"/>
        <v>0.13840205</v>
      </c>
      <c r="L59" s="62">
        <f t="shared" si="8"/>
        <v>0.15105557</v>
      </c>
      <c r="M59" s="62">
        <f t="shared" si="8"/>
        <v>0.163996</v>
      </c>
      <c r="N59" s="62">
        <f t="shared" si="8"/>
        <v>0.17735214999999999</v>
      </c>
      <c r="O59" s="62"/>
      <c r="P59" s="62"/>
      <c r="Q59" s="62"/>
    </row>
    <row r="60" spans="1:17">
      <c r="A60" s="62"/>
      <c r="B60" s="62"/>
      <c r="C60" s="62"/>
      <c r="D60" s="62"/>
      <c r="E60" s="62" t="s">
        <v>5</v>
      </c>
      <c r="F60" s="62" t="s">
        <v>631</v>
      </c>
      <c r="G60" s="62">
        <f>SUM(J43,J50)</f>
        <v>0</v>
      </c>
      <c r="H60" s="62">
        <f t="shared" si="8"/>
        <v>1.7765349999999999E-2</v>
      </c>
      <c r="I60" s="62">
        <f t="shared" si="8"/>
        <v>3.3006170000000001E-2</v>
      </c>
      <c r="J60" s="62">
        <f t="shared" si="8"/>
        <v>5.1083539999999997E-2</v>
      </c>
      <c r="K60" s="62">
        <f t="shared" si="8"/>
        <v>6.1281394999999995E-2</v>
      </c>
      <c r="L60" s="62">
        <f t="shared" si="8"/>
        <v>6.6159350000000006E-2</v>
      </c>
      <c r="M60" s="62">
        <f t="shared" si="8"/>
        <v>7.1325959999999897E-2</v>
      </c>
      <c r="N60" s="62">
        <f t="shared" si="8"/>
        <v>7.7232729999999999E-2</v>
      </c>
      <c r="O60" s="62"/>
      <c r="P60" s="62"/>
      <c r="Q60" s="62"/>
    </row>
    <row r="61" spans="1:17">
      <c r="A61" s="62"/>
      <c r="B61" s="62"/>
      <c r="C61" s="62"/>
      <c r="D61" s="62"/>
      <c r="E61" s="62" t="s">
        <v>5</v>
      </c>
      <c r="F61" s="62" t="s">
        <v>632</v>
      </c>
      <c r="G61" s="62">
        <f>SUM(J44,J51)</f>
        <v>0</v>
      </c>
      <c r="H61" s="62">
        <f t="shared" si="8"/>
        <v>1.5947050000000001E-2</v>
      </c>
      <c r="I61" s="62">
        <f t="shared" si="8"/>
        <v>2.9682300000000002E-2</v>
      </c>
      <c r="J61" s="62">
        <f t="shared" si="8"/>
        <v>4.6207159999999997E-2</v>
      </c>
      <c r="K61" s="62">
        <f t="shared" si="8"/>
        <v>5.5297280999999997E-2</v>
      </c>
      <c r="L61" s="62">
        <f t="shared" si="8"/>
        <v>5.9745826000000002E-2</v>
      </c>
      <c r="M61" s="62">
        <f t="shared" si="8"/>
        <v>6.4403415999999991E-2</v>
      </c>
      <c r="N61" s="62">
        <f t="shared" si="8"/>
        <v>6.9533625000000002E-2</v>
      </c>
      <c r="O61" s="62"/>
      <c r="P61" s="62"/>
      <c r="Q61" s="62"/>
    </row>
    <row r="62" spans="1:17">
      <c r="A62" s="62" t="s">
        <v>0</v>
      </c>
      <c r="B62" s="62" t="s">
        <v>7</v>
      </c>
      <c r="C62" s="62"/>
      <c r="D62" s="62"/>
      <c r="E62" s="62" t="s">
        <v>7</v>
      </c>
      <c r="F62" s="62" t="s">
        <v>15</v>
      </c>
      <c r="G62" s="62">
        <f>SUM(J45:J47,J52:J54)</f>
        <v>2.3541599999999999E-2</v>
      </c>
      <c r="H62" s="62">
        <f t="shared" ref="H62:N62" si="9">SUM(K45:K47,K52:K54)</f>
        <v>3.1896437E-2</v>
      </c>
      <c r="I62" s="62">
        <f t="shared" si="9"/>
        <v>3.5383703999999995E-2</v>
      </c>
      <c r="J62" s="62">
        <f t="shared" si="9"/>
        <v>4.0404233999999997E-2</v>
      </c>
      <c r="K62" s="62">
        <f t="shared" si="9"/>
        <v>4.3829833499999984E-2</v>
      </c>
      <c r="L62" s="62">
        <f t="shared" si="9"/>
        <v>4.8099514099999977E-2</v>
      </c>
      <c r="M62" s="62">
        <f t="shared" si="9"/>
        <v>5.2604017999999995E-2</v>
      </c>
      <c r="N62" s="62">
        <f t="shared" si="9"/>
        <v>5.7502265999999996E-2</v>
      </c>
      <c r="O62" s="62"/>
      <c r="P62" s="62"/>
      <c r="Q62" s="62"/>
    </row>
    <row r="63" spans="1:17">
      <c r="A63" s="115" t="s">
        <v>29</v>
      </c>
      <c r="B63" s="115"/>
      <c r="C63" s="115"/>
      <c r="D63" s="115"/>
      <c r="E63" s="115"/>
      <c r="F63" s="115"/>
      <c r="G63" s="62">
        <f t="shared" ref="G63:N63" si="10">SUM(G58:G62)</f>
        <v>0.16444159999999999</v>
      </c>
      <c r="H63" s="62">
        <f t="shared" si="10"/>
        <v>0.22205133699999988</v>
      </c>
      <c r="I63" s="62">
        <f t="shared" si="10"/>
        <v>0.24498067399999998</v>
      </c>
      <c r="J63" s="62">
        <f t="shared" si="10"/>
        <v>0.27813917399999999</v>
      </c>
      <c r="K63" s="62">
        <f t="shared" si="10"/>
        <v>0.29881055949999996</v>
      </c>
      <c r="L63" s="62">
        <f t="shared" si="10"/>
        <v>0.32506026009999994</v>
      </c>
      <c r="M63" s="62">
        <f t="shared" si="10"/>
        <v>0.35232939399999985</v>
      </c>
      <c r="N63" s="62">
        <f t="shared" si="10"/>
        <v>0.38162077100000003</v>
      </c>
      <c r="O63" s="62"/>
      <c r="P63" s="62"/>
      <c r="Q63" s="62"/>
    </row>
    <row r="64" spans="1:17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</row>
    <row r="65" spans="1:17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</row>
    <row r="66" spans="1:17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</row>
    <row r="67" spans="1:17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</row>
    <row r="68" spans="1:17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</row>
    <row r="69" spans="1:17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</row>
    <row r="70" spans="1:17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</row>
    <row r="71" spans="1:17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</row>
    <row r="72" spans="1:17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</row>
    <row r="73" spans="1:17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</row>
    <row r="74" spans="1:17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</row>
    <row r="75" spans="1:17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</row>
    <row r="76" spans="1:17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</row>
    <row r="77" spans="1:17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</row>
    <row r="78" spans="1:17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</row>
  </sheetData>
  <mergeCells count="2">
    <mergeCell ref="A23:F23"/>
    <mergeCell ref="A63:F63"/>
  </mergeCell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6FE81-508A-4A35-9510-408470DE4987}">
  <dimension ref="A2:AU85"/>
  <sheetViews>
    <sheetView topLeftCell="P45" zoomScale="44" zoomScaleNormal="55" workbookViewId="0">
      <selection activeCell="AP57" sqref="AP57"/>
    </sheetView>
  </sheetViews>
  <sheetFormatPr defaultRowHeight="17.399999999999999"/>
  <cols>
    <col min="1" max="13" width="8.796875" style="62"/>
    <col min="14" max="14" width="22.796875" style="62" customWidth="1"/>
    <col min="15" max="15" width="15.09765625" style="62" customWidth="1"/>
    <col min="16" max="16" width="22.3984375" style="62" customWidth="1"/>
    <col min="17" max="17" width="22.8984375" style="62" customWidth="1"/>
    <col min="18" max="21" width="12.59765625" style="62" bestFit="1" customWidth="1"/>
    <col min="22" max="27" width="15.296875" style="62" bestFit="1" customWidth="1"/>
    <col min="28" max="28" width="11.796875" style="62" bestFit="1" customWidth="1"/>
    <col min="29" max="33" width="8.796875" style="62"/>
    <col min="34" max="34" width="19.796875" style="62" customWidth="1"/>
    <col min="35" max="35" width="28.296875" style="62" customWidth="1"/>
    <col min="36" max="36" width="16.59765625" style="62" customWidth="1"/>
    <col min="37" max="37" width="15.3984375" style="62" bestFit="1" customWidth="1"/>
    <col min="38" max="38" width="14.8984375" style="62" bestFit="1" customWidth="1"/>
    <col min="39" max="44" width="15.3984375" style="62" bestFit="1" customWidth="1"/>
    <col min="45" max="45" width="15.296875" style="62" bestFit="1" customWidth="1"/>
    <col min="46" max="46" width="9.09765625" style="62" bestFit="1" customWidth="1"/>
    <col min="47" max="47" width="8.8984375" style="62" bestFit="1" customWidth="1"/>
    <col min="48" max="16384" width="8.796875" style="62"/>
  </cols>
  <sheetData>
    <row r="2" spans="1:47">
      <c r="L2" s="62" t="s">
        <v>8</v>
      </c>
      <c r="M2" s="62" t="s">
        <v>9</v>
      </c>
      <c r="N2" s="62" t="s">
        <v>39</v>
      </c>
      <c r="O2" s="62" t="s">
        <v>40</v>
      </c>
      <c r="P2" s="62" t="s">
        <v>10</v>
      </c>
      <c r="Q2" s="62" t="s">
        <v>42</v>
      </c>
      <c r="R2" s="62">
        <v>1990</v>
      </c>
      <c r="S2" s="62">
        <v>2005</v>
      </c>
      <c r="T2" s="62">
        <v>2010</v>
      </c>
      <c r="U2" s="62">
        <v>2015</v>
      </c>
      <c r="V2" s="62">
        <v>2020</v>
      </c>
      <c r="W2" s="62">
        <v>2025</v>
      </c>
      <c r="X2" s="62">
        <v>2030</v>
      </c>
      <c r="Y2" s="62">
        <v>2035</v>
      </c>
      <c r="Z2" s="62">
        <v>2040</v>
      </c>
      <c r="AA2" s="62">
        <v>2045</v>
      </c>
      <c r="AB2" s="62">
        <v>2050</v>
      </c>
      <c r="AE2" s="62" t="s">
        <v>8</v>
      </c>
      <c r="AF2" s="62" t="s">
        <v>9</v>
      </c>
      <c r="AG2" s="62" t="s">
        <v>39</v>
      </c>
      <c r="AH2" s="62" t="s">
        <v>40</v>
      </c>
      <c r="AI2" s="62" t="s">
        <v>10</v>
      </c>
      <c r="AJ2" s="62" t="s">
        <v>42</v>
      </c>
      <c r="AK2" s="62">
        <v>1990</v>
      </c>
      <c r="AL2" s="62">
        <v>2005</v>
      </c>
      <c r="AM2" s="62">
        <v>2010</v>
      </c>
      <c r="AN2" s="62">
        <v>2015</v>
      </c>
      <c r="AO2" s="62">
        <v>2020</v>
      </c>
      <c r="AP2" s="62">
        <v>2025</v>
      </c>
      <c r="AQ2" s="62">
        <v>2030</v>
      </c>
      <c r="AR2" s="62">
        <v>2035</v>
      </c>
      <c r="AS2" s="62">
        <v>2040</v>
      </c>
      <c r="AT2" s="62">
        <v>2045</v>
      </c>
      <c r="AU2" s="62">
        <v>2050</v>
      </c>
    </row>
    <row r="3" spans="1:47">
      <c r="L3" s="62" t="str">
        <f>'CurPol_industry_final_energ (2)'!A19</f>
        <v>CurPol,date=2022-3-7T01:16:15-015:00</v>
      </c>
      <c r="M3" s="62" t="str">
        <f>'CurPol_industry_final_energ (2)'!B19</f>
        <v>South Korea</v>
      </c>
      <c r="N3" s="62" t="str">
        <f>'CurPol_industry_final_energ (2)'!C19</f>
        <v>construction energy use</v>
      </c>
      <c r="O3" s="62" t="str">
        <f>'CurPol_industry_final_energ (2)'!D19</f>
        <v>biomass</v>
      </c>
      <c r="P3" s="62" t="str">
        <f>'CurPol_industry_final_energ (2)'!E19</f>
        <v>delivered biomass</v>
      </c>
      <c r="Q3" s="62" t="str">
        <f>'CurPol_industry_final_energ (2)'!F19</f>
        <v>biomass</v>
      </c>
      <c r="AE3" s="62" t="str">
        <f>NZ2050_industry_final_energy!D28</f>
        <v>NZ2050,date=2022-3-7T01:15:47-015:00</v>
      </c>
      <c r="AF3" s="62" t="str">
        <f>NZ2050_industry_final_energy!E28</f>
        <v>South Korea</v>
      </c>
      <c r="AG3" s="62" t="str">
        <f>NZ2050_industry_final_energy!F28</f>
        <v>construction energy use</v>
      </c>
      <c r="AH3" s="62" t="str">
        <f>NZ2050_industry_final_energy!G28</f>
        <v>biomass</v>
      </c>
      <c r="AI3" s="62" t="str">
        <f>NZ2050_industry_final_energy!H28</f>
        <v>delivered biomass</v>
      </c>
      <c r="AJ3" s="62" t="str">
        <f>NZ2050_industry_final_energy!I28</f>
        <v>biomass</v>
      </c>
    </row>
    <row r="4" spans="1:47">
      <c r="L4" s="62" t="str">
        <f>'CurPol_industry_final_energ (2)'!A20</f>
        <v>CurPol,date=2022-3-7T01:16:15-015:00</v>
      </c>
      <c r="M4" s="62" t="str">
        <f>'CurPol_industry_final_energ (2)'!B20</f>
        <v>South Korea</v>
      </c>
      <c r="N4" s="62" t="str">
        <f>'CurPol_industry_final_energ (2)'!C20</f>
        <v>construction energy use</v>
      </c>
      <c r="O4" s="62" t="str">
        <f>'CurPol_industry_final_energ (2)'!D20</f>
        <v>coal</v>
      </c>
      <c r="P4" s="62" t="str">
        <f>'CurPol_industry_final_energ (2)'!E20</f>
        <v>delivered coal</v>
      </c>
      <c r="Q4" s="62" t="str">
        <f>'CurPol_industry_final_energ (2)'!F20</f>
        <v>coal</v>
      </c>
      <c r="AE4" s="62" t="str">
        <f>NZ2050_industry_final_energy!D29</f>
        <v>NZ2050,date=2022-3-7T01:15:47-015:00</v>
      </c>
      <c r="AF4" s="62" t="str">
        <f>NZ2050_industry_final_energy!E29</f>
        <v>South Korea</v>
      </c>
      <c r="AG4" s="62" t="str">
        <f>NZ2050_industry_final_energy!F29</f>
        <v>construction energy use</v>
      </c>
      <c r="AH4" s="62" t="str">
        <f>NZ2050_industry_final_energy!G29</f>
        <v>coal</v>
      </c>
      <c r="AI4" s="62" t="str">
        <f>NZ2050_industry_final_energy!H29</f>
        <v>delivered coal</v>
      </c>
      <c r="AJ4" s="62" t="str">
        <f>NZ2050_industry_final_energy!I29</f>
        <v>coal</v>
      </c>
    </row>
    <row r="5" spans="1:47">
      <c r="A5" s="63"/>
      <c r="L5" s="62" t="str">
        <f>'CurPol_industry_final_energ (2)'!A21</f>
        <v>CurPol,date=2022-3-7T01:16:15-015:00</v>
      </c>
      <c r="M5" s="62" t="str">
        <f>'CurPol_industry_final_energ (2)'!B21</f>
        <v>South Korea</v>
      </c>
      <c r="N5" s="62" t="str">
        <f>'CurPol_industry_final_energ (2)'!C21</f>
        <v>construction energy use</v>
      </c>
      <c r="O5" s="62" t="str">
        <f>'CurPol_industry_final_energ (2)'!D21</f>
        <v>electricity</v>
      </c>
      <c r="P5" s="62" t="str">
        <f>'CurPol_industry_final_energ (2)'!E21</f>
        <v>elect_td_ind</v>
      </c>
      <c r="Q5" s="62" t="str">
        <f>'CurPol_industry_final_energ (2)'!F21</f>
        <v>electricity</v>
      </c>
      <c r="AE5" s="62" t="str">
        <f>NZ2050_industry_final_energy!D30</f>
        <v>NZ2050,date=2022-3-7T01:15:47-015:00</v>
      </c>
      <c r="AF5" s="62" t="str">
        <f>NZ2050_industry_final_energy!E30</f>
        <v>South Korea</v>
      </c>
      <c r="AG5" s="62" t="str">
        <f>NZ2050_industry_final_energy!F30</f>
        <v>construction energy use</v>
      </c>
      <c r="AH5" s="62" t="str">
        <f>NZ2050_industry_final_energy!G30</f>
        <v>electricity</v>
      </c>
      <c r="AI5" s="62" t="str">
        <f>NZ2050_industry_final_energy!H30</f>
        <v>elect_td_ind</v>
      </c>
      <c r="AJ5" s="62" t="str">
        <f>NZ2050_industry_final_energy!I30</f>
        <v>electricity</v>
      </c>
    </row>
    <row r="6" spans="1:47">
      <c r="L6" s="62" t="str">
        <f>'CurPol_industry_final_energ (2)'!A22</f>
        <v>CurPol,date=2022-3-7T01:16:15-015:00</v>
      </c>
      <c r="M6" s="62" t="str">
        <f>'CurPol_industry_final_energ (2)'!B22</f>
        <v>South Korea</v>
      </c>
      <c r="N6" s="62" t="str">
        <f>'CurPol_industry_final_energ (2)'!C22</f>
        <v>construction energy use</v>
      </c>
      <c r="O6" s="62" t="str">
        <f>'CurPol_industry_final_energ (2)'!D22</f>
        <v>gas</v>
      </c>
      <c r="P6" s="62" t="str">
        <f>'CurPol_industry_final_energ (2)'!E22</f>
        <v>wholesale gas</v>
      </c>
      <c r="Q6" s="62" t="str">
        <f>'CurPol_industry_final_energ (2)'!F22</f>
        <v>gas</v>
      </c>
      <c r="AE6" s="62" t="str">
        <f>NZ2050_industry_final_energy!D31</f>
        <v>NZ2050,date=2022-3-7T01:15:47-015:00</v>
      </c>
      <c r="AF6" s="62" t="str">
        <f>NZ2050_industry_final_energy!E31</f>
        <v>South Korea</v>
      </c>
      <c r="AG6" s="62" t="str">
        <f>NZ2050_industry_final_energy!F31</f>
        <v>construction energy use</v>
      </c>
      <c r="AH6" s="62" t="str">
        <f>NZ2050_industry_final_energy!G31</f>
        <v>gas</v>
      </c>
      <c r="AI6" s="62" t="str">
        <f>NZ2050_industry_final_energy!H31</f>
        <v>wholesale gas</v>
      </c>
      <c r="AJ6" s="62" t="str">
        <f>NZ2050_industry_final_energy!I31</f>
        <v>gas</v>
      </c>
    </row>
    <row r="7" spans="1:47">
      <c r="L7" s="62" t="str">
        <f>'CurPol_industry_final_energ (2)'!A23</f>
        <v>CurPol,date=2022-3-7T01:16:15-015:00</v>
      </c>
      <c r="M7" s="62" t="str">
        <f>'CurPol_industry_final_energ (2)'!B23</f>
        <v>South Korea</v>
      </c>
      <c r="N7" s="62" t="str">
        <f>'CurPol_industry_final_energ (2)'!C23</f>
        <v>construction energy use</v>
      </c>
      <c r="O7" s="62" t="str">
        <f>'CurPol_industry_final_energ (2)'!D23</f>
        <v>hydrogen</v>
      </c>
      <c r="P7" s="62" t="str">
        <f>'CurPol_industry_final_energ (2)'!E23</f>
        <v>H2 enduse</v>
      </c>
      <c r="Q7" s="62" t="str">
        <f>'CurPol_industry_final_energ (2)'!F23</f>
        <v>hydrogen</v>
      </c>
      <c r="AE7" s="62" t="str">
        <f>NZ2050_industry_final_energy!D32</f>
        <v>NZ2050,date=2022-3-7T01:15:47-015:00</v>
      </c>
      <c r="AF7" s="62" t="str">
        <f>NZ2050_industry_final_energy!E32</f>
        <v>South Korea</v>
      </c>
      <c r="AG7" s="62" t="str">
        <f>NZ2050_industry_final_energy!F32</f>
        <v>construction energy use</v>
      </c>
      <c r="AH7" s="62" t="str">
        <f>NZ2050_industry_final_energy!G32</f>
        <v>hydrogen</v>
      </c>
      <c r="AI7" s="62" t="str">
        <f>NZ2050_industry_final_energy!H32</f>
        <v>H2 enduse</v>
      </c>
      <c r="AJ7" s="62" t="str">
        <f>NZ2050_industry_final_energy!I32</f>
        <v>hydrogen</v>
      </c>
    </row>
    <row r="8" spans="1:47">
      <c r="L8" s="62" t="str">
        <f>'CurPol_industry_final_energ (2)'!A24</f>
        <v>CurPol,date=2022-3-7T01:16:15-015:00</v>
      </c>
      <c r="M8" s="62" t="str">
        <f>'CurPol_industry_final_energ (2)'!B24</f>
        <v>South Korea</v>
      </c>
      <c r="N8" s="62" t="str">
        <f>'CurPol_industry_final_energ (2)'!C24</f>
        <v>construction energy use</v>
      </c>
      <c r="O8" s="62" t="str">
        <f>'CurPol_industry_final_energ (2)'!D24</f>
        <v>refined liquids</v>
      </c>
      <c r="P8" s="62" t="str">
        <f>'CurPol_industry_final_energ (2)'!E24</f>
        <v>refined liquids industrial</v>
      </c>
      <c r="Q8" s="62" t="str">
        <f>'CurPol_industry_final_energ (2)'!F24</f>
        <v>refined liquids</v>
      </c>
      <c r="AE8" s="62" t="str">
        <f>NZ2050_industry_final_energy!D33</f>
        <v>NZ2050,date=2022-3-7T01:15:47-015:00</v>
      </c>
      <c r="AF8" s="62" t="str">
        <f>NZ2050_industry_final_energy!E33</f>
        <v>South Korea</v>
      </c>
      <c r="AG8" s="62" t="str">
        <f>NZ2050_industry_final_energy!F33</f>
        <v>construction energy use</v>
      </c>
      <c r="AH8" s="62" t="str">
        <f>NZ2050_industry_final_energy!G33</f>
        <v>refined liquids</v>
      </c>
      <c r="AI8" s="62" t="str">
        <f>NZ2050_industry_final_energy!H33</f>
        <v>refined liquids industrial</v>
      </c>
      <c r="AJ8" s="62" t="str">
        <f>NZ2050_industry_final_energy!I33</f>
        <v>refined liquids</v>
      </c>
    </row>
    <row r="9" spans="1:47">
      <c r="L9" s="62" t="str">
        <f>'CurPol_industry_final_energ (2)'!A25</f>
        <v>CurPol,date=2022-3-7T01:16:15-015:00</v>
      </c>
      <c r="M9" s="62" t="str">
        <f>'CurPol_industry_final_energ (2)'!B25</f>
        <v>South Korea</v>
      </c>
      <c r="N9" s="62" t="str">
        <f>'CurPol_industry_final_energ (2)'!C25</f>
        <v>construction feedstocks</v>
      </c>
      <c r="O9" s="62" t="str">
        <f>'CurPol_industry_final_energ (2)'!D25</f>
        <v>refined liquids</v>
      </c>
      <c r="P9" s="62" t="str">
        <f>'CurPol_industry_final_energ (2)'!E25</f>
        <v>refined liquids industrial</v>
      </c>
      <c r="Q9" s="62" t="str">
        <f>'CurPol_industry_final_energ (2)'!F25</f>
        <v>refined liquids</v>
      </c>
      <c r="AE9" s="62" t="str">
        <f>NZ2050_industry_final_energy!D34</f>
        <v>NZ2050,date=2022-3-7T01:15:47-015:00</v>
      </c>
      <c r="AF9" s="62" t="str">
        <f>NZ2050_industry_final_energy!E34</f>
        <v>South Korea</v>
      </c>
      <c r="AG9" s="62" t="str">
        <f>NZ2050_industry_final_energy!F34</f>
        <v>construction feedstocks</v>
      </c>
      <c r="AH9" s="62" t="str">
        <f>NZ2050_industry_final_energy!G34</f>
        <v>refined liquids</v>
      </c>
      <c r="AI9" s="62" t="str">
        <f>NZ2050_industry_final_energy!H34</f>
        <v>refined liquids industrial</v>
      </c>
      <c r="AJ9" s="62" t="str">
        <f>NZ2050_industry_final_energy!I34</f>
        <v>refined liquids</v>
      </c>
    </row>
    <row r="11" spans="1:47">
      <c r="A11" s="63"/>
      <c r="L11" s="62" t="str">
        <f>'CurPol_industry_final_energ (2)'!A45</f>
        <v>CurPol,date=2022-3-7T01:16:15-015:00</v>
      </c>
      <c r="M11" s="62" t="str">
        <f>'CurPol_industry_final_energ (2)'!B45</f>
        <v>South Korea</v>
      </c>
      <c r="N11" s="62" t="str">
        <f>'CurPol_industry_final_energ (2)'!C45</f>
        <v>other industrial energy use</v>
      </c>
      <c r="O11" s="62" t="str">
        <f>'CurPol_industry_final_energ (2)'!D45</f>
        <v>biomass</v>
      </c>
      <c r="P11" s="62" t="str">
        <f>'CurPol_industry_final_energ (2)'!E45</f>
        <v>delivered biomass</v>
      </c>
      <c r="Q11" s="62" t="str">
        <f>'CurPol_industry_final_energ (2)'!F45</f>
        <v>biomass</v>
      </c>
      <c r="AE11" s="62" t="str">
        <f>NZ2050_industry_final_energy!D69</f>
        <v>NZ2050,date=2022-3-7T01:15:47-015:00</v>
      </c>
      <c r="AF11" s="62" t="str">
        <f>NZ2050_industry_final_energy!E69</f>
        <v>South Korea</v>
      </c>
      <c r="AG11" s="62" t="str">
        <f>NZ2050_industry_final_energy!F69</f>
        <v>other industrial energy use</v>
      </c>
      <c r="AH11" s="62" t="str">
        <f>NZ2050_industry_final_energy!G69</f>
        <v>biomass</v>
      </c>
      <c r="AI11" s="62" t="str">
        <f>NZ2050_industry_final_energy!H69</f>
        <v>delivered biomass</v>
      </c>
      <c r="AJ11" s="62" t="str">
        <f>NZ2050_industry_final_energy!I69</f>
        <v>biomass</v>
      </c>
    </row>
    <row r="12" spans="1:47">
      <c r="L12" s="62" t="str">
        <f>'CurPol_industry_final_energ (2)'!A46</f>
        <v>CurPol,date=2022-3-7T01:16:15-015:00</v>
      </c>
      <c r="M12" s="62" t="str">
        <f>'CurPol_industry_final_energ (2)'!B46</f>
        <v>South Korea</v>
      </c>
      <c r="N12" s="62" t="str">
        <f>'CurPol_industry_final_energ (2)'!C46</f>
        <v>other industrial energy use</v>
      </c>
      <c r="O12" s="62" t="str">
        <f>'CurPol_industry_final_energ (2)'!D46</f>
        <v>biomass</v>
      </c>
      <c r="P12" s="62" t="str">
        <f>'CurPol_industry_final_energ (2)'!E46</f>
        <v>delivered biomass</v>
      </c>
      <c r="Q12" s="62" t="str">
        <f>'CurPol_industry_final_energ (2)'!F46</f>
        <v>biomass cogen</v>
      </c>
      <c r="AE12" s="62" t="str">
        <f>NZ2050_industry_final_energy!D70</f>
        <v>NZ2050,date=2022-3-7T01:15:47-015:00</v>
      </c>
      <c r="AF12" s="62" t="str">
        <f>NZ2050_industry_final_energy!E70</f>
        <v>South Korea</v>
      </c>
      <c r="AG12" s="62" t="str">
        <f>NZ2050_industry_final_energy!F70</f>
        <v>other industrial energy use</v>
      </c>
      <c r="AH12" s="62" t="str">
        <f>NZ2050_industry_final_energy!G70</f>
        <v>biomass</v>
      </c>
      <c r="AI12" s="62" t="str">
        <f>NZ2050_industry_final_energy!H70</f>
        <v>delivered biomass</v>
      </c>
      <c r="AJ12" s="62" t="str">
        <f>NZ2050_industry_final_energy!I70</f>
        <v>biomass cogen</v>
      </c>
    </row>
    <row r="13" spans="1:47">
      <c r="L13" s="62" t="str">
        <f>'CurPol_industry_final_energ (2)'!A47</f>
        <v>CurPol,date=2022-3-7T01:16:15-015:00</v>
      </c>
      <c r="M13" s="62" t="str">
        <f>'CurPol_industry_final_energ (2)'!B47</f>
        <v>South Korea</v>
      </c>
      <c r="N13" s="62" t="str">
        <f>'CurPol_industry_final_energ (2)'!C47</f>
        <v>other industrial energy use</v>
      </c>
      <c r="O13" s="62" t="str">
        <f>'CurPol_industry_final_energ (2)'!D47</f>
        <v>coal</v>
      </c>
      <c r="P13" s="62" t="str">
        <f>'CurPol_industry_final_energ (2)'!E47</f>
        <v>delivered coal</v>
      </c>
      <c r="Q13" s="62" t="str">
        <f>'CurPol_industry_final_energ (2)'!F47</f>
        <v>coal</v>
      </c>
      <c r="AE13" s="62" t="str">
        <f>NZ2050_industry_final_energy!D71</f>
        <v>NZ2050,date=2022-3-7T01:15:47-015:00</v>
      </c>
      <c r="AF13" s="62" t="str">
        <f>NZ2050_industry_final_energy!E71</f>
        <v>South Korea</v>
      </c>
      <c r="AG13" s="62" t="str">
        <f>NZ2050_industry_final_energy!F71</f>
        <v>other industrial energy use</v>
      </c>
      <c r="AH13" s="62" t="str">
        <f>NZ2050_industry_final_energy!G71</f>
        <v>coal</v>
      </c>
      <c r="AI13" s="62" t="str">
        <f>NZ2050_industry_final_energy!H71</f>
        <v>delivered coal</v>
      </c>
      <c r="AJ13" s="62" t="str">
        <f>NZ2050_industry_final_energy!I71</f>
        <v>coal</v>
      </c>
    </row>
    <row r="14" spans="1:47">
      <c r="L14" s="62" t="str">
        <f>'CurPol_industry_final_energ (2)'!A48</f>
        <v>CurPol,date=2022-3-7T01:16:15-015:00</v>
      </c>
      <c r="M14" s="62" t="str">
        <f>'CurPol_industry_final_energ (2)'!B48</f>
        <v>South Korea</v>
      </c>
      <c r="N14" s="62" t="str">
        <f>'CurPol_industry_final_energ (2)'!C48</f>
        <v>other industrial energy use</v>
      </c>
      <c r="O14" s="62" t="str">
        <f>'CurPol_industry_final_energ (2)'!D48</f>
        <v>coal</v>
      </c>
      <c r="P14" s="62" t="str">
        <f>'CurPol_industry_final_energ (2)'!E48</f>
        <v>delivered coal</v>
      </c>
      <c r="Q14" s="62" t="str">
        <f>'CurPol_industry_final_energ (2)'!F48</f>
        <v>coal cogen</v>
      </c>
      <c r="AE14" s="62" t="str">
        <f>NZ2050_industry_final_energy!D72</f>
        <v>NZ2050,date=2022-3-7T01:15:47-015:00</v>
      </c>
      <c r="AF14" s="62" t="str">
        <f>NZ2050_industry_final_energy!E72</f>
        <v>South Korea</v>
      </c>
      <c r="AG14" s="62" t="str">
        <f>NZ2050_industry_final_energy!F72</f>
        <v>other industrial energy use</v>
      </c>
      <c r="AH14" s="62" t="str">
        <f>NZ2050_industry_final_energy!G72</f>
        <v>coal</v>
      </c>
      <c r="AI14" s="62" t="str">
        <f>NZ2050_industry_final_energy!H72</f>
        <v>delivered coal</v>
      </c>
      <c r="AJ14" s="62" t="str">
        <f>NZ2050_industry_final_energy!I72</f>
        <v>coal cogen</v>
      </c>
    </row>
    <row r="15" spans="1:47">
      <c r="L15" s="62" t="str">
        <f>'CurPol_industry_final_energ (2)'!A49</f>
        <v>CurPol,date=2022-3-7T01:16:15-015:00</v>
      </c>
      <c r="M15" s="62" t="str">
        <f>'CurPol_industry_final_energ (2)'!B49</f>
        <v>South Korea</v>
      </c>
      <c r="N15" s="62" t="str">
        <f>'CurPol_industry_final_energ (2)'!C49</f>
        <v>other industrial energy use</v>
      </c>
      <c r="O15" s="62" t="str">
        <f>'CurPol_industry_final_energ (2)'!D49</f>
        <v>electricity</v>
      </c>
      <c r="P15" s="62" t="str">
        <f>'CurPol_industry_final_energ (2)'!E49</f>
        <v>elect_td_ind</v>
      </c>
      <c r="Q15" s="62" t="str">
        <f>'CurPol_industry_final_energ (2)'!F49</f>
        <v>electricity</v>
      </c>
      <c r="AE15" s="62" t="str">
        <f>NZ2050_industry_final_energy!D73</f>
        <v>NZ2050,date=2022-3-7T01:15:47-015:00</v>
      </c>
      <c r="AF15" s="62" t="str">
        <f>NZ2050_industry_final_energy!E73</f>
        <v>South Korea</v>
      </c>
      <c r="AG15" s="62" t="str">
        <f>NZ2050_industry_final_energy!F73</f>
        <v>other industrial energy use</v>
      </c>
      <c r="AH15" s="62" t="str">
        <f>NZ2050_industry_final_energy!G73</f>
        <v>electricity</v>
      </c>
      <c r="AI15" s="62" t="str">
        <f>NZ2050_industry_final_energy!H73</f>
        <v>elect_td_ind</v>
      </c>
      <c r="AJ15" s="62" t="str">
        <f>NZ2050_industry_final_energy!I73</f>
        <v>electricity</v>
      </c>
    </row>
    <row r="16" spans="1:47">
      <c r="L16" s="62" t="str">
        <f>'CurPol_industry_final_energ (2)'!A50</f>
        <v>CurPol,date=2022-3-7T01:16:15-015:00</v>
      </c>
      <c r="M16" s="62" t="str">
        <f>'CurPol_industry_final_energ (2)'!B50</f>
        <v>South Korea</v>
      </c>
      <c r="N16" s="62" t="str">
        <f>'CurPol_industry_final_energ (2)'!C50</f>
        <v>other industrial energy use</v>
      </c>
      <c r="O16" s="62" t="str">
        <f>'CurPol_industry_final_energ (2)'!D50</f>
        <v>gas</v>
      </c>
      <c r="P16" s="62" t="str">
        <f>'CurPol_industry_final_energ (2)'!E50</f>
        <v>wholesale gas</v>
      </c>
      <c r="Q16" s="62" t="str">
        <f>'CurPol_industry_final_energ (2)'!F50</f>
        <v>gas</v>
      </c>
      <c r="AE16" s="62" t="str">
        <f>NZ2050_industry_final_energy!D74</f>
        <v>NZ2050,date=2022-3-7T01:15:47-015:00</v>
      </c>
      <c r="AF16" s="62" t="str">
        <f>NZ2050_industry_final_energy!E74</f>
        <v>South Korea</v>
      </c>
      <c r="AG16" s="62" t="str">
        <f>NZ2050_industry_final_energy!F74</f>
        <v>other industrial energy use</v>
      </c>
      <c r="AH16" s="62" t="str">
        <f>NZ2050_industry_final_energy!G74</f>
        <v>gas</v>
      </c>
      <c r="AI16" s="62" t="str">
        <f>NZ2050_industry_final_energy!H74</f>
        <v>wholesale gas</v>
      </c>
      <c r="AJ16" s="62" t="str">
        <f>NZ2050_industry_final_energy!I74</f>
        <v>gas</v>
      </c>
    </row>
    <row r="17" spans="4:36">
      <c r="L17" s="62" t="str">
        <f>'CurPol_industry_final_energ (2)'!A51</f>
        <v>CurPol,date=2022-3-7T01:16:15-015:00</v>
      </c>
      <c r="M17" s="62" t="str">
        <f>'CurPol_industry_final_energ (2)'!B51</f>
        <v>South Korea</v>
      </c>
      <c r="N17" s="62" t="str">
        <f>'CurPol_industry_final_energ (2)'!C51</f>
        <v>other industrial energy use</v>
      </c>
      <c r="O17" s="62" t="str">
        <f>'CurPol_industry_final_energ (2)'!D51</f>
        <v>gas</v>
      </c>
      <c r="P17" s="62" t="str">
        <f>'CurPol_industry_final_energ (2)'!E51</f>
        <v>wholesale gas</v>
      </c>
      <c r="Q17" s="62" t="str">
        <f>'CurPol_industry_final_energ (2)'!F51</f>
        <v>gas cogen</v>
      </c>
      <c r="AE17" s="62" t="str">
        <f>NZ2050_industry_final_energy!D75</f>
        <v>NZ2050,date=2022-3-7T01:15:47-015:00</v>
      </c>
      <c r="AF17" s="62" t="str">
        <f>NZ2050_industry_final_energy!E75</f>
        <v>South Korea</v>
      </c>
      <c r="AG17" s="62" t="str">
        <f>NZ2050_industry_final_energy!F75</f>
        <v>other industrial energy use</v>
      </c>
      <c r="AH17" s="62" t="str">
        <f>NZ2050_industry_final_energy!G75</f>
        <v>gas</v>
      </c>
      <c r="AI17" s="62" t="str">
        <f>NZ2050_industry_final_energy!H75</f>
        <v>wholesale gas</v>
      </c>
      <c r="AJ17" s="62" t="str">
        <f>NZ2050_industry_final_energy!I75</f>
        <v>gas cogen</v>
      </c>
    </row>
    <row r="18" spans="4:36">
      <c r="L18" s="62" t="str">
        <f>'CurPol_industry_final_energ (2)'!A52</f>
        <v>CurPol,date=2022-3-7T01:16:15-015:00</v>
      </c>
      <c r="M18" s="62" t="str">
        <f>'CurPol_industry_final_energ (2)'!B52</f>
        <v>South Korea</v>
      </c>
      <c r="N18" s="62" t="str">
        <f>'CurPol_industry_final_energ (2)'!C52</f>
        <v>other industrial energy use</v>
      </c>
      <c r="O18" s="62" t="str">
        <f>'CurPol_industry_final_energ (2)'!D52</f>
        <v>hydrogen</v>
      </c>
      <c r="P18" s="62" t="str">
        <f>'CurPol_industry_final_energ (2)'!E52</f>
        <v>H2 enduse</v>
      </c>
      <c r="Q18" s="62" t="str">
        <f>'CurPol_industry_final_energ (2)'!F52</f>
        <v>hydrogen</v>
      </c>
      <c r="AE18" s="62" t="str">
        <f>NZ2050_industry_final_energy!D76</f>
        <v>NZ2050,date=2022-3-7T01:15:47-015:00</v>
      </c>
      <c r="AF18" s="62" t="str">
        <f>NZ2050_industry_final_energy!E76</f>
        <v>South Korea</v>
      </c>
      <c r="AG18" s="62" t="str">
        <f>NZ2050_industry_final_energy!F76</f>
        <v>other industrial energy use</v>
      </c>
      <c r="AH18" s="62" t="str">
        <f>NZ2050_industry_final_energy!G76</f>
        <v>hydrogen</v>
      </c>
      <c r="AI18" s="62" t="str">
        <f>NZ2050_industry_final_energy!H76</f>
        <v>H2 enduse</v>
      </c>
      <c r="AJ18" s="62" t="str">
        <f>NZ2050_industry_final_energy!I76</f>
        <v>hydrogen</v>
      </c>
    </row>
    <row r="19" spans="4:36">
      <c r="D19" s="1" t="s">
        <v>74</v>
      </c>
      <c r="L19" s="62" t="str">
        <f>'CurPol_industry_final_energ (2)'!A53</f>
        <v>CurPol,date=2022-3-7T01:16:15-015:00</v>
      </c>
      <c r="M19" s="62" t="str">
        <f>'CurPol_industry_final_energ (2)'!B53</f>
        <v>South Korea</v>
      </c>
      <c r="N19" s="62" t="str">
        <f>'CurPol_industry_final_energ (2)'!C53</f>
        <v>other industrial energy use</v>
      </c>
      <c r="O19" s="62" t="str">
        <f>'CurPol_industry_final_energ (2)'!D53</f>
        <v>hydrogen</v>
      </c>
      <c r="P19" s="62" t="str">
        <f>'CurPol_industry_final_energ (2)'!E53</f>
        <v>H2 enduse</v>
      </c>
      <c r="Q19" s="62" t="str">
        <f>'CurPol_industry_final_energ (2)'!F53</f>
        <v>hydrogen cogen</v>
      </c>
      <c r="AE19" s="62" t="str">
        <f>NZ2050_industry_final_energy!D77</f>
        <v>NZ2050,date=2022-3-7T01:15:47-015:00</v>
      </c>
      <c r="AF19" s="62" t="str">
        <f>NZ2050_industry_final_energy!E77</f>
        <v>South Korea</v>
      </c>
      <c r="AG19" s="62" t="str">
        <f>NZ2050_industry_final_energy!F77</f>
        <v>other industrial energy use</v>
      </c>
      <c r="AH19" s="62" t="str">
        <f>NZ2050_industry_final_energy!G77</f>
        <v>hydrogen</v>
      </c>
      <c r="AI19" s="62" t="str">
        <f>NZ2050_industry_final_energy!H77</f>
        <v>H2 enduse</v>
      </c>
      <c r="AJ19" s="62" t="str">
        <f>NZ2050_industry_final_energy!I77</f>
        <v>hydrogen cogen</v>
      </c>
    </row>
    <row r="20" spans="4:36">
      <c r="E20" s="62">
        <v>2005</v>
      </c>
      <c r="F20" s="62">
        <v>2010</v>
      </c>
      <c r="G20" s="62">
        <v>2015</v>
      </c>
      <c r="L20" s="62" t="str">
        <f>'CurPol_industry_final_energ (2)'!A54</f>
        <v>CurPol,date=2022-3-7T01:16:15-015:00</v>
      </c>
      <c r="M20" s="62" t="str">
        <f>'CurPol_industry_final_energ (2)'!B54</f>
        <v>South Korea</v>
      </c>
      <c r="N20" s="62" t="str">
        <f>'CurPol_industry_final_energ (2)'!C54</f>
        <v>other industrial energy use</v>
      </c>
      <c r="O20" s="62" t="str">
        <f>'CurPol_industry_final_energ (2)'!D54</f>
        <v>refined liquids</v>
      </c>
      <c r="P20" s="62" t="str">
        <f>'CurPol_industry_final_energ (2)'!E54</f>
        <v>refined liquids industrial</v>
      </c>
      <c r="Q20" s="62" t="str">
        <f>'CurPol_industry_final_energ (2)'!F54</f>
        <v>refined liquids</v>
      </c>
      <c r="AE20" s="62" t="str">
        <f>NZ2050_industry_final_energy!D78</f>
        <v>NZ2050,date=2022-3-7T01:15:47-015:00</v>
      </c>
      <c r="AF20" s="62" t="str">
        <f>NZ2050_industry_final_energy!E78</f>
        <v>South Korea</v>
      </c>
      <c r="AG20" s="62" t="str">
        <f>NZ2050_industry_final_energy!F78</f>
        <v>other industrial energy use</v>
      </c>
      <c r="AH20" s="62" t="str">
        <f>NZ2050_industry_final_energy!G78</f>
        <v>refined liquids</v>
      </c>
      <c r="AI20" s="62" t="str">
        <f>NZ2050_industry_final_energy!H78</f>
        <v>refined liquids industrial</v>
      </c>
      <c r="AJ20" s="62" t="str">
        <f>NZ2050_industry_final_energy!I78</f>
        <v>refined liquids</v>
      </c>
    </row>
    <row r="21" spans="4:36">
      <c r="D21" s="62" t="s">
        <v>12</v>
      </c>
      <c r="L21" s="62" t="str">
        <f>'CurPol_industry_final_energ (2)'!A55</f>
        <v>CurPol,date=2022-3-7T01:16:15-015:00</v>
      </c>
      <c r="M21" s="62" t="str">
        <f>'CurPol_industry_final_energ (2)'!B55</f>
        <v>South Korea</v>
      </c>
      <c r="N21" s="62" t="str">
        <f>'CurPol_industry_final_energ (2)'!C55</f>
        <v>other industrial energy use</v>
      </c>
      <c r="O21" s="62" t="str">
        <f>'CurPol_industry_final_energ (2)'!D55</f>
        <v>refined liquids</v>
      </c>
      <c r="P21" s="62" t="str">
        <f>'CurPol_industry_final_energ (2)'!E55</f>
        <v>refined liquids industrial</v>
      </c>
      <c r="Q21" s="62" t="str">
        <f>'CurPol_industry_final_energ (2)'!F55</f>
        <v>refined liquids cogen</v>
      </c>
      <c r="AE21" s="62" t="str">
        <f>NZ2050_industry_final_energy!D79</f>
        <v>NZ2050,date=2022-3-7T01:15:47-015:00</v>
      </c>
      <c r="AF21" s="62" t="str">
        <f>NZ2050_industry_final_energy!E79</f>
        <v>South Korea</v>
      </c>
      <c r="AG21" s="62" t="str">
        <f>NZ2050_industry_final_energy!F79</f>
        <v>other industrial energy use</v>
      </c>
      <c r="AH21" s="62" t="str">
        <f>NZ2050_industry_final_energy!G79</f>
        <v>refined liquids</v>
      </c>
      <c r="AI21" s="62" t="str">
        <f>NZ2050_industry_final_energy!H79</f>
        <v>refined liquids industrial</v>
      </c>
      <c r="AJ21" s="62" t="str">
        <f>NZ2050_industry_final_energy!I79</f>
        <v>refined liquids cogen</v>
      </c>
    </row>
    <row r="22" spans="4:36">
      <c r="D22" s="62" t="s">
        <v>17</v>
      </c>
      <c r="L22" s="62" t="str">
        <f>'CurPol_industry_final_energ (2)'!A56</f>
        <v>CurPol,date=2022-3-7T01:16:15-015:00</v>
      </c>
      <c r="M22" s="62" t="str">
        <f>'CurPol_industry_final_energ (2)'!B56</f>
        <v>South Korea</v>
      </c>
      <c r="N22" s="62" t="str">
        <f>'CurPol_industry_final_energ (2)'!C56</f>
        <v>other industrial feedstocks</v>
      </c>
      <c r="O22" s="62" t="str">
        <f>'CurPol_industry_final_energ (2)'!D56</f>
        <v>refined liquids</v>
      </c>
      <c r="P22" s="62" t="str">
        <f>'CurPol_industry_final_energ (2)'!E56</f>
        <v>refined liquids industrial</v>
      </c>
      <c r="Q22" s="62" t="str">
        <f>'CurPol_industry_final_energ (2)'!F56</f>
        <v>refined liquids</v>
      </c>
      <c r="AE22" s="62" t="str">
        <f>NZ2050_industry_final_energy!D80</f>
        <v>NZ2050,date=2022-3-7T01:15:47-015:00</v>
      </c>
      <c r="AF22" s="62" t="str">
        <f>NZ2050_industry_final_energy!E80</f>
        <v>South Korea</v>
      </c>
      <c r="AG22" s="62" t="str">
        <f>NZ2050_industry_final_energy!F80</f>
        <v>other industrial feedstocks</v>
      </c>
      <c r="AH22" s="62" t="str">
        <f>NZ2050_industry_final_energy!G80</f>
        <v>refined liquids</v>
      </c>
      <c r="AI22" s="62" t="str">
        <f>NZ2050_industry_final_energy!H80</f>
        <v>refined liquids industrial</v>
      </c>
      <c r="AJ22" s="62" t="str">
        <f>NZ2050_industry_final_energy!I80</f>
        <v>refined liquids</v>
      </c>
    </row>
    <row r="23" spans="4:36">
      <c r="D23" s="62" t="s">
        <v>13</v>
      </c>
    </row>
    <row r="24" spans="4:36">
      <c r="D24" s="62" t="s">
        <v>15</v>
      </c>
      <c r="L24" s="62" t="str">
        <f>'CurPol_industry_final_energ (2)'!A3</f>
        <v>CurPol,date=2022-3-7T01:16:15-015:00</v>
      </c>
      <c r="M24" s="62" t="str">
        <f>'CurPol_industry_final_energ (2)'!B3</f>
        <v>South Korea</v>
      </c>
      <c r="N24" s="62" t="str">
        <f>'CurPol_industry_final_energ (2)'!C3</f>
        <v>N fertilizer</v>
      </c>
      <c r="O24" s="62" t="str">
        <f>'CurPol_industry_final_energ (2)'!D3</f>
        <v>gas</v>
      </c>
      <c r="P24" s="62" t="str">
        <f>'CurPol_industry_final_energ (2)'!E3</f>
        <v>wholesale gas</v>
      </c>
      <c r="Q24" s="62" t="str">
        <f>'CurPol_industry_final_energ (2)'!F3</f>
        <v>gas</v>
      </c>
      <c r="AE24" s="62" t="str">
        <f>NZ2050_industry_final_energy!D3</f>
        <v>NZ2050,date=2022-3-7T01:15:47-015:00</v>
      </c>
      <c r="AF24" s="62" t="str">
        <f>NZ2050_industry_final_energy!E3</f>
        <v>South Korea</v>
      </c>
      <c r="AG24" s="62" t="str">
        <f>NZ2050_industry_final_energy!F3</f>
        <v>N fertilizer</v>
      </c>
      <c r="AH24" s="62" t="str">
        <f>NZ2050_industry_final_energy!G3</f>
        <v>gas</v>
      </c>
      <c r="AI24" s="62" t="str">
        <f>NZ2050_industry_final_energy!H3</f>
        <v>wholesale gas</v>
      </c>
      <c r="AJ24" s="62" t="str">
        <f>NZ2050_industry_final_energy!I3</f>
        <v>gas</v>
      </c>
    </row>
    <row r="25" spans="4:36">
      <c r="D25" s="62" t="s">
        <v>14</v>
      </c>
      <c r="L25" s="62" t="str">
        <f>'CurPol_industry_final_energ (2)'!A4</f>
        <v>CurPol,date=2022-3-7T01:16:15-015:00</v>
      </c>
      <c r="M25" s="62" t="str">
        <f>'CurPol_industry_final_energ (2)'!B4</f>
        <v>South Korea</v>
      </c>
      <c r="N25" s="62" t="str">
        <f>'CurPol_industry_final_energ (2)'!C4</f>
        <v>N fertilizer</v>
      </c>
      <c r="O25" s="62" t="str">
        <f>'CurPol_industry_final_energ (2)'!D4</f>
        <v>refined liquids</v>
      </c>
      <c r="P25" s="62" t="str">
        <f>'CurPol_industry_final_energ (2)'!E4</f>
        <v>refined liquids industrial</v>
      </c>
      <c r="Q25" s="62" t="str">
        <f>'CurPol_industry_final_energ (2)'!F4</f>
        <v>refined liquids</v>
      </c>
      <c r="AE25" s="62" t="str">
        <f>NZ2050_industry_final_energy!D4</f>
        <v>NZ2050,date=2022-3-7T01:15:47-015:00</v>
      </c>
      <c r="AF25" s="62" t="str">
        <f>NZ2050_industry_final_energy!E4</f>
        <v>South Korea</v>
      </c>
      <c r="AG25" s="62" t="str">
        <f>NZ2050_industry_final_energy!F4</f>
        <v>N fertilizer</v>
      </c>
      <c r="AH25" s="62" t="str">
        <f>NZ2050_industry_final_energy!G4</f>
        <v>gas</v>
      </c>
      <c r="AI25" s="62" t="str">
        <f>NZ2050_industry_final_energy!H4</f>
        <v>wholesale gas</v>
      </c>
      <c r="AJ25" s="62" t="str">
        <f>NZ2050_industry_final_energy!I4</f>
        <v>gas CCS</v>
      </c>
    </row>
    <row r="26" spans="4:36">
      <c r="D26" s="62" t="s">
        <v>30</v>
      </c>
      <c r="AE26" s="62" t="str">
        <f>NZ2050_industry_final_energy!D5</f>
        <v>NZ2050,date=2022-3-7T01:15:47-015:00</v>
      </c>
      <c r="AF26" s="62" t="str">
        <f>NZ2050_industry_final_energy!E5</f>
        <v>South Korea</v>
      </c>
      <c r="AG26" s="62" t="str">
        <f>NZ2050_industry_final_energy!F5</f>
        <v>N fertilizer</v>
      </c>
      <c r="AH26" s="62" t="str">
        <f>NZ2050_industry_final_energy!G5</f>
        <v>refined liquids</v>
      </c>
      <c r="AI26" s="62" t="str">
        <f>NZ2050_industry_final_energy!H5</f>
        <v>refined liquids industrial</v>
      </c>
      <c r="AJ26" s="62" t="str">
        <f>NZ2050_industry_final_energy!I5</f>
        <v>refined liquids</v>
      </c>
    </row>
    <row r="27" spans="4:36">
      <c r="D27" s="62" t="s">
        <v>16</v>
      </c>
      <c r="L27" s="62" t="str">
        <f>'CurPol_industry_final_energ (2)'!A5</f>
        <v>CurPol,date=2022-3-7T01:16:15-015:00</v>
      </c>
      <c r="M27" s="62" t="str">
        <f>'CurPol_industry_final_energ (2)'!B5</f>
        <v>South Korea</v>
      </c>
      <c r="N27" s="62" t="str">
        <f>'CurPol_industry_final_energ (2)'!C5</f>
        <v>agricultural energy use</v>
      </c>
      <c r="O27" s="62" t="str">
        <f>'CurPol_industry_final_energ (2)'!D5</f>
        <v>biomass</v>
      </c>
      <c r="P27" s="62" t="str">
        <f>'CurPol_industry_final_energ (2)'!E5</f>
        <v>delivered biomass</v>
      </c>
      <c r="Q27" s="62" t="str">
        <f>'CurPol_industry_final_energ (2)'!F5</f>
        <v>biomass</v>
      </c>
      <c r="AE27" s="62" t="str">
        <f>NZ2050_industry_final_energy!D6</f>
        <v>NZ2050,date=2022-3-7T01:15:47-015:00</v>
      </c>
      <c r="AF27" s="62" t="str">
        <f>NZ2050_industry_final_energy!E6</f>
        <v>South Korea</v>
      </c>
      <c r="AG27" s="62" t="str">
        <f>NZ2050_industry_final_energy!F6</f>
        <v>agricultural energy use</v>
      </c>
      <c r="AH27" s="62" t="str">
        <f>NZ2050_industry_final_energy!G6</f>
        <v>biomass</v>
      </c>
      <c r="AI27" s="62" t="str">
        <f>NZ2050_industry_final_energy!H6</f>
        <v>delivered biomass</v>
      </c>
      <c r="AJ27" s="62" t="str">
        <f>NZ2050_industry_final_energy!I6</f>
        <v>biomass</v>
      </c>
    </row>
    <row r="28" spans="4:36">
      <c r="D28" s="62" t="s">
        <v>31</v>
      </c>
      <c r="L28" s="62" t="str">
        <f>'CurPol_industry_final_energ (2)'!A6</f>
        <v>CurPol,date=2022-3-7T01:16:15-015:00</v>
      </c>
      <c r="M28" s="62" t="str">
        <f>'CurPol_industry_final_energ (2)'!B6</f>
        <v>South Korea</v>
      </c>
      <c r="N28" s="62" t="str">
        <f>'CurPol_industry_final_energ (2)'!C6</f>
        <v>agricultural energy use</v>
      </c>
      <c r="O28" s="62" t="str">
        <f>'CurPol_industry_final_energ (2)'!D6</f>
        <v>electricity</v>
      </c>
      <c r="P28" s="62" t="str">
        <f>'CurPol_industry_final_energ (2)'!E6</f>
        <v>elect_td_ind</v>
      </c>
      <c r="Q28" s="62" t="str">
        <f>'CurPol_industry_final_energ (2)'!F6</f>
        <v>electricity</v>
      </c>
      <c r="AE28" s="62" t="str">
        <f>NZ2050_industry_final_energy!D7</f>
        <v>NZ2050,date=2022-3-7T01:15:47-015:00</v>
      </c>
      <c r="AF28" s="62" t="str">
        <f>NZ2050_industry_final_energy!E7</f>
        <v>South Korea</v>
      </c>
      <c r="AG28" s="62" t="str">
        <f>NZ2050_industry_final_energy!F7</f>
        <v>agricultural energy use</v>
      </c>
      <c r="AH28" s="62" t="str">
        <f>NZ2050_industry_final_energy!G7</f>
        <v>electricity</v>
      </c>
      <c r="AI28" s="62" t="str">
        <f>NZ2050_industry_final_energy!H7</f>
        <v>elect_td_ind</v>
      </c>
      <c r="AJ28" s="62" t="str">
        <f>NZ2050_industry_final_energy!I7</f>
        <v>electricity</v>
      </c>
    </row>
    <row r="29" spans="4:36">
      <c r="L29" s="62" t="str">
        <f>'CurPol_industry_final_energ (2)'!A7</f>
        <v>CurPol,date=2022-3-7T01:16:15-015:00</v>
      </c>
      <c r="M29" s="62" t="str">
        <f>'CurPol_industry_final_energ (2)'!B7</f>
        <v>South Korea</v>
      </c>
      <c r="N29" s="62" t="str">
        <f>'CurPol_industry_final_energ (2)'!C7</f>
        <v>agricultural energy use</v>
      </c>
      <c r="O29" s="62" t="str">
        <f>'CurPol_industry_final_energ (2)'!D7</f>
        <v>gas</v>
      </c>
      <c r="P29" s="62" t="str">
        <f>'CurPol_industry_final_energ (2)'!E7</f>
        <v>wholesale gas</v>
      </c>
      <c r="Q29" s="62" t="str">
        <f>'CurPol_industry_final_energ (2)'!F7</f>
        <v>gas</v>
      </c>
      <c r="AE29" s="62" t="str">
        <f>NZ2050_industry_final_energy!D8</f>
        <v>NZ2050,date=2022-3-7T01:15:47-015:00</v>
      </c>
      <c r="AF29" s="62" t="str">
        <f>NZ2050_industry_final_energy!E8</f>
        <v>South Korea</v>
      </c>
      <c r="AG29" s="62" t="str">
        <f>NZ2050_industry_final_energy!F8</f>
        <v>agricultural energy use</v>
      </c>
      <c r="AH29" s="62" t="str">
        <f>NZ2050_industry_final_energy!G8</f>
        <v>gas</v>
      </c>
      <c r="AI29" s="62" t="str">
        <f>NZ2050_industry_final_energy!H8</f>
        <v>wholesale gas</v>
      </c>
      <c r="AJ29" s="62" t="str">
        <f>NZ2050_industry_final_energy!I8</f>
        <v>gas</v>
      </c>
    </row>
    <row r="30" spans="4:36">
      <c r="D30" s="62" t="s">
        <v>75</v>
      </c>
      <c r="L30" s="62" t="str">
        <f>'CurPol_industry_final_energ (2)'!A8</f>
        <v>CurPol,date=2022-3-7T01:16:15-015:00</v>
      </c>
      <c r="M30" s="62" t="str">
        <f>'CurPol_industry_final_energ (2)'!B8</f>
        <v>South Korea</v>
      </c>
      <c r="N30" s="62" t="str">
        <f>'CurPol_industry_final_energ (2)'!C8</f>
        <v>agricultural energy use</v>
      </c>
      <c r="O30" s="62" t="str">
        <f>'CurPol_industry_final_energ (2)'!D8</f>
        <v>hydrogen</v>
      </c>
      <c r="P30" s="62" t="str">
        <f>'CurPol_industry_final_energ (2)'!E8</f>
        <v>H2 enduse</v>
      </c>
      <c r="Q30" s="62" t="str">
        <f>'CurPol_industry_final_energ (2)'!F8</f>
        <v>hydrogen</v>
      </c>
      <c r="AE30" s="62" t="str">
        <f>NZ2050_industry_final_energy!D9</f>
        <v>NZ2050,date=2022-3-7T01:15:47-015:00</v>
      </c>
      <c r="AF30" s="62" t="str">
        <f>NZ2050_industry_final_energy!E9</f>
        <v>South Korea</v>
      </c>
      <c r="AG30" s="62" t="str">
        <f>NZ2050_industry_final_energy!F9</f>
        <v>agricultural energy use</v>
      </c>
      <c r="AH30" s="62" t="str">
        <f>NZ2050_industry_final_energy!G9</f>
        <v>hydrogen</v>
      </c>
      <c r="AI30" s="62" t="str">
        <f>NZ2050_industry_final_energy!H9</f>
        <v>H2 enduse</v>
      </c>
      <c r="AJ30" s="62" t="str">
        <f>NZ2050_industry_final_energy!I9</f>
        <v>hydrogen</v>
      </c>
    </row>
    <row r="31" spans="4:36">
      <c r="L31" s="62" t="str">
        <f>'CurPol_industry_final_energ (2)'!A9</f>
        <v>CurPol,date=2022-3-7T01:16:15-015:00</v>
      </c>
      <c r="M31" s="62" t="str">
        <f>'CurPol_industry_final_energ (2)'!B9</f>
        <v>South Korea</v>
      </c>
      <c r="N31" s="62" t="str">
        <f>'CurPol_industry_final_energ (2)'!C9</f>
        <v>agricultural energy use</v>
      </c>
      <c r="O31" s="62" t="str">
        <f>'CurPol_industry_final_energ (2)'!D9</f>
        <v>refined liquids</v>
      </c>
      <c r="P31" s="62" t="str">
        <f>'CurPol_industry_final_energ (2)'!E9</f>
        <v>refined liquids industrial</v>
      </c>
      <c r="Q31" s="62" t="str">
        <f>'CurPol_industry_final_energ (2)'!F9</f>
        <v>refined liquids</v>
      </c>
      <c r="AE31" s="62" t="str">
        <f>NZ2050_industry_final_energy!D10</f>
        <v>NZ2050,date=2022-3-7T01:15:47-015:00</v>
      </c>
      <c r="AF31" s="62" t="str">
        <f>NZ2050_industry_final_energy!E10</f>
        <v>South Korea</v>
      </c>
      <c r="AG31" s="62" t="str">
        <f>NZ2050_industry_final_energy!F10</f>
        <v>agricultural energy use</v>
      </c>
      <c r="AH31" s="62" t="str">
        <f>NZ2050_industry_final_energy!G10</f>
        <v>refined liquids</v>
      </c>
      <c r="AI31" s="62" t="str">
        <f>NZ2050_industry_final_energy!H10</f>
        <v>refined liquids industrial</v>
      </c>
      <c r="AJ31" s="62" t="str">
        <f>NZ2050_industry_final_energy!I10</f>
        <v>refined liquids</v>
      </c>
    </row>
    <row r="33" spans="12:47">
      <c r="L33" s="62" t="str">
        <f>'CurPol_industry_final_energ (2)'!A42</f>
        <v>CurPol,date=2022-3-7T01:16:15-015:00</v>
      </c>
      <c r="M33" s="62" t="str">
        <f>'CurPol_industry_final_energ (2)'!B42</f>
        <v>South Korea</v>
      </c>
      <c r="N33" s="62" t="str">
        <f>'CurPol_industry_final_energ (2)'!C42</f>
        <v>mining energy use</v>
      </c>
      <c r="O33" s="62" t="str">
        <f>'CurPol_industry_final_energ (2)'!D42</f>
        <v>electricity</v>
      </c>
      <c r="P33" s="62" t="str">
        <f>'CurPol_industry_final_energ (2)'!E42</f>
        <v>elect_td_ind</v>
      </c>
      <c r="Q33" s="62" t="str">
        <f>'CurPol_industry_final_energ (2)'!F42</f>
        <v>electricity</v>
      </c>
      <c r="AE33" s="62" t="str">
        <f>NZ2050_industry_final_energy!D66</f>
        <v>NZ2050,date=2022-3-7T01:15:47-015:00</v>
      </c>
      <c r="AF33" s="62" t="str">
        <f>NZ2050_industry_final_energy!E66</f>
        <v>South Korea</v>
      </c>
      <c r="AG33" s="62" t="str">
        <f>NZ2050_industry_final_energy!F66</f>
        <v>mining energy use</v>
      </c>
      <c r="AH33" s="62" t="str">
        <f>NZ2050_industry_final_energy!G66</f>
        <v>electricity</v>
      </c>
      <c r="AI33" s="62" t="str">
        <f>NZ2050_industry_final_energy!H66</f>
        <v>elect_td_ind</v>
      </c>
      <c r="AJ33" s="62" t="str">
        <f>NZ2050_industry_final_energy!I66</f>
        <v>electricity</v>
      </c>
    </row>
    <row r="34" spans="12:47">
      <c r="L34" s="62" t="str">
        <f>'CurPol_industry_final_energ (2)'!A43</f>
        <v>CurPol,date=2022-3-7T01:16:15-015:00</v>
      </c>
      <c r="M34" s="62" t="str">
        <f>'CurPol_industry_final_energ (2)'!B43</f>
        <v>South Korea</v>
      </c>
      <c r="N34" s="62" t="str">
        <f>'CurPol_industry_final_energ (2)'!C43</f>
        <v>mining energy use</v>
      </c>
      <c r="O34" s="62" t="str">
        <f>'CurPol_industry_final_energ (2)'!D43</f>
        <v>hydrogen</v>
      </c>
      <c r="P34" s="62" t="str">
        <f>'CurPol_industry_final_energ (2)'!E43</f>
        <v>H2 enduse</v>
      </c>
      <c r="Q34" s="62" t="str">
        <f>'CurPol_industry_final_energ (2)'!F43</f>
        <v>hydrogen</v>
      </c>
      <c r="AE34" s="62" t="str">
        <f>NZ2050_industry_final_energy!D67</f>
        <v>NZ2050,date=2022-3-7T01:15:47-015:00</v>
      </c>
      <c r="AF34" s="62" t="str">
        <f>NZ2050_industry_final_energy!E67</f>
        <v>South Korea</v>
      </c>
      <c r="AG34" s="62" t="str">
        <f>NZ2050_industry_final_energy!F67</f>
        <v>mining energy use</v>
      </c>
      <c r="AH34" s="62" t="str">
        <f>NZ2050_industry_final_energy!G67</f>
        <v>hydrogen</v>
      </c>
      <c r="AI34" s="62" t="str">
        <f>NZ2050_industry_final_energy!H67</f>
        <v>H2 enduse</v>
      </c>
      <c r="AJ34" s="62" t="str">
        <f>NZ2050_industry_final_energy!I67</f>
        <v>hydrogen</v>
      </c>
    </row>
    <row r="35" spans="12:47">
      <c r="L35" s="62" t="str">
        <f>'CurPol_industry_final_energ (2)'!A44</f>
        <v>CurPol,date=2022-3-7T01:16:15-015:00</v>
      </c>
      <c r="M35" s="62" t="str">
        <f>'CurPol_industry_final_energ (2)'!B44</f>
        <v>South Korea</v>
      </c>
      <c r="N35" s="62" t="str">
        <f>'CurPol_industry_final_energ (2)'!C44</f>
        <v>mining energy use</v>
      </c>
      <c r="O35" s="62" t="str">
        <f>'CurPol_industry_final_energ (2)'!D44</f>
        <v>refined liquids</v>
      </c>
      <c r="P35" s="62" t="str">
        <f>'CurPol_industry_final_energ (2)'!E44</f>
        <v>refined liquids industrial</v>
      </c>
      <c r="Q35" s="62" t="str">
        <f>'CurPol_industry_final_energ (2)'!F44</f>
        <v>refined liquids</v>
      </c>
      <c r="AE35" s="62" t="str">
        <f>NZ2050_industry_final_energy!D68</f>
        <v>NZ2050,date=2022-3-7T01:15:47-015:00</v>
      </c>
      <c r="AF35" s="62" t="str">
        <f>NZ2050_industry_final_energy!E68</f>
        <v>South Korea</v>
      </c>
      <c r="AG35" s="62" t="str">
        <f>NZ2050_industry_final_energy!F68</f>
        <v>mining energy use</v>
      </c>
      <c r="AH35" s="62" t="str">
        <f>NZ2050_industry_final_energy!G68</f>
        <v>refined liquids</v>
      </c>
      <c r="AI35" s="62" t="str">
        <f>NZ2050_industry_final_energy!H68</f>
        <v>refined liquids industrial</v>
      </c>
      <c r="AJ35" s="62" t="str">
        <f>NZ2050_industry_final_energy!I68</f>
        <v>refined liquids</v>
      </c>
    </row>
    <row r="36" spans="12:47">
      <c r="AU36" s="63"/>
    </row>
    <row r="37" spans="12:47">
      <c r="L37" s="62" t="str">
        <f>'CurPol_industry_final_energ (2)'!A10</f>
        <v>CurPol,date=2022-3-7T01:16:15-015:00</v>
      </c>
      <c r="M37" s="62" t="str">
        <f>'CurPol_industry_final_energ (2)'!B10</f>
        <v>South Korea</v>
      </c>
      <c r="N37" s="62" t="str">
        <f>'CurPol_industry_final_energ (2)'!C10</f>
        <v>cement</v>
      </c>
      <c r="O37" s="62" t="str">
        <f>'CurPol_industry_final_energ (2)'!D10</f>
        <v>cement</v>
      </c>
      <c r="P37" s="62" t="str">
        <f>'CurPol_industry_final_energ (2)'!E10</f>
        <v>elect_td_ind</v>
      </c>
      <c r="Q37" s="62" t="str">
        <f>'CurPol_industry_final_energ (2)'!F10</f>
        <v>cement</v>
      </c>
      <c r="R37" s="62">
        <f>'CurPol_industry_final_energ (2)'!G10</f>
        <v>1.39375E-2</v>
      </c>
      <c r="S37" s="62">
        <f>'CurPol_industry_final_energ (2)'!H10</f>
        <v>2.0152400000000001E-2</v>
      </c>
      <c r="T37" s="62">
        <f>'CurPol_industry_final_energ (2)'!I10</f>
        <v>1.9656400000000001E-2</v>
      </c>
      <c r="U37" s="62">
        <f>'CurPol_industry_final_energ (2)'!J10</f>
        <v>1.9656400000000001E-2</v>
      </c>
      <c r="V37" s="62">
        <f>'CurPol_industry_final_energ (2)'!K10</f>
        <v>2.0393643999999999E-2</v>
      </c>
      <c r="W37" s="62">
        <f>'CurPol_industry_final_energ (2)'!L10</f>
        <v>2.3707763999999999E-2</v>
      </c>
      <c r="X37" s="62">
        <f>'CurPol_industry_final_energ (2)'!M10</f>
        <v>2.4571488999999998E-2</v>
      </c>
      <c r="Y37" s="62">
        <f>'CurPol_industry_final_energ (2)'!N10</f>
        <v>2.4714197E-2</v>
      </c>
      <c r="Z37" s="62">
        <f>'CurPol_industry_final_energ (2)'!O10</f>
        <v>2.4835144999999999E-2</v>
      </c>
      <c r="AA37" s="62">
        <f>'CurPol_industry_final_energ (2)'!P10</f>
        <v>2.5378276000000002E-2</v>
      </c>
      <c r="AB37" s="62">
        <f>'CurPol_industry_final_energ (2)'!Q10</f>
        <v>2.6144399200000001E-2</v>
      </c>
      <c r="AE37" s="62" t="str">
        <f>NZ2050_industry_final_energy!D11</f>
        <v>NZ2050,date=2022-3-7T01:15:47-015:00</v>
      </c>
      <c r="AF37" s="62" t="str">
        <f>NZ2050_industry_final_energy!E11</f>
        <v>South Korea</v>
      </c>
      <c r="AG37" s="62" t="str">
        <f>NZ2050_industry_final_energy!F11</f>
        <v>cement</v>
      </c>
      <c r="AH37" s="62" t="str">
        <f>NZ2050_industry_final_energy!G11</f>
        <v>cement</v>
      </c>
      <c r="AI37" s="62" t="str">
        <f>NZ2050_industry_final_energy!H11</f>
        <v>elect_td_ind</v>
      </c>
      <c r="AJ37" s="62" t="str">
        <f>NZ2050_industry_final_energy!I11</f>
        <v>cement</v>
      </c>
      <c r="AK37" s="62">
        <f>NZ2050_industry_final_energy!J11</f>
        <v>1.39375E-2</v>
      </c>
      <c r="AL37" s="62">
        <f>NZ2050_industry_final_energy!K11</f>
        <v>2.0152400000000001E-2</v>
      </c>
      <c r="AM37" s="62">
        <f>NZ2050_industry_final_energy!L11</f>
        <v>1.9656400000000001E-2</v>
      </c>
      <c r="AN37" s="62">
        <f>NZ2050_industry_final_energy!M11</f>
        <v>1.9656400000000001E-2</v>
      </c>
      <c r="AO37" s="62">
        <f>NZ2050_industry_final_energy!N11</f>
        <v>2.0393651999999901E-2</v>
      </c>
      <c r="AP37" s="62">
        <f>NZ2050_industry_final_energy!O11</f>
        <v>2.0707868000000001E-2</v>
      </c>
      <c r="AQ37" s="62">
        <f>NZ2050_industry_final_energy!P11</f>
        <v>1.8533211000000001E-2</v>
      </c>
      <c r="AR37" s="62">
        <f>NZ2050_industry_final_energy!Q11</f>
        <v>1.4279807E-2</v>
      </c>
      <c r="AS37" s="62">
        <f>NZ2050_industry_final_energy!R11</f>
        <v>8.0898059999999997E-3</v>
      </c>
      <c r="AT37" s="62">
        <f>NZ2050_industry_final_energy!S11</f>
        <v>4.4730018999999998E-3</v>
      </c>
      <c r="AU37" s="62">
        <f>NZ2050_industry_final_energy!T11</f>
        <v>1.4198320860000001E-3</v>
      </c>
    </row>
    <row r="38" spans="12:47">
      <c r="L38" s="62" t="str">
        <f>'CurPol_industry_final_energ (2)'!A57</f>
        <v>CurPol,date=2022-3-7T01:16:15-015:00</v>
      </c>
      <c r="M38" s="62" t="str">
        <f>'CurPol_industry_final_energ (2)'!B57</f>
        <v>South Korea</v>
      </c>
      <c r="N38" s="62" t="str">
        <f>'CurPol_industry_final_energ (2)'!C57</f>
        <v>process heat cement</v>
      </c>
      <c r="O38" s="62" t="str">
        <f>'CurPol_industry_final_energ (2)'!D57</f>
        <v>biomass</v>
      </c>
      <c r="P38" s="62" t="str">
        <f>'CurPol_industry_final_energ (2)'!E57</f>
        <v>delivered biomass</v>
      </c>
      <c r="Q38" s="62" t="str">
        <f>'CurPol_industry_final_energ (2)'!F57</f>
        <v>biomass</v>
      </c>
      <c r="R38" s="62">
        <f>'CurPol_industry_final_energ (2)'!G57</f>
        <v>3.6571800000000002E-2</v>
      </c>
      <c r="S38" s="62">
        <f>'CurPol_industry_final_energ (2)'!H57</f>
        <v>3.9287299999999997E-2</v>
      </c>
      <c r="T38" s="62">
        <f>'CurPol_industry_final_energ (2)'!I57</f>
        <v>4.2373099999999997E-2</v>
      </c>
      <c r="U38" s="62">
        <f>'CurPol_industry_final_energ (2)'!J57</f>
        <v>3.9861500000000001E-2</v>
      </c>
      <c r="V38" s="62">
        <f>'CurPol_industry_final_energ (2)'!K57</f>
        <v>4.2869159999999899E-2</v>
      </c>
      <c r="W38" s="62">
        <f>'CurPol_industry_final_energ (2)'!L57</f>
        <v>5.1275689999999999E-2</v>
      </c>
      <c r="X38" s="62">
        <f>'CurPol_industry_final_energ (2)'!M57</f>
        <v>5.3626339999999897E-2</v>
      </c>
      <c r="Y38" s="62">
        <f>'CurPol_industry_final_energ (2)'!N57</f>
        <v>5.5506949999999999E-2</v>
      </c>
      <c r="Z38" s="62">
        <f>'CurPol_industry_final_energ (2)'!O57</f>
        <v>5.8140299999999999E-2</v>
      </c>
      <c r="AA38" s="62">
        <f>'CurPol_industry_final_energ (2)'!P57</f>
        <v>6.2524125E-2</v>
      </c>
      <c r="AB38" s="62">
        <f>'CurPol_industry_final_energ (2)'!Q57</f>
        <v>7.1754316999999998E-2</v>
      </c>
      <c r="AE38" s="62" t="str">
        <f>NZ2050_industry_final_energy!D12</f>
        <v>NZ2050,date=2022-3-7T01:15:47-015:00</v>
      </c>
      <c r="AF38" s="62" t="str">
        <f>NZ2050_industry_final_energy!E12</f>
        <v>South Korea</v>
      </c>
      <c r="AG38" s="62" t="str">
        <f>NZ2050_industry_final_energy!F12</f>
        <v>cement</v>
      </c>
      <c r="AH38" s="62" t="str">
        <f>NZ2050_industry_final_energy!G12</f>
        <v>cement</v>
      </c>
      <c r="AI38" s="62" t="str">
        <f>NZ2050_industry_final_energy!H12</f>
        <v>elect_td_ind</v>
      </c>
      <c r="AJ38" s="62" t="str">
        <f>NZ2050_industry_final_energy!I12</f>
        <v>cement CCS</v>
      </c>
      <c r="AK38" s="62">
        <f>NZ2050_industry_final_energy!J12</f>
        <v>0</v>
      </c>
      <c r="AL38" s="62">
        <f>NZ2050_industry_final_energy!K12</f>
        <v>0</v>
      </c>
      <c r="AM38" s="62">
        <f>NZ2050_industry_final_energy!L12</f>
        <v>0</v>
      </c>
      <c r="AN38" s="62">
        <f>NZ2050_industry_final_energy!M12</f>
        <v>0</v>
      </c>
      <c r="AO38" s="62">
        <f>NZ2050_industry_final_energy!N12</f>
        <v>0</v>
      </c>
      <c r="AP38" s="62">
        <f>NZ2050_industry_final_energy!O12</f>
        <v>5.3379799999999998E-6</v>
      </c>
      <c r="AQ38" s="62">
        <f>NZ2050_industry_final_energy!P12</f>
        <v>3.8975179999999998E-5</v>
      </c>
      <c r="AR38" s="62">
        <f>NZ2050_industry_final_energy!Q12</f>
        <v>2.0266897699999999E-3</v>
      </c>
      <c r="AS38" s="62">
        <f>NZ2050_industry_final_energy!R12</f>
        <v>8.0122759699999997E-3</v>
      </c>
      <c r="AT38" s="62">
        <f>NZ2050_industry_final_energy!S12</f>
        <v>1.1550499440000001E-2</v>
      </c>
      <c r="AU38" s="62">
        <f>NZ2050_industry_final_energy!T12</f>
        <v>1.2808461431E-2</v>
      </c>
    </row>
    <row r="39" spans="12:47">
      <c r="L39" s="62" t="str">
        <f>'CurPol_industry_final_energ (2)'!A58</f>
        <v>CurPol,date=2022-3-7T01:16:15-015:00</v>
      </c>
      <c r="M39" s="62" t="str">
        <f>'CurPol_industry_final_energ (2)'!B58</f>
        <v>South Korea</v>
      </c>
      <c r="N39" s="62" t="str">
        <f>'CurPol_industry_final_energ (2)'!C58</f>
        <v>process heat cement</v>
      </c>
      <c r="O39" s="62" t="str">
        <f>'CurPol_industry_final_energ (2)'!D58</f>
        <v>coal</v>
      </c>
      <c r="P39" s="62" t="str">
        <f>'CurPol_industry_final_energ (2)'!E58</f>
        <v>delivered coal</v>
      </c>
      <c r="Q39" s="62" t="str">
        <f>'CurPol_industry_final_energ (2)'!F58</f>
        <v>coal</v>
      </c>
      <c r="R39" s="62">
        <f>'CurPol_industry_final_energ (2)'!G58</f>
        <v>8.5812200000000005E-2</v>
      </c>
      <c r="S39" s="62">
        <f>'CurPol_industry_final_energ (2)'!H58</f>
        <v>0.118297</v>
      </c>
      <c r="T39" s="62">
        <f>'CurPol_industry_final_energ (2)'!I58</f>
        <v>0.112141</v>
      </c>
      <c r="U39" s="62">
        <f>'CurPol_industry_final_energ (2)'!J58</f>
        <v>0.114653</v>
      </c>
      <c r="V39" s="62">
        <f>'CurPol_industry_final_energ (2)'!K58</f>
        <v>0.12767510000000001</v>
      </c>
      <c r="W39" s="62">
        <f>'CurPol_industry_final_energ (2)'!L58</f>
        <v>0.16172510000000001</v>
      </c>
      <c r="X39" s="62">
        <f>'CurPol_industry_final_energ (2)'!M58</f>
        <v>0.17174709999999899</v>
      </c>
      <c r="Y39" s="62">
        <f>'CurPol_industry_final_energ (2)'!N58</f>
        <v>0.17839740000000001</v>
      </c>
      <c r="Z39" s="62">
        <f>'CurPol_industry_final_energ (2)'!O58</f>
        <v>0.18304139</v>
      </c>
      <c r="AA39" s="62">
        <f>'CurPol_industry_final_energ (2)'!P58</f>
        <v>0.18492159999999999</v>
      </c>
      <c r="AB39" s="62">
        <f>'CurPol_industry_final_energ (2)'!Q58</f>
        <v>0.180821379</v>
      </c>
      <c r="AE39" s="62" t="str">
        <f>NZ2050_industry_final_energy!D81</f>
        <v>NZ2050,date=2022-3-7T01:15:47-015:00</v>
      </c>
      <c r="AF39" s="62" t="str">
        <f>NZ2050_industry_final_energy!E81</f>
        <v>South Korea</v>
      </c>
      <c r="AG39" s="62" t="str">
        <f>NZ2050_industry_final_energy!F81</f>
        <v>process heat cement</v>
      </c>
      <c r="AH39" s="62" t="str">
        <f>NZ2050_industry_final_energy!G81</f>
        <v>biomass</v>
      </c>
      <c r="AI39" s="62" t="str">
        <f>NZ2050_industry_final_energy!H81</f>
        <v>delivered biomass</v>
      </c>
      <c r="AJ39" s="62" t="str">
        <f>NZ2050_industry_final_energy!I81</f>
        <v>biomass</v>
      </c>
      <c r="AK39" s="62">
        <f>NZ2050_industry_final_energy!J81</f>
        <v>3.6571800000000002E-2</v>
      </c>
      <c r="AL39" s="62">
        <f>NZ2050_industry_final_energy!K81</f>
        <v>3.9287299999999997E-2</v>
      </c>
      <c r="AM39" s="62">
        <f>NZ2050_industry_final_energy!L81</f>
        <v>4.2373099999999997E-2</v>
      </c>
      <c r="AN39" s="62">
        <f>NZ2050_industry_final_energy!M81</f>
        <v>3.9861500000000001E-2</v>
      </c>
      <c r="AO39" s="62">
        <f>NZ2050_industry_final_energy!N81</f>
        <v>4.2715490000000002E-2</v>
      </c>
      <c r="AP39" s="62">
        <f>NZ2050_industry_final_energy!O81</f>
        <v>5.2146229999999898E-2</v>
      </c>
      <c r="AQ39" s="62">
        <f>NZ2050_industry_final_energy!P81</f>
        <v>5.3978180000000001E-2</v>
      </c>
      <c r="AR39" s="62">
        <f>NZ2050_industry_final_energy!Q81</f>
        <v>7.0393449999999996E-2</v>
      </c>
      <c r="AS39" s="62">
        <f>NZ2050_industry_final_energy!R81</f>
        <v>8.8953599999999994E-2</v>
      </c>
      <c r="AT39" s="62">
        <f>NZ2050_industry_final_energy!S81</f>
        <v>9.6653868000000004E-2</v>
      </c>
      <c r="AU39" s="62">
        <f>NZ2050_industry_final_energy!T81</f>
        <v>8.4369735000000001E-2</v>
      </c>
    </row>
    <row r="40" spans="12:47">
      <c r="L40" s="62" t="str">
        <f>'CurPol_industry_final_energ (2)'!A59</f>
        <v>CurPol,date=2022-3-7T01:16:15-015:00</v>
      </c>
      <c r="M40" s="62" t="str">
        <f>'CurPol_industry_final_energ (2)'!B59</f>
        <v>South Korea</v>
      </c>
      <c r="N40" s="62" t="str">
        <f>'CurPol_industry_final_energ (2)'!C59</f>
        <v>process heat cement</v>
      </c>
      <c r="O40" s="62" t="str">
        <f>'CurPol_industry_final_energ (2)'!D59</f>
        <v>hydrogen</v>
      </c>
      <c r="P40" s="62" t="str">
        <f>'CurPol_industry_final_energ (2)'!E59</f>
        <v>H2 enduse</v>
      </c>
      <c r="Q40" s="62" t="str">
        <f>'CurPol_industry_final_energ (2)'!F59</f>
        <v>hydrogen</v>
      </c>
      <c r="R40" s="62">
        <f>'CurPol_industry_final_energ (2)'!G59</f>
        <v>0</v>
      </c>
      <c r="S40" s="62">
        <f>'CurPol_industry_final_energ (2)'!H59</f>
        <v>0</v>
      </c>
      <c r="T40" s="62">
        <f>'CurPol_industry_final_energ (2)'!I59</f>
        <v>0</v>
      </c>
      <c r="U40" s="62">
        <f>'CurPol_industry_final_energ (2)'!J59</f>
        <v>0</v>
      </c>
      <c r="V40" s="62">
        <f>'CurPol_industry_final_energ (2)'!K59</f>
        <v>7.03035E-7</v>
      </c>
      <c r="W40" s="62">
        <f>'CurPol_industry_final_energ (2)'!L59</f>
        <v>4.9889570999999998E-6</v>
      </c>
      <c r="X40" s="62">
        <f>'CurPol_industry_final_energ (2)'!M59</f>
        <v>7.6182841999999998E-6</v>
      </c>
      <c r="Y40" s="62">
        <f>'CurPol_industry_final_energ (2)'!N59</f>
        <v>2.39234179E-5</v>
      </c>
      <c r="Z40" s="62">
        <f>'CurPol_industry_final_energ (2)'!O59</f>
        <v>4.1730794099999999E-5</v>
      </c>
      <c r="AA40" s="62">
        <f>'CurPol_industry_final_energ (2)'!P59</f>
        <v>6.5954360199999994E-5</v>
      </c>
      <c r="AB40" s="62">
        <f>'CurPol_industry_final_energ (2)'!Q59</f>
        <v>1.4197163123000001E-4</v>
      </c>
      <c r="AE40" s="62" t="str">
        <f>NZ2050_industry_final_energy!D82</f>
        <v>NZ2050,date=2022-3-7T01:15:47-015:00</v>
      </c>
      <c r="AF40" s="62" t="str">
        <f>NZ2050_industry_final_energy!E82</f>
        <v>South Korea</v>
      </c>
      <c r="AG40" s="62" t="str">
        <f>NZ2050_industry_final_energy!F82</f>
        <v>process heat cement</v>
      </c>
      <c r="AH40" s="62" t="str">
        <f>NZ2050_industry_final_energy!G82</f>
        <v>coal</v>
      </c>
      <c r="AI40" s="62" t="str">
        <f>NZ2050_industry_final_energy!H82</f>
        <v>delivered coal</v>
      </c>
      <c r="AJ40" s="62" t="str">
        <f>NZ2050_industry_final_energy!I82</f>
        <v>coal</v>
      </c>
      <c r="AK40" s="62">
        <f>NZ2050_industry_final_energy!J82</f>
        <v>8.5812200000000005E-2</v>
      </c>
      <c r="AL40" s="62">
        <f>NZ2050_industry_final_energy!K82</f>
        <v>0.118297</v>
      </c>
      <c r="AM40" s="62">
        <f>NZ2050_industry_final_energy!L82</f>
        <v>0.112141</v>
      </c>
      <c r="AN40" s="62">
        <f>NZ2050_industry_final_energy!M82</f>
        <v>0.114653</v>
      </c>
      <c r="AO40" s="62">
        <f>NZ2050_industry_final_energy!N82</f>
        <v>0.12808169999999999</v>
      </c>
      <c r="AP40" s="62">
        <f>NZ2050_industry_final_energy!O82</f>
        <v>0.12534408</v>
      </c>
      <c r="AQ40" s="62">
        <f>NZ2050_industry_final_energy!P82</f>
        <v>0.105756499999999</v>
      </c>
      <c r="AR40" s="62">
        <f>NZ2050_industry_final_energy!Q82</f>
        <v>6.8351079999999995E-2</v>
      </c>
      <c r="AS40" s="62">
        <f>NZ2050_industry_final_energy!R82</f>
        <v>3.8392179999999998E-2</v>
      </c>
      <c r="AT40" s="62">
        <f>NZ2050_industry_final_energy!S82</f>
        <v>2.2441860000000001E-2</v>
      </c>
      <c r="AU40" s="62">
        <f>NZ2050_industry_final_energy!T82</f>
        <v>1.28099529999999E-2</v>
      </c>
    </row>
    <row r="41" spans="12:47">
      <c r="L41" s="62" t="str">
        <f>'CurPol_industry_final_energ (2)'!A60</f>
        <v>CurPol,date=2022-3-7T01:16:15-015:00</v>
      </c>
      <c r="M41" s="62" t="str">
        <f>'CurPol_industry_final_energ (2)'!B60</f>
        <v>South Korea</v>
      </c>
      <c r="N41" s="62" t="str">
        <f>'CurPol_industry_final_energ (2)'!C60</f>
        <v>process heat cement</v>
      </c>
      <c r="O41" s="62" t="str">
        <f>'CurPol_industry_final_energ (2)'!D60</f>
        <v>refined liquids</v>
      </c>
      <c r="P41" s="62" t="str">
        <f>'CurPol_industry_final_energ (2)'!E60</f>
        <v>refined liquids industrial</v>
      </c>
      <c r="Q41" s="62" t="str">
        <f>'CurPol_industry_final_energ (2)'!F60</f>
        <v>refined liquids</v>
      </c>
      <c r="R41" s="62">
        <f>'CurPol_industry_final_energ (2)'!G60</f>
        <v>1.6688700000000001E-2</v>
      </c>
      <c r="S41" s="62">
        <f>'CurPol_industry_final_energ (2)'!H60</f>
        <v>2.1488799999999999E-2</v>
      </c>
      <c r="T41" s="62">
        <f>'CurPol_industry_final_energ (2)'!I60</f>
        <v>2.1070200000000001E-2</v>
      </c>
      <c r="U41" s="62">
        <f>'CurPol_industry_final_energ (2)'!J60</f>
        <v>2.1070200000000001E-2</v>
      </c>
      <c r="V41" s="62">
        <f>'CurPol_industry_final_energ (2)'!K60</f>
        <v>1.24918799999999E-2</v>
      </c>
      <c r="W41" s="62">
        <f>'CurPol_industry_final_energ (2)'!L60</f>
        <v>4.1522449999999997E-3</v>
      </c>
      <c r="X41" s="62">
        <f>'CurPol_industry_final_energ (2)'!M60</f>
        <v>3.8133020000000002E-3</v>
      </c>
      <c r="Y41" s="62">
        <f>'CurPol_industry_final_energ (2)'!N60</f>
        <v>3.54558E-3</v>
      </c>
      <c r="Z41" s="62">
        <f>'CurPol_industry_final_energ (2)'!O60</f>
        <v>2.8582690000000001E-3</v>
      </c>
      <c r="AA41" s="62">
        <f>'CurPol_industry_final_energ (2)'!P60</f>
        <v>2.2705734999999999E-3</v>
      </c>
      <c r="AB41" s="62">
        <f>'CurPol_industry_final_energ (2)'!Q60</f>
        <v>2.2865235000000001E-3</v>
      </c>
      <c r="AE41" s="62" t="str">
        <f>NZ2050_industry_final_energy!D83</f>
        <v>NZ2050,date=2022-3-7T01:15:47-015:00</v>
      </c>
      <c r="AF41" s="62" t="str">
        <f>NZ2050_industry_final_energy!E83</f>
        <v>South Korea</v>
      </c>
      <c r="AG41" s="62" t="str">
        <f>NZ2050_industry_final_energy!F83</f>
        <v>process heat cement</v>
      </c>
      <c r="AH41" s="62" t="str">
        <f>NZ2050_industry_final_energy!G83</f>
        <v>hydrogen</v>
      </c>
      <c r="AI41" s="62" t="str">
        <f>NZ2050_industry_final_energy!H83</f>
        <v>H2 enduse</v>
      </c>
      <c r="AJ41" s="62" t="str">
        <f>NZ2050_industry_final_energy!I83</f>
        <v>hydrogen</v>
      </c>
      <c r="AK41" s="62">
        <f>NZ2050_industry_final_energy!J83</f>
        <v>0</v>
      </c>
      <c r="AL41" s="62">
        <f>NZ2050_industry_final_energy!K83</f>
        <v>0</v>
      </c>
      <c r="AM41" s="62">
        <f>NZ2050_industry_final_energy!L83</f>
        <v>0</v>
      </c>
      <c r="AN41" s="62">
        <f>NZ2050_industry_final_energy!M83</f>
        <v>0</v>
      </c>
      <c r="AO41" s="62">
        <f>NZ2050_industry_final_energy!N83</f>
        <v>7.0510899999999996E-7</v>
      </c>
      <c r="AP41" s="62">
        <f>NZ2050_industry_final_energy!O83</f>
        <v>2.9655619999999998E-6</v>
      </c>
      <c r="AQ41" s="62">
        <f>NZ2050_industry_final_energy!P83</f>
        <v>4.9195790000000004E-6</v>
      </c>
      <c r="AR41" s="62">
        <f>NZ2050_industry_final_energy!Q83</f>
        <v>4.3048944999999997E-5</v>
      </c>
      <c r="AS41" s="62">
        <f>NZ2050_industry_final_energy!R83</f>
        <v>2.41186387E-4</v>
      </c>
      <c r="AT41" s="62">
        <f>NZ2050_industry_final_energy!S83</f>
        <v>7.7785399999999905E-4</v>
      </c>
      <c r="AU41" s="62">
        <f>NZ2050_industry_final_energy!T83</f>
        <v>3.3743306703999999E-3</v>
      </c>
    </row>
    <row r="42" spans="12:47">
      <c r="AE42" s="62" t="str">
        <f>NZ2050_industry_final_energy!D84</f>
        <v>NZ2050,date=2022-3-7T01:15:47-015:00</v>
      </c>
      <c r="AF42" s="62" t="str">
        <f>NZ2050_industry_final_energy!E84</f>
        <v>South Korea</v>
      </c>
      <c r="AG42" s="62" t="str">
        <f>NZ2050_industry_final_energy!F84</f>
        <v>process heat cement</v>
      </c>
      <c r="AH42" s="62" t="str">
        <f>NZ2050_industry_final_energy!G84</f>
        <v>refined liquids</v>
      </c>
      <c r="AI42" s="62" t="str">
        <f>NZ2050_industry_final_energy!H84</f>
        <v>refined liquids industrial</v>
      </c>
      <c r="AJ42" s="62" t="str">
        <f>NZ2050_industry_final_energy!I84</f>
        <v>refined liquids</v>
      </c>
      <c r="AK42" s="62">
        <f>NZ2050_industry_final_energy!J84</f>
        <v>1.6688700000000001E-2</v>
      </c>
      <c r="AL42" s="62">
        <f>NZ2050_industry_final_energy!K84</f>
        <v>2.1488799999999999E-2</v>
      </c>
      <c r="AM42" s="62">
        <f>NZ2050_industry_final_energy!L84</f>
        <v>2.1070200000000001E-2</v>
      </c>
      <c r="AN42" s="62">
        <f>NZ2050_industry_final_energy!M84</f>
        <v>2.1070200000000001E-2</v>
      </c>
      <c r="AO42" s="62">
        <f>NZ2050_industry_final_energy!N84</f>
        <v>1.2224250000000001E-2</v>
      </c>
      <c r="AP42" s="62">
        <f>NZ2050_industry_final_energy!O84</f>
        <v>9.5929339999999991E-3</v>
      </c>
      <c r="AQ42" s="62">
        <f>NZ2050_industry_final_energy!P84</f>
        <v>8.3324920000000004E-3</v>
      </c>
      <c r="AR42" s="62">
        <f>NZ2050_industry_final_energy!Q84</f>
        <v>8.1219380000000004E-3</v>
      </c>
      <c r="AS42" s="62">
        <f>NZ2050_industry_final_energy!R84</f>
        <v>9.1147309999999992E-3</v>
      </c>
      <c r="AT42" s="62">
        <f>NZ2050_industry_final_energy!S84</f>
        <v>8.9483449999999999E-3</v>
      </c>
      <c r="AU42" s="62">
        <f>NZ2050_industry_final_energy!T84</f>
        <v>7.6895179999999898E-3</v>
      </c>
    </row>
    <row r="44" spans="12:47">
      <c r="AU44" s="63"/>
    </row>
    <row r="46" spans="12:47">
      <c r="L46" s="115" t="s">
        <v>29</v>
      </c>
      <c r="M46" s="115"/>
      <c r="N46" s="115"/>
      <c r="O46" s="115"/>
      <c r="P46" s="115"/>
      <c r="Q46" s="115"/>
      <c r="R46" s="115"/>
      <c r="S46" s="27">
        <f>SUM(S3:S41)</f>
        <v>0.1992255</v>
      </c>
      <c r="T46" s="27">
        <f t="shared" ref="T46:AB46" si="0">SUM(T3:T41)</f>
        <v>0.19524070000000002</v>
      </c>
      <c r="U46" s="27">
        <f t="shared" si="0"/>
        <v>0.19524110000000003</v>
      </c>
      <c r="V46" s="27">
        <f t="shared" si="0"/>
        <v>0.2034304870349998</v>
      </c>
      <c r="W46" s="27">
        <f t="shared" si="0"/>
        <v>0.24086578795710001</v>
      </c>
      <c r="X46" s="27">
        <f t="shared" si="0"/>
        <v>0.25376584928419887</v>
      </c>
      <c r="Y46" s="27">
        <f t="shared" si="0"/>
        <v>0.26218805041789994</v>
      </c>
      <c r="Z46" s="27">
        <f t="shared" si="0"/>
        <v>0.26891683479410006</v>
      </c>
      <c r="AA46" s="27">
        <f t="shared" si="0"/>
        <v>0.27516052886019998</v>
      </c>
      <c r="AB46" s="103">
        <f t="shared" si="0"/>
        <v>0.28114859033123002</v>
      </c>
      <c r="AE46" s="115" t="s">
        <v>29</v>
      </c>
      <c r="AF46" s="115"/>
      <c r="AG46" s="115"/>
      <c r="AH46" s="115"/>
      <c r="AI46" s="115"/>
      <c r="AJ46" s="115"/>
      <c r="AK46" s="115"/>
      <c r="AL46" s="27">
        <f>SUM(AL3:AL42)</f>
        <v>0.1992255</v>
      </c>
      <c r="AM46" s="27">
        <f t="shared" ref="AM46:AU46" si="1">SUM(AM3:AM42)</f>
        <v>0.19524070000000002</v>
      </c>
      <c r="AN46" s="27">
        <f t="shared" si="1"/>
        <v>0.19524110000000003</v>
      </c>
      <c r="AO46" s="27">
        <f t="shared" si="1"/>
        <v>0.20341579710899987</v>
      </c>
      <c r="AP46" s="27">
        <f t="shared" si="1"/>
        <v>0.2077994155419999</v>
      </c>
      <c r="AQ46" s="27">
        <f t="shared" si="1"/>
        <v>0.18664427775899903</v>
      </c>
      <c r="AR46" s="27">
        <f t="shared" si="1"/>
        <v>0.163216013715</v>
      </c>
      <c r="AS46" s="27">
        <f t="shared" si="1"/>
        <v>0.15280377935699996</v>
      </c>
      <c r="AT46" s="27">
        <f t="shared" si="1"/>
        <v>0.14484542834</v>
      </c>
      <c r="AU46" s="27">
        <f t="shared" si="1"/>
        <v>0.12247183018739989</v>
      </c>
    </row>
    <row r="48" spans="12:47">
      <c r="L48" s="1" t="s">
        <v>23</v>
      </c>
      <c r="AE48" s="1" t="s">
        <v>23</v>
      </c>
    </row>
    <row r="49" spans="12:45">
      <c r="L49" s="62" t="s">
        <v>8</v>
      </c>
      <c r="M49" s="62" t="s">
        <v>9</v>
      </c>
      <c r="N49" s="62" t="s">
        <v>24</v>
      </c>
      <c r="O49" s="62" t="s">
        <v>10</v>
      </c>
      <c r="P49" s="62">
        <v>1990</v>
      </c>
      <c r="Q49" s="62">
        <v>2005</v>
      </c>
      <c r="R49" s="62">
        <v>2010</v>
      </c>
      <c r="S49" s="62">
        <v>2015</v>
      </c>
      <c r="T49" s="62">
        <v>2020</v>
      </c>
      <c r="U49" s="62">
        <v>2025</v>
      </c>
      <c r="V49" s="62">
        <v>2030</v>
      </c>
      <c r="W49" s="62">
        <v>2035</v>
      </c>
      <c r="X49" s="62">
        <v>2040</v>
      </c>
      <c r="Y49" s="62">
        <v>2045</v>
      </c>
      <c r="Z49" s="62">
        <v>2050</v>
      </c>
      <c r="AE49" s="62" t="s">
        <v>8</v>
      </c>
      <c r="AF49" s="62" t="s">
        <v>9</v>
      </c>
      <c r="AG49" s="62" t="s">
        <v>24</v>
      </c>
      <c r="AH49" s="62" t="s">
        <v>10</v>
      </c>
      <c r="AI49" s="62">
        <v>1990</v>
      </c>
      <c r="AJ49" s="62">
        <v>2005</v>
      </c>
      <c r="AK49" s="62">
        <v>2010</v>
      </c>
      <c r="AL49" s="62">
        <v>2015</v>
      </c>
      <c r="AM49" s="62">
        <v>2020</v>
      </c>
      <c r="AN49" s="62">
        <v>2025</v>
      </c>
      <c r="AO49" s="62">
        <v>2030</v>
      </c>
      <c r="AP49" s="62">
        <v>2035</v>
      </c>
      <c r="AQ49" s="62">
        <v>2040</v>
      </c>
      <c r="AR49" s="62">
        <v>2045</v>
      </c>
      <c r="AS49" s="62">
        <v>2050</v>
      </c>
    </row>
    <row r="50" spans="12:45">
      <c r="L50" s="62" t="str">
        <f>'CurPol_industry_final_energ (2)'!A72</f>
        <v>CurPol,date=2022-3-7T01:16:15-015:00</v>
      </c>
      <c r="M50" s="62" t="str">
        <f>'CurPol_industry_final_energ (2)'!B72</f>
        <v>South Korea</v>
      </c>
      <c r="N50" s="62" t="str">
        <f>'CurPol_industry_final_energ (2)'!C72</f>
        <v>chemical feedstocks</v>
      </c>
      <c r="O50" s="62" t="str">
        <f>'CurPol_industry_final_energ (2)'!D72</f>
        <v>delivered coal</v>
      </c>
      <c r="P50" s="62">
        <f>'CurPol_industry_final_energ (2)'!E72</f>
        <v>0</v>
      </c>
      <c r="Q50" s="62">
        <f>'CurPol_industry_final_energ (2)'!F72</f>
        <v>0</v>
      </c>
      <c r="R50" s="62">
        <f>'CurPol_industry_final_energ (2)'!G72</f>
        <v>1.6953300000000001E-2</v>
      </c>
      <c r="S50" s="62">
        <f>'CurPol_industry_final_energ (2)'!H72</f>
        <v>2.3106700000000001E-2</v>
      </c>
      <c r="T50" s="62">
        <f>'CurPol_industry_final_energ (2)'!I72</f>
        <v>1.8826900000000001E-2</v>
      </c>
      <c r="U50" s="62">
        <f>'CurPol_industry_final_energ (2)'!J72</f>
        <v>1.99977E-2</v>
      </c>
      <c r="V50" s="62">
        <f>'CurPol_industry_final_energ (2)'!K72</f>
        <v>1.9488100000000001E-2</v>
      </c>
      <c r="W50" s="62">
        <f>'CurPol_industry_final_energ (2)'!L72</f>
        <v>2.0002900000000001E-2</v>
      </c>
      <c r="X50" s="62">
        <f>'CurPol_industry_final_energ (2)'!M72</f>
        <v>2.1653599999999999E-2</v>
      </c>
      <c r="Y50" s="62">
        <f>'CurPol_industry_final_energ (2)'!N72</f>
        <v>2.3451300000000001E-2</v>
      </c>
      <c r="Z50" s="62">
        <f>'CurPol_industry_final_energ (2)'!O72</f>
        <v>2.3886899999999999E-2</v>
      </c>
      <c r="AE50" s="62" t="str">
        <f>NZ2050_industry_final_energy!A103</f>
        <v>NZ2050,date=2022-23-6T11:29:55+09:00</v>
      </c>
      <c r="AF50" s="62" t="str">
        <f>NZ2050_industry_final_energy!B103</f>
        <v>South Korea</v>
      </c>
      <c r="AG50" s="62" t="str">
        <f>NZ2050_industry_final_energy!C103</f>
        <v>chemical feedstocks</v>
      </c>
      <c r="AH50" s="62" t="str">
        <f>NZ2050_industry_final_energy!D103</f>
        <v>NZ2050,date=2022-3-7T01:15:47-015:00</v>
      </c>
      <c r="AI50" s="62" t="str">
        <f>NZ2050_industry_final_energy!E103</f>
        <v>South Korea</v>
      </c>
      <c r="AJ50" s="62" t="str">
        <f>NZ2050_industry_final_energy!F103</f>
        <v>chemical feedstocks</v>
      </c>
      <c r="AK50" s="62" t="str">
        <f>NZ2050_industry_final_energy!G103</f>
        <v>delivered coal</v>
      </c>
      <c r="AL50" s="62">
        <f>NZ2050_industry_final_energy!H103</f>
        <v>0</v>
      </c>
      <c r="AM50" s="62">
        <f>NZ2050_industry_final_energy!I103</f>
        <v>0</v>
      </c>
      <c r="AN50" s="62">
        <f>NZ2050_industry_final_energy!J103</f>
        <v>1.6953300000000001E-2</v>
      </c>
      <c r="AO50" s="62">
        <f>NZ2050_industry_final_energy!K103</f>
        <v>2.3106700000000001E-2</v>
      </c>
      <c r="AP50" s="62">
        <f>NZ2050_industry_final_energy!L103</f>
        <v>1.99516E-2</v>
      </c>
      <c r="AQ50" s="62">
        <f>NZ2050_industry_final_energy!M103</f>
        <v>2.8079100000000002E-4</v>
      </c>
      <c r="AR50" s="62">
        <f>NZ2050_industry_final_energy!N103</f>
        <v>1.09905E-4</v>
      </c>
      <c r="AS50" s="62">
        <f>NZ2050_industry_final_energy!O103</f>
        <v>4.41366E-5</v>
      </c>
    </row>
    <row r="51" spans="12:45">
      <c r="L51" s="62" t="str">
        <f>'CurPol_industry_final_energ (2)'!A73</f>
        <v>CurPol,date=2022-3-7T01:16:15-015:00</v>
      </c>
      <c r="M51" s="62" t="str">
        <f>'CurPol_industry_final_energ (2)'!B73</f>
        <v>South Korea</v>
      </c>
      <c r="N51" s="62" t="str">
        <f>'CurPol_industry_final_energ (2)'!C73</f>
        <v>chemical feedstocks</v>
      </c>
      <c r="O51" s="62" t="str">
        <f>'CurPol_industry_final_energ (2)'!D73</f>
        <v>refined liquids industrial</v>
      </c>
      <c r="P51" s="62">
        <f>'CurPol_industry_final_energ (2)'!E73</f>
        <v>0.23639399999999999</v>
      </c>
      <c r="Q51" s="62">
        <f>'CurPol_industry_final_energ (2)'!F73</f>
        <v>1.18882</v>
      </c>
      <c r="R51" s="62">
        <f>'CurPol_industry_final_energ (2)'!G73</f>
        <v>1.5032799999999999</v>
      </c>
      <c r="S51" s="62">
        <f>'CurPol_industry_final_energ (2)'!H73</f>
        <v>1.8793899999999999</v>
      </c>
      <c r="T51" s="62">
        <f>'CurPol_industry_final_energ (2)'!I73</f>
        <v>1.89863</v>
      </c>
      <c r="U51" s="62">
        <f>'CurPol_industry_final_energ (2)'!J73</f>
        <v>2.1570999999999998</v>
      </c>
      <c r="V51" s="62">
        <f>'CurPol_industry_final_energ (2)'!K73</f>
        <v>2.2750400000000002</v>
      </c>
      <c r="W51" s="62">
        <f>'CurPol_industry_final_energ (2)'!L73</f>
        <v>2.3559000000000001</v>
      </c>
      <c r="X51" s="62">
        <f>'CurPol_industry_final_energ (2)'!M73</f>
        <v>2.4420299999999999</v>
      </c>
      <c r="Y51" s="62">
        <f>'CurPol_industry_final_energ (2)'!N73</f>
        <v>2.5479500000000002</v>
      </c>
      <c r="Z51" s="62">
        <f>'CurPol_industry_final_energ (2)'!O73</f>
        <v>2.6657500000000001</v>
      </c>
      <c r="AE51" s="62" t="str">
        <f>NZ2050_industry_final_energy!A104</f>
        <v>NZ2050,date=2022-23-6T11:29:55+09:00</v>
      </c>
      <c r="AF51" s="62" t="str">
        <f>NZ2050_industry_final_energy!B104</f>
        <v>South Korea</v>
      </c>
      <c r="AG51" s="62" t="str">
        <f>NZ2050_industry_final_energy!C104</f>
        <v>chemical feedstocks</v>
      </c>
      <c r="AH51" s="62" t="str">
        <f>NZ2050_industry_final_energy!D104</f>
        <v>NZ2050,date=2022-3-7T01:15:47-015:00</v>
      </c>
      <c r="AI51" s="62" t="str">
        <f>NZ2050_industry_final_energy!E104</f>
        <v>South Korea</v>
      </c>
      <c r="AJ51" s="62" t="str">
        <f>NZ2050_industry_final_energy!F104</f>
        <v>chemical feedstocks</v>
      </c>
      <c r="AK51" s="62" t="str">
        <f>NZ2050_industry_final_energy!G104</f>
        <v>refined liquids industrial</v>
      </c>
      <c r="AL51" s="62">
        <f>NZ2050_industry_final_energy!H104</f>
        <v>0.23639399999999999</v>
      </c>
      <c r="AM51" s="62">
        <f>NZ2050_industry_final_energy!I104</f>
        <v>1.18882</v>
      </c>
      <c r="AN51" s="62">
        <f>NZ2050_industry_final_energy!J104</f>
        <v>1.5032799999999999</v>
      </c>
      <c r="AO51" s="62">
        <f>NZ2050_industry_final_energy!K104</f>
        <v>1.8793899999999999</v>
      </c>
      <c r="AP51" s="62">
        <f>NZ2050_industry_final_energy!L104</f>
        <v>1.89751</v>
      </c>
      <c r="AQ51" s="62">
        <f>NZ2050_industry_final_energy!M104</f>
        <v>2.02014</v>
      </c>
      <c r="AR51" s="62">
        <f>NZ2050_industry_final_energy!N104</f>
        <v>2.13828</v>
      </c>
      <c r="AS51" s="62">
        <f>NZ2050_industry_final_energy!O104</f>
        <v>2.2135099999999999</v>
      </c>
    </row>
    <row r="52" spans="12:45">
      <c r="L52" s="62" t="str">
        <f>'CurPol_industry_final_energ (2)'!A74</f>
        <v>CurPol,date=2022-3-7T01:16:15-015:00</v>
      </c>
      <c r="M52" s="62" t="str">
        <f>'CurPol_industry_final_energ (2)'!B74</f>
        <v>South Korea</v>
      </c>
      <c r="N52" s="62" t="str">
        <f>'CurPol_industry_final_energ (2)'!C74</f>
        <v>construction feedstocks</v>
      </c>
      <c r="O52" s="62" t="str">
        <f>'CurPol_industry_final_energ (2)'!D74</f>
        <v>refined liquids industrial</v>
      </c>
      <c r="P52" s="62">
        <f>'CurPol_industry_final_energ (2)'!E74</f>
        <v>3.2608900000000003E-2</v>
      </c>
      <c r="Q52" s="62">
        <f>'CurPol_industry_final_energ (2)'!F74</f>
        <v>5.08599E-2</v>
      </c>
      <c r="R52" s="62">
        <f>'CurPol_industry_final_energ (2)'!G74</f>
        <v>5.3873799999999999E-2</v>
      </c>
      <c r="S52" s="62">
        <f>'CurPol_industry_final_energ (2)'!H74</f>
        <v>4.94367E-2</v>
      </c>
      <c r="T52" s="62">
        <f>'CurPol_industry_final_energ (2)'!I74</f>
        <v>5.4238799999999997E-2</v>
      </c>
      <c r="U52" s="62">
        <f>'CurPol_industry_final_energ (2)'!J74</f>
        <v>5.7499799999999997E-2</v>
      </c>
      <c r="V52" s="62">
        <f>'CurPol_industry_final_energ (2)'!K74</f>
        <v>5.8557600000000001E-2</v>
      </c>
      <c r="W52" s="62">
        <f>'CurPol_industry_final_energ (2)'!L74</f>
        <v>5.9224600000000002E-2</v>
      </c>
      <c r="X52" s="62">
        <f>'CurPol_industry_final_energ (2)'!M74</f>
        <v>6.0279899999999997E-2</v>
      </c>
      <c r="Y52" s="62">
        <f>'CurPol_industry_final_energ (2)'!N74</f>
        <v>6.1346600000000001E-2</v>
      </c>
      <c r="Z52" s="62">
        <f>'CurPol_industry_final_energ (2)'!O74</f>
        <v>6.2424199999999999E-2</v>
      </c>
      <c r="AE52" s="62" t="str">
        <f>NZ2050_industry_final_energy!A105</f>
        <v>NZ2050,date=2022-23-6T11:29:55+09:00</v>
      </c>
      <c r="AF52" s="62" t="str">
        <f>NZ2050_industry_final_energy!B105</f>
        <v>South Korea</v>
      </c>
      <c r="AG52" s="62" t="str">
        <f>NZ2050_industry_final_energy!C105</f>
        <v>construction feedstocks</v>
      </c>
      <c r="AH52" s="62" t="str">
        <f>NZ2050_industry_final_energy!D105</f>
        <v>NZ2050,date=2022-3-7T01:15:47-015:00</v>
      </c>
      <c r="AI52" s="62" t="str">
        <f>NZ2050_industry_final_energy!E105</f>
        <v>South Korea</v>
      </c>
      <c r="AJ52" s="62" t="str">
        <f>NZ2050_industry_final_energy!F105</f>
        <v>construction feedstocks</v>
      </c>
      <c r="AK52" s="62" t="str">
        <f>NZ2050_industry_final_energy!G105</f>
        <v>refined liquids industrial</v>
      </c>
      <c r="AL52" s="62">
        <f>NZ2050_industry_final_energy!H105</f>
        <v>3.2608900000000003E-2</v>
      </c>
      <c r="AM52" s="62">
        <f>NZ2050_industry_final_energy!I105</f>
        <v>5.08599E-2</v>
      </c>
      <c r="AN52" s="62">
        <f>NZ2050_industry_final_energy!J105</f>
        <v>5.3873799999999999E-2</v>
      </c>
      <c r="AO52" s="62">
        <f>NZ2050_industry_final_energy!K105</f>
        <v>4.94367E-2</v>
      </c>
      <c r="AP52" s="62">
        <f>NZ2050_industry_final_energy!L105</f>
        <v>5.4238799999999997E-2</v>
      </c>
      <c r="AQ52" s="62">
        <f>NZ2050_industry_final_energy!M105</f>
        <v>5.7499799999999997E-2</v>
      </c>
      <c r="AR52" s="62">
        <f>NZ2050_industry_final_energy!N105</f>
        <v>5.7588500000000001E-2</v>
      </c>
      <c r="AS52" s="62">
        <f>NZ2050_industry_final_energy!O105</f>
        <v>5.6500700000000001E-2</v>
      </c>
    </row>
    <row r="53" spans="12:45">
      <c r="L53" s="62" t="str">
        <f>'CurPol_industry_final_energ (2)'!A75</f>
        <v>CurPol,date=2022-3-7T01:16:15-015:00</v>
      </c>
      <c r="M53" s="62" t="str">
        <f>'CurPol_industry_final_energ (2)'!B75</f>
        <v>South Korea</v>
      </c>
      <c r="N53" s="62" t="str">
        <f>'CurPol_industry_final_energ (2)'!C75</f>
        <v>other industrial feedstocks</v>
      </c>
      <c r="O53" s="62" t="str">
        <f>'CurPol_industry_final_energ (2)'!D75</f>
        <v>refined liquids industrial</v>
      </c>
      <c r="P53" s="62">
        <f>'CurPol_industry_final_energ (2)'!E75</f>
        <v>0</v>
      </c>
      <c r="Q53" s="62">
        <f>'CurPol_industry_final_energ (2)'!F75</f>
        <v>3.1394999999999999E-2</v>
      </c>
      <c r="R53" s="62">
        <f>'CurPol_industry_final_energ (2)'!G75</f>
        <v>3.1520600000000003E-2</v>
      </c>
      <c r="S53" s="62">
        <f>'CurPol_industry_final_energ (2)'!H75</f>
        <v>2.9218299999999999E-2</v>
      </c>
      <c r="T53" s="62">
        <f>'CurPol_industry_final_energ (2)'!I75</f>
        <v>3.22203E-2</v>
      </c>
      <c r="U53" s="62">
        <f>'CurPol_industry_final_energ (2)'!J75</f>
        <v>3.8402800000000001E-2</v>
      </c>
      <c r="V53" s="62">
        <f>'CurPol_industry_final_energ (2)'!K75</f>
        <v>4.89063E-2</v>
      </c>
      <c r="W53" s="62">
        <f>'CurPol_industry_final_energ (2)'!L75</f>
        <v>7.4603199999999995E-2</v>
      </c>
      <c r="X53" s="62">
        <f>'CurPol_industry_final_energ (2)'!M75</f>
        <v>0.10693</v>
      </c>
      <c r="Y53" s="62">
        <f>'CurPol_industry_final_energ (2)'!N75</f>
        <v>0.125863</v>
      </c>
      <c r="Z53" s="62">
        <f>'CurPol_industry_final_energ (2)'!O75</f>
        <v>0.139158</v>
      </c>
      <c r="AE53" s="62" t="str">
        <f>NZ2050_industry_final_energy!A106</f>
        <v>NZ2050,date=2022-23-6T11:29:55+09:00</v>
      </c>
      <c r="AF53" s="62" t="str">
        <f>NZ2050_industry_final_energy!B106</f>
        <v>South Korea</v>
      </c>
      <c r="AG53" s="62" t="str">
        <f>NZ2050_industry_final_energy!C106</f>
        <v>other industrial feedstocks</v>
      </c>
      <c r="AH53" s="62" t="str">
        <f>NZ2050_industry_final_energy!D106</f>
        <v>NZ2050,date=2022-3-7T01:15:47-015:00</v>
      </c>
      <c r="AI53" s="62" t="str">
        <f>NZ2050_industry_final_energy!E106</f>
        <v>South Korea</v>
      </c>
      <c r="AJ53" s="62" t="str">
        <f>NZ2050_industry_final_energy!F106</f>
        <v>other industrial feedstocks</v>
      </c>
      <c r="AK53" s="62" t="str">
        <f>NZ2050_industry_final_energy!G106</f>
        <v>refined liquids industrial</v>
      </c>
      <c r="AL53" s="62">
        <f>NZ2050_industry_final_energy!H106</f>
        <v>0</v>
      </c>
      <c r="AM53" s="62">
        <f>NZ2050_industry_final_energy!I106</f>
        <v>3.1394999999999999E-2</v>
      </c>
      <c r="AN53" s="62">
        <f>NZ2050_industry_final_energy!J106</f>
        <v>3.1520600000000003E-2</v>
      </c>
      <c r="AO53" s="62">
        <f>NZ2050_industry_final_energy!K106</f>
        <v>2.9218299999999999E-2</v>
      </c>
      <c r="AP53" s="62">
        <f>NZ2050_industry_final_energy!L106</f>
        <v>3.22203E-2</v>
      </c>
      <c r="AQ53" s="62">
        <f>NZ2050_industry_final_energy!M106</f>
        <v>3.8403E-2</v>
      </c>
      <c r="AR53" s="62">
        <f>NZ2050_industry_final_energy!N106</f>
        <v>4.7491199999999997E-2</v>
      </c>
      <c r="AS53" s="62">
        <f>NZ2050_industry_final_energy!O106</f>
        <v>7.0613700000000001E-2</v>
      </c>
    </row>
    <row r="55" spans="12:45">
      <c r="L55" s="1" t="s">
        <v>11</v>
      </c>
      <c r="AE55" s="1" t="s">
        <v>11</v>
      </c>
    </row>
    <row r="56" spans="12:45">
      <c r="L56" s="62" t="s">
        <v>8</v>
      </c>
      <c r="M56" s="62" t="s">
        <v>9</v>
      </c>
      <c r="R56" s="62">
        <v>2015</v>
      </c>
      <c r="S56" s="62">
        <v>2020</v>
      </c>
      <c r="T56" s="62">
        <v>2025</v>
      </c>
      <c r="U56" s="62">
        <v>2030</v>
      </c>
      <c r="V56" s="62">
        <v>2035</v>
      </c>
      <c r="W56" s="62">
        <v>2040</v>
      </c>
      <c r="X56" s="62">
        <v>2045</v>
      </c>
      <c r="Y56" s="62">
        <v>2050</v>
      </c>
      <c r="AE56" s="62" t="s">
        <v>8</v>
      </c>
      <c r="AF56" s="62" t="s">
        <v>9</v>
      </c>
      <c r="AK56" s="62">
        <v>2015</v>
      </c>
      <c r="AL56" s="62">
        <v>2020</v>
      </c>
      <c r="AM56" s="62">
        <v>2025</v>
      </c>
      <c r="AN56" s="62">
        <v>2030</v>
      </c>
      <c r="AO56" s="62">
        <v>2035</v>
      </c>
      <c r="AP56" s="62">
        <v>2040</v>
      </c>
      <c r="AQ56" s="62">
        <v>2045</v>
      </c>
      <c r="AR56" s="62">
        <v>2050</v>
      </c>
    </row>
    <row r="57" spans="12:45">
      <c r="L57" s="62" t="s">
        <v>0</v>
      </c>
      <c r="M57" s="62" t="s">
        <v>2</v>
      </c>
      <c r="P57" s="62" t="s">
        <v>2</v>
      </c>
      <c r="Q57" s="62" t="s">
        <v>12</v>
      </c>
      <c r="R57" s="102">
        <f>SUMIF($P$3:$P$41,$P57,U$3:U$41)</f>
        <v>0</v>
      </c>
      <c r="S57" s="102">
        <f t="shared" ref="S57:Y60" si="2">SUMIF($P$3:$P$41,$P57,V$3:V$41)</f>
        <v>7.03035E-7</v>
      </c>
      <c r="T57" s="102">
        <f t="shared" si="2"/>
        <v>4.9889570999999998E-6</v>
      </c>
      <c r="U57" s="102">
        <f t="shared" si="2"/>
        <v>7.6182841999999998E-6</v>
      </c>
      <c r="V57" s="102">
        <f t="shared" si="2"/>
        <v>2.39234179E-5</v>
      </c>
      <c r="W57" s="102">
        <f t="shared" si="2"/>
        <v>4.1730794099999999E-5</v>
      </c>
      <c r="X57" s="102">
        <f t="shared" si="2"/>
        <v>6.5954360199999994E-5</v>
      </c>
      <c r="Y57" s="102">
        <f t="shared" si="2"/>
        <v>1.4197163123000001E-4</v>
      </c>
      <c r="AE57" s="62" t="s">
        <v>0</v>
      </c>
      <c r="AF57" s="62" t="s">
        <v>2</v>
      </c>
      <c r="AI57" s="62" t="s">
        <v>2</v>
      </c>
      <c r="AJ57" s="62" t="s">
        <v>12</v>
      </c>
      <c r="AK57" s="57">
        <f>SUMIF($AI$3:$AI$42,$AI57,AN$3:AN$42)</f>
        <v>0</v>
      </c>
      <c r="AL57" s="57">
        <f t="shared" ref="AL57:AR57" si="3">SUMIF($AI$3:$AI$42,$AI57,AO$3:AO$42)</f>
        <v>7.0510899999999996E-7</v>
      </c>
      <c r="AM57" s="57">
        <f t="shared" si="3"/>
        <v>2.9655619999999998E-6</v>
      </c>
      <c r="AN57" s="57">
        <f t="shared" si="3"/>
        <v>4.9195790000000004E-6</v>
      </c>
      <c r="AO57" s="57">
        <f t="shared" si="3"/>
        <v>4.3048944999999997E-5</v>
      </c>
      <c r="AP57" s="57">
        <f t="shared" si="3"/>
        <v>2.41186387E-4</v>
      </c>
      <c r="AQ57" s="57">
        <f t="shared" si="3"/>
        <v>7.7785399999999905E-4</v>
      </c>
      <c r="AR57" s="57">
        <f t="shared" si="3"/>
        <v>3.3743306703999999E-3</v>
      </c>
    </row>
    <row r="58" spans="12:45">
      <c r="L58" s="62" t="s">
        <v>0</v>
      </c>
      <c r="M58" s="62" t="s">
        <v>5</v>
      </c>
      <c r="P58" s="62" t="s">
        <v>5</v>
      </c>
      <c r="Q58" s="62" t="s">
        <v>17</v>
      </c>
      <c r="R58" s="102">
        <f>SUMIF($P$3:$P$41,$P58,U$3:U$41)</f>
        <v>1.9656400000000001E-2</v>
      </c>
      <c r="S58" s="102">
        <f t="shared" si="2"/>
        <v>2.0393643999999999E-2</v>
      </c>
      <c r="T58" s="102">
        <f t="shared" si="2"/>
        <v>2.3707763999999999E-2</v>
      </c>
      <c r="U58" s="102">
        <f t="shared" si="2"/>
        <v>2.4571488999999998E-2</v>
      </c>
      <c r="V58" s="102">
        <f t="shared" si="2"/>
        <v>2.4714197E-2</v>
      </c>
      <c r="W58" s="102">
        <f t="shared" si="2"/>
        <v>2.4835144999999999E-2</v>
      </c>
      <c r="X58" s="102">
        <f t="shared" si="2"/>
        <v>2.5378276000000002E-2</v>
      </c>
      <c r="Y58" s="102">
        <f t="shared" si="2"/>
        <v>2.6144399200000001E-2</v>
      </c>
      <c r="AE58" s="62" t="s">
        <v>0</v>
      </c>
      <c r="AF58" s="62" t="s">
        <v>5</v>
      </c>
      <c r="AI58" s="62" t="s">
        <v>5</v>
      </c>
      <c r="AJ58" s="62" t="s">
        <v>17</v>
      </c>
      <c r="AK58" s="57">
        <f>SUMIF($AI$3:$AI$42,$P58,AN$3:AN$42)</f>
        <v>1.9656400000000001E-2</v>
      </c>
      <c r="AL58" s="57">
        <f t="shared" ref="AL58:AR59" si="4">SUMIF($AI$3:$AI$42,$P58,AO$3:AO$42)</f>
        <v>2.0393651999999901E-2</v>
      </c>
      <c r="AM58" s="57">
        <f t="shared" si="4"/>
        <v>2.071320598E-2</v>
      </c>
      <c r="AN58" s="57">
        <f t="shared" si="4"/>
        <v>1.8572186180000002E-2</v>
      </c>
      <c r="AO58" s="57">
        <f t="shared" si="4"/>
        <v>1.6306496770000001E-2</v>
      </c>
      <c r="AP58" s="57">
        <f t="shared" si="4"/>
        <v>1.6102081970000001E-2</v>
      </c>
      <c r="AQ58" s="57">
        <f t="shared" si="4"/>
        <v>1.6023501339999999E-2</v>
      </c>
      <c r="AR58" s="57">
        <f t="shared" si="4"/>
        <v>1.4228293517E-2</v>
      </c>
    </row>
    <row r="59" spans="12:45">
      <c r="L59" s="62" t="s">
        <v>0</v>
      </c>
      <c r="M59" s="62" t="s">
        <v>3</v>
      </c>
      <c r="P59" s="62" t="s">
        <v>3</v>
      </c>
      <c r="Q59" s="62" t="s">
        <v>684</v>
      </c>
      <c r="R59" s="102">
        <f>SUMIF($P$3:$P$41,$P59,U$3:U$41)</f>
        <v>3.9861500000000001E-2</v>
      </c>
      <c r="S59" s="102">
        <f t="shared" si="2"/>
        <v>4.2869159999999899E-2</v>
      </c>
      <c r="T59" s="102">
        <f t="shared" si="2"/>
        <v>5.1275689999999999E-2</v>
      </c>
      <c r="U59" s="102">
        <f t="shared" si="2"/>
        <v>5.3626339999999897E-2</v>
      </c>
      <c r="V59" s="102">
        <f t="shared" si="2"/>
        <v>5.5506949999999999E-2</v>
      </c>
      <c r="W59" s="102">
        <f t="shared" si="2"/>
        <v>5.8140299999999999E-2</v>
      </c>
      <c r="X59" s="102">
        <f t="shared" si="2"/>
        <v>6.2524125E-2</v>
      </c>
      <c r="Y59" s="102">
        <f t="shared" si="2"/>
        <v>7.1754316999999998E-2</v>
      </c>
      <c r="AE59" s="62" t="s">
        <v>0</v>
      </c>
      <c r="AF59" s="62" t="s">
        <v>3</v>
      </c>
      <c r="AI59" s="62" t="s">
        <v>3</v>
      </c>
      <c r="AJ59" s="62" t="s">
        <v>684</v>
      </c>
      <c r="AK59" s="57">
        <f>SUMIF($AI$3:$AI$42,$P59,AN$3:AN$42)</f>
        <v>3.9861500000000001E-2</v>
      </c>
      <c r="AL59" s="57">
        <f t="shared" si="4"/>
        <v>4.2715490000000002E-2</v>
      </c>
      <c r="AM59" s="57">
        <f t="shared" si="4"/>
        <v>5.2146229999999898E-2</v>
      </c>
      <c r="AN59" s="57">
        <f t="shared" si="4"/>
        <v>5.3978180000000001E-2</v>
      </c>
      <c r="AO59" s="57">
        <f t="shared" si="4"/>
        <v>7.0393449999999996E-2</v>
      </c>
      <c r="AP59" s="57">
        <f t="shared" si="4"/>
        <v>8.8953599999999994E-2</v>
      </c>
      <c r="AQ59" s="57">
        <f t="shared" si="4"/>
        <v>9.6653868000000004E-2</v>
      </c>
      <c r="AR59" s="57">
        <f t="shared" si="4"/>
        <v>8.4369735000000001E-2</v>
      </c>
    </row>
    <row r="60" spans="12:45">
      <c r="L60" s="62" t="s">
        <v>0</v>
      </c>
      <c r="M60" s="62" t="s">
        <v>7</v>
      </c>
      <c r="P60" s="62" t="s">
        <v>7</v>
      </c>
      <c r="Q60" s="62" t="s">
        <v>15</v>
      </c>
      <c r="R60" s="102">
        <f>SUMIF($P$3:$P$41,$P60,U$3:U$41)</f>
        <v>0</v>
      </c>
      <c r="S60" s="102">
        <f t="shared" si="2"/>
        <v>0</v>
      </c>
      <c r="T60" s="102">
        <f t="shared" si="2"/>
        <v>0</v>
      </c>
      <c r="U60" s="102">
        <f t="shared" si="2"/>
        <v>0</v>
      </c>
      <c r="V60" s="102">
        <f t="shared" si="2"/>
        <v>0</v>
      </c>
      <c r="W60" s="102">
        <f t="shared" si="2"/>
        <v>0</v>
      </c>
      <c r="X60" s="102">
        <f t="shared" si="2"/>
        <v>0</v>
      </c>
      <c r="Y60" s="102">
        <f t="shared" si="2"/>
        <v>0</v>
      </c>
      <c r="AE60" s="62" t="s">
        <v>0</v>
      </c>
      <c r="AF60" s="62" t="s">
        <v>7</v>
      </c>
      <c r="AI60" s="62" t="s">
        <v>7</v>
      </c>
      <c r="AJ60" s="62" t="s">
        <v>15</v>
      </c>
      <c r="AK60" s="57">
        <f>SUMIF($AI$3:$AI$42,$P60,AN$3:AN$42)-AK61</f>
        <v>0</v>
      </c>
      <c r="AL60" s="57">
        <f t="shared" ref="AL60:AR60" si="5">SUMIF($AI$3:$AI$42,$P60,AO$3:AO$42)-AL61</f>
        <v>0</v>
      </c>
      <c r="AM60" s="57">
        <f t="shared" si="5"/>
        <v>0</v>
      </c>
      <c r="AN60" s="57">
        <f t="shared" si="5"/>
        <v>0</v>
      </c>
      <c r="AO60" s="57">
        <f t="shared" si="5"/>
        <v>0</v>
      </c>
      <c r="AP60" s="57">
        <f t="shared" si="5"/>
        <v>0</v>
      </c>
      <c r="AQ60" s="57">
        <f t="shared" si="5"/>
        <v>0</v>
      </c>
      <c r="AR60" s="57">
        <f t="shared" si="5"/>
        <v>0</v>
      </c>
    </row>
    <row r="61" spans="12:45">
      <c r="Q61" s="62" t="s">
        <v>114</v>
      </c>
      <c r="R61" s="102"/>
      <c r="S61" s="102"/>
      <c r="T61" s="102"/>
      <c r="U61" s="102"/>
      <c r="V61" s="102"/>
      <c r="W61" s="102"/>
      <c r="X61" s="102"/>
      <c r="Y61" s="102"/>
      <c r="AJ61" s="62" t="s">
        <v>114</v>
      </c>
      <c r="AK61" s="57">
        <f>AN25</f>
        <v>0</v>
      </c>
      <c r="AL61" s="57">
        <f t="shared" ref="AL61:AR61" si="6">AO25</f>
        <v>0</v>
      </c>
      <c r="AM61" s="57">
        <f t="shared" si="6"/>
        <v>0</v>
      </c>
      <c r="AN61" s="57">
        <f t="shared" si="6"/>
        <v>0</v>
      </c>
      <c r="AO61" s="57">
        <f t="shared" si="6"/>
        <v>0</v>
      </c>
      <c r="AP61" s="57">
        <f t="shared" si="6"/>
        <v>0</v>
      </c>
      <c r="AQ61" s="57">
        <f t="shared" si="6"/>
        <v>0</v>
      </c>
      <c r="AR61" s="57">
        <f t="shared" si="6"/>
        <v>0</v>
      </c>
    </row>
    <row r="62" spans="12:45">
      <c r="L62" s="62" t="s">
        <v>0</v>
      </c>
      <c r="M62" s="62" t="s">
        <v>4</v>
      </c>
      <c r="P62" s="62" t="s">
        <v>4</v>
      </c>
      <c r="Q62" s="62" t="s">
        <v>14</v>
      </c>
      <c r="R62" s="102">
        <f>SUMIF($P$3:$P$41,$P62,U$3:U$41)</f>
        <v>0.114653</v>
      </c>
      <c r="S62" s="102">
        <f t="shared" ref="S62:Y62" si="7">SUMIF($P$3:$P$41,$P62,V$3:V$41)</f>
        <v>0.12767510000000001</v>
      </c>
      <c r="T62" s="102">
        <f t="shared" si="7"/>
        <v>0.16172510000000001</v>
      </c>
      <c r="U62" s="102">
        <f t="shared" si="7"/>
        <v>0.17174709999999899</v>
      </c>
      <c r="V62" s="102">
        <f t="shared" si="7"/>
        <v>0.17839740000000001</v>
      </c>
      <c r="W62" s="102">
        <f t="shared" si="7"/>
        <v>0.18304139</v>
      </c>
      <c r="X62" s="102">
        <f t="shared" si="7"/>
        <v>0.18492159999999999</v>
      </c>
      <c r="Y62" s="102">
        <f t="shared" si="7"/>
        <v>0.180821379</v>
      </c>
      <c r="AE62" s="62" t="s">
        <v>0</v>
      </c>
      <c r="AF62" s="62" t="s">
        <v>4</v>
      </c>
      <c r="AI62" s="62" t="s">
        <v>4</v>
      </c>
      <c r="AJ62" s="62" t="s">
        <v>14</v>
      </c>
      <c r="AK62" s="57">
        <f>SUMIF($AI$3:$AI$42,$P62,AN$3:AN$42)</f>
        <v>0.114653</v>
      </c>
      <c r="AL62" s="57">
        <f t="shared" ref="AL62:AR62" si="8">SUMIF($AI$3:$AI$42,$P62,AO$3:AO$42)</f>
        <v>0.12808169999999999</v>
      </c>
      <c r="AM62" s="57">
        <f t="shared" si="8"/>
        <v>0.12534408</v>
      </c>
      <c r="AN62" s="57">
        <f t="shared" si="8"/>
        <v>0.105756499999999</v>
      </c>
      <c r="AO62" s="57">
        <f t="shared" si="8"/>
        <v>6.8351079999999995E-2</v>
      </c>
      <c r="AP62" s="57">
        <f t="shared" si="8"/>
        <v>3.8392179999999998E-2</v>
      </c>
      <c r="AQ62" s="57">
        <f t="shared" si="8"/>
        <v>2.2441860000000001E-2</v>
      </c>
      <c r="AR62" s="57">
        <f t="shared" si="8"/>
        <v>1.28099529999999E-2</v>
      </c>
    </row>
    <row r="63" spans="12:45">
      <c r="L63" s="62" t="s">
        <v>26</v>
      </c>
      <c r="P63" s="62" t="s">
        <v>4</v>
      </c>
      <c r="Q63" s="62" t="s">
        <v>30</v>
      </c>
      <c r="R63" s="102">
        <v>0</v>
      </c>
      <c r="S63" s="102">
        <v>0</v>
      </c>
      <c r="T63" s="102">
        <v>0</v>
      </c>
      <c r="U63" s="102">
        <v>0</v>
      </c>
      <c r="V63" s="102">
        <v>0</v>
      </c>
      <c r="W63" s="102">
        <v>0</v>
      </c>
      <c r="X63" s="102">
        <v>0</v>
      </c>
      <c r="Y63" s="102">
        <v>0</v>
      </c>
      <c r="AE63" s="62" t="s">
        <v>26</v>
      </c>
      <c r="AI63" s="62" t="s">
        <v>4</v>
      </c>
      <c r="AJ63" s="62" t="s">
        <v>30</v>
      </c>
      <c r="AK63" s="57">
        <v>0</v>
      </c>
      <c r="AL63" s="57">
        <v>0</v>
      </c>
      <c r="AM63" s="57">
        <v>0</v>
      </c>
      <c r="AN63" s="57">
        <v>0</v>
      </c>
      <c r="AO63" s="57">
        <v>0</v>
      </c>
      <c r="AP63" s="57">
        <v>0</v>
      </c>
      <c r="AQ63" s="57">
        <v>0</v>
      </c>
      <c r="AR63" s="57">
        <v>0</v>
      </c>
    </row>
    <row r="64" spans="12:45">
      <c r="L64" s="62" t="s">
        <v>27</v>
      </c>
      <c r="M64" s="62" t="s">
        <v>6</v>
      </c>
      <c r="P64" s="62" t="s">
        <v>6</v>
      </c>
      <c r="Q64" s="62" t="s">
        <v>305</v>
      </c>
      <c r="R64" s="102">
        <f>SUMIF($P$3:$P$41,$P64,U$3:U$41)-R65</f>
        <v>2.1070200000000001E-2</v>
      </c>
      <c r="S64" s="102">
        <f t="shared" ref="S64:Y64" si="9">SUMIF($P$3:$P$41,$P64,V$3:V$41)-S65</f>
        <v>1.24918799999999E-2</v>
      </c>
      <c r="T64" s="102">
        <f t="shared" si="9"/>
        <v>4.1522449999999997E-3</v>
      </c>
      <c r="U64" s="102">
        <f t="shared" si="9"/>
        <v>3.8133020000000002E-3</v>
      </c>
      <c r="V64" s="102">
        <f t="shared" si="9"/>
        <v>3.54558E-3</v>
      </c>
      <c r="W64" s="102">
        <f t="shared" si="9"/>
        <v>2.8582690000000001E-3</v>
      </c>
      <c r="X64" s="102">
        <f t="shared" si="9"/>
        <v>2.2705734999999999E-3</v>
      </c>
      <c r="Y64" s="102">
        <f t="shared" si="9"/>
        <v>2.2865235000000001E-3</v>
      </c>
      <c r="AE64" s="62" t="s">
        <v>27</v>
      </c>
      <c r="AF64" s="62" t="s">
        <v>6</v>
      </c>
      <c r="AI64" s="62" t="s">
        <v>6</v>
      </c>
      <c r="AJ64" s="62" t="s">
        <v>305</v>
      </c>
      <c r="AK64" s="57">
        <f>SUMIF($AI$3:$AI$42,$P64,AN$3:AN$42)-AK65</f>
        <v>2.1070200000000001E-2</v>
      </c>
      <c r="AL64" s="57">
        <f t="shared" ref="AL64:AR64" si="10">SUMIF($AI$3:$AI$42,$P64,AO$3:AO$42)-AL65</f>
        <v>1.2224250000000001E-2</v>
      </c>
      <c r="AM64" s="57">
        <f t="shared" si="10"/>
        <v>9.5929339999999991E-3</v>
      </c>
      <c r="AN64" s="57">
        <f t="shared" si="10"/>
        <v>8.3324920000000004E-3</v>
      </c>
      <c r="AO64" s="57">
        <f t="shared" si="10"/>
        <v>8.1219380000000004E-3</v>
      </c>
      <c r="AP64" s="57">
        <f t="shared" si="10"/>
        <v>9.1147309999999992E-3</v>
      </c>
      <c r="AQ64" s="57">
        <f t="shared" si="10"/>
        <v>8.9483449999999999E-3</v>
      </c>
      <c r="AR64" s="57">
        <f t="shared" si="10"/>
        <v>7.6895179999999898E-3</v>
      </c>
    </row>
    <row r="65" spans="12:44">
      <c r="L65" s="62" t="s">
        <v>28</v>
      </c>
      <c r="O65" s="4" t="s">
        <v>21</v>
      </c>
      <c r="P65" s="62" t="s">
        <v>6</v>
      </c>
      <c r="Q65" s="62" t="s">
        <v>320</v>
      </c>
      <c r="R65" s="101"/>
      <c r="S65" s="101"/>
      <c r="T65" s="101"/>
      <c r="U65" s="101"/>
      <c r="V65" s="101"/>
      <c r="W65" s="101"/>
      <c r="X65" s="101"/>
      <c r="Y65" s="101"/>
      <c r="AE65" s="62" t="s">
        <v>28</v>
      </c>
      <c r="AH65" s="4" t="s">
        <v>21</v>
      </c>
      <c r="AI65" s="62" t="s">
        <v>6</v>
      </c>
      <c r="AJ65" s="62" t="s">
        <v>320</v>
      </c>
      <c r="AK65" s="101"/>
      <c r="AL65" s="101"/>
      <c r="AM65" s="101"/>
      <c r="AN65" s="101"/>
      <c r="AO65" s="101"/>
      <c r="AP65" s="101"/>
      <c r="AQ65" s="101"/>
      <c r="AR65" s="101"/>
    </row>
    <row r="66" spans="12:44">
      <c r="O66" s="4"/>
      <c r="AH66" s="4"/>
    </row>
    <row r="67" spans="12:44">
      <c r="L67" s="115" t="s">
        <v>29</v>
      </c>
      <c r="M67" s="115"/>
      <c r="N67" s="115"/>
      <c r="O67" s="115"/>
      <c r="P67" s="115"/>
      <c r="Q67" s="115"/>
      <c r="R67" s="62">
        <f t="shared" ref="R67:Y67" si="11">SUM(R57:R65)</f>
        <v>0.19524110000000003</v>
      </c>
      <c r="S67" s="62">
        <f t="shared" si="11"/>
        <v>0.20343048703499983</v>
      </c>
      <c r="T67" s="62">
        <f t="shared" si="11"/>
        <v>0.24086578795710001</v>
      </c>
      <c r="U67" s="62">
        <f t="shared" si="11"/>
        <v>0.25376584928419887</v>
      </c>
      <c r="V67" s="62">
        <f t="shared" si="11"/>
        <v>0.2621880504179</v>
      </c>
      <c r="W67" s="62">
        <f t="shared" si="11"/>
        <v>0.26891683479410006</v>
      </c>
      <c r="X67" s="62">
        <f t="shared" si="11"/>
        <v>0.27516052886019998</v>
      </c>
      <c r="Y67" s="62">
        <f t="shared" si="11"/>
        <v>0.28114859033123002</v>
      </c>
      <c r="AE67" s="115" t="s">
        <v>29</v>
      </c>
      <c r="AF67" s="115"/>
      <c r="AG67" s="115"/>
      <c r="AH67" s="115"/>
      <c r="AI67" s="115"/>
      <c r="AJ67" s="115"/>
      <c r="AK67" s="101">
        <f>SUM(AK57:AK66)</f>
        <v>0.19524110000000003</v>
      </c>
      <c r="AL67" s="102">
        <f t="shared" ref="AL67:AR67" si="12">SUM(AL57:AL66)</f>
        <v>0.20341579710899987</v>
      </c>
      <c r="AM67" s="57">
        <f t="shared" si="12"/>
        <v>0.20779941554199988</v>
      </c>
      <c r="AN67" s="57">
        <f t="shared" si="12"/>
        <v>0.186644277758999</v>
      </c>
      <c r="AO67" s="57">
        <f t="shared" si="12"/>
        <v>0.163216013715</v>
      </c>
      <c r="AP67" s="57">
        <f t="shared" si="12"/>
        <v>0.15280377935699999</v>
      </c>
      <c r="AQ67" s="57">
        <f t="shared" si="12"/>
        <v>0.14484542834</v>
      </c>
      <c r="AR67" s="57">
        <f t="shared" si="12"/>
        <v>0.12247183018739989</v>
      </c>
    </row>
    <row r="70" spans="12:44">
      <c r="AK70" s="62">
        <v>0</v>
      </c>
      <c r="AL70" s="62">
        <v>7.0510899999999996E-7</v>
      </c>
      <c r="AM70" s="62">
        <v>2.9655619999999998E-6</v>
      </c>
      <c r="AN70" s="62">
        <v>4.9195790000000004E-6</v>
      </c>
      <c r="AO70" s="62">
        <v>4.3048944999999997E-5</v>
      </c>
      <c r="AP70" s="62">
        <v>2.41186387E-4</v>
      </c>
      <c r="AQ70" s="62">
        <v>7.7785399999999905E-4</v>
      </c>
      <c r="AR70" s="62">
        <v>3.3743306703999999E-3</v>
      </c>
    </row>
    <row r="71" spans="12:44">
      <c r="AK71" s="62">
        <v>1.9656400000000001E-2</v>
      </c>
      <c r="AL71" s="62">
        <v>2.0393651999999901E-2</v>
      </c>
      <c r="AM71" s="62">
        <v>2.071320598E-2</v>
      </c>
      <c r="AN71" s="62">
        <v>1.8572186180000002E-2</v>
      </c>
      <c r="AO71" s="62">
        <v>1.6306496770000001E-2</v>
      </c>
      <c r="AP71" s="62">
        <v>1.6102081970000001E-2</v>
      </c>
      <c r="AQ71" s="62">
        <v>1.6023501339999999E-2</v>
      </c>
      <c r="AR71" s="62">
        <v>1.4228293517E-2</v>
      </c>
    </row>
    <row r="72" spans="12:44">
      <c r="AK72" s="62">
        <v>3.9861500000000001E-2</v>
      </c>
      <c r="AL72" s="62">
        <v>4.2715490000000002E-2</v>
      </c>
      <c r="AM72" s="62">
        <v>5.2146229999999898E-2</v>
      </c>
      <c r="AN72" s="62">
        <v>5.3978180000000001E-2</v>
      </c>
      <c r="AO72" s="62">
        <v>7.0393449999999996E-2</v>
      </c>
      <c r="AP72" s="62">
        <v>8.8953599999999994E-2</v>
      </c>
      <c r="AQ72" s="62">
        <v>9.6653868000000004E-2</v>
      </c>
      <c r="AR72" s="62">
        <v>8.4369735000000001E-2</v>
      </c>
    </row>
    <row r="73" spans="12:44">
      <c r="AK73" s="62">
        <v>0</v>
      </c>
      <c r="AL73" s="62">
        <v>0</v>
      </c>
      <c r="AM73" s="62">
        <v>0</v>
      </c>
      <c r="AN73" s="62">
        <v>0</v>
      </c>
      <c r="AO73" s="62">
        <v>0</v>
      </c>
      <c r="AP73" s="62">
        <v>0</v>
      </c>
      <c r="AQ73" s="62">
        <v>0</v>
      </c>
      <c r="AR73" s="62">
        <v>0</v>
      </c>
    </row>
    <row r="74" spans="12:44">
      <c r="AK74" s="62">
        <v>0</v>
      </c>
      <c r="AL74" s="62">
        <v>0</v>
      </c>
      <c r="AM74" s="62">
        <v>0</v>
      </c>
      <c r="AN74" s="62">
        <v>0</v>
      </c>
      <c r="AO74" s="62">
        <v>0</v>
      </c>
      <c r="AP74" s="62">
        <v>0</v>
      </c>
      <c r="AQ74" s="62">
        <v>0</v>
      </c>
      <c r="AR74" s="62">
        <v>0</v>
      </c>
    </row>
    <row r="75" spans="12:44">
      <c r="AK75" s="62">
        <v>0.114653</v>
      </c>
      <c r="AL75" s="62">
        <v>0.12808169999999999</v>
      </c>
      <c r="AM75" s="62">
        <v>0.12534408</v>
      </c>
      <c r="AN75" s="62">
        <v>0.105756499999999</v>
      </c>
      <c r="AO75" s="62">
        <v>6.8351079999999995E-2</v>
      </c>
      <c r="AP75" s="62">
        <v>3.8392179999999998E-2</v>
      </c>
      <c r="AQ75" s="62">
        <v>2.2441860000000001E-2</v>
      </c>
      <c r="AR75" s="62">
        <v>1.28099529999999E-2</v>
      </c>
    </row>
    <row r="76" spans="12:44">
      <c r="AK76" s="62">
        <v>0</v>
      </c>
      <c r="AL76" s="62">
        <v>0</v>
      </c>
      <c r="AM76" s="62">
        <v>0</v>
      </c>
      <c r="AN76" s="62">
        <v>0</v>
      </c>
      <c r="AO76" s="62">
        <v>0</v>
      </c>
      <c r="AP76" s="62">
        <v>0</v>
      </c>
      <c r="AQ76" s="62">
        <v>0</v>
      </c>
      <c r="AR76" s="62">
        <v>0</v>
      </c>
    </row>
    <row r="77" spans="12:44">
      <c r="AK77" s="62">
        <v>2.1070200000000001E-2</v>
      </c>
      <c r="AL77" s="62">
        <v>1.2224250000000001E-2</v>
      </c>
      <c r="AM77" s="62">
        <v>9.5929339999999991E-3</v>
      </c>
      <c r="AN77" s="62">
        <v>8.3324920000000004E-3</v>
      </c>
      <c r="AO77" s="62">
        <v>8.1219380000000004E-3</v>
      </c>
      <c r="AP77" s="62">
        <v>9.1147309999999992E-3</v>
      </c>
      <c r="AQ77" s="62">
        <v>8.9483449999999999E-3</v>
      </c>
      <c r="AR77" s="62">
        <v>7.6895179999999898E-3</v>
      </c>
    </row>
    <row r="78" spans="12:44">
      <c r="AK78" s="106">
        <v>0</v>
      </c>
      <c r="AL78" s="106">
        <v>1.9656400000000001E-2</v>
      </c>
      <c r="AM78" s="106">
        <v>3.9861500000000001E-2</v>
      </c>
      <c r="AN78" s="106">
        <v>0</v>
      </c>
      <c r="AO78" s="106">
        <v>0</v>
      </c>
      <c r="AP78" s="106">
        <v>0.114653</v>
      </c>
      <c r="AQ78" s="106">
        <v>0</v>
      </c>
      <c r="AR78" s="106">
        <v>2.1070200000000001E-2</v>
      </c>
    </row>
    <row r="79" spans="12:44">
      <c r="AK79" s="106">
        <v>7.0510899999999996E-7</v>
      </c>
      <c r="AL79" s="106">
        <v>2.0393651999999901E-2</v>
      </c>
      <c r="AM79" s="106">
        <v>4.2715490000000002E-2</v>
      </c>
      <c r="AN79" s="106">
        <v>0</v>
      </c>
      <c r="AO79" s="106">
        <v>0</v>
      </c>
      <c r="AP79" s="106">
        <v>0.12808169999999999</v>
      </c>
      <c r="AQ79" s="106">
        <v>0</v>
      </c>
      <c r="AR79" s="106">
        <v>1.2224250000000001E-2</v>
      </c>
    </row>
    <row r="80" spans="12:44">
      <c r="AK80" s="106">
        <v>2.9655619999999998E-6</v>
      </c>
      <c r="AL80" s="106">
        <v>2.071320598E-2</v>
      </c>
      <c r="AM80" s="106">
        <v>5.2146229999999898E-2</v>
      </c>
      <c r="AN80" s="106">
        <v>0</v>
      </c>
      <c r="AO80" s="106">
        <v>0</v>
      </c>
      <c r="AP80" s="106">
        <v>0.12534408</v>
      </c>
      <c r="AQ80" s="106">
        <v>0</v>
      </c>
      <c r="AR80" s="106">
        <v>9.5929339999999991E-3</v>
      </c>
    </row>
    <row r="81" spans="37:44">
      <c r="AK81" s="106">
        <v>4.9195790000000004E-6</v>
      </c>
      <c r="AL81" s="106">
        <v>1.8572186180000002E-2</v>
      </c>
      <c r="AM81" s="106">
        <v>5.3978180000000001E-2</v>
      </c>
      <c r="AN81" s="106">
        <v>0</v>
      </c>
      <c r="AO81" s="106">
        <v>0</v>
      </c>
      <c r="AP81" s="106">
        <v>0.105756499999999</v>
      </c>
      <c r="AQ81" s="106">
        <v>0</v>
      </c>
      <c r="AR81" s="106">
        <v>8.3324920000000004E-3</v>
      </c>
    </row>
    <row r="82" spans="37:44">
      <c r="AK82" s="106">
        <v>4.3048944999999997E-5</v>
      </c>
      <c r="AL82" s="106">
        <v>1.6306496770000001E-2</v>
      </c>
      <c r="AM82" s="106">
        <v>7.0393449999999996E-2</v>
      </c>
      <c r="AN82" s="106">
        <v>0</v>
      </c>
      <c r="AO82" s="106">
        <v>0</v>
      </c>
      <c r="AP82" s="106">
        <v>6.8351079999999995E-2</v>
      </c>
      <c r="AQ82" s="106">
        <v>0</v>
      </c>
      <c r="AR82" s="106">
        <v>8.1219380000000004E-3</v>
      </c>
    </row>
    <row r="83" spans="37:44">
      <c r="AK83" s="106">
        <v>2.41186387E-4</v>
      </c>
      <c r="AL83" s="106">
        <v>1.6102081970000001E-2</v>
      </c>
      <c r="AM83" s="106">
        <v>8.8953599999999994E-2</v>
      </c>
      <c r="AN83" s="106">
        <v>0</v>
      </c>
      <c r="AO83" s="106">
        <v>0</v>
      </c>
      <c r="AP83" s="106">
        <v>3.8392179999999998E-2</v>
      </c>
      <c r="AQ83" s="106">
        <v>0</v>
      </c>
      <c r="AR83" s="106">
        <v>9.1147309999999992E-3</v>
      </c>
    </row>
    <row r="84" spans="37:44">
      <c r="AK84" s="106">
        <v>7.7785399999999905E-4</v>
      </c>
      <c r="AL84" s="106">
        <v>1.6023501339999999E-2</v>
      </c>
      <c r="AM84" s="106">
        <v>9.6653868000000004E-2</v>
      </c>
      <c r="AN84" s="106">
        <v>0</v>
      </c>
      <c r="AO84" s="106">
        <v>0</v>
      </c>
      <c r="AP84" s="106">
        <v>2.2441860000000001E-2</v>
      </c>
      <c r="AQ84" s="106">
        <v>0</v>
      </c>
      <c r="AR84" s="106">
        <v>8.9483449999999999E-3</v>
      </c>
    </row>
    <row r="85" spans="37:44">
      <c r="AK85" s="106">
        <v>3.3743306703999999E-3</v>
      </c>
      <c r="AL85" s="106">
        <v>1.4228293517E-2</v>
      </c>
      <c r="AM85" s="106">
        <v>8.4369735000000001E-2</v>
      </c>
      <c r="AN85" s="106">
        <v>0</v>
      </c>
      <c r="AO85" s="106">
        <v>0</v>
      </c>
      <c r="AP85" s="106">
        <v>1.28099529999999E-2</v>
      </c>
      <c r="AQ85" s="106">
        <v>0</v>
      </c>
      <c r="AR85" s="106">
        <v>7.6895179999999898E-3</v>
      </c>
    </row>
  </sheetData>
  <mergeCells count="4">
    <mergeCell ref="L46:R46"/>
    <mergeCell ref="AE46:AK46"/>
    <mergeCell ref="L67:Q67"/>
    <mergeCell ref="AE67:AJ67"/>
  </mergeCell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92C65-1F9D-4F88-A988-518AA6D60AAB}">
  <dimension ref="A2:AU67"/>
  <sheetViews>
    <sheetView topLeftCell="U44" zoomScale="40" zoomScaleNormal="40" workbookViewId="0">
      <selection activeCell="AK60" sqref="AK60"/>
    </sheetView>
  </sheetViews>
  <sheetFormatPr defaultRowHeight="17.399999999999999"/>
  <cols>
    <col min="1" max="13" width="8.796875" style="62"/>
    <col min="14" max="14" width="22.796875" style="62" customWidth="1"/>
    <col min="15" max="15" width="15.09765625" style="62" customWidth="1"/>
    <col min="16" max="16" width="22.3984375" style="62" customWidth="1"/>
    <col min="17" max="17" width="22.8984375" style="62" customWidth="1"/>
    <col min="18" max="21" width="12.59765625" style="62" bestFit="1" customWidth="1"/>
    <col min="22" max="27" width="15.296875" style="62" bestFit="1" customWidth="1"/>
    <col min="28" max="28" width="11.796875" style="62" bestFit="1" customWidth="1"/>
    <col min="29" max="33" width="8.796875" style="62"/>
    <col min="34" max="34" width="19.796875" style="62" customWidth="1"/>
    <col min="35" max="35" width="28.296875" style="62" customWidth="1"/>
    <col min="36" max="36" width="16.59765625" style="62" customWidth="1"/>
    <col min="37" max="37" width="14" style="62" bestFit="1" customWidth="1"/>
    <col min="38" max="38" width="12.59765625" style="62" bestFit="1" customWidth="1"/>
    <col min="39" max="45" width="15.296875" style="62" bestFit="1" customWidth="1"/>
    <col min="46" max="46" width="9.09765625" style="62" bestFit="1" customWidth="1"/>
    <col min="47" max="47" width="8.8984375" style="62" bestFit="1" customWidth="1"/>
    <col min="48" max="16384" width="8.796875" style="62"/>
  </cols>
  <sheetData>
    <row r="2" spans="1:47">
      <c r="L2" s="62" t="s">
        <v>8</v>
      </c>
      <c r="M2" s="62" t="s">
        <v>9</v>
      </c>
      <c r="N2" s="62" t="s">
        <v>39</v>
      </c>
      <c r="O2" s="62" t="s">
        <v>40</v>
      </c>
      <c r="P2" s="62" t="s">
        <v>10</v>
      </c>
      <c r="Q2" s="62" t="s">
        <v>42</v>
      </c>
      <c r="R2" s="62">
        <v>1990</v>
      </c>
      <c r="S2" s="62">
        <v>2005</v>
      </c>
      <c r="T2" s="62">
        <v>2010</v>
      </c>
      <c r="U2" s="62">
        <v>2015</v>
      </c>
      <c r="V2" s="62">
        <v>2020</v>
      </c>
      <c r="W2" s="62">
        <v>2025</v>
      </c>
      <c r="X2" s="62">
        <v>2030</v>
      </c>
      <c r="Y2" s="62">
        <v>2035</v>
      </c>
      <c r="Z2" s="62">
        <v>2040</v>
      </c>
      <c r="AA2" s="62">
        <v>2045</v>
      </c>
      <c r="AB2" s="62">
        <v>2050</v>
      </c>
      <c r="AE2" s="62" t="s">
        <v>8</v>
      </c>
      <c r="AF2" s="62" t="s">
        <v>9</v>
      </c>
      <c r="AG2" s="62" t="s">
        <v>39</v>
      </c>
      <c r="AH2" s="62" t="s">
        <v>40</v>
      </c>
      <c r="AI2" s="62" t="s">
        <v>10</v>
      </c>
      <c r="AJ2" s="62" t="s">
        <v>42</v>
      </c>
      <c r="AK2" s="62">
        <v>1990</v>
      </c>
      <c r="AL2" s="62">
        <v>2005</v>
      </c>
      <c r="AM2" s="62">
        <v>2010</v>
      </c>
      <c r="AN2" s="62">
        <v>2015</v>
      </c>
      <c r="AO2" s="62">
        <v>2020</v>
      </c>
      <c r="AP2" s="62">
        <v>2025</v>
      </c>
      <c r="AQ2" s="62">
        <v>2030</v>
      </c>
      <c r="AR2" s="62">
        <v>2035</v>
      </c>
      <c r="AS2" s="62">
        <v>2040</v>
      </c>
      <c r="AT2" s="62">
        <v>2045</v>
      </c>
      <c r="AU2" s="62">
        <v>2050</v>
      </c>
    </row>
    <row r="3" spans="1:47">
      <c r="L3" s="62" t="str">
        <f>'CurPol_industry_final_energ (2)'!A19</f>
        <v>CurPol,date=2022-3-7T01:16:15-015:00</v>
      </c>
      <c r="M3" s="62" t="str">
        <f>'CurPol_industry_final_energ (2)'!B19</f>
        <v>South Korea</v>
      </c>
      <c r="N3" s="62" t="str">
        <f>'CurPol_industry_final_energ (2)'!C19</f>
        <v>construction energy use</v>
      </c>
      <c r="O3" s="62" t="str">
        <f>'CurPol_industry_final_energ (2)'!D19</f>
        <v>biomass</v>
      </c>
      <c r="P3" s="62" t="str">
        <f>'CurPol_industry_final_energ (2)'!E19</f>
        <v>delivered biomass</v>
      </c>
      <c r="Q3" s="62" t="str">
        <f>'CurPol_industry_final_energ (2)'!F19</f>
        <v>biomass</v>
      </c>
      <c r="R3" s="62">
        <f>'CurPol_industry_final_energ (2)'!G19</f>
        <v>0</v>
      </c>
      <c r="S3" s="62">
        <f>'CurPol_industry_final_energ (2)'!H19</f>
        <v>0</v>
      </c>
      <c r="T3" s="62">
        <f>'CurPol_industry_final_energ (2)'!I19</f>
        <v>0</v>
      </c>
      <c r="U3" s="62">
        <f>'CurPol_industry_final_energ (2)'!J19</f>
        <v>1.0884E-3</v>
      </c>
      <c r="V3" s="62">
        <f>'CurPol_industry_final_energ (2)'!K19</f>
        <v>1.5552259999999901E-3</v>
      </c>
      <c r="W3" s="62">
        <f>'CurPol_industry_final_energ (2)'!L19</f>
        <v>2.4376659999999998E-3</v>
      </c>
      <c r="X3" s="62">
        <f>'CurPol_industry_final_energ (2)'!M19</f>
        <v>3.400672E-3</v>
      </c>
      <c r="Y3" s="62">
        <f>'CurPol_industry_final_energ (2)'!N19</f>
        <v>4.1087349999999996E-3</v>
      </c>
      <c r="Z3" s="62">
        <f>'CurPol_industry_final_energ (2)'!O19</f>
        <v>4.332865E-3</v>
      </c>
      <c r="AA3" s="62">
        <f>'CurPol_industry_final_energ (2)'!P19</f>
        <v>4.4239819999999999E-3</v>
      </c>
      <c r="AB3" s="62">
        <f>'CurPol_industry_final_energ (2)'!Q19</f>
        <v>4.398094E-3</v>
      </c>
      <c r="AE3" s="62" t="str">
        <f>NZ2050_industry_final_energy!D28</f>
        <v>NZ2050,date=2022-3-7T01:15:47-015:00</v>
      </c>
      <c r="AF3" s="62" t="str">
        <f>NZ2050_industry_final_energy!E28</f>
        <v>South Korea</v>
      </c>
      <c r="AG3" s="62" t="str">
        <f>NZ2050_industry_final_energy!F28</f>
        <v>construction energy use</v>
      </c>
      <c r="AH3" s="62" t="str">
        <f>NZ2050_industry_final_energy!G28</f>
        <v>biomass</v>
      </c>
      <c r="AI3" s="62" t="str">
        <f>NZ2050_industry_final_energy!H28</f>
        <v>delivered biomass</v>
      </c>
      <c r="AJ3" s="62" t="str">
        <f>NZ2050_industry_final_energy!I28</f>
        <v>biomass</v>
      </c>
      <c r="AK3" s="62">
        <f>NZ2050_industry_final_energy!J28</f>
        <v>0</v>
      </c>
      <c r="AL3" s="62">
        <f>NZ2050_industry_final_energy!K28</f>
        <v>0</v>
      </c>
      <c r="AM3" s="62">
        <f>NZ2050_industry_final_energy!L28</f>
        <v>0</v>
      </c>
      <c r="AN3" s="62">
        <f>NZ2050_industry_final_energy!M28</f>
        <v>1.0884E-3</v>
      </c>
      <c r="AO3" s="62">
        <f>NZ2050_industry_final_energy!N28</f>
        <v>1.5388419999999999E-3</v>
      </c>
      <c r="AP3" s="62">
        <f>NZ2050_industry_final_energy!O28</f>
        <v>3.7876379999999999E-3</v>
      </c>
      <c r="AQ3" s="62">
        <f>NZ2050_industry_final_energy!P28</f>
        <v>6.6018069999999899E-3</v>
      </c>
      <c r="AR3" s="62">
        <f>NZ2050_industry_final_energy!Q28</f>
        <v>8.597548E-3</v>
      </c>
      <c r="AS3" s="62">
        <f>NZ2050_industry_final_energy!R28</f>
        <v>8.1992339999999997E-3</v>
      </c>
      <c r="AT3" s="62">
        <f>NZ2050_industry_final_energy!S28</f>
        <v>6.6886699999999903E-3</v>
      </c>
      <c r="AU3" s="62">
        <f>NZ2050_industry_final_energy!T28</f>
        <v>2.8847509999999901E-3</v>
      </c>
    </row>
    <row r="4" spans="1:47">
      <c r="L4" s="62" t="str">
        <f>'CurPol_industry_final_energ (2)'!A20</f>
        <v>CurPol,date=2022-3-7T01:16:15-015:00</v>
      </c>
      <c r="M4" s="62" t="str">
        <f>'CurPol_industry_final_energ (2)'!B20</f>
        <v>South Korea</v>
      </c>
      <c r="N4" s="62" t="str">
        <f>'CurPol_industry_final_energ (2)'!C20</f>
        <v>construction energy use</v>
      </c>
      <c r="O4" s="62" t="str">
        <f>'CurPol_industry_final_energ (2)'!D20</f>
        <v>coal</v>
      </c>
      <c r="P4" s="62" t="str">
        <f>'CurPol_industry_final_energ (2)'!E20</f>
        <v>delivered coal</v>
      </c>
      <c r="Q4" s="62" t="str">
        <f>'CurPol_industry_final_energ (2)'!F20</f>
        <v>coal</v>
      </c>
      <c r="R4" s="62">
        <f>'CurPol_industry_final_energ (2)'!G20</f>
        <v>0</v>
      </c>
      <c r="S4" s="62">
        <f>'CurPol_industry_final_energ (2)'!H20</f>
        <v>0</v>
      </c>
      <c r="T4" s="62">
        <f>'CurPol_industry_final_energ (2)'!I20</f>
        <v>0</v>
      </c>
      <c r="U4" s="62">
        <f>'CurPol_industry_final_energ (2)'!J20</f>
        <v>0</v>
      </c>
      <c r="V4" s="62">
        <f>'CurPol_industry_final_energ (2)'!K20</f>
        <v>2.11962E-3</v>
      </c>
      <c r="W4" s="62">
        <f>'CurPol_industry_final_energ (2)'!L20</f>
        <v>6.6346199999999999E-3</v>
      </c>
      <c r="X4" s="62">
        <f>'CurPol_industry_final_energ (2)'!M20</f>
        <v>1.16867E-2</v>
      </c>
      <c r="Y4" s="62">
        <f>'CurPol_industry_final_energ (2)'!N20</f>
        <v>1.5419473E-2</v>
      </c>
      <c r="Z4" s="62">
        <f>'CurPol_industry_final_energ (2)'!O20</f>
        <v>1.6862609000000001E-2</v>
      </c>
      <c r="AA4" s="62">
        <f>'CurPol_industry_final_energ (2)'!P20</f>
        <v>1.805228E-2</v>
      </c>
      <c r="AB4" s="62">
        <f>'CurPol_industry_final_energ (2)'!Q20</f>
        <v>1.883315E-2</v>
      </c>
      <c r="AE4" s="62" t="str">
        <f>NZ2050_industry_final_energy!D29</f>
        <v>NZ2050,date=2022-3-7T01:15:47-015:00</v>
      </c>
      <c r="AF4" s="62" t="str">
        <f>NZ2050_industry_final_energy!E29</f>
        <v>South Korea</v>
      </c>
      <c r="AG4" s="62" t="str">
        <f>NZ2050_industry_final_energy!F29</f>
        <v>construction energy use</v>
      </c>
      <c r="AH4" s="62" t="str">
        <f>NZ2050_industry_final_energy!G29</f>
        <v>coal</v>
      </c>
      <c r="AI4" s="62" t="str">
        <f>NZ2050_industry_final_energy!H29</f>
        <v>delivered coal</v>
      </c>
      <c r="AJ4" s="62" t="str">
        <f>NZ2050_industry_final_energy!I29</f>
        <v>coal</v>
      </c>
      <c r="AK4" s="62">
        <f>NZ2050_industry_final_energy!J29</f>
        <v>0</v>
      </c>
      <c r="AL4" s="62">
        <f>NZ2050_industry_final_energy!K29</f>
        <v>0</v>
      </c>
      <c r="AM4" s="62">
        <f>NZ2050_industry_final_energy!L29</f>
        <v>0</v>
      </c>
      <c r="AN4" s="62">
        <f>NZ2050_industry_final_energy!M29</f>
        <v>0</v>
      </c>
      <c r="AO4" s="62">
        <f>NZ2050_industry_final_energy!N29</f>
        <v>2.14737E-3</v>
      </c>
      <c r="AP4" s="62">
        <f>NZ2050_industry_final_energy!O29</f>
        <v>3.7194300000000001E-3</v>
      </c>
      <c r="AQ4" s="62">
        <f>NZ2050_industry_final_energy!P29</f>
        <v>4.6038699999999899E-3</v>
      </c>
      <c r="AR4" s="62">
        <f>NZ2050_industry_final_energy!Q29</f>
        <v>4.4662019999999998E-3</v>
      </c>
      <c r="AS4" s="62">
        <f>NZ2050_industry_final_energy!R29</f>
        <v>3.6086709999999999E-3</v>
      </c>
      <c r="AT4" s="62">
        <f>NZ2050_industry_final_energy!S29</f>
        <v>2.83183E-3</v>
      </c>
      <c r="AU4" s="62">
        <f>NZ2050_industry_final_energy!T29</f>
        <v>8.45913E-4</v>
      </c>
    </row>
    <row r="5" spans="1:47">
      <c r="A5" s="63"/>
      <c r="L5" s="62" t="str">
        <f>'CurPol_industry_final_energ (2)'!A21</f>
        <v>CurPol,date=2022-3-7T01:16:15-015:00</v>
      </c>
      <c r="M5" s="62" t="str">
        <f>'CurPol_industry_final_energ (2)'!B21</f>
        <v>South Korea</v>
      </c>
      <c r="N5" s="62" t="str">
        <f>'CurPol_industry_final_energ (2)'!C21</f>
        <v>construction energy use</v>
      </c>
      <c r="O5" s="62" t="str">
        <f>'CurPol_industry_final_energ (2)'!D21</f>
        <v>electricity</v>
      </c>
      <c r="P5" s="62" t="str">
        <f>'CurPol_industry_final_energ (2)'!E21</f>
        <v>elect_td_ind</v>
      </c>
      <c r="Q5" s="62" t="str">
        <f>'CurPol_industry_final_energ (2)'!F21</f>
        <v>electricity</v>
      </c>
      <c r="R5" s="62">
        <f>'CurPol_industry_final_energ (2)'!G21</f>
        <v>0</v>
      </c>
      <c r="S5" s="62">
        <f>'CurPol_industry_final_energ (2)'!H21</f>
        <v>0</v>
      </c>
      <c r="T5" s="62">
        <f>'CurPol_industry_final_energ (2)'!I21</f>
        <v>0</v>
      </c>
      <c r="U5" s="62">
        <f>'CurPol_industry_final_energ (2)'!J21</f>
        <v>0</v>
      </c>
      <c r="V5" s="62">
        <f>'CurPol_industry_final_energ (2)'!K21</f>
        <v>1.0941400000000001E-4</v>
      </c>
      <c r="W5" s="62">
        <f>'CurPol_industry_final_energ (2)'!L21</f>
        <v>3.4415889999999999E-4</v>
      </c>
      <c r="X5" s="62">
        <f>'CurPol_industry_final_energ (2)'!M21</f>
        <v>5.7363170000000003E-4</v>
      </c>
      <c r="Y5" s="62">
        <f>'CurPol_industry_final_energ (2)'!N21</f>
        <v>7.5795029999999996E-4</v>
      </c>
      <c r="Z5" s="62">
        <f>'CurPol_industry_final_energ (2)'!O21</f>
        <v>7.9547839999999999E-4</v>
      </c>
      <c r="AA5" s="62">
        <f>'CurPol_industry_final_energ (2)'!P21</f>
        <v>8.4225819999999999E-4</v>
      </c>
      <c r="AB5" s="62">
        <f>'CurPol_industry_final_energ (2)'!Q21</f>
        <v>8.9197229999999998E-4</v>
      </c>
      <c r="AE5" s="62" t="str">
        <f>NZ2050_industry_final_energy!D30</f>
        <v>NZ2050,date=2022-3-7T01:15:47-015:00</v>
      </c>
      <c r="AF5" s="62" t="str">
        <f>NZ2050_industry_final_energy!E30</f>
        <v>South Korea</v>
      </c>
      <c r="AG5" s="62" t="str">
        <f>NZ2050_industry_final_energy!F30</f>
        <v>construction energy use</v>
      </c>
      <c r="AH5" s="62" t="str">
        <f>NZ2050_industry_final_energy!G30</f>
        <v>electricity</v>
      </c>
      <c r="AI5" s="62" t="str">
        <f>NZ2050_industry_final_energy!H30</f>
        <v>elect_td_ind</v>
      </c>
      <c r="AJ5" s="62" t="str">
        <f>NZ2050_industry_final_energy!I30</f>
        <v>electricity</v>
      </c>
      <c r="AK5" s="62">
        <f>NZ2050_industry_final_energy!J30</f>
        <v>0</v>
      </c>
      <c r="AL5" s="62">
        <f>NZ2050_industry_final_energy!K30</f>
        <v>0</v>
      </c>
      <c r="AM5" s="62">
        <f>NZ2050_industry_final_energy!L30</f>
        <v>0</v>
      </c>
      <c r="AN5" s="62">
        <f>NZ2050_industry_final_energy!M30</f>
        <v>0</v>
      </c>
      <c r="AO5" s="62">
        <f>NZ2050_industry_final_energy!N30</f>
        <v>1.10882E-4</v>
      </c>
      <c r="AP5" s="62">
        <f>NZ2050_industry_final_energy!O30</f>
        <v>3.6963969999999899E-4</v>
      </c>
      <c r="AQ5" s="62">
        <f>NZ2050_industry_final_energy!P30</f>
        <v>6.9368209999999997E-4</v>
      </c>
      <c r="AR5" s="62">
        <f>NZ2050_industry_final_energy!Q30</f>
        <v>1.0684035000000001E-3</v>
      </c>
      <c r="AS5" s="62">
        <f>NZ2050_industry_final_energy!R30</f>
        <v>1.5069216E-3</v>
      </c>
      <c r="AT5" s="62">
        <f>NZ2050_industry_final_energy!S30</f>
        <v>2.4672666999999999E-3</v>
      </c>
      <c r="AU5" s="62">
        <f>NZ2050_industry_final_energy!T30</f>
        <v>5.9299519999999996E-3</v>
      </c>
    </row>
    <row r="6" spans="1:47">
      <c r="L6" s="62" t="str">
        <f>'CurPol_industry_final_energ (2)'!A22</f>
        <v>CurPol,date=2022-3-7T01:16:15-015:00</v>
      </c>
      <c r="M6" s="62" t="str">
        <f>'CurPol_industry_final_energ (2)'!B22</f>
        <v>South Korea</v>
      </c>
      <c r="N6" s="62" t="str">
        <f>'CurPol_industry_final_energ (2)'!C22</f>
        <v>construction energy use</v>
      </c>
      <c r="O6" s="62" t="str">
        <f>'CurPol_industry_final_energ (2)'!D22</f>
        <v>gas</v>
      </c>
      <c r="P6" s="62" t="str">
        <f>'CurPol_industry_final_energ (2)'!E22</f>
        <v>wholesale gas</v>
      </c>
      <c r="Q6" s="62" t="str">
        <f>'CurPol_industry_final_energ (2)'!F22</f>
        <v>gas</v>
      </c>
      <c r="R6" s="62">
        <f>'CurPol_industry_final_energ (2)'!G22</f>
        <v>0</v>
      </c>
      <c r="S6" s="62">
        <f>'CurPol_industry_final_energ (2)'!H22</f>
        <v>0</v>
      </c>
      <c r="T6" s="62">
        <f>'CurPol_industry_final_energ (2)'!I22</f>
        <v>0</v>
      </c>
      <c r="U6" s="62">
        <f>'CurPol_industry_final_energ (2)'!J22</f>
        <v>3.3489899999999999E-4</v>
      </c>
      <c r="V6" s="62">
        <f>'CurPol_industry_final_energ (2)'!K22</f>
        <v>1.0345700000000001E-3</v>
      </c>
      <c r="W6" s="62">
        <f>'CurPol_industry_final_energ (2)'!L22</f>
        <v>2.5190329999999999E-3</v>
      </c>
      <c r="X6" s="62">
        <f>'CurPol_industry_final_energ (2)'!M22</f>
        <v>4.2741070999999997E-3</v>
      </c>
      <c r="Y6" s="62">
        <f>'CurPol_industry_final_energ (2)'!N22</f>
        <v>5.6283569999999996E-3</v>
      </c>
      <c r="Z6" s="62">
        <f>'CurPol_industry_final_energ (2)'!O22</f>
        <v>5.8665419999999998E-3</v>
      </c>
      <c r="AA6" s="62">
        <f>'CurPol_industry_final_energ (2)'!P22</f>
        <v>6.0186749999999898E-3</v>
      </c>
      <c r="AB6" s="62">
        <f>'CurPol_industry_final_energ (2)'!Q22</f>
        <v>6.0551349999999997E-3</v>
      </c>
      <c r="AE6" s="62" t="str">
        <f>NZ2050_industry_final_energy!D31</f>
        <v>NZ2050,date=2022-3-7T01:15:47-015:00</v>
      </c>
      <c r="AF6" s="62" t="str">
        <f>NZ2050_industry_final_energy!E31</f>
        <v>South Korea</v>
      </c>
      <c r="AG6" s="62" t="str">
        <f>NZ2050_industry_final_energy!F31</f>
        <v>construction energy use</v>
      </c>
      <c r="AH6" s="62" t="str">
        <f>NZ2050_industry_final_energy!G31</f>
        <v>gas</v>
      </c>
      <c r="AI6" s="62" t="str">
        <f>NZ2050_industry_final_energy!H31</f>
        <v>wholesale gas</v>
      </c>
      <c r="AJ6" s="62" t="str">
        <f>NZ2050_industry_final_energy!I31</f>
        <v>gas</v>
      </c>
      <c r="AK6" s="62">
        <f>NZ2050_industry_final_energy!J31</f>
        <v>0</v>
      </c>
      <c r="AL6" s="62">
        <f>NZ2050_industry_final_energy!K31</f>
        <v>0</v>
      </c>
      <c r="AM6" s="62">
        <f>NZ2050_industry_final_energy!L31</f>
        <v>0</v>
      </c>
      <c r="AN6" s="62">
        <f>NZ2050_industry_final_energy!M31</f>
        <v>3.3489899999999999E-4</v>
      </c>
      <c r="AO6" s="62">
        <f>NZ2050_industry_final_energy!N31</f>
        <v>1.0355239999999999E-3</v>
      </c>
      <c r="AP6" s="62">
        <f>NZ2050_industry_final_energy!O31</f>
        <v>2.6617099999999999E-3</v>
      </c>
      <c r="AQ6" s="62">
        <f>NZ2050_industry_final_energy!P31</f>
        <v>4.5956634E-3</v>
      </c>
      <c r="AR6" s="62">
        <f>NZ2050_industry_final_energy!Q31</f>
        <v>6.0811720000000001E-3</v>
      </c>
      <c r="AS6" s="62">
        <f>NZ2050_industry_final_energy!R31</f>
        <v>6.4311330000000003E-3</v>
      </c>
      <c r="AT6" s="62">
        <f>NZ2050_industry_final_energy!S31</f>
        <v>6.5402029999999996E-3</v>
      </c>
      <c r="AU6" s="62">
        <f>NZ2050_industry_final_energy!T31</f>
        <v>5.027704E-3</v>
      </c>
    </row>
    <row r="7" spans="1:47">
      <c r="L7" s="62" t="str">
        <f>'CurPol_industry_final_energ (2)'!A23</f>
        <v>CurPol,date=2022-3-7T01:16:15-015:00</v>
      </c>
      <c r="M7" s="62" t="str">
        <f>'CurPol_industry_final_energ (2)'!B23</f>
        <v>South Korea</v>
      </c>
      <c r="N7" s="62" t="str">
        <f>'CurPol_industry_final_energ (2)'!C23</f>
        <v>construction energy use</v>
      </c>
      <c r="O7" s="62" t="str">
        <f>'CurPol_industry_final_energ (2)'!D23</f>
        <v>hydrogen</v>
      </c>
      <c r="P7" s="62" t="str">
        <f>'CurPol_industry_final_energ (2)'!E23</f>
        <v>H2 enduse</v>
      </c>
      <c r="Q7" s="62" t="str">
        <f>'CurPol_industry_final_energ (2)'!F23</f>
        <v>hydrogen</v>
      </c>
      <c r="R7" s="62">
        <f>'CurPol_industry_final_energ (2)'!G23</f>
        <v>0</v>
      </c>
      <c r="S7" s="62">
        <f>'CurPol_industry_final_energ (2)'!H23</f>
        <v>0</v>
      </c>
      <c r="T7" s="62">
        <f>'CurPol_industry_final_energ (2)'!I23</f>
        <v>0</v>
      </c>
      <c r="U7" s="62">
        <f>'CurPol_industry_final_energ (2)'!J23</f>
        <v>0</v>
      </c>
      <c r="V7" s="62">
        <f>'CurPol_industry_final_energ (2)'!K23</f>
        <v>1.2988100000000001E-4</v>
      </c>
      <c r="W7" s="62">
        <f>'CurPol_industry_final_energ (2)'!L23</f>
        <v>4.1902500000000001E-4</v>
      </c>
      <c r="X7" s="62">
        <f>'CurPol_industry_final_energ (2)'!M23</f>
        <v>7.7712639999999997E-4</v>
      </c>
      <c r="Y7" s="62">
        <f>'CurPol_industry_final_energ (2)'!N23</f>
        <v>1.0704065999999901E-3</v>
      </c>
      <c r="Z7" s="62">
        <f>'CurPol_industry_final_energ (2)'!O23</f>
        <v>1.1471210999999999E-3</v>
      </c>
      <c r="AA7" s="62">
        <f>'CurPol_industry_final_energ (2)'!P23</f>
        <v>1.2171039000000001E-3</v>
      </c>
      <c r="AB7" s="62">
        <f>'CurPol_industry_final_energ (2)'!Q23</f>
        <v>1.2617658E-3</v>
      </c>
      <c r="AE7" s="62" t="str">
        <f>NZ2050_industry_final_energy!D32</f>
        <v>NZ2050,date=2022-3-7T01:15:47-015:00</v>
      </c>
      <c r="AF7" s="62" t="str">
        <f>NZ2050_industry_final_energy!E32</f>
        <v>South Korea</v>
      </c>
      <c r="AG7" s="62" t="str">
        <f>NZ2050_industry_final_energy!F32</f>
        <v>construction energy use</v>
      </c>
      <c r="AH7" s="62" t="str">
        <f>NZ2050_industry_final_energy!G32</f>
        <v>hydrogen</v>
      </c>
      <c r="AI7" s="62" t="str">
        <f>NZ2050_industry_final_energy!H32</f>
        <v>H2 enduse</v>
      </c>
      <c r="AJ7" s="62" t="str">
        <f>NZ2050_industry_final_energy!I32</f>
        <v>hydrogen</v>
      </c>
      <c r="AK7" s="62">
        <f>NZ2050_industry_final_energy!J32</f>
        <v>0</v>
      </c>
      <c r="AL7" s="62">
        <f>NZ2050_industry_final_energy!K32</f>
        <v>0</v>
      </c>
      <c r="AM7" s="62">
        <f>NZ2050_industry_final_energy!L32</f>
        <v>0</v>
      </c>
      <c r="AN7" s="62">
        <f>NZ2050_industry_final_energy!M32</f>
        <v>0</v>
      </c>
      <c r="AO7" s="62">
        <f>NZ2050_industry_final_energy!N32</f>
        <v>1.29815E-4</v>
      </c>
      <c r="AP7" s="62">
        <f>NZ2050_industry_final_energy!O32</f>
        <v>4.6142099999999902E-4</v>
      </c>
      <c r="AQ7" s="62">
        <f>NZ2050_industry_final_energy!P32</f>
        <v>9.1166679999999897E-4</v>
      </c>
      <c r="AR7" s="62">
        <f>NZ2050_industry_final_energy!Q32</f>
        <v>1.4676439999999999E-3</v>
      </c>
      <c r="AS7" s="62">
        <f>NZ2050_industry_final_energy!R32</f>
        <v>2.2049047E-3</v>
      </c>
      <c r="AT7" s="62">
        <f>NZ2050_industry_final_energy!S32</f>
        <v>3.7816999999999998E-3</v>
      </c>
      <c r="AU7" s="62">
        <f>NZ2050_industry_final_energy!T32</f>
        <v>9.2594900000000004E-3</v>
      </c>
    </row>
    <row r="8" spans="1:47">
      <c r="L8" s="62" t="str">
        <f>'CurPol_industry_final_energ (2)'!A24</f>
        <v>CurPol,date=2022-3-7T01:16:15-015:00</v>
      </c>
      <c r="M8" s="62" t="str">
        <f>'CurPol_industry_final_energ (2)'!B24</f>
        <v>South Korea</v>
      </c>
      <c r="N8" s="62" t="str">
        <f>'CurPol_industry_final_energ (2)'!C24</f>
        <v>construction energy use</v>
      </c>
      <c r="O8" s="62" t="str">
        <f>'CurPol_industry_final_energ (2)'!D24</f>
        <v>refined liquids</v>
      </c>
      <c r="P8" s="62" t="str">
        <f>'CurPol_industry_final_energ (2)'!E24</f>
        <v>refined liquids industrial</v>
      </c>
      <c r="Q8" s="62" t="str">
        <f>'CurPol_industry_final_energ (2)'!F24</f>
        <v>refined liquids</v>
      </c>
      <c r="R8" s="62">
        <f>'CurPol_industry_final_energ (2)'!G24</f>
        <v>2.1348599999999999E-2</v>
      </c>
      <c r="S8" s="62">
        <f>'CurPol_industry_final_energ (2)'!H24</f>
        <v>2.5199699999999998E-2</v>
      </c>
      <c r="T8" s="62">
        <f>'CurPol_industry_final_energ (2)'!I24</f>
        <v>3.4157800000000002E-2</v>
      </c>
      <c r="U8" s="62">
        <f>'CurPol_industry_final_energ (2)'!J24</f>
        <v>3.4408800000000003E-2</v>
      </c>
      <c r="V8" s="62">
        <f>'CurPol_industry_final_energ (2)'!K24</f>
        <v>3.3592449999999899E-2</v>
      </c>
      <c r="W8" s="62">
        <f>'CurPol_industry_final_energ (2)'!L24</f>
        <v>2.7982690000000001E-2</v>
      </c>
      <c r="X8" s="62">
        <f>'CurPol_industry_final_energ (2)'!M24</f>
        <v>1.9866499999999999E-2</v>
      </c>
      <c r="Y8" s="62">
        <f>'CurPol_industry_final_energ (2)'!N24</f>
        <v>1.3293930000000001E-2</v>
      </c>
      <c r="Z8" s="62">
        <f>'CurPol_industry_final_energ (2)'!O24</f>
        <v>1.084422E-2</v>
      </c>
      <c r="AA8" s="62">
        <f>'CurPol_industry_final_energ (2)'!P24</f>
        <v>8.7495400000000001E-3</v>
      </c>
      <c r="AB8" s="62">
        <f>'CurPol_industry_final_energ (2)'!Q24</f>
        <v>7.2285049999999997E-3</v>
      </c>
      <c r="AE8" s="62" t="str">
        <f>NZ2050_industry_final_energy!D33</f>
        <v>NZ2050,date=2022-3-7T01:15:47-015:00</v>
      </c>
      <c r="AF8" s="62" t="str">
        <f>NZ2050_industry_final_energy!E33</f>
        <v>South Korea</v>
      </c>
      <c r="AG8" s="62" t="str">
        <f>NZ2050_industry_final_energy!F33</f>
        <v>construction energy use</v>
      </c>
      <c r="AH8" s="62" t="str">
        <f>NZ2050_industry_final_energy!G33</f>
        <v>refined liquids</v>
      </c>
      <c r="AI8" s="62" t="str">
        <f>NZ2050_industry_final_energy!H33</f>
        <v>refined liquids industrial</v>
      </c>
      <c r="AJ8" s="62" t="str">
        <f>NZ2050_industry_final_energy!I33</f>
        <v>refined liquids</v>
      </c>
      <c r="AK8" s="62">
        <f>NZ2050_industry_final_energy!J33</f>
        <v>2.1348599999999999E-2</v>
      </c>
      <c r="AL8" s="62">
        <f>NZ2050_industry_final_energy!K33</f>
        <v>2.5199699999999998E-2</v>
      </c>
      <c r="AM8" s="62">
        <f>NZ2050_industry_final_energy!L33</f>
        <v>3.4157800000000002E-2</v>
      </c>
      <c r="AN8" s="62">
        <f>NZ2050_industry_final_energy!M33</f>
        <v>3.4408800000000003E-2</v>
      </c>
      <c r="AO8" s="62">
        <f>NZ2050_industry_final_energy!N33</f>
        <v>3.35786E-2</v>
      </c>
      <c r="AP8" s="62">
        <f>NZ2050_industry_final_energy!O33</f>
        <v>2.9275369999999998E-2</v>
      </c>
      <c r="AQ8" s="62">
        <f>NZ2050_industry_final_energy!P33</f>
        <v>2.2376569999999998E-2</v>
      </c>
      <c r="AR8" s="62">
        <f>NZ2050_industry_final_energy!Q33</f>
        <v>1.6510170000000001E-2</v>
      </c>
      <c r="AS8" s="62">
        <f>NZ2050_industry_final_energy!R33</f>
        <v>1.386486E-2</v>
      </c>
      <c r="AT8" s="62">
        <f>NZ2050_industry_final_energy!S33</f>
        <v>1.114339E-2</v>
      </c>
      <c r="AU8" s="62">
        <f>NZ2050_industry_final_energy!T33</f>
        <v>5.6781999999999996E-3</v>
      </c>
    </row>
    <row r="9" spans="1:47">
      <c r="L9" s="62" t="str">
        <f>'CurPol_industry_final_energ (2)'!A25</f>
        <v>CurPol,date=2022-3-7T01:16:15-015:00</v>
      </c>
      <c r="M9" s="62" t="str">
        <f>'CurPol_industry_final_energ (2)'!B25</f>
        <v>South Korea</v>
      </c>
      <c r="N9" s="62" t="str">
        <f>'CurPol_industry_final_energ (2)'!C25</f>
        <v>construction feedstocks</v>
      </c>
      <c r="O9" s="62" t="str">
        <f>'CurPol_industry_final_energ (2)'!D25</f>
        <v>refined liquids</v>
      </c>
      <c r="P9" s="62" t="str">
        <f>'CurPol_industry_final_energ (2)'!E25</f>
        <v>refined liquids industrial</v>
      </c>
      <c r="Q9" s="62" t="str">
        <f>'CurPol_industry_final_energ (2)'!F25</f>
        <v>refined liquids</v>
      </c>
      <c r="R9" s="62">
        <f>'CurPol_industry_final_energ (2)'!G25</f>
        <v>3.2608900000000003E-2</v>
      </c>
      <c r="S9" s="62">
        <f>'CurPol_industry_final_energ (2)'!H25</f>
        <v>5.08599E-2</v>
      </c>
      <c r="T9" s="62">
        <f>'CurPol_industry_final_energ (2)'!I25</f>
        <v>5.3873799999999999E-2</v>
      </c>
      <c r="U9" s="62">
        <f>'CurPol_industry_final_energ (2)'!J25</f>
        <v>4.94367E-2</v>
      </c>
      <c r="V9" s="62">
        <f>'CurPol_industry_final_energ (2)'!K25</f>
        <v>5.4238799999999997E-2</v>
      </c>
      <c r="W9" s="62">
        <f>'CurPol_industry_final_energ (2)'!L25</f>
        <v>5.7499799999999997E-2</v>
      </c>
      <c r="X9" s="62">
        <f>'CurPol_industry_final_energ (2)'!M25</f>
        <v>5.8557600000000001E-2</v>
      </c>
      <c r="Y9" s="62">
        <f>'CurPol_industry_final_energ (2)'!N25</f>
        <v>5.9224600000000002E-2</v>
      </c>
      <c r="Z9" s="62">
        <f>'CurPol_industry_final_energ (2)'!O25</f>
        <v>6.0279899999999997E-2</v>
      </c>
      <c r="AA9" s="62">
        <f>'CurPol_industry_final_energ (2)'!P25</f>
        <v>6.1346600000000001E-2</v>
      </c>
      <c r="AB9" s="62">
        <f>'CurPol_industry_final_energ (2)'!Q25</f>
        <v>6.2424199999999999E-2</v>
      </c>
      <c r="AE9" s="62" t="str">
        <f>NZ2050_industry_final_energy!D34</f>
        <v>NZ2050,date=2022-3-7T01:15:47-015:00</v>
      </c>
      <c r="AF9" s="62" t="str">
        <f>NZ2050_industry_final_energy!E34</f>
        <v>South Korea</v>
      </c>
      <c r="AG9" s="62" t="str">
        <f>NZ2050_industry_final_energy!F34</f>
        <v>construction feedstocks</v>
      </c>
      <c r="AH9" s="62" t="str">
        <f>NZ2050_industry_final_energy!G34</f>
        <v>refined liquids</v>
      </c>
      <c r="AI9" s="62" t="str">
        <f>NZ2050_industry_final_energy!H34</f>
        <v>refined liquids industrial</v>
      </c>
      <c r="AJ9" s="62" t="str">
        <f>NZ2050_industry_final_energy!I34</f>
        <v>refined liquids</v>
      </c>
      <c r="AK9" s="62">
        <f>NZ2050_industry_final_energy!J34</f>
        <v>3.2608900000000003E-2</v>
      </c>
      <c r="AL9" s="62">
        <f>NZ2050_industry_final_energy!K34</f>
        <v>5.08599E-2</v>
      </c>
      <c r="AM9" s="62">
        <f>NZ2050_industry_final_energy!L34</f>
        <v>5.3873799999999999E-2</v>
      </c>
      <c r="AN9" s="62">
        <f>NZ2050_industry_final_energy!M34</f>
        <v>4.94367E-2</v>
      </c>
      <c r="AO9" s="62">
        <f>NZ2050_industry_final_energy!N34</f>
        <v>5.4238799999999997E-2</v>
      </c>
      <c r="AP9" s="62">
        <f>NZ2050_industry_final_energy!O34</f>
        <v>5.7499799999999997E-2</v>
      </c>
      <c r="AQ9" s="62">
        <f>NZ2050_industry_final_energy!P34</f>
        <v>5.7588500000000001E-2</v>
      </c>
      <c r="AR9" s="62">
        <f>NZ2050_industry_final_energy!Q34</f>
        <v>5.6500700000000001E-2</v>
      </c>
      <c r="AS9" s="62">
        <f>NZ2050_industry_final_energy!R34</f>
        <v>5.5040899999999997E-2</v>
      </c>
      <c r="AT9" s="62">
        <f>NZ2050_industry_final_energy!S34</f>
        <v>5.4190099999999998E-2</v>
      </c>
      <c r="AU9" s="62">
        <f>NZ2050_industry_final_energy!T34</f>
        <v>5.3248700000000003E-2</v>
      </c>
    </row>
    <row r="11" spans="1:47">
      <c r="A11" s="63"/>
      <c r="L11" s="62" t="str">
        <f>'CurPol_industry_final_energ (2)'!A45</f>
        <v>CurPol,date=2022-3-7T01:16:15-015:00</v>
      </c>
      <c r="M11" s="62" t="str">
        <f>'CurPol_industry_final_energ (2)'!B45</f>
        <v>South Korea</v>
      </c>
      <c r="N11" s="62" t="str">
        <f>'CurPol_industry_final_energ (2)'!C45</f>
        <v>other industrial energy use</v>
      </c>
      <c r="O11" s="62" t="str">
        <f>'CurPol_industry_final_energ (2)'!D45</f>
        <v>biomass</v>
      </c>
      <c r="P11" s="62" t="str">
        <f>'CurPol_industry_final_energ (2)'!E45</f>
        <v>delivered biomass</v>
      </c>
      <c r="Q11" s="62" t="str">
        <f>'CurPol_industry_final_energ (2)'!F45</f>
        <v>biomass</v>
      </c>
      <c r="R11" s="62">
        <f>'CurPol_industry_final_energ (2)'!G45</f>
        <v>7.4416999999999999E-3</v>
      </c>
      <c r="S11" s="62">
        <f>'CurPol_industry_final_energ (2)'!H45</f>
        <v>6.0756999999999999E-2</v>
      </c>
      <c r="T11" s="62">
        <f>'CurPol_industry_final_energ (2)'!I45</f>
        <v>8.3468000000000001E-2</v>
      </c>
      <c r="U11" s="62">
        <f>'CurPol_industry_final_energ (2)'!J45</f>
        <v>0.105323</v>
      </c>
      <c r="V11" s="62">
        <f>'CurPol_industry_final_energ (2)'!K45</f>
        <v>0.11381624999999999</v>
      </c>
      <c r="W11" s="62">
        <f>'CurPol_industry_final_energ (2)'!L45</f>
        <v>0.12362645999999999</v>
      </c>
      <c r="X11" s="62">
        <f>'CurPol_industry_final_energ (2)'!M45</f>
        <v>0.13128874999999901</v>
      </c>
      <c r="Y11" s="62">
        <f>'CurPol_industry_final_energ (2)'!N45</f>
        <v>0.14043518999999999</v>
      </c>
      <c r="Z11" s="62">
        <f>'CurPol_industry_final_energ (2)'!O45</f>
        <v>0.14885662</v>
      </c>
      <c r="AA11" s="62">
        <f>'CurPol_industry_final_energ (2)'!P45</f>
        <v>0.14969916</v>
      </c>
      <c r="AB11" s="62">
        <f>'CurPol_industry_final_energ (2)'!Q45</f>
        <v>0.14793482599999999</v>
      </c>
      <c r="AE11" s="62" t="str">
        <f>NZ2050_industry_final_energy!D69</f>
        <v>NZ2050,date=2022-3-7T01:15:47-015:00</v>
      </c>
      <c r="AF11" s="62" t="str">
        <f>NZ2050_industry_final_energy!E69</f>
        <v>South Korea</v>
      </c>
      <c r="AG11" s="62" t="str">
        <f>NZ2050_industry_final_energy!F69</f>
        <v>other industrial energy use</v>
      </c>
      <c r="AH11" s="62" t="str">
        <f>NZ2050_industry_final_energy!G69</f>
        <v>biomass</v>
      </c>
      <c r="AI11" s="62" t="str">
        <f>NZ2050_industry_final_energy!H69</f>
        <v>delivered biomass</v>
      </c>
      <c r="AJ11" s="62" t="str">
        <f>NZ2050_industry_final_energy!I69</f>
        <v>biomass</v>
      </c>
      <c r="AK11" s="62">
        <f>NZ2050_industry_final_energy!J69</f>
        <v>7.4416999999999999E-3</v>
      </c>
      <c r="AL11" s="62">
        <f>NZ2050_industry_final_energy!K69</f>
        <v>6.0756999999999999E-2</v>
      </c>
      <c r="AM11" s="62">
        <f>NZ2050_industry_final_energy!L69</f>
        <v>8.3468000000000001E-2</v>
      </c>
      <c r="AN11" s="62">
        <f>NZ2050_industry_final_energy!M69</f>
        <v>0.105323</v>
      </c>
      <c r="AO11" s="62">
        <f>NZ2050_industry_final_energy!N69</f>
        <v>0.11350573</v>
      </c>
      <c r="AP11" s="62">
        <f>NZ2050_industry_final_energy!O69</f>
        <v>0.13452232</v>
      </c>
      <c r="AQ11" s="62">
        <f>NZ2050_industry_final_energy!P69</f>
        <v>0.15453835999999899</v>
      </c>
      <c r="AR11" s="62">
        <f>NZ2050_industry_final_energy!Q69</f>
        <v>0.17918065</v>
      </c>
      <c r="AS11" s="62">
        <f>NZ2050_industry_final_energy!R69</f>
        <v>0.17490605000000001</v>
      </c>
      <c r="AT11" s="62">
        <f>NZ2050_industry_final_energy!S69</f>
        <v>0.1527888</v>
      </c>
      <c r="AU11" s="62">
        <f>NZ2050_industry_final_energy!T69</f>
        <v>4.4575687999999898E-2</v>
      </c>
    </row>
    <row r="12" spans="1:47">
      <c r="L12" s="62" t="str">
        <f>'CurPol_industry_final_energ (2)'!A46</f>
        <v>CurPol,date=2022-3-7T01:16:15-015:00</v>
      </c>
      <c r="M12" s="62" t="str">
        <f>'CurPol_industry_final_energ (2)'!B46</f>
        <v>South Korea</v>
      </c>
      <c r="N12" s="62" t="str">
        <f>'CurPol_industry_final_energ (2)'!C46</f>
        <v>other industrial energy use</v>
      </c>
      <c r="O12" s="62" t="str">
        <f>'CurPol_industry_final_energ (2)'!D46</f>
        <v>biomass</v>
      </c>
      <c r="P12" s="62" t="str">
        <f>'CurPol_industry_final_energ (2)'!E46</f>
        <v>delivered biomass</v>
      </c>
      <c r="Q12" s="62" t="str">
        <f>'CurPol_industry_final_energ (2)'!F46</f>
        <v>biomass cogen</v>
      </c>
      <c r="R12" s="62">
        <f>'CurPol_industry_final_energ (2)'!G46</f>
        <v>0</v>
      </c>
      <c r="S12" s="62">
        <f>'CurPol_industry_final_energ (2)'!H46</f>
        <v>2.1419999999999998E-3</v>
      </c>
      <c r="T12" s="62">
        <f>'CurPol_industry_final_energ (2)'!I46</f>
        <v>4.1219999999999998E-3</v>
      </c>
      <c r="U12" s="62">
        <f>'CurPol_industry_final_energ (2)'!J46</f>
        <v>4.248E-3</v>
      </c>
      <c r="V12" s="62">
        <f>'CurPol_industry_final_energ (2)'!K46</f>
        <v>4.8009759999999898E-3</v>
      </c>
      <c r="W12" s="62">
        <f>'CurPol_industry_final_energ (2)'!L46</f>
        <v>5.5716369999999999E-3</v>
      </c>
      <c r="X12" s="62">
        <f>'CurPol_industry_final_energ (2)'!M46</f>
        <v>6.8224919999999899E-3</v>
      </c>
      <c r="Y12" s="62">
        <f>'CurPol_industry_final_energ (2)'!N46</f>
        <v>9.0487919999999999E-3</v>
      </c>
      <c r="Z12" s="62">
        <f>'CurPol_industry_final_energ (2)'!O46</f>
        <v>1.1958556E-2</v>
      </c>
      <c r="AA12" s="62">
        <f>'CurPol_industry_final_energ (2)'!P46</f>
        <v>1.31547259999999E-2</v>
      </c>
      <c r="AB12" s="62">
        <f>'CurPol_industry_final_energ (2)'!Q46</f>
        <v>1.3523144799999999E-2</v>
      </c>
      <c r="AE12" s="62" t="str">
        <f>NZ2050_industry_final_energy!D70</f>
        <v>NZ2050,date=2022-3-7T01:15:47-015:00</v>
      </c>
      <c r="AF12" s="62" t="str">
        <f>NZ2050_industry_final_energy!E70</f>
        <v>South Korea</v>
      </c>
      <c r="AG12" s="62" t="str">
        <f>NZ2050_industry_final_energy!F70</f>
        <v>other industrial energy use</v>
      </c>
      <c r="AH12" s="62" t="str">
        <f>NZ2050_industry_final_energy!G70</f>
        <v>biomass</v>
      </c>
      <c r="AI12" s="62" t="str">
        <f>NZ2050_industry_final_energy!H70</f>
        <v>delivered biomass</v>
      </c>
      <c r="AJ12" s="62" t="str">
        <f>NZ2050_industry_final_energy!I70</f>
        <v>biomass cogen</v>
      </c>
      <c r="AK12" s="62">
        <f>NZ2050_industry_final_energy!J70</f>
        <v>0</v>
      </c>
      <c r="AL12" s="62">
        <f>NZ2050_industry_final_energy!K70</f>
        <v>2.1419999999999998E-3</v>
      </c>
      <c r="AM12" s="62">
        <f>NZ2050_industry_final_energy!L70</f>
        <v>4.1219999999999998E-3</v>
      </c>
      <c r="AN12" s="62">
        <f>NZ2050_industry_final_energy!M70</f>
        <v>4.248E-3</v>
      </c>
      <c r="AO12" s="62">
        <f>NZ2050_industry_final_energy!N70</f>
        <v>4.7614889999999998E-3</v>
      </c>
      <c r="AP12" s="62">
        <f>NZ2050_industry_final_energy!O70</f>
        <v>9.1657779999999994E-3</v>
      </c>
      <c r="AQ12" s="62">
        <f>NZ2050_industry_final_energy!P70</f>
        <v>1.6669399000000001E-2</v>
      </c>
      <c r="AR12" s="62">
        <f>NZ2050_industry_final_energy!Q70</f>
        <v>2.6745668E-2</v>
      </c>
      <c r="AS12" s="62">
        <f>NZ2050_industry_final_energy!R70</f>
        <v>2.7769114000000001E-2</v>
      </c>
      <c r="AT12" s="62">
        <f>NZ2050_industry_final_energy!S70</f>
        <v>2.4441392999999902E-2</v>
      </c>
      <c r="AU12" s="62">
        <f>NZ2050_industry_final_energy!T70</f>
        <v>5.2808090699999997E-3</v>
      </c>
    </row>
    <row r="13" spans="1:47">
      <c r="L13" s="62" t="str">
        <f>'CurPol_industry_final_energ (2)'!A47</f>
        <v>CurPol,date=2022-3-7T01:16:15-015:00</v>
      </c>
      <c r="M13" s="62" t="str">
        <f>'CurPol_industry_final_energ (2)'!B47</f>
        <v>South Korea</v>
      </c>
      <c r="N13" s="62" t="str">
        <f>'CurPol_industry_final_energ (2)'!C47</f>
        <v>other industrial energy use</v>
      </c>
      <c r="O13" s="62" t="str">
        <f>'CurPol_industry_final_energ (2)'!D47</f>
        <v>coal</v>
      </c>
      <c r="P13" s="62" t="str">
        <f>'CurPol_industry_final_energ (2)'!E47</f>
        <v>delivered coal</v>
      </c>
      <c r="Q13" s="62" t="str">
        <f>'CurPol_industry_final_energ (2)'!F47</f>
        <v>coal</v>
      </c>
      <c r="R13" s="62">
        <f>'CurPol_industry_final_energ (2)'!G47</f>
        <v>0.16164100000000001</v>
      </c>
      <c r="S13" s="62">
        <f>'CurPol_industry_final_energ (2)'!H47</f>
        <v>0.48991299999999999</v>
      </c>
      <c r="T13" s="62">
        <f>'CurPol_industry_final_energ (2)'!I47</f>
        <v>0.63810900000000004</v>
      </c>
      <c r="U13" s="62">
        <f>'CurPol_industry_final_energ (2)'!J47</f>
        <v>2.1982600000000001E-2</v>
      </c>
      <c r="V13" s="62">
        <f>'CurPol_industry_final_energ (2)'!K47</f>
        <v>2.62458699999999E-2</v>
      </c>
      <c r="W13" s="62">
        <f>'CurPol_industry_final_energ (2)'!L47</f>
        <v>3.1381819999999998E-2</v>
      </c>
      <c r="X13" s="62">
        <f>'CurPol_industry_final_energ (2)'!M47</f>
        <v>3.5726910000000001E-2</v>
      </c>
      <c r="Y13" s="62">
        <f>'CurPol_industry_final_energ (2)'!N47</f>
        <v>4.076975E-2</v>
      </c>
      <c r="Z13" s="62">
        <f>'CurPol_industry_final_energ (2)'!O47</f>
        <v>4.2008530000000002E-2</v>
      </c>
      <c r="AA13" s="62">
        <f>'CurPol_industry_final_energ (2)'!P47</f>
        <v>3.9302764999999899E-2</v>
      </c>
      <c r="AB13" s="62">
        <f>'CurPol_industry_final_energ (2)'!Q47</f>
        <v>3.4839454999999998E-2</v>
      </c>
      <c r="AE13" s="62" t="str">
        <f>NZ2050_industry_final_energy!D71</f>
        <v>NZ2050,date=2022-3-7T01:15:47-015:00</v>
      </c>
      <c r="AF13" s="62" t="str">
        <f>NZ2050_industry_final_energy!E71</f>
        <v>South Korea</v>
      </c>
      <c r="AG13" s="62" t="str">
        <f>NZ2050_industry_final_energy!F71</f>
        <v>other industrial energy use</v>
      </c>
      <c r="AH13" s="62" t="str">
        <f>NZ2050_industry_final_energy!G71</f>
        <v>coal</v>
      </c>
      <c r="AI13" s="62" t="str">
        <f>NZ2050_industry_final_energy!H71</f>
        <v>delivered coal</v>
      </c>
      <c r="AJ13" s="62" t="str">
        <f>NZ2050_industry_final_energy!I71</f>
        <v>coal</v>
      </c>
      <c r="AK13" s="62">
        <f>NZ2050_industry_final_energy!J71</f>
        <v>0.16164100000000001</v>
      </c>
      <c r="AL13" s="62">
        <f>NZ2050_industry_final_energy!K71</f>
        <v>0.48991299999999999</v>
      </c>
      <c r="AM13" s="62">
        <f>NZ2050_industry_final_energy!L71</f>
        <v>0.63810900000000004</v>
      </c>
      <c r="AN13" s="62">
        <f>NZ2050_industry_final_energy!M71</f>
        <v>2.1982600000000001E-2</v>
      </c>
      <c r="AO13" s="62">
        <f>NZ2050_industry_final_energy!N71</f>
        <v>2.629859E-2</v>
      </c>
      <c r="AP13" s="62">
        <f>NZ2050_industry_final_energy!O71</f>
        <v>2.833842E-2</v>
      </c>
      <c r="AQ13" s="62">
        <f>NZ2050_industry_final_energy!P71</f>
        <v>2.7758930000000001E-2</v>
      </c>
      <c r="AR13" s="62">
        <f>NZ2050_industry_final_energy!Q71</f>
        <v>2.3418100000000001E-2</v>
      </c>
      <c r="AS13" s="62">
        <f>NZ2050_industry_final_energy!R71</f>
        <v>1.6639569999999999E-2</v>
      </c>
      <c r="AT13" s="62">
        <f>NZ2050_industry_final_energy!S71</f>
        <v>1.120821E-2</v>
      </c>
      <c r="AU13" s="62">
        <f>NZ2050_industry_final_energy!T71</f>
        <v>1.1939084E-3</v>
      </c>
    </row>
    <row r="14" spans="1:47">
      <c r="L14" s="62" t="str">
        <f>'CurPol_industry_final_energ (2)'!A48</f>
        <v>CurPol,date=2022-3-7T01:16:15-015:00</v>
      </c>
      <c r="M14" s="62" t="str">
        <f>'CurPol_industry_final_energ (2)'!B48</f>
        <v>South Korea</v>
      </c>
      <c r="N14" s="62" t="str">
        <f>'CurPol_industry_final_energ (2)'!C48</f>
        <v>other industrial energy use</v>
      </c>
      <c r="O14" s="62" t="str">
        <f>'CurPol_industry_final_energ (2)'!D48</f>
        <v>coal</v>
      </c>
      <c r="P14" s="62" t="str">
        <f>'CurPol_industry_final_energ (2)'!E48</f>
        <v>delivered coal</v>
      </c>
      <c r="Q14" s="62" t="str">
        <f>'CurPol_industry_final_energ (2)'!F48</f>
        <v>coal cogen</v>
      </c>
      <c r="R14" s="62">
        <f>'CurPol_industry_final_energ (2)'!G48</f>
        <v>8.48304E-2</v>
      </c>
      <c r="S14" s="62">
        <f>'CurPol_industry_final_energ (2)'!H48</f>
        <v>0.211954</v>
      </c>
      <c r="T14" s="62">
        <f>'CurPol_industry_final_energ (2)'!I48</f>
        <v>0.27050400000000002</v>
      </c>
      <c r="U14" s="62">
        <f>'CurPol_industry_final_energ (2)'!J48</f>
        <v>0.29669800000000002</v>
      </c>
      <c r="V14" s="62">
        <f>'CurPol_industry_final_energ (2)'!K48</f>
        <v>0.31077919999999998</v>
      </c>
      <c r="W14" s="62">
        <f>'CurPol_industry_final_energ (2)'!L48</f>
        <v>0.32563890000000001</v>
      </c>
      <c r="X14" s="62">
        <f>'CurPol_industry_final_energ (2)'!M48</f>
        <v>0.33062520000000001</v>
      </c>
      <c r="Y14" s="62">
        <f>'CurPol_industry_final_energ (2)'!N48</f>
        <v>0.30962659999999997</v>
      </c>
      <c r="Z14" s="62">
        <f>'CurPol_industry_final_energ (2)'!O48</f>
        <v>0.29733319000000002</v>
      </c>
      <c r="AA14" s="62">
        <f>'CurPol_industry_final_energ (2)'!P48</f>
        <v>0.28099776999999998</v>
      </c>
      <c r="AB14" s="62">
        <f>'CurPol_industry_final_energ (2)'!Q48</f>
        <v>0.26220265099999901</v>
      </c>
      <c r="AE14" s="62" t="str">
        <f>NZ2050_industry_final_energy!D72</f>
        <v>NZ2050,date=2022-3-7T01:15:47-015:00</v>
      </c>
      <c r="AF14" s="62" t="str">
        <f>NZ2050_industry_final_energy!E72</f>
        <v>South Korea</v>
      </c>
      <c r="AG14" s="62" t="str">
        <f>NZ2050_industry_final_energy!F72</f>
        <v>other industrial energy use</v>
      </c>
      <c r="AH14" s="62" t="str">
        <f>NZ2050_industry_final_energy!G72</f>
        <v>coal</v>
      </c>
      <c r="AI14" s="62" t="str">
        <f>NZ2050_industry_final_energy!H72</f>
        <v>delivered coal</v>
      </c>
      <c r="AJ14" s="62" t="str">
        <f>NZ2050_industry_final_energy!I72</f>
        <v>coal cogen</v>
      </c>
      <c r="AK14" s="62">
        <f>NZ2050_industry_final_energy!J72</f>
        <v>8.48304E-2</v>
      </c>
      <c r="AL14" s="62">
        <f>NZ2050_industry_final_energy!K72</f>
        <v>0.211954</v>
      </c>
      <c r="AM14" s="62">
        <f>NZ2050_industry_final_energy!L72</f>
        <v>0.27050400000000002</v>
      </c>
      <c r="AN14" s="62">
        <f>NZ2050_industry_final_energy!M72</f>
        <v>0.29669800000000002</v>
      </c>
      <c r="AO14" s="62">
        <f>NZ2050_industry_final_energy!N72</f>
        <v>0.3107142</v>
      </c>
      <c r="AP14" s="62">
        <f>NZ2050_industry_final_energy!O72</f>
        <v>0.30710474999999998</v>
      </c>
      <c r="AQ14" s="62">
        <f>NZ2050_industry_final_energy!P72</f>
        <v>0.27174428</v>
      </c>
      <c r="AR14" s="62">
        <f>NZ2050_industry_final_energy!Q72</f>
        <v>0.17979542999999901</v>
      </c>
      <c r="AS14" s="62">
        <f>NZ2050_industry_final_energy!R72</f>
        <v>8.08095699999999E-2</v>
      </c>
      <c r="AT14" s="62">
        <f>NZ2050_industry_final_energy!S72</f>
        <v>3.1523547999999998E-2</v>
      </c>
      <c r="AU14" s="62">
        <f>NZ2050_industry_final_energy!T72</f>
        <v>1.7549731E-3</v>
      </c>
    </row>
    <row r="15" spans="1:47">
      <c r="L15" s="62" t="str">
        <f>'CurPol_industry_final_energ (2)'!A49</f>
        <v>CurPol,date=2022-3-7T01:16:15-015:00</v>
      </c>
      <c r="M15" s="62" t="str">
        <f>'CurPol_industry_final_energ (2)'!B49</f>
        <v>South Korea</v>
      </c>
      <c r="N15" s="62" t="str">
        <f>'CurPol_industry_final_energ (2)'!C49</f>
        <v>other industrial energy use</v>
      </c>
      <c r="O15" s="62" t="str">
        <f>'CurPol_industry_final_energ (2)'!D49</f>
        <v>electricity</v>
      </c>
      <c r="P15" s="62" t="str">
        <f>'CurPol_industry_final_energ (2)'!E49</f>
        <v>elect_td_ind</v>
      </c>
      <c r="Q15" s="62" t="str">
        <f>'CurPol_industry_final_energ (2)'!F49</f>
        <v>electricity</v>
      </c>
      <c r="R15" s="62">
        <f>'CurPol_industry_final_energ (2)'!G49</f>
        <v>0.11110399999999999</v>
      </c>
      <c r="S15" s="62">
        <f>'CurPol_industry_final_energ (2)'!H49</f>
        <v>0.23783899999999999</v>
      </c>
      <c r="T15" s="62">
        <f>'CurPol_industry_final_energ (2)'!I49</f>
        <v>0.35209299999999999</v>
      </c>
      <c r="U15" s="62">
        <f>'CurPol_industry_final_energ (2)'!J49</f>
        <v>0.39972200000000002</v>
      </c>
      <c r="V15" s="62">
        <f>'CurPol_industry_final_energ (2)'!K49</f>
        <v>0.41558309999999998</v>
      </c>
      <c r="W15" s="62">
        <f>'CurPol_industry_final_energ (2)'!L49</f>
        <v>0.43721369999999998</v>
      </c>
      <c r="X15" s="62">
        <f>'CurPol_industry_final_energ (2)'!M49</f>
        <v>0.4342471</v>
      </c>
      <c r="Y15" s="62">
        <f>'CurPol_industry_final_energ (2)'!N49</f>
        <v>0.421701099999999</v>
      </c>
      <c r="Z15" s="62">
        <f>'CurPol_industry_final_energ (2)'!O49</f>
        <v>0.3981498</v>
      </c>
      <c r="AA15" s="62">
        <f>'CurPol_industry_final_energ (2)'!P49</f>
        <v>0.38535509999999901</v>
      </c>
      <c r="AB15" s="62">
        <f>'CurPol_industry_final_energ (2)'!Q49</f>
        <v>0.38301595999999999</v>
      </c>
      <c r="AE15" s="62" t="str">
        <f>NZ2050_industry_final_energy!D73</f>
        <v>NZ2050,date=2022-3-7T01:15:47-015:00</v>
      </c>
      <c r="AF15" s="62" t="str">
        <f>NZ2050_industry_final_energy!E73</f>
        <v>South Korea</v>
      </c>
      <c r="AG15" s="62" t="str">
        <f>NZ2050_industry_final_energy!F73</f>
        <v>other industrial energy use</v>
      </c>
      <c r="AH15" s="62" t="str">
        <f>NZ2050_industry_final_energy!G73</f>
        <v>electricity</v>
      </c>
      <c r="AI15" s="62" t="str">
        <f>NZ2050_industry_final_energy!H73</f>
        <v>elect_td_ind</v>
      </c>
      <c r="AJ15" s="62" t="str">
        <f>NZ2050_industry_final_energy!I73</f>
        <v>electricity</v>
      </c>
      <c r="AK15" s="62">
        <f>NZ2050_industry_final_energy!J73</f>
        <v>0.11110399999999999</v>
      </c>
      <c r="AL15" s="62">
        <f>NZ2050_industry_final_energy!K73</f>
        <v>0.23783899999999999</v>
      </c>
      <c r="AM15" s="62">
        <f>NZ2050_industry_final_energy!L73</f>
        <v>0.35209299999999999</v>
      </c>
      <c r="AN15" s="62">
        <f>NZ2050_industry_final_energy!M73</f>
        <v>0.39972200000000002</v>
      </c>
      <c r="AO15" s="62">
        <f>NZ2050_industry_final_energy!N73</f>
        <v>0.41603199999999901</v>
      </c>
      <c r="AP15" s="62">
        <f>NZ2050_industry_final_energy!O73</f>
        <v>0.43558659999999999</v>
      </c>
      <c r="AQ15" s="62">
        <f>NZ2050_industry_final_energy!P73</f>
        <v>0.43549330000000003</v>
      </c>
      <c r="AR15" s="62">
        <f>NZ2050_industry_final_energy!Q73</f>
        <v>0.43989499999999998</v>
      </c>
      <c r="AS15" s="62">
        <f>NZ2050_industry_final_energy!R73</f>
        <v>0.46986939999999999</v>
      </c>
      <c r="AT15" s="62">
        <f>NZ2050_industry_final_energy!S73</f>
        <v>0.49768109999999999</v>
      </c>
      <c r="AU15" s="62">
        <f>NZ2050_industry_final_energy!T73</f>
        <v>0.60968274</v>
      </c>
    </row>
    <row r="16" spans="1:47">
      <c r="L16" s="62" t="str">
        <f>'CurPol_industry_final_energ (2)'!A50</f>
        <v>CurPol,date=2022-3-7T01:16:15-015:00</v>
      </c>
      <c r="M16" s="62" t="str">
        <f>'CurPol_industry_final_energ (2)'!B50</f>
        <v>South Korea</v>
      </c>
      <c r="N16" s="62" t="str">
        <f>'CurPol_industry_final_energ (2)'!C50</f>
        <v>other industrial energy use</v>
      </c>
      <c r="O16" s="62" t="str">
        <f>'CurPol_industry_final_energ (2)'!D50</f>
        <v>gas</v>
      </c>
      <c r="P16" s="62" t="str">
        <f>'CurPol_industry_final_energ (2)'!E50</f>
        <v>wholesale gas</v>
      </c>
      <c r="Q16" s="62" t="str">
        <f>'CurPol_industry_final_energ (2)'!F50</f>
        <v>gas</v>
      </c>
      <c r="R16" s="62">
        <f>'CurPol_industry_final_energ (2)'!G50</f>
        <v>0</v>
      </c>
      <c r="S16" s="62">
        <f>'CurPol_industry_final_energ (2)'!H50</f>
        <v>9.8074499999999995E-2</v>
      </c>
      <c r="T16" s="62">
        <f>'CurPol_industry_final_energ (2)'!I50</f>
        <v>0.128972</v>
      </c>
      <c r="U16" s="62">
        <f>'CurPol_industry_final_energ (2)'!J50</f>
        <v>0.158974</v>
      </c>
      <c r="V16" s="62">
        <f>'CurPol_industry_final_energ (2)'!K50</f>
        <v>0.16776279999999999</v>
      </c>
      <c r="W16" s="62">
        <f>'CurPol_industry_final_energ (2)'!L50</f>
        <v>0.1745497</v>
      </c>
      <c r="X16" s="62">
        <f>'CurPol_industry_final_energ (2)'!M50</f>
        <v>0.16952020000000001</v>
      </c>
      <c r="Y16" s="62">
        <f>'CurPol_industry_final_energ (2)'!N50</f>
        <v>0.14395985</v>
      </c>
      <c r="Z16" s="62">
        <f>'CurPol_industry_final_energ (2)'!O50</f>
        <v>0.10696638999999999</v>
      </c>
      <c r="AA16" s="62">
        <f>'CurPol_industry_final_energ (2)'!P50</f>
        <v>8.2207619999999995E-2</v>
      </c>
      <c r="AB16" s="62">
        <f>'CurPol_industry_final_energ (2)'!Q50</f>
        <v>6.4054145999999895E-2</v>
      </c>
      <c r="AE16" s="62" t="str">
        <f>NZ2050_industry_final_energy!D74</f>
        <v>NZ2050,date=2022-3-7T01:15:47-015:00</v>
      </c>
      <c r="AF16" s="62" t="str">
        <f>NZ2050_industry_final_energy!E74</f>
        <v>South Korea</v>
      </c>
      <c r="AG16" s="62" t="str">
        <f>NZ2050_industry_final_energy!F74</f>
        <v>other industrial energy use</v>
      </c>
      <c r="AH16" s="62" t="str">
        <f>NZ2050_industry_final_energy!G74</f>
        <v>gas</v>
      </c>
      <c r="AI16" s="62" t="str">
        <f>NZ2050_industry_final_energy!H74</f>
        <v>wholesale gas</v>
      </c>
      <c r="AJ16" s="62" t="str">
        <f>NZ2050_industry_final_energy!I74</f>
        <v>gas</v>
      </c>
      <c r="AK16" s="62">
        <f>NZ2050_industry_final_energy!J74</f>
        <v>0</v>
      </c>
      <c r="AL16" s="62">
        <f>NZ2050_industry_final_energy!K74</f>
        <v>9.8074499999999995E-2</v>
      </c>
      <c r="AM16" s="62">
        <f>NZ2050_industry_final_energy!L74</f>
        <v>0.128972</v>
      </c>
      <c r="AN16" s="62">
        <f>NZ2050_industry_final_energy!M74</f>
        <v>0.158974</v>
      </c>
      <c r="AO16" s="62">
        <f>NZ2050_industry_final_energy!N74</f>
        <v>0.16774349999999999</v>
      </c>
      <c r="AP16" s="62">
        <f>NZ2050_industry_final_energy!O74</f>
        <v>0.1745717</v>
      </c>
      <c r="AQ16" s="62">
        <f>NZ2050_industry_final_energy!P74</f>
        <v>0.16668169999999999</v>
      </c>
      <c r="AR16" s="62">
        <f>NZ2050_industry_final_energy!Q74</f>
        <v>0.13540364999999999</v>
      </c>
      <c r="AS16" s="62">
        <f>NZ2050_industry_final_energy!R74</f>
        <v>9.289008E-2</v>
      </c>
      <c r="AT16" s="62">
        <f>NZ2050_industry_final_energy!S74</f>
        <v>6.4945000000000003E-2</v>
      </c>
      <c r="AU16" s="62">
        <f>NZ2050_industry_final_energy!T74</f>
        <v>3.7690812999999997E-2</v>
      </c>
    </row>
    <row r="17" spans="4:47">
      <c r="L17" s="62" t="str">
        <f>'CurPol_industry_final_energ (2)'!A51</f>
        <v>CurPol,date=2022-3-7T01:16:15-015:00</v>
      </c>
      <c r="M17" s="62" t="str">
        <f>'CurPol_industry_final_energ (2)'!B51</f>
        <v>South Korea</v>
      </c>
      <c r="N17" s="62" t="str">
        <f>'CurPol_industry_final_energ (2)'!C51</f>
        <v>other industrial energy use</v>
      </c>
      <c r="O17" s="62" t="str">
        <f>'CurPol_industry_final_energ (2)'!D51</f>
        <v>gas</v>
      </c>
      <c r="P17" s="62" t="str">
        <f>'CurPol_industry_final_energ (2)'!E51</f>
        <v>wholesale gas</v>
      </c>
      <c r="Q17" s="62" t="str">
        <f>'CurPol_industry_final_energ (2)'!F51</f>
        <v>gas cogen</v>
      </c>
      <c r="R17" s="62">
        <f>'CurPol_industry_final_energ (2)'!G51</f>
        <v>0</v>
      </c>
      <c r="S17" s="62">
        <f>'CurPol_industry_final_energ (2)'!H51</f>
        <v>4.4654399999999997E-2</v>
      </c>
      <c r="T17" s="62">
        <f>'CurPol_industry_final_energ (2)'!I51</f>
        <v>3.1607999999999997E-2</v>
      </c>
      <c r="U17" s="62">
        <f>'CurPol_industry_final_energ (2)'!J51</f>
        <v>4.32576E-2</v>
      </c>
      <c r="V17" s="62">
        <f>'CurPol_industry_final_energ (2)'!K51</f>
        <v>4.7126370000000001E-2</v>
      </c>
      <c r="W17" s="62">
        <f>'CurPol_industry_final_energ (2)'!L51</f>
        <v>5.1321419999999902E-2</v>
      </c>
      <c r="X17" s="62">
        <f>'CurPol_industry_final_energ (2)'!M51</f>
        <v>5.5338520000000002E-2</v>
      </c>
      <c r="Y17" s="62">
        <f>'CurPol_industry_final_energ (2)'!N51</f>
        <v>5.692759E-2</v>
      </c>
      <c r="Z17" s="62">
        <f>'CurPol_industry_final_energ (2)'!O51</f>
        <v>5.3250720000000001E-2</v>
      </c>
      <c r="AA17" s="62">
        <f>'CurPol_industry_final_energ (2)'!P51</f>
        <v>4.7313631000000002E-2</v>
      </c>
      <c r="AB17" s="62">
        <f>'CurPol_industry_final_energ (2)'!Q51</f>
        <v>3.9385806000000002E-2</v>
      </c>
      <c r="AE17" s="62" t="str">
        <f>NZ2050_industry_final_energy!D75</f>
        <v>NZ2050,date=2022-3-7T01:15:47-015:00</v>
      </c>
      <c r="AF17" s="62" t="str">
        <f>NZ2050_industry_final_energy!E75</f>
        <v>South Korea</v>
      </c>
      <c r="AG17" s="62" t="str">
        <f>NZ2050_industry_final_energy!F75</f>
        <v>other industrial energy use</v>
      </c>
      <c r="AH17" s="62" t="str">
        <f>NZ2050_industry_final_energy!G75</f>
        <v>gas</v>
      </c>
      <c r="AI17" s="62" t="str">
        <f>NZ2050_industry_final_energy!H75</f>
        <v>wholesale gas</v>
      </c>
      <c r="AJ17" s="62" t="str">
        <f>NZ2050_industry_final_energy!I75</f>
        <v>gas cogen</v>
      </c>
      <c r="AK17" s="62">
        <f>NZ2050_industry_final_energy!J75</f>
        <v>0</v>
      </c>
      <c r="AL17" s="62">
        <f>NZ2050_industry_final_energy!K75</f>
        <v>4.4654399999999997E-2</v>
      </c>
      <c r="AM17" s="62">
        <f>NZ2050_industry_final_energy!L75</f>
        <v>3.1607999999999997E-2</v>
      </c>
      <c r="AN17" s="62">
        <f>NZ2050_industry_final_energy!M75</f>
        <v>4.32576E-2</v>
      </c>
      <c r="AO17" s="62">
        <f>NZ2050_industry_final_energy!N75</f>
        <v>4.7040909999999998E-2</v>
      </c>
      <c r="AP17" s="62">
        <f>NZ2050_industry_final_energy!O75</f>
        <v>5.4473239999999999E-2</v>
      </c>
      <c r="AQ17" s="62">
        <f>NZ2050_industry_final_energy!P75</f>
        <v>6.029371E-2</v>
      </c>
      <c r="AR17" s="62">
        <f>NZ2050_industry_final_energy!Q75</f>
        <v>6.1988019999999998E-2</v>
      </c>
      <c r="AS17" s="62">
        <f>NZ2050_industry_final_energy!R75</f>
        <v>5.242467E-2</v>
      </c>
      <c r="AT17" s="62">
        <f>NZ2050_industry_final_energy!S75</f>
        <v>4.1321363E-2</v>
      </c>
      <c r="AU17" s="62">
        <f>NZ2050_industry_final_energy!T75</f>
        <v>2.32964357E-2</v>
      </c>
    </row>
    <row r="18" spans="4:47">
      <c r="L18" s="62" t="str">
        <f>'CurPol_industry_final_energ (2)'!A52</f>
        <v>CurPol,date=2022-3-7T01:16:15-015:00</v>
      </c>
      <c r="M18" s="62" t="str">
        <f>'CurPol_industry_final_energ (2)'!B52</f>
        <v>South Korea</v>
      </c>
      <c r="N18" s="62" t="str">
        <f>'CurPol_industry_final_energ (2)'!C52</f>
        <v>other industrial energy use</v>
      </c>
      <c r="O18" s="62" t="str">
        <f>'CurPol_industry_final_energ (2)'!D52</f>
        <v>hydrogen</v>
      </c>
      <c r="P18" s="62" t="str">
        <f>'CurPol_industry_final_energ (2)'!E52</f>
        <v>H2 enduse</v>
      </c>
      <c r="Q18" s="62" t="str">
        <f>'CurPol_industry_final_energ (2)'!F52</f>
        <v>hydrogen</v>
      </c>
      <c r="R18" s="62">
        <f>'CurPol_industry_final_energ (2)'!G52</f>
        <v>0</v>
      </c>
      <c r="S18" s="62">
        <f>'CurPol_industry_final_energ (2)'!H52</f>
        <v>0</v>
      </c>
      <c r="T18" s="62">
        <f>'CurPol_industry_final_energ (2)'!I52</f>
        <v>0</v>
      </c>
      <c r="U18" s="62">
        <f>'CurPol_industry_final_energ (2)'!J52</f>
        <v>0</v>
      </c>
      <c r="V18" s="62">
        <f>'CurPol_industry_final_energ (2)'!K52</f>
        <v>3.8017599999999997E-4</v>
      </c>
      <c r="W18" s="62">
        <f>'CurPol_industry_final_energ (2)'!L52</f>
        <v>1.1820820000000001E-3</v>
      </c>
      <c r="X18" s="62">
        <f>'CurPol_industry_final_energ (2)'!M52</f>
        <v>2.7594579999999998E-3</v>
      </c>
      <c r="Y18" s="62">
        <f>'CurPol_industry_final_energ (2)'!N52</f>
        <v>6.5204390000000003E-3</v>
      </c>
      <c r="Z18" s="62">
        <f>'CurPol_industry_final_energ (2)'!O52</f>
        <v>1.0342593000000001E-2</v>
      </c>
      <c r="AA18" s="62">
        <f>'CurPol_industry_final_energ (2)'!P52</f>
        <v>1.2219207899999999E-2</v>
      </c>
      <c r="AB18" s="62">
        <f>'CurPol_industry_final_energ (2)'!Q52</f>
        <v>1.31457297999999E-2</v>
      </c>
      <c r="AE18" s="62" t="str">
        <f>NZ2050_industry_final_energy!D76</f>
        <v>NZ2050,date=2022-3-7T01:15:47-015:00</v>
      </c>
      <c r="AF18" s="62" t="str">
        <f>NZ2050_industry_final_energy!E76</f>
        <v>South Korea</v>
      </c>
      <c r="AG18" s="62" t="str">
        <f>NZ2050_industry_final_energy!F76</f>
        <v>other industrial energy use</v>
      </c>
      <c r="AH18" s="62" t="str">
        <f>NZ2050_industry_final_energy!G76</f>
        <v>hydrogen</v>
      </c>
      <c r="AI18" s="62" t="str">
        <f>NZ2050_industry_final_energy!H76</f>
        <v>H2 enduse</v>
      </c>
      <c r="AJ18" s="62" t="str">
        <f>NZ2050_industry_final_energy!I76</f>
        <v>hydrogen</v>
      </c>
      <c r="AK18" s="62">
        <f>NZ2050_industry_final_energy!J76</f>
        <v>0</v>
      </c>
      <c r="AL18" s="62">
        <f>NZ2050_industry_final_energy!K76</f>
        <v>0</v>
      </c>
      <c r="AM18" s="62">
        <f>NZ2050_industry_final_energy!L76</f>
        <v>0</v>
      </c>
      <c r="AN18" s="62">
        <f>NZ2050_industry_final_energy!M76</f>
        <v>0</v>
      </c>
      <c r="AO18" s="62">
        <f>NZ2050_industry_final_energy!N76</f>
        <v>3.79207E-4</v>
      </c>
      <c r="AP18" s="62">
        <f>NZ2050_industry_final_energy!O76</f>
        <v>1.1672589999999999E-3</v>
      </c>
      <c r="AQ18" s="62">
        <f>NZ2050_industry_final_energy!P76</f>
        <v>2.5860900000000001E-3</v>
      </c>
      <c r="AR18" s="62">
        <f>NZ2050_industry_final_energy!Q76</f>
        <v>6.4243479999999999E-3</v>
      </c>
      <c r="AS18" s="62">
        <f>NZ2050_industry_final_energy!R76</f>
        <v>1.1489559999999999E-2</v>
      </c>
      <c r="AT18" s="62">
        <f>NZ2050_industry_final_energy!S76</f>
        <v>1.44949468E-2</v>
      </c>
      <c r="AU18" s="62">
        <f>NZ2050_industry_final_energy!T76</f>
        <v>1.8977863099999999E-2</v>
      </c>
    </row>
    <row r="19" spans="4:47">
      <c r="D19" s="1" t="s">
        <v>74</v>
      </c>
      <c r="L19" s="62" t="str">
        <f>'CurPol_industry_final_energ (2)'!A53</f>
        <v>CurPol,date=2022-3-7T01:16:15-015:00</v>
      </c>
      <c r="M19" s="62" t="str">
        <f>'CurPol_industry_final_energ (2)'!B53</f>
        <v>South Korea</v>
      </c>
      <c r="N19" s="62" t="str">
        <f>'CurPol_industry_final_energ (2)'!C53</f>
        <v>other industrial energy use</v>
      </c>
      <c r="O19" s="62" t="str">
        <f>'CurPol_industry_final_energ (2)'!D53</f>
        <v>hydrogen</v>
      </c>
      <c r="P19" s="62" t="str">
        <f>'CurPol_industry_final_energ (2)'!E53</f>
        <v>H2 enduse</v>
      </c>
      <c r="Q19" s="62" t="str">
        <f>'CurPol_industry_final_energ (2)'!F53</f>
        <v>hydrogen cogen</v>
      </c>
      <c r="R19" s="62">
        <f>'CurPol_industry_final_energ (2)'!G53</f>
        <v>0</v>
      </c>
      <c r="S19" s="62">
        <f>'CurPol_industry_final_energ (2)'!H53</f>
        <v>0</v>
      </c>
      <c r="T19" s="62">
        <f>'CurPol_industry_final_energ (2)'!I53</f>
        <v>0</v>
      </c>
      <c r="U19" s="62">
        <f>'CurPol_industry_final_energ (2)'!J53</f>
        <v>0</v>
      </c>
      <c r="V19" s="62">
        <f>'CurPol_industry_final_energ (2)'!K53</f>
        <v>9.7592799999999998E-5</v>
      </c>
      <c r="W19" s="62">
        <f>'CurPol_industry_final_energ (2)'!L53</f>
        <v>8.6544049999999896E-4</v>
      </c>
      <c r="X19" s="62">
        <f>'CurPol_industry_final_energ (2)'!M53</f>
        <v>4.7450393E-3</v>
      </c>
      <c r="Y19" s="62">
        <f>'CurPol_industry_final_energ (2)'!N53</f>
        <v>1.9621960899999999E-2</v>
      </c>
      <c r="Z19" s="62">
        <f>'CurPol_industry_final_energ (2)'!O53</f>
        <v>4.7324940699999998E-2</v>
      </c>
      <c r="AA19" s="62">
        <f>'CurPol_industry_final_energ (2)'!P53</f>
        <v>7.3772021500000007E-2</v>
      </c>
      <c r="AB19" s="62">
        <f>'CurPol_industry_final_energ (2)'!Q53</f>
        <v>0.10292041346</v>
      </c>
      <c r="AE19" s="62" t="str">
        <f>NZ2050_industry_final_energy!D77</f>
        <v>NZ2050,date=2022-3-7T01:15:47-015:00</v>
      </c>
      <c r="AF19" s="62" t="str">
        <f>NZ2050_industry_final_energy!E77</f>
        <v>South Korea</v>
      </c>
      <c r="AG19" s="62" t="str">
        <f>NZ2050_industry_final_energy!F77</f>
        <v>other industrial energy use</v>
      </c>
      <c r="AH19" s="62" t="str">
        <f>NZ2050_industry_final_energy!G77</f>
        <v>hydrogen</v>
      </c>
      <c r="AI19" s="62" t="str">
        <f>NZ2050_industry_final_energy!H77</f>
        <v>H2 enduse</v>
      </c>
      <c r="AJ19" s="62" t="str">
        <f>NZ2050_industry_final_energy!I77</f>
        <v>hydrogen cogen</v>
      </c>
      <c r="AK19" s="62">
        <f>NZ2050_industry_final_energy!J77</f>
        <v>0</v>
      </c>
      <c r="AL19" s="62">
        <f>NZ2050_industry_final_energy!K77</f>
        <v>0</v>
      </c>
      <c r="AM19" s="62">
        <f>NZ2050_industry_final_energy!L77</f>
        <v>0</v>
      </c>
      <c r="AN19" s="62">
        <f>NZ2050_industry_final_energy!M77</f>
        <v>0</v>
      </c>
      <c r="AO19" s="62">
        <f>NZ2050_industry_final_energy!N77</f>
        <v>9.5105999999999994E-5</v>
      </c>
      <c r="AP19" s="62">
        <f>NZ2050_industry_final_energy!O77</f>
        <v>1.250924E-3</v>
      </c>
      <c r="AQ19" s="62">
        <f>NZ2050_industry_final_energy!P77</f>
        <v>5.6484436999999898E-3</v>
      </c>
      <c r="AR19" s="62">
        <f>NZ2050_industry_final_energy!Q77</f>
        <v>2.7870517599999999E-2</v>
      </c>
      <c r="AS19" s="62">
        <f>NZ2050_industry_final_energy!R77</f>
        <v>9.39205231E-2</v>
      </c>
      <c r="AT19" s="62">
        <f>NZ2050_industry_final_energy!S77</f>
        <v>0.17038097939999999</v>
      </c>
      <c r="AU19" s="62">
        <f>NZ2050_industry_final_energy!T77</f>
        <v>0.35668150449000002</v>
      </c>
    </row>
    <row r="20" spans="4:47">
      <c r="E20" s="62">
        <v>2005</v>
      </c>
      <c r="F20" s="62">
        <v>2010</v>
      </c>
      <c r="G20" s="62">
        <v>2015</v>
      </c>
      <c r="L20" s="62" t="str">
        <f>'CurPol_industry_final_energ (2)'!A54</f>
        <v>CurPol,date=2022-3-7T01:16:15-015:00</v>
      </c>
      <c r="M20" s="62" t="str">
        <f>'CurPol_industry_final_energ (2)'!B54</f>
        <v>South Korea</v>
      </c>
      <c r="N20" s="62" t="str">
        <f>'CurPol_industry_final_energ (2)'!C54</f>
        <v>other industrial energy use</v>
      </c>
      <c r="O20" s="62" t="str">
        <f>'CurPol_industry_final_energ (2)'!D54</f>
        <v>refined liquids</v>
      </c>
      <c r="P20" s="62" t="str">
        <f>'CurPol_industry_final_energ (2)'!E54</f>
        <v>refined liquids industrial</v>
      </c>
      <c r="Q20" s="62" t="str">
        <f>'CurPol_industry_final_energ (2)'!F54</f>
        <v>refined liquids</v>
      </c>
      <c r="R20" s="62">
        <f>'CurPol_industry_final_energ (2)'!G54</f>
        <v>0.26414799999999999</v>
      </c>
      <c r="S20" s="62">
        <f>'CurPol_industry_final_energ (2)'!H54</f>
        <v>0.25026999999999999</v>
      </c>
      <c r="T20" s="62">
        <f>'CurPol_industry_final_energ (2)'!I54</f>
        <v>0.194684</v>
      </c>
      <c r="U20" s="62">
        <f>'CurPol_industry_final_energ (2)'!J54</f>
        <v>0.14664099999999999</v>
      </c>
      <c r="V20" s="62">
        <f>'CurPol_industry_final_energ (2)'!K54</f>
        <v>0.1564818</v>
      </c>
      <c r="W20" s="62">
        <f>'CurPol_industry_final_energ (2)'!L54</f>
        <v>0.16636819999999999</v>
      </c>
      <c r="X20" s="62">
        <f>'CurPol_industry_final_energ (2)'!M54</f>
        <v>0.16764759999999901</v>
      </c>
      <c r="Y20" s="62">
        <f>'CurPol_industry_final_energ (2)'!N54</f>
        <v>0.1553562</v>
      </c>
      <c r="Z20" s="62">
        <f>'CurPol_industry_final_energ (2)'!O54</f>
        <v>0.13403482999999999</v>
      </c>
      <c r="AA20" s="62">
        <f>'CurPol_industry_final_energ (2)'!P54</f>
        <v>0.11556123</v>
      </c>
      <c r="AB20" s="62">
        <f>'CurPol_industry_final_energ (2)'!Q54</f>
        <v>9.9397879999999994E-2</v>
      </c>
      <c r="AE20" s="62" t="str">
        <f>NZ2050_industry_final_energy!D78</f>
        <v>NZ2050,date=2022-3-7T01:15:47-015:00</v>
      </c>
      <c r="AF20" s="62" t="str">
        <f>NZ2050_industry_final_energy!E78</f>
        <v>South Korea</v>
      </c>
      <c r="AG20" s="62" t="str">
        <f>NZ2050_industry_final_energy!F78</f>
        <v>other industrial energy use</v>
      </c>
      <c r="AH20" s="62" t="str">
        <f>NZ2050_industry_final_energy!G78</f>
        <v>refined liquids</v>
      </c>
      <c r="AI20" s="62" t="str">
        <f>NZ2050_industry_final_energy!H78</f>
        <v>refined liquids industrial</v>
      </c>
      <c r="AJ20" s="62" t="str">
        <f>NZ2050_industry_final_energy!I78</f>
        <v>refined liquids</v>
      </c>
      <c r="AK20" s="62">
        <f>NZ2050_industry_final_energy!J78</f>
        <v>0.26414799999999999</v>
      </c>
      <c r="AL20" s="62">
        <f>NZ2050_industry_final_energy!K78</f>
        <v>0.25026999999999999</v>
      </c>
      <c r="AM20" s="62">
        <f>NZ2050_industry_final_energy!L78</f>
        <v>0.194684</v>
      </c>
      <c r="AN20" s="62">
        <f>NZ2050_industry_final_energy!M78</f>
        <v>0.14664099999999999</v>
      </c>
      <c r="AO20" s="62">
        <f>NZ2050_industry_final_energy!N78</f>
        <v>0.1564094</v>
      </c>
      <c r="AP20" s="62">
        <f>NZ2050_industry_final_energy!O78</f>
        <v>0.16810520000000001</v>
      </c>
      <c r="AQ20" s="62">
        <f>NZ2050_industry_final_energy!P78</f>
        <v>0.16853969999999999</v>
      </c>
      <c r="AR20" s="62">
        <f>NZ2050_industry_final_energy!Q78</f>
        <v>0.15438442999999999</v>
      </c>
      <c r="AS20" s="62">
        <f>NZ2050_industry_final_energy!R78</f>
        <v>0.12660004999999999</v>
      </c>
      <c r="AT20" s="62">
        <f>NZ2050_industry_final_energy!S78</f>
        <v>9.9869909999999895E-2</v>
      </c>
      <c r="AU20" s="62">
        <f>NZ2050_industry_final_energy!T78</f>
        <v>2.9813373000000001E-2</v>
      </c>
    </row>
    <row r="21" spans="4:47">
      <c r="D21" s="62" t="s">
        <v>12</v>
      </c>
      <c r="L21" s="62" t="str">
        <f>'CurPol_industry_final_energ (2)'!A55</f>
        <v>CurPol,date=2022-3-7T01:16:15-015:00</v>
      </c>
      <c r="M21" s="62" t="str">
        <f>'CurPol_industry_final_energ (2)'!B55</f>
        <v>South Korea</v>
      </c>
      <c r="N21" s="62" t="str">
        <f>'CurPol_industry_final_energ (2)'!C55</f>
        <v>other industrial energy use</v>
      </c>
      <c r="O21" s="62" t="str">
        <f>'CurPol_industry_final_energ (2)'!D55</f>
        <v>refined liquids</v>
      </c>
      <c r="P21" s="62" t="str">
        <f>'CurPol_industry_final_energ (2)'!E55</f>
        <v>refined liquids industrial</v>
      </c>
      <c r="Q21" s="62" t="str">
        <f>'CurPol_industry_final_energ (2)'!F55</f>
        <v>refined liquids cogen</v>
      </c>
      <c r="R21" s="62">
        <f>'CurPol_industry_final_energ (2)'!G55</f>
        <v>0</v>
      </c>
      <c r="S21" s="62">
        <f>'CurPol_industry_final_energ (2)'!H55</f>
        <v>7.1294399999999994E-2</v>
      </c>
      <c r="T21" s="62">
        <f>'CurPol_industry_final_energ (2)'!I55</f>
        <v>5.7196799999999999E-2</v>
      </c>
      <c r="U21" s="62">
        <f>'CurPol_industry_final_energ (2)'!J55</f>
        <v>2.7835200000000001E-2</v>
      </c>
      <c r="V21" s="62">
        <f>'CurPol_industry_final_energ (2)'!K55</f>
        <v>3.023149E-2</v>
      </c>
      <c r="W21" s="62">
        <f>'CurPol_industry_final_energ (2)'!L55</f>
        <v>3.3387720000000003E-2</v>
      </c>
      <c r="X21" s="62">
        <f>'CurPol_industry_final_energ (2)'!M55</f>
        <v>3.6353509999999999E-2</v>
      </c>
      <c r="Y21" s="62">
        <f>'CurPol_industry_final_energ (2)'!N55</f>
        <v>3.858309E-2</v>
      </c>
      <c r="Z21" s="62">
        <f>'CurPol_industry_final_energ (2)'!O55</f>
        <v>3.9424099999999997E-2</v>
      </c>
      <c r="AA21" s="62">
        <f>'CurPol_industry_final_energ (2)'!P55</f>
        <v>3.7253898000000001E-2</v>
      </c>
      <c r="AB21" s="62">
        <f>'CurPol_industry_final_energ (2)'!Q55</f>
        <v>3.3648040999999997E-2</v>
      </c>
      <c r="AE21" s="62" t="str">
        <f>NZ2050_industry_final_energy!D79</f>
        <v>NZ2050,date=2022-3-7T01:15:47-015:00</v>
      </c>
      <c r="AF21" s="62" t="str">
        <f>NZ2050_industry_final_energy!E79</f>
        <v>South Korea</v>
      </c>
      <c r="AG21" s="62" t="str">
        <f>NZ2050_industry_final_energy!F79</f>
        <v>other industrial energy use</v>
      </c>
      <c r="AH21" s="62" t="str">
        <f>NZ2050_industry_final_energy!G79</f>
        <v>refined liquids</v>
      </c>
      <c r="AI21" s="62" t="str">
        <f>NZ2050_industry_final_energy!H79</f>
        <v>refined liquids industrial</v>
      </c>
      <c r="AJ21" s="62" t="str">
        <f>NZ2050_industry_final_energy!I79</f>
        <v>refined liquids cogen</v>
      </c>
      <c r="AK21" s="62">
        <f>NZ2050_industry_final_energy!J79</f>
        <v>0</v>
      </c>
      <c r="AL21" s="62">
        <f>NZ2050_industry_final_energy!K79</f>
        <v>7.1294399999999994E-2</v>
      </c>
      <c r="AM21" s="62">
        <f>NZ2050_industry_final_energy!L79</f>
        <v>5.7196799999999999E-2</v>
      </c>
      <c r="AN21" s="62">
        <f>NZ2050_industry_final_energy!M79</f>
        <v>2.7835200000000001E-2</v>
      </c>
      <c r="AO21" s="62">
        <f>NZ2050_industry_final_energy!N79</f>
        <v>3.017533E-2</v>
      </c>
      <c r="AP21" s="62">
        <f>NZ2050_industry_final_energy!O79</f>
        <v>3.5024899999999998E-2</v>
      </c>
      <c r="AQ21" s="62">
        <f>NZ2050_industry_final_energy!P79</f>
        <v>3.8936109999999899E-2</v>
      </c>
      <c r="AR21" s="62">
        <f>NZ2050_industry_final_energy!Q79</f>
        <v>4.1961819999999997E-2</v>
      </c>
      <c r="AS21" s="62">
        <f>NZ2050_industry_final_energy!R79</f>
        <v>3.86337E-2</v>
      </c>
      <c r="AT21" s="62">
        <f>NZ2050_industry_final_energy!S79</f>
        <v>3.0969757000000001E-2</v>
      </c>
      <c r="AU21" s="62">
        <f>NZ2050_industry_final_energy!T79</f>
        <v>5.0627870999999996E-3</v>
      </c>
    </row>
    <row r="22" spans="4:47">
      <c r="D22" s="62" t="s">
        <v>17</v>
      </c>
      <c r="L22" s="62" t="str">
        <f>'CurPol_industry_final_energ (2)'!A56</f>
        <v>CurPol,date=2022-3-7T01:16:15-015:00</v>
      </c>
      <c r="M22" s="62" t="str">
        <f>'CurPol_industry_final_energ (2)'!B56</f>
        <v>South Korea</v>
      </c>
      <c r="N22" s="62" t="str">
        <f>'CurPol_industry_final_energ (2)'!C56</f>
        <v>other industrial feedstocks</v>
      </c>
      <c r="O22" s="62" t="str">
        <f>'CurPol_industry_final_energ (2)'!D56</f>
        <v>refined liquids</v>
      </c>
      <c r="P22" s="62" t="str">
        <f>'CurPol_industry_final_energ (2)'!E56</f>
        <v>refined liquids industrial</v>
      </c>
      <c r="Q22" s="62" t="str">
        <f>'CurPol_industry_final_energ (2)'!F56</f>
        <v>refined liquids</v>
      </c>
      <c r="R22" s="62">
        <f>'CurPol_industry_final_energ (2)'!G56</f>
        <v>0</v>
      </c>
      <c r="S22" s="62">
        <f>'CurPol_industry_final_energ (2)'!H56</f>
        <v>3.1394999999999999E-2</v>
      </c>
      <c r="T22" s="62">
        <f>'CurPol_industry_final_energ (2)'!I56</f>
        <v>3.1520600000000003E-2</v>
      </c>
      <c r="U22" s="62">
        <f>'CurPol_industry_final_energ (2)'!J56</f>
        <v>2.9218299999999999E-2</v>
      </c>
      <c r="V22" s="62">
        <f>'CurPol_industry_final_energ (2)'!K56</f>
        <v>3.22203E-2</v>
      </c>
      <c r="W22" s="62">
        <f>'CurPol_industry_final_energ (2)'!L56</f>
        <v>3.8402800000000001E-2</v>
      </c>
      <c r="X22" s="62">
        <f>'CurPol_industry_final_energ (2)'!M56</f>
        <v>4.89063E-2</v>
      </c>
      <c r="Y22" s="62">
        <f>'CurPol_industry_final_energ (2)'!N56</f>
        <v>7.4603199999999995E-2</v>
      </c>
      <c r="Z22" s="62">
        <f>'CurPol_industry_final_energ (2)'!O56</f>
        <v>0.10693</v>
      </c>
      <c r="AA22" s="62">
        <f>'CurPol_industry_final_energ (2)'!P56</f>
        <v>0.125863</v>
      </c>
      <c r="AB22" s="62">
        <f>'CurPol_industry_final_energ (2)'!Q56</f>
        <v>0.139158</v>
      </c>
      <c r="AE22" s="62" t="str">
        <f>NZ2050_industry_final_energy!D80</f>
        <v>NZ2050,date=2022-3-7T01:15:47-015:00</v>
      </c>
      <c r="AF22" s="62" t="str">
        <f>NZ2050_industry_final_energy!E80</f>
        <v>South Korea</v>
      </c>
      <c r="AG22" s="62" t="str">
        <f>NZ2050_industry_final_energy!F80</f>
        <v>other industrial feedstocks</v>
      </c>
      <c r="AH22" s="62" t="str">
        <f>NZ2050_industry_final_energy!G80</f>
        <v>refined liquids</v>
      </c>
      <c r="AI22" s="62" t="str">
        <f>NZ2050_industry_final_energy!H80</f>
        <v>refined liquids industrial</v>
      </c>
      <c r="AJ22" s="62" t="str">
        <f>NZ2050_industry_final_energy!I80</f>
        <v>refined liquids</v>
      </c>
      <c r="AK22" s="62">
        <f>NZ2050_industry_final_energy!J80</f>
        <v>0</v>
      </c>
      <c r="AL22" s="62">
        <f>NZ2050_industry_final_energy!K80</f>
        <v>3.1394999999999999E-2</v>
      </c>
      <c r="AM22" s="62">
        <f>NZ2050_industry_final_energy!L80</f>
        <v>3.1520600000000003E-2</v>
      </c>
      <c r="AN22" s="62">
        <f>NZ2050_industry_final_energy!M80</f>
        <v>2.9218299999999999E-2</v>
      </c>
      <c r="AO22" s="62">
        <f>NZ2050_industry_final_energy!N80</f>
        <v>3.22203E-2</v>
      </c>
      <c r="AP22" s="62">
        <f>NZ2050_industry_final_energy!O80</f>
        <v>3.8403E-2</v>
      </c>
      <c r="AQ22" s="62">
        <f>NZ2050_industry_final_energy!P80</f>
        <v>4.7491199999999997E-2</v>
      </c>
      <c r="AR22" s="62">
        <f>NZ2050_industry_final_energy!Q80</f>
        <v>7.0613700000000001E-2</v>
      </c>
      <c r="AS22" s="62">
        <f>NZ2050_industry_final_energy!R80</f>
        <v>0.100462</v>
      </c>
      <c r="AT22" s="62">
        <f>NZ2050_industry_final_energy!S80</f>
        <v>0.120015</v>
      </c>
      <c r="AU22" s="62">
        <f>NZ2050_industry_final_energy!T80</f>
        <v>0.13555900000000001</v>
      </c>
    </row>
    <row r="23" spans="4:47">
      <c r="D23" s="62" t="s">
        <v>13</v>
      </c>
    </row>
    <row r="24" spans="4:47">
      <c r="D24" s="62" t="s">
        <v>15</v>
      </c>
      <c r="L24" s="62" t="str">
        <f>'CurPol_industry_final_energ (2)'!A3</f>
        <v>CurPol,date=2022-3-7T01:16:15-015:00</v>
      </c>
      <c r="M24" s="62" t="str">
        <f>'CurPol_industry_final_energ (2)'!B3</f>
        <v>South Korea</v>
      </c>
      <c r="N24" s="62" t="str">
        <f>'CurPol_industry_final_energ (2)'!C3</f>
        <v>N fertilizer</v>
      </c>
      <c r="O24" s="62" t="str">
        <f>'CurPol_industry_final_energ (2)'!D3</f>
        <v>gas</v>
      </c>
      <c r="P24" s="62" t="str">
        <f>'CurPol_industry_final_energ (2)'!E3</f>
        <v>wholesale gas</v>
      </c>
      <c r="Q24" s="62" t="str">
        <f>'CurPol_industry_final_energ (2)'!F3</f>
        <v>gas</v>
      </c>
      <c r="R24" s="62">
        <f>'CurPol_industry_final_energ (2)'!G3</f>
        <v>4.1860899999999999E-3</v>
      </c>
      <c r="S24" s="62">
        <f>'CurPol_industry_final_energ (2)'!H3</f>
        <v>1.55318E-2</v>
      </c>
      <c r="T24" s="62">
        <f>'CurPol_industry_final_energ (2)'!I3</f>
        <v>1.25215E-2</v>
      </c>
      <c r="U24" s="62">
        <f>'CurPol_industry_final_energ (2)'!J3</f>
        <v>6.4959199999999996E-3</v>
      </c>
      <c r="V24" s="62">
        <f>'CurPol_industry_final_energ (2)'!K3</f>
        <v>6.7250909999999999E-3</v>
      </c>
      <c r="W24" s="62">
        <f>'CurPol_industry_final_energ (2)'!L3</f>
        <v>6.74407499999999E-3</v>
      </c>
      <c r="X24" s="62">
        <f>'CurPol_industry_final_energ (2)'!M3</f>
        <v>6.5620469999999997E-3</v>
      </c>
      <c r="Y24" s="62">
        <f>'CurPol_industry_final_energ (2)'!N3</f>
        <v>6.0075160000000001E-3</v>
      </c>
      <c r="Z24" s="62">
        <f>'CurPol_industry_final_energ (2)'!O3</f>
        <v>5.3749260000000004E-3</v>
      </c>
      <c r="AA24" s="62">
        <f>'CurPol_industry_final_energ (2)'!P3</f>
        <v>5.0042483999999899E-3</v>
      </c>
      <c r="AB24" s="62">
        <f>'CurPol_industry_final_energ (2)'!Q3</f>
        <v>4.7475436999999997E-3</v>
      </c>
      <c r="AE24" s="62" t="str">
        <f>NZ2050_industry_final_energy!D3</f>
        <v>NZ2050,date=2022-3-7T01:15:47-015:00</v>
      </c>
      <c r="AF24" s="62" t="str">
        <f>NZ2050_industry_final_energy!E3</f>
        <v>South Korea</v>
      </c>
      <c r="AG24" s="62" t="str">
        <f>NZ2050_industry_final_energy!F3</f>
        <v>N fertilizer</v>
      </c>
      <c r="AH24" s="62" t="str">
        <f>NZ2050_industry_final_energy!G3</f>
        <v>gas</v>
      </c>
      <c r="AI24" s="62" t="str">
        <f>NZ2050_industry_final_energy!H3</f>
        <v>wholesale gas</v>
      </c>
      <c r="AJ24" s="62" t="str">
        <f>NZ2050_industry_final_energy!I3</f>
        <v>gas</v>
      </c>
      <c r="AK24" s="62">
        <f>NZ2050_industry_final_energy!J3</f>
        <v>4.1860899999999999E-3</v>
      </c>
      <c r="AL24" s="62">
        <f>NZ2050_industry_final_energy!K3</f>
        <v>1.55318E-2</v>
      </c>
      <c r="AM24" s="62">
        <f>NZ2050_industry_final_energy!L3</f>
        <v>1.25215E-2</v>
      </c>
      <c r="AN24" s="62">
        <f>NZ2050_industry_final_energy!M3</f>
        <v>6.4959199999999996E-3</v>
      </c>
      <c r="AO24" s="62">
        <f>NZ2050_industry_final_energy!N3</f>
        <v>6.7863180000000004E-3</v>
      </c>
      <c r="AP24" s="62">
        <f>NZ2050_industry_final_energy!O3</f>
        <v>6.8908179999999999E-3</v>
      </c>
      <c r="AQ24" s="62">
        <f>NZ2050_industry_final_energy!P3</f>
        <v>6.6945950000000002E-3</v>
      </c>
      <c r="AR24" s="62">
        <f>NZ2050_industry_final_energy!Q3</f>
        <v>5.7252779999999899E-3</v>
      </c>
      <c r="AS24" s="62">
        <f>NZ2050_industry_final_energy!R3</f>
        <v>4.0148739999999999E-3</v>
      </c>
      <c r="AT24" s="62">
        <f>NZ2050_industry_final_energy!S3</f>
        <v>2.83344239999999E-3</v>
      </c>
      <c r="AU24" s="62">
        <f>NZ2050_industry_final_energy!T3</f>
        <v>1.58912175E-3</v>
      </c>
    </row>
    <row r="25" spans="4:47">
      <c r="D25" s="62" t="s">
        <v>14</v>
      </c>
      <c r="L25" s="62" t="str">
        <f>'CurPol_industry_final_energ (2)'!A4</f>
        <v>CurPol,date=2022-3-7T01:16:15-015:00</v>
      </c>
      <c r="M25" s="62" t="str">
        <f>'CurPol_industry_final_energ (2)'!B4</f>
        <v>South Korea</v>
      </c>
      <c r="N25" s="62" t="str">
        <f>'CurPol_industry_final_energ (2)'!C4</f>
        <v>N fertilizer</v>
      </c>
      <c r="O25" s="62" t="str">
        <f>'CurPol_industry_final_energ (2)'!D4</f>
        <v>refined liquids</v>
      </c>
      <c r="P25" s="62" t="str">
        <f>'CurPol_industry_final_energ (2)'!E4</f>
        <v>refined liquids industrial</v>
      </c>
      <c r="Q25" s="62" t="str">
        <f>'CurPol_industry_final_energ (2)'!F4</f>
        <v>refined liquids</v>
      </c>
      <c r="R25" s="62">
        <f>'CurPol_industry_final_energ (2)'!G4</f>
        <v>2.6574E-2</v>
      </c>
      <c r="S25" s="62">
        <f>'CurPol_industry_final_energ (2)'!H4</f>
        <v>0</v>
      </c>
      <c r="T25" s="62">
        <f>'CurPol_industry_final_energ (2)'!I4</f>
        <v>0</v>
      </c>
      <c r="U25" s="62">
        <f>'CurPol_industry_final_energ (2)'!J4</f>
        <v>0</v>
      </c>
      <c r="V25" s="62">
        <f>'CurPol_industry_final_energ (2)'!K4</f>
        <v>0</v>
      </c>
      <c r="W25" s="62">
        <f>'CurPol_industry_final_energ (2)'!L4</f>
        <v>0</v>
      </c>
      <c r="X25" s="62">
        <f>'CurPol_industry_final_energ (2)'!M4</f>
        <v>0</v>
      </c>
      <c r="Y25" s="62">
        <f>'CurPol_industry_final_energ (2)'!N4</f>
        <v>0</v>
      </c>
      <c r="Z25" s="62">
        <f>'CurPol_industry_final_energ (2)'!O4</f>
        <v>0</v>
      </c>
      <c r="AA25" s="62">
        <f>'CurPol_industry_final_energ (2)'!P4</f>
        <v>0</v>
      </c>
      <c r="AB25" s="62">
        <f>'CurPol_industry_final_energ (2)'!Q4</f>
        <v>0</v>
      </c>
      <c r="AE25" s="62" t="str">
        <f>NZ2050_industry_final_energy!D4</f>
        <v>NZ2050,date=2022-3-7T01:15:47-015:00</v>
      </c>
      <c r="AF25" s="62" t="str">
        <f>NZ2050_industry_final_energy!E4</f>
        <v>South Korea</v>
      </c>
      <c r="AG25" s="62" t="str">
        <f>NZ2050_industry_final_energy!F4</f>
        <v>N fertilizer</v>
      </c>
      <c r="AH25" s="62" t="str">
        <f>NZ2050_industry_final_energy!G4</f>
        <v>gas</v>
      </c>
      <c r="AI25" s="62" t="str">
        <f>NZ2050_industry_final_energy!H4</f>
        <v>wholesale gas</v>
      </c>
      <c r="AJ25" s="62" t="str">
        <f>NZ2050_industry_final_energy!I4</f>
        <v>gas CCS</v>
      </c>
      <c r="AK25" s="62">
        <f>NZ2050_industry_final_energy!J4</f>
        <v>0</v>
      </c>
      <c r="AL25" s="62">
        <f>NZ2050_industry_final_energy!K4</f>
        <v>0</v>
      </c>
      <c r="AM25" s="62">
        <f>NZ2050_industry_final_energy!L4</f>
        <v>0</v>
      </c>
      <c r="AN25" s="62">
        <f>NZ2050_industry_final_energy!M4</f>
        <v>0</v>
      </c>
      <c r="AO25" s="62">
        <f>NZ2050_industry_final_energy!N4</f>
        <v>0</v>
      </c>
      <c r="AP25" s="62">
        <f>NZ2050_industry_final_energy!O4</f>
        <v>5.5648100000000003E-6</v>
      </c>
      <c r="AQ25" s="62">
        <f>NZ2050_industry_final_energy!P4</f>
        <v>6.0751310000000003E-5</v>
      </c>
      <c r="AR25" s="62">
        <f>NZ2050_industry_final_energy!Q4</f>
        <v>5.7699165000000001E-4</v>
      </c>
      <c r="AS25" s="62">
        <f>NZ2050_industry_final_energy!R4</f>
        <v>1.8523799799999999E-3</v>
      </c>
      <c r="AT25" s="62">
        <f>NZ2050_industry_final_energy!S4</f>
        <v>2.8353002399999902E-3</v>
      </c>
      <c r="AU25" s="62">
        <f>NZ2050_industry_final_energy!T4</f>
        <v>3.9918900300000004E-3</v>
      </c>
    </row>
    <row r="26" spans="4:47">
      <c r="D26" s="62" t="s">
        <v>30</v>
      </c>
      <c r="AE26" s="62" t="str">
        <f>NZ2050_industry_final_energy!D5</f>
        <v>NZ2050,date=2022-3-7T01:15:47-015:00</v>
      </c>
      <c r="AF26" s="62" t="str">
        <f>NZ2050_industry_final_energy!E5</f>
        <v>South Korea</v>
      </c>
      <c r="AG26" s="62" t="str">
        <f>NZ2050_industry_final_energy!F5</f>
        <v>N fertilizer</v>
      </c>
      <c r="AH26" s="62" t="str">
        <f>NZ2050_industry_final_energy!G5</f>
        <v>refined liquids</v>
      </c>
      <c r="AI26" s="62" t="str">
        <f>NZ2050_industry_final_energy!H5</f>
        <v>refined liquids industrial</v>
      </c>
      <c r="AJ26" s="62" t="str">
        <f>NZ2050_industry_final_energy!I5</f>
        <v>refined liquids</v>
      </c>
      <c r="AK26" s="62">
        <f>NZ2050_industry_final_energy!J5</f>
        <v>2.6574E-2</v>
      </c>
      <c r="AL26" s="62">
        <f>NZ2050_industry_final_energy!K5</f>
        <v>0</v>
      </c>
      <c r="AM26" s="62">
        <f>NZ2050_industry_final_energy!L5</f>
        <v>0</v>
      </c>
      <c r="AN26" s="62">
        <f>NZ2050_industry_final_energy!M5</f>
        <v>0</v>
      </c>
      <c r="AO26" s="62">
        <f>NZ2050_industry_final_energy!N5</f>
        <v>0</v>
      </c>
      <c r="AP26" s="62">
        <f>NZ2050_industry_final_energy!O5</f>
        <v>0</v>
      </c>
      <c r="AQ26" s="62">
        <f>NZ2050_industry_final_energy!P5</f>
        <v>0</v>
      </c>
      <c r="AR26" s="62">
        <f>NZ2050_industry_final_energy!Q5</f>
        <v>0</v>
      </c>
      <c r="AS26" s="62">
        <f>NZ2050_industry_final_energy!R5</f>
        <v>0</v>
      </c>
      <c r="AT26" s="62">
        <f>NZ2050_industry_final_energy!S5</f>
        <v>0</v>
      </c>
      <c r="AU26" s="62">
        <f>NZ2050_industry_final_energy!T5</f>
        <v>0</v>
      </c>
    </row>
    <row r="27" spans="4:47">
      <c r="D27" s="62" t="s">
        <v>16</v>
      </c>
      <c r="L27" s="62" t="str">
        <f>'CurPol_industry_final_energ (2)'!A5</f>
        <v>CurPol,date=2022-3-7T01:16:15-015:00</v>
      </c>
      <c r="M27" s="62" t="str">
        <f>'CurPol_industry_final_energ (2)'!B5</f>
        <v>South Korea</v>
      </c>
      <c r="N27" s="62" t="str">
        <f>'CurPol_industry_final_energ (2)'!C5</f>
        <v>agricultural energy use</v>
      </c>
      <c r="O27" s="62" t="str">
        <f>'CurPol_industry_final_energ (2)'!D5</f>
        <v>biomass</v>
      </c>
      <c r="P27" s="62" t="str">
        <f>'CurPol_industry_final_energ (2)'!E5</f>
        <v>delivered biomass</v>
      </c>
      <c r="Q27" s="62" t="str">
        <f>'CurPol_industry_final_energ (2)'!F5</f>
        <v>biomass</v>
      </c>
      <c r="R27" s="62">
        <f>'CurPol_industry_final_energ (2)'!G5</f>
        <v>0</v>
      </c>
      <c r="S27" s="62">
        <f>'CurPol_industry_final_energ (2)'!H5</f>
        <v>0</v>
      </c>
      <c r="T27" s="62">
        <f>'CurPol_industry_final_energ (2)'!I5</f>
        <v>0</v>
      </c>
      <c r="U27" s="62">
        <f>'CurPol_industry_final_energ (2)'!J5</f>
        <v>2.7628000000000002E-3</v>
      </c>
      <c r="V27" s="62">
        <f>'CurPol_industry_final_energ (2)'!K5</f>
        <v>2.85321599999999E-3</v>
      </c>
      <c r="W27" s="62">
        <f>'CurPol_industry_final_energ (2)'!L5</f>
        <v>3.9167799999999999E-3</v>
      </c>
      <c r="X27" s="62">
        <f>'CurPol_industry_final_energ (2)'!M5</f>
        <v>4.9393309999999999E-3</v>
      </c>
      <c r="Y27" s="62">
        <f>'CurPol_industry_final_energ (2)'!N5</f>
        <v>5.7010610000000003E-3</v>
      </c>
      <c r="Z27" s="62">
        <f>'CurPol_industry_final_energ (2)'!O5</f>
        <v>6.1638370000000001E-3</v>
      </c>
      <c r="AA27" s="62">
        <f>'CurPol_industry_final_energ (2)'!P5</f>
        <v>6.551365E-3</v>
      </c>
      <c r="AB27" s="62">
        <f>'CurPol_industry_final_energ (2)'!Q5</f>
        <v>6.7117949999999996E-3</v>
      </c>
      <c r="AE27" s="62" t="str">
        <f>NZ2050_industry_final_energy!D6</f>
        <v>NZ2050,date=2022-3-7T01:15:47-015:00</v>
      </c>
      <c r="AF27" s="62" t="str">
        <f>NZ2050_industry_final_energy!E6</f>
        <v>South Korea</v>
      </c>
      <c r="AG27" s="62" t="str">
        <f>NZ2050_industry_final_energy!F6</f>
        <v>agricultural energy use</v>
      </c>
      <c r="AH27" s="62" t="str">
        <f>NZ2050_industry_final_energy!G6</f>
        <v>biomass</v>
      </c>
      <c r="AI27" s="62" t="str">
        <f>NZ2050_industry_final_energy!H6</f>
        <v>delivered biomass</v>
      </c>
      <c r="AJ27" s="62" t="str">
        <f>NZ2050_industry_final_energy!I6</f>
        <v>biomass</v>
      </c>
      <c r="AK27" s="62">
        <f>NZ2050_industry_final_energy!J6</f>
        <v>0</v>
      </c>
      <c r="AL27" s="62">
        <f>NZ2050_industry_final_energy!K6</f>
        <v>0</v>
      </c>
      <c r="AM27" s="62">
        <f>NZ2050_industry_final_energy!L6</f>
        <v>0</v>
      </c>
      <c r="AN27" s="62">
        <f>NZ2050_industry_final_energy!M6</f>
        <v>2.7628000000000002E-3</v>
      </c>
      <c r="AO27" s="62">
        <f>NZ2050_industry_final_energy!N6</f>
        <v>2.835148E-3</v>
      </c>
      <c r="AP27" s="62">
        <f>NZ2050_industry_final_energy!O6</f>
        <v>5.3337990000000002E-3</v>
      </c>
      <c r="AQ27" s="62">
        <f>NZ2050_industry_final_energy!P6</f>
        <v>7.2116949999999997E-3</v>
      </c>
      <c r="AR27" s="62">
        <f>NZ2050_industry_final_energy!Q6</f>
        <v>7.8185019999999997E-3</v>
      </c>
      <c r="AS27" s="62">
        <f>NZ2050_industry_final_energy!R6</f>
        <v>6.4949349999999899E-3</v>
      </c>
      <c r="AT27" s="62">
        <f>NZ2050_industry_final_energy!S6</f>
        <v>4.4229489999999998E-3</v>
      </c>
      <c r="AU27" s="62">
        <f>NZ2050_industry_final_energy!T6</f>
        <v>1.1555490000000001E-3</v>
      </c>
    </row>
    <row r="28" spans="4:47">
      <c r="D28" s="62" t="s">
        <v>31</v>
      </c>
      <c r="L28" s="62" t="str">
        <f>'CurPol_industry_final_energ (2)'!A6</f>
        <v>CurPol,date=2022-3-7T01:16:15-015:00</v>
      </c>
      <c r="M28" s="62" t="str">
        <f>'CurPol_industry_final_energ (2)'!B6</f>
        <v>South Korea</v>
      </c>
      <c r="N28" s="62" t="str">
        <f>'CurPol_industry_final_energ (2)'!C6</f>
        <v>agricultural energy use</v>
      </c>
      <c r="O28" s="62" t="str">
        <f>'CurPol_industry_final_energ (2)'!D6</f>
        <v>electricity</v>
      </c>
      <c r="P28" s="62" t="str">
        <f>'CurPol_industry_final_energ (2)'!E6</f>
        <v>elect_td_ind</v>
      </c>
      <c r="Q28" s="62" t="str">
        <f>'CurPol_industry_final_energ (2)'!F6</f>
        <v>electricity</v>
      </c>
      <c r="R28" s="62">
        <f>'CurPol_industry_final_energ (2)'!G6</f>
        <v>5.2325000000000002E-3</v>
      </c>
      <c r="S28" s="62">
        <f>'CurPol_industry_final_energ (2)'!H6</f>
        <v>1.9004400000000001E-2</v>
      </c>
      <c r="T28" s="62">
        <f>'CurPol_industry_final_energ (2)'!I6</f>
        <v>2.8799700000000001E-2</v>
      </c>
      <c r="U28" s="62">
        <f>'CurPol_industry_final_energ (2)'!J6</f>
        <v>4.1901800000000003E-2</v>
      </c>
      <c r="V28" s="62">
        <f>'CurPol_industry_final_energ (2)'!K6</f>
        <v>3.9326239999999998E-2</v>
      </c>
      <c r="W28" s="62">
        <f>'CurPol_industry_final_energ (2)'!L6</f>
        <v>4.0191610000000003E-2</v>
      </c>
      <c r="X28" s="62">
        <f>'CurPol_industry_final_energ (2)'!M6</f>
        <v>3.6625110000000002E-2</v>
      </c>
      <c r="Y28" s="62">
        <f>'CurPol_industry_final_energ (2)'!N6</f>
        <v>3.359243E-2</v>
      </c>
      <c r="Z28" s="62">
        <f>'CurPol_industry_final_energ (2)'!O6</f>
        <v>3.2094749999999998E-2</v>
      </c>
      <c r="AA28" s="62">
        <f>'CurPol_industry_final_energ (2)'!P6</f>
        <v>3.0825410000000001E-2</v>
      </c>
      <c r="AB28" s="62">
        <f>'CurPol_industry_final_energ (2)'!Q6</f>
        <v>2.9881269999999901E-2</v>
      </c>
      <c r="AE28" s="62" t="str">
        <f>NZ2050_industry_final_energy!D7</f>
        <v>NZ2050,date=2022-3-7T01:15:47-015:00</v>
      </c>
      <c r="AF28" s="62" t="str">
        <f>NZ2050_industry_final_energy!E7</f>
        <v>South Korea</v>
      </c>
      <c r="AG28" s="62" t="str">
        <f>NZ2050_industry_final_energy!F7</f>
        <v>agricultural energy use</v>
      </c>
      <c r="AH28" s="62" t="str">
        <f>NZ2050_industry_final_energy!G7</f>
        <v>electricity</v>
      </c>
      <c r="AI28" s="62" t="str">
        <f>NZ2050_industry_final_energy!H7</f>
        <v>elect_td_ind</v>
      </c>
      <c r="AJ28" s="62" t="str">
        <f>NZ2050_industry_final_energy!I7</f>
        <v>electricity</v>
      </c>
      <c r="AK28" s="62">
        <f>NZ2050_industry_final_energy!J7</f>
        <v>5.2325000000000002E-3</v>
      </c>
      <c r="AL28" s="62">
        <f>NZ2050_industry_final_energy!K7</f>
        <v>1.9004400000000001E-2</v>
      </c>
      <c r="AM28" s="62">
        <f>NZ2050_industry_final_energy!L7</f>
        <v>2.8799700000000001E-2</v>
      </c>
      <c r="AN28" s="62">
        <f>NZ2050_industry_final_energy!M7</f>
        <v>4.1901800000000003E-2</v>
      </c>
      <c r="AO28" s="62">
        <f>NZ2050_industry_final_energy!N7</f>
        <v>3.936812E-2</v>
      </c>
      <c r="AP28" s="62">
        <f>NZ2050_industry_final_energy!O7</f>
        <v>3.8983610000000002E-2</v>
      </c>
      <c r="AQ28" s="62">
        <f>NZ2050_industry_final_energy!P7</f>
        <v>3.3719399999999997E-2</v>
      </c>
      <c r="AR28" s="62">
        <f>NZ2050_industry_final_energy!Q7</f>
        <v>2.9909667000000001E-2</v>
      </c>
      <c r="AS28" s="62">
        <f>NZ2050_industry_final_energy!R7</f>
        <v>3.0121490000000001E-2</v>
      </c>
      <c r="AT28" s="62">
        <f>NZ2050_industry_final_energy!S7</f>
        <v>3.3299700000000002E-2</v>
      </c>
      <c r="AU28" s="62">
        <f>NZ2050_industry_final_energy!T7</f>
        <v>4.1750280000000001E-2</v>
      </c>
    </row>
    <row r="29" spans="4:47">
      <c r="L29" s="62" t="str">
        <f>'CurPol_industry_final_energ (2)'!A7</f>
        <v>CurPol,date=2022-3-7T01:16:15-015:00</v>
      </c>
      <c r="M29" s="62" t="str">
        <f>'CurPol_industry_final_energ (2)'!B7</f>
        <v>South Korea</v>
      </c>
      <c r="N29" s="62" t="str">
        <f>'CurPol_industry_final_energ (2)'!C7</f>
        <v>agricultural energy use</v>
      </c>
      <c r="O29" s="62" t="str">
        <f>'CurPol_industry_final_energ (2)'!D7</f>
        <v>gas</v>
      </c>
      <c r="P29" s="62" t="str">
        <f>'CurPol_industry_final_energ (2)'!E7</f>
        <v>wholesale gas</v>
      </c>
      <c r="Q29" s="62" t="str">
        <f>'CurPol_industry_final_energ (2)'!F7</f>
        <v>gas</v>
      </c>
      <c r="R29" s="62">
        <f>'CurPol_industry_final_energ (2)'!G7</f>
        <v>0</v>
      </c>
      <c r="S29" s="62">
        <f>'CurPol_industry_final_energ (2)'!H7</f>
        <v>1.0464999999999999E-3</v>
      </c>
      <c r="T29" s="62">
        <f>'CurPol_industry_final_energ (2)'!I7</f>
        <v>1.674E-4</v>
      </c>
      <c r="U29" s="62">
        <f>'CurPol_industry_final_energ (2)'!J7</f>
        <v>1.2559999999999999E-4</v>
      </c>
      <c r="V29" s="62">
        <f>'CurPol_industry_final_energ (2)'!K7</f>
        <v>1.21790099999999E-4</v>
      </c>
      <c r="W29" s="62">
        <f>'CurPol_industry_final_energ (2)'!L7</f>
        <v>1.3410350000000001E-4</v>
      </c>
      <c r="X29" s="62">
        <f>'CurPol_industry_final_energ (2)'!M7</f>
        <v>1.3726727E-4</v>
      </c>
      <c r="Y29" s="62">
        <f>'CurPol_industry_final_energ (2)'!N7</f>
        <v>1.34604839999999E-4</v>
      </c>
      <c r="Z29" s="62">
        <f>'CurPol_industry_final_energ (2)'!O7</f>
        <v>1.2745970000000001E-4</v>
      </c>
      <c r="AA29" s="62">
        <f>'CurPol_industry_final_energ (2)'!P7</f>
        <v>1.1941110000000001E-4</v>
      </c>
      <c r="AB29" s="62">
        <f>'CurPol_industry_final_energ (2)'!Q7</f>
        <v>1.1056499E-4</v>
      </c>
      <c r="AE29" s="62" t="str">
        <f>NZ2050_industry_final_energy!D8</f>
        <v>NZ2050,date=2022-3-7T01:15:47-015:00</v>
      </c>
      <c r="AF29" s="62" t="str">
        <f>NZ2050_industry_final_energy!E8</f>
        <v>South Korea</v>
      </c>
      <c r="AG29" s="62" t="str">
        <f>NZ2050_industry_final_energy!F8</f>
        <v>agricultural energy use</v>
      </c>
      <c r="AH29" s="62" t="str">
        <f>NZ2050_industry_final_energy!G8</f>
        <v>gas</v>
      </c>
      <c r="AI29" s="62" t="str">
        <f>NZ2050_industry_final_energy!H8</f>
        <v>wholesale gas</v>
      </c>
      <c r="AJ29" s="62" t="str">
        <f>NZ2050_industry_final_energy!I8</f>
        <v>gas</v>
      </c>
      <c r="AK29" s="62">
        <f>NZ2050_industry_final_energy!J8</f>
        <v>0</v>
      </c>
      <c r="AL29" s="62">
        <f>NZ2050_industry_final_energy!K8</f>
        <v>1.0464999999999999E-3</v>
      </c>
      <c r="AM29" s="62">
        <f>NZ2050_industry_final_energy!L8</f>
        <v>1.674E-4</v>
      </c>
      <c r="AN29" s="62">
        <f>NZ2050_industry_final_energy!M8</f>
        <v>1.2559999999999999E-4</v>
      </c>
      <c r="AO29" s="62">
        <f>NZ2050_industry_final_energy!N8</f>
        <v>1.217007E-4</v>
      </c>
      <c r="AP29" s="62">
        <f>NZ2050_industry_final_energy!O8</f>
        <v>1.292582E-4</v>
      </c>
      <c r="AQ29" s="62">
        <f>NZ2050_industry_final_energy!P8</f>
        <v>1.1673186E-4</v>
      </c>
      <c r="AR29" s="62">
        <f>NZ2050_industry_final_energy!Q8</f>
        <v>9.7170239999999996E-5</v>
      </c>
      <c r="AS29" s="62">
        <f>NZ2050_industry_final_energy!R8</f>
        <v>7.8190500000000003E-5</v>
      </c>
      <c r="AT29" s="62">
        <f>NZ2050_industry_final_energy!S8</f>
        <v>5.6674839999999998E-5</v>
      </c>
      <c r="AU29" s="62">
        <f>NZ2050_industry_final_energy!T8</f>
        <v>3.0050219999999899E-5</v>
      </c>
    </row>
    <row r="30" spans="4:47">
      <c r="D30" s="62" t="s">
        <v>75</v>
      </c>
      <c r="L30" s="62" t="str">
        <f>'CurPol_industry_final_energ (2)'!A8</f>
        <v>CurPol,date=2022-3-7T01:16:15-015:00</v>
      </c>
      <c r="M30" s="62" t="str">
        <f>'CurPol_industry_final_energ (2)'!B8</f>
        <v>South Korea</v>
      </c>
      <c r="N30" s="62" t="str">
        <f>'CurPol_industry_final_energ (2)'!C8</f>
        <v>agricultural energy use</v>
      </c>
      <c r="O30" s="62" t="str">
        <f>'CurPol_industry_final_energ (2)'!D8</f>
        <v>hydrogen</v>
      </c>
      <c r="P30" s="62" t="str">
        <f>'CurPol_industry_final_energ (2)'!E8</f>
        <v>H2 enduse</v>
      </c>
      <c r="Q30" s="62" t="str">
        <f>'CurPol_industry_final_energ (2)'!F8</f>
        <v>hydrogen</v>
      </c>
      <c r="R30" s="62">
        <f>'CurPol_industry_final_energ (2)'!G8</f>
        <v>0</v>
      </c>
      <c r="S30" s="62">
        <f>'CurPol_industry_final_energ (2)'!H8</f>
        <v>0</v>
      </c>
      <c r="T30" s="62">
        <f>'CurPol_industry_final_energ (2)'!I8</f>
        <v>0</v>
      </c>
      <c r="U30" s="62">
        <f>'CurPol_industry_final_energ (2)'!J8</f>
        <v>0</v>
      </c>
      <c r="V30" s="62">
        <f>'CurPol_industry_final_energ (2)'!K8</f>
        <v>3.6187399999999998E-5</v>
      </c>
      <c r="W30" s="62">
        <f>'CurPol_industry_final_energ (2)'!L8</f>
        <v>2.4695700000000001E-4</v>
      </c>
      <c r="X30" s="62">
        <f>'CurPol_industry_final_energ (2)'!M8</f>
        <v>5.5515700000000002E-4</v>
      </c>
      <c r="Y30" s="62">
        <f>'CurPol_industry_final_energ (2)'!N8</f>
        <v>8.6625790000000003E-4</v>
      </c>
      <c r="Z30" s="62">
        <f>'CurPol_industry_final_energ (2)'!O8</f>
        <v>1.0585261E-3</v>
      </c>
      <c r="AA30" s="62">
        <f>'CurPol_industry_final_energ (2)'!P8</f>
        <v>1.2887669999999999E-3</v>
      </c>
      <c r="AB30" s="62">
        <f>'CurPol_industry_final_energ (2)'!Q8</f>
        <v>1.4777742999999999E-3</v>
      </c>
      <c r="AE30" s="62" t="str">
        <f>NZ2050_industry_final_energy!D9</f>
        <v>NZ2050,date=2022-3-7T01:15:47-015:00</v>
      </c>
      <c r="AF30" s="62" t="str">
        <f>NZ2050_industry_final_energy!E9</f>
        <v>South Korea</v>
      </c>
      <c r="AG30" s="62" t="str">
        <f>NZ2050_industry_final_energy!F9</f>
        <v>agricultural energy use</v>
      </c>
      <c r="AH30" s="62" t="str">
        <f>NZ2050_industry_final_energy!G9</f>
        <v>hydrogen</v>
      </c>
      <c r="AI30" s="62" t="str">
        <f>NZ2050_industry_final_energy!H9</f>
        <v>H2 enduse</v>
      </c>
      <c r="AJ30" s="62" t="str">
        <f>NZ2050_industry_final_energy!I9</f>
        <v>hydrogen</v>
      </c>
      <c r="AK30" s="62">
        <f>NZ2050_industry_final_energy!J9</f>
        <v>0</v>
      </c>
      <c r="AL30" s="62">
        <f>NZ2050_industry_final_energy!K9</f>
        <v>0</v>
      </c>
      <c r="AM30" s="62">
        <f>NZ2050_industry_final_energy!L9</f>
        <v>0</v>
      </c>
      <c r="AN30" s="62">
        <f>NZ2050_industry_final_energy!M9</f>
        <v>0</v>
      </c>
      <c r="AO30" s="62">
        <f>NZ2050_industry_final_energy!N9</f>
        <v>3.5954600000000003E-5</v>
      </c>
      <c r="AP30" s="62">
        <f>NZ2050_industry_final_energy!O9</f>
        <v>2.3787459999999999E-4</v>
      </c>
      <c r="AQ30" s="62">
        <f>NZ2050_industry_final_energy!P9</f>
        <v>4.7837889999999999E-4</v>
      </c>
      <c r="AR30" s="62">
        <f>NZ2050_industry_final_energy!Q9</f>
        <v>7.4836730999999995E-4</v>
      </c>
      <c r="AS30" s="62">
        <f>NZ2050_industry_final_energy!R9</f>
        <v>1.0357242000000001E-3</v>
      </c>
      <c r="AT30" s="62">
        <f>NZ2050_industry_final_energy!S9</f>
        <v>1.5412107999999999E-3</v>
      </c>
      <c r="AU30" s="62">
        <f>NZ2050_industry_final_energy!T9</f>
        <v>2.39602E-3</v>
      </c>
    </row>
    <row r="31" spans="4:47">
      <c r="L31" s="62" t="str">
        <f>'CurPol_industry_final_energ (2)'!A9</f>
        <v>CurPol,date=2022-3-7T01:16:15-015:00</v>
      </c>
      <c r="M31" s="62" t="str">
        <f>'CurPol_industry_final_energ (2)'!B9</f>
        <v>South Korea</v>
      </c>
      <c r="N31" s="62" t="str">
        <f>'CurPol_industry_final_energ (2)'!C9</f>
        <v>agricultural energy use</v>
      </c>
      <c r="O31" s="62" t="str">
        <f>'CurPol_industry_final_energ (2)'!D9</f>
        <v>refined liquids</v>
      </c>
      <c r="P31" s="62" t="str">
        <f>'CurPol_industry_final_energ (2)'!E9</f>
        <v>refined liquids industrial</v>
      </c>
      <c r="Q31" s="62" t="str">
        <f>'CurPol_industry_final_energ (2)'!F9</f>
        <v>refined liquids</v>
      </c>
      <c r="R31" s="62">
        <f>'CurPol_industry_final_energ (2)'!G9</f>
        <v>6.4087699999999997E-2</v>
      </c>
      <c r="S31" s="62">
        <f>'CurPol_industry_final_energ (2)'!H9</f>
        <v>5.919E-2</v>
      </c>
      <c r="T31" s="62">
        <f>'CurPol_industry_final_energ (2)'!I9</f>
        <v>5.2492499999999997E-2</v>
      </c>
      <c r="U31" s="62">
        <f>'CurPol_industry_final_energ (2)'!J9</f>
        <v>1.9422999999999999E-2</v>
      </c>
      <c r="V31" s="62">
        <f>'CurPol_industry_final_energ (2)'!K9</f>
        <v>1.932791E-2</v>
      </c>
      <c r="W31" s="62">
        <f>'CurPol_industry_final_energ (2)'!L9</f>
        <v>2.2676579999999998E-2</v>
      </c>
      <c r="X31" s="62">
        <f>'CurPol_industry_final_energ (2)'!M9</f>
        <v>2.4193840000000001E-2</v>
      </c>
      <c r="Y31" s="62">
        <f>'CurPol_industry_final_energ (2)'!N9</f>
        <v>2.4089348E-2</v>
      </c>
      <c r="Z31" s="62">
        <f>'CurPol_industry_final_energ (2)'!O9</f>
        <v>2.3607429999999999E-2</v>
      </c>
      <c r="AA31" s="62">
        <f>'CurPol_industry_final_energ (2)'!P9</f>
        <v>2.2727489999999999E-2</v>
      </c>
      <c r="AB31" s="62">
        <f>'CurPol_industry_final_energ (2)'!Q9</f>
        <v>2.1781330000000002E-2</v>
      </c>
      <c r="AE31" s="62" t="str">
        <f>NZ2050_industry_final_energy!D10</f>
        <v>NZ2050,date=2022-3-7T01:15:47-015:00</v>
      </c>
      <c r="AF31" s="62" t="str">
        <f>NZ2050_industry_final_energy!E10</f>
        <v>South Korea</v>
      </c>
      <c r="AG31" s="62" t="str">
        <f>NZ2050_industry_final_energy!F10</f>
        <v>agricultural energy use</v>
      </c>
      <c r="AH31" s="62" t="str">
        <f>NZ2050_industry_final_energy!G10</f>
        <v>refined liquids</v>
      </c>
      <c r="AI31" s="62" t="str">
        <f>NZ2050_industry_final_energy!H10</f>
        <v>refined liquids industrial</v>
      </c>
      <c r="AJ31" s="62" t="str">
        <f>NZ2050_industry_final_energy!I10</f>
        <v>refined liquids</v>
      </c>
      <c r="AK31" s="62">
        <f>NZ2050_industry_final_energy!J10</f>
        <v>6.4087699999999997E-2</v>
      </c>
      <c r="AL31" s="62">
        <f>NZ2050_industry_final_energy!K10</f>
        <v>5.919E-2</v>
      </c>
      <c r="AM31" s="62">
        <f>NZ2050_industry_final_energy!L10</f>
        <v>5.2492499999999997E-2</v>
      </c>
      <c r="AN31" s="62">
        <f>NZ2050_industry_final_energy!M10</f>
        <v>1.9422999999999999E-2</v>
      </c>
      <c r="AO31" s="62">
        <f>NZ2050_industry_final_energy!N10</f>
        <v>1.9299429999999999E-2</v>
      </c>
      <c r="AP31" s="62">
        <f>NZ2050_industry_final_energy!O10</f>
        <v>2.2816779999999998E-2</v>
      </c>
      <c r="AQ31" s="62">
        <f>NZ2050_industry_final_energy!P10</f>
        <v>2.252094E-2</v>
      </c>
      <c r="AR31" s="62">
        <f>NZ2050_industry_final_energy!Q10</f>
        <v>2.0122989000000001E-2</v>
      </c>
      <c r="AS31" s="62">
        <f>NZ2050_industry_final_energy!R10</f>
        <v>1.6708509999999999E-2</v>
      </c>
      <c r="AT31" s="62">
        <f>NZ2050_industry_final_energy!S10</f>
        <v>1.236046E-2</v>
      </c>
      <c r="AU31" s="62">
        <f>NZ2050_industry_final_energy!T10</f>
        <v>4.0351929999999899E-3</v>
      </c>
    </row>
    <row r="33" spans="12:47">
      <c r="L33" s="62" t="str">
        <f>'CurPol_industry_final_energ (2)'!A42</f>
        <v>CurPol,date=2022-3-7T01:16:15-015:00</v>
      </c>
      <c r="M33" s="62" t="str">
        <f>'CurPol_industry_final_energ (2)'!B42</f>
        <v>South Korea</v>
      </c>
      <c r="N33" s="62" t="str">
        <f>'CurPol_industry_final_energ (2)'!C42</f>
        <v>mining energy use</v>
      </c>
      <c r="O33" s="62" t="str">
        <f>'CurPol_industry_final_energ (2)'!D42</f>
        <v>electricity</v>
      </c>
      <c r="P33" s="62" t="str">
        <f>'CurPol_industry_final_energ (2)'!E42</f>
        <v>elect_td_ind</v>
      </c>
      <c r="Q33" s="62" t="str">
        <f>'CurPol_industry_final_energ (2)'!F42</f>
        <v>electricity</v>
      </c>
      <c r="R33" s="62">
        <f>'CurPol_industry_final_energ (2)'!G42</f>
        <v>3.6418100000000001E-3</v>
      </c>
      <c r="S33" s="62">
        <f>'CurPol_industry_final_energ (2)'!H42</f>
        <v>4.7302400000000001E-3</v>
      </c>
      <c r="T33" s="62">
        <f>'CurPol_industry_final_energ (2)'!I42</f>
        <v>6.0696700000000001E-3</v>
      </c>
      <c r="U33" s="62">
        <f>'CurPol_industry_final_energ (2)'!J42</f>
        <v>5.86039E-3</v>
      </c>
      <c r="V33" s="62">
        <f>'CurPol_industry_final_energ (2)'!K42</f>
        <v>5.1514029999999997E-3</v>
      </c>
      <c r="W33" s="62">
        <f>'CurPol_industry_final_energ (2)'!L42</f>
        <v>5.3415289999999898E-3</v>
      </c>
      <c r="X33" s="62">
        <f>'CurPol_industry_final_energ (2)'!M42</f>
        <v>4.872192E-3</v>
      </c>
      <c r="Y33" s="62">
        <f>'CurPol_industry_final_energ (2)'!N42</f>
        <v>4.5324429000000001E-3</v>
      </c>
      <c r="Z33" s="62">
        <f>'CurPol_industry_final_energ (2)'!O42</f>
        <v>4.3824010000000002E-3</v>
      </c>
      <c r="AA33" s="62">
        <f>'CurPol_industry_final_energ (2)'!P42</f>
        <v>4.2516200000000002E-3</v>
      </c>
      <c r="AB33" s="62">
        <f>'CurPol_industry_final_energ (2)'!Q42</f>
        <v>4.1525279999999999E-3</v>
      </c>
      <c r="AE33" s="62" t="str">
        <f>NZ2050_industry_final_energy!D66</f>
        <v>NZ2050,date=2022-3-7T01:15:47-015:00</v>
      </c>
      <c r="AF33" s="62" t="str">
        <f>NZ2050_industry_final_energy!E66</f>
        <v>South Korea</v>
      </c>
      <c r="AG33" s="62" t="str">
        <f>NZ2050_industry_final_energy!F66</f>
        <v>mining energy use</v>
      </c>
      <c r="AH33" s="62" t="str">
        <f>NZ2050_industry_final_energy!G66</f>
        <v>electricity</v>
      </c>
      <c r="AI33" s="62" t="str">
        <f>NZ2050_industry_final_energy!H66</f>
        <v>elect_td_ind</v>
      </c>
      <c r="AJ33" s="62" t="str">
        <f>NZ2050_industry_final_energy!I66</f>
        <v>electricity</v>
      </c>
      <c r="AK33" s="62">
        <f>NZ2050_industry_final_energy!J66</f>
        <v>3.6418100000000001E-3</v>
      </c>
      <c r="AL33" s="62">
        <f>NZ2050_industry_final_energy!K66</f>
        <v>4.7302400000000001E-3</v>
      </c>
      <c r="AM33" s="62">
        <f>NZ2050_industry_final_energy!L66</f>
        <v>6.0696700000000001E-3</v>
      </c>
      <c r="AN33" s="62">
        <f>NZ2050_industry_final_energy!M66</f>
        <v>5.86039E-3</v>
      </c>
      <c r="AO33" s="62">
        <f>NZ2050_industry_final_energy!N66</f>
        <v>5.1538490000000003E-3</v>
      </c>
      <c r="AP33" s="62">
        <f>NZ2050_industry_final_energy!O66</f>
        <v>5.2617289999999997E-3</v>
      </c>
      <c r="AQ33" s="62">
        <f>NZ2050_industry_final_energy!P66</f>
        <v>4.6138580000000002E-3</v>
      </c>
      <c r="AR33" s="62">
        <f>NZ2050_industry_final_energy!Q66</f>
        <v>4.2022253000000001E-3</v>
      </c>
      <c r="AS33" s="62">
        <f>NZ2050_industry_final_energy!R66</f>
        <v>4.2515310000000002E-3</v>
      </c>
      <c r="AT33" s="62">
        <f>NZ2050_industry_final_energy!S66</f>
        <v>4.6098909999999996E-3</v>
      </c>
      <c r="AU33" s="62">
        <f>NZ2050_industry_final_energy!T66</f>
        <v>5.5301199999999899E-3</v>
      </c>
    </row>
    <row r="34" spans="12:47">
      <c r="L34" s="62" t="str">
        <f>'CurPol_industry_final_energ (2)'!A43</f>
        <v>CurPol,date=2022-3-7T01:16:15-015:00</v>
      </c>
      <c r="M34" s="62" t="str">
        <f>'CurPol_industry_final_energ (2)'!B43</f>
        <v>South Korea</v>
      </c>
      <c r="N34" s="62" t="str">
        <f>'CurPol_industry_final_energ (2)'!C43</f>
        <v>mining energy use</v>
      </c>
      <c r="O34" s="62" t="str">
        <f>'CurPol_industry_final_energ (2)'!D43</f>
        <v>hydrogen</v>
      </c>
      <c r="P34" s="62" t="str">
        <f>'CurPol_industry_final_energ (2)'!E43</f>
        <v>H2 enduse</v>
      </c>
      <c r="Q34" s="62" t="str">
        <f>'CurPol_industry_final_energ (2)'!F43</f>
        <v>hydrogen</v>
      </c>
      <c r="R34" s="62">
        <f>'CurPol_industry_final_energ (2)'!G43</f>
        <v>0</v>
      </c>
      <c r="S34" s="62">
        <f>'CurPol_industry_final_energ (2)'!H43</f>
        <v>0</v>
      </c>
      <c r="T34" s="62">
        <f>'CurPol_industry_final_energ (2)'!I43</f>
        <v>0</v>
      </c>
      <c r="U34" s="62">
        <f>'CurPol_industry_final_energ (2)'!J43</f>
        <v>0</v>
      </c>
      <c r="V34" s="62">
        <f>'CurPol_industry_final_energ (2)'!K43</f>
        <v>2.6150299999999999E-6</v>
      </c>
      <c r="W34" s="62">
        <f>'CurPol_industry_final_energ (2)'!L43</f>
        <v>3.2607999999999997E-5</v>
      </c>
      <c r="X34" s="62">
        <f>'CurPol_industry_final_energ (2)'!M43</f>
        <v>7.4416620000000003E-5</v>
      </c>
      <c r="Y34" s="62">
        <f>'CurPol_industry_final_energ (2)'!N43</f>
        <v>1.17734588E-4</v>
      </c>
      <c r="Z34" s="62">
        <f>'CurPol_industry_final_energ (2)'!O43</f>
        <v>1.44453089999999E-4</v>
      </c>
      <c r="AA34" s="62">
        <f>'CurPol_industry_final_energ (2)'!P43</f>
        <v>1.7814592000000001E-4</v>
      </c>
      <c r="AB34" s="62">
        <f>'CurPol_industry_final_energ (2)'!Q43</f>
        <v>2.055514E-4</v>
      </c>
      <c r="AE34" s="62" t="str">
        <f>NZ2050_industry_final_energy!D67</f>
        <v>NZ2050,date=2022-3-7T01:15:47-015:00</v>
      </c>
      <c r="AF34" s="62" t="str">
        <f>NZ2050_industry_final_energy!E67</f>
        <v>South Korea</v>
      </c>
      <c r="AG34" s="62" t="str">
        <f>NZ2050_industry_final_energy!F67</f>
        <v>mining energy use</v>
      </c>
      <c r="AH34" s="62" t="str">
        <f>NZ2050_industry_final_energy!G67</f>
        <v>hydrogen</v>
      </c>
      <c r="AI34" s="62" t="str">
        <f>NZ2050_industry_final_energy!H67</f>
        <v>H2 enduse</v>
      </c>
      <c r="AJ34" s="62" t="str">
        <f>NZ2050_industry_final_energy!I67</f>
        <v>hydrogen</v>
      </c>
      <c r="AK34" s="62">
        <f>NZ2050_industry_final_energy!J67</f>
        <v>0</v>
      </c>
      <c r="AL34" s="62">
        <f>NZ2050_industry_final_energy!K67</f>
        <v>0</v>
      </c>
      <c r="AM34" s="62">
        <f>NZ2050_industry_final_energy!L67</f>
        <v>0</v>
      </c>
      <c r="AN34" s="62">
        <f>NZ2050_industry_final_energy!M67</f>
        <v>0</v>
      </c>
      <c r="AO34" s="62">
        <f>NZ2050_industry_final_energy!N67</f>
        <v>2.5934099999999999E-6</v>
      </c>
      <c r="AP34" s="62">
        <f>NZ2050_industry_final_energy!O67</f>
        <v>3.263158E-5</v>
      </c>
      <c r="AQ34" s="62">
        <f>NZ2050_industry_final_energy!P67</f>
        <v>6.6642069999999995E-5</v>
      </c>
      <c r="AR34" s="62">
        <f>NZ2050_industry_final_energy!Q67</f>
        <v>1.0611296199999999E-4</v>
      </c>
      <c r="AS34" s="62">
        <f>NZ2050_industry_final_energy!R67</f>
        <v>1.4575960000000001E-4</v>
      </c>
      <c r="AT34" s="62">
        <f>NZ2050_industry_final_energy!S67</f>
        <v>2.1260503999999999E-4</v>
      </c>
      <c r="AU34" s="62">
        <f>NZ2050_industry_final_energy!T67</f>
        <v>3.1548049999999999E-4</v>
      </c>
    </row>
    <row r="35" spans="12:47">
      <c r="L35" s="62" t="str">
        <f>'CurPol_industry_final_energ (2)'!A44</f>
        <v>CurPol,date=2022-3-7T01:16:15-015:00</v>
      </c>
      <c r="M35" s="62" t="str">
        <f>'CurPol_industry_final_energ (2)'!B44</f>
        <v>South Korea</v>
      </c>
      <c r="N35" s="62" t="str">
        <f>'CurPol_industry_final_energ (2)'!C44</f>
        <v>mining energy use</v>
      </c>
      <c r="O35" s="62" t="str">
        <f>'CurPol_industry_final_energ (2)'!D44</f>
        <v>refined liquids</v>
      </c>
      <c r="P35" s="62" t="str">
        <f>'CurPol_industry_final_energ (2)'!E44</f>
        <v>refined liquids industrial</v>
      </c>
      <c r="Q35" s="62" t="str">
        <f>'CurPol_industry_final_energ (2)'!F44</f>
        <v>refined liquids</v>
      </c>
      <c r="R35" s="62">
        <f>'CurPol_industry_final_energ (2)'!G44</f>
        <v>4.7302200000000003E-3</v>
      </c>
      <c r="S35" s="62">
        <f>'CurPol_industry_final_energ (2)'!H44</f>
        <v>2.4697199999999999E-3</v>
      </c>
      <c r="T35" s="62">
        <f>'CurPol_industry_final_energ (2)'!I44</f>
        <v>3.5580799999999999E-3</v>
      </c>
      <c r="U35" s="62">
        <f>'CurPol_industry_final_energ (2)'!J44</f>
        <v>2.679E-3</v>
      </c>
      <c r="V35" s="62">
        <f>'CurPol_industry_final_energ (2)'!K44</f>
        <v>2.4352380000000002E-3</v>
      </c>
      <c r="W35" s="62">
        <f>'CurPol_industry_final_energ (2)'!L44</f>
        <v>2.9423269999999998E-3</v>
      </c>
      <c r="X35" s="62">
        <f>'CurPol_industry_final_energ (2)'!M44</f>
        <v>3.164133E-3</v>
      </c>
      <c r="Y35" s="62">
        <f>'CurPol_industry_final_energ (2)'!N44</f>
        <v>3.2052394000000001E-3</v>
      </c>
      <c r="Z35" s="62">
        <f>'CurPol_industry_final_energ (2)'!O44</f>
        <v>3.1769839999999999E-3</v>
      </c>
      <c r="AA35" s="62">
        <f>'CurPol_industry_final_energ (2)'!P44</f>
        <v>3.0901290000000001E-3</v>
      </c>
      <c r="AB35" s="62">
        <f>'CurPol_industry_final_energ (2)'!Q44</f>
        <v>2.984099E-3</v>
      </c>
      <c r="AE35" s="62" t="str">
        <f>NZ2050_industry_final_energy!D68</f>
        <v>NZ2050,date=2022-3-7T01:15:47-015:00</v>
      </c>
      <c r="AF35" s="62" t="str">
        <f>NZ2050_industry_final_energy!E68</f>
        <v>South Korea</v>
      </c>
      <c r="AG35" s="62" t="str">
        <f>NZ2050_industry_final_energy!F68</f>
        <v>mining energy use</v>
      </c>
      <c r="AH35" s="62" t="str">
        <f>NZ2050_industry_final_energy!G68</f>
        <v>refined liquids</v>
      </c>
      <c r="AI35" s="62" t="str">
        <f>NZ2050_industry_final_energy!H68</f>
        <v>refined liquids industrial</v>
      </c>
      <c r="AJ35" s="62" t="str">
        <f>NZ2050_industry_final_energy!I68</f>
        <v>refined liquids</v>
      </c>
      <c r="AK35" s="62">
        <f>NZ2050_industry_final_energy!J68</f>
        <v>4.7302200000000003E-3</v>
      </c>
      <c r="AL35" s="62">
        <f>NZ2050_industry_final_energy!K68</f>
        <v>2.4697199999999999E-3</v>
      </c>
      <c r="AM35" s="62">
        <f>NZ2050_industry_final_energy!L68</f>
        <v>3.5580799999999999E-3</v>
      </c>
      <c r="AN35" s="62">
        <f>NZ2050_industry_final_energy!M68</f>
        <v>2.679E-3</v>
      </c>
      <c r="AO35" s="62">
        <f>NZ2050_industry_final_energy!N68</f>
        <v>2.432731E-3</v>
      </c>
      <c r="AP35" s="62">
        <f>NZ2050_industry_final_energy!O68</f>
        <v>3.0261239999999998E-3</v>
      </c>
      <c r="AQ35" s="62">
        <f>NZ2050_industry_final_energy!P68</f>
        <v>3.0412879999999901E-3</v>
      </c>
      <c r="AR35" s="62">
        <f>NZ2050_industry_final_energy!Q68</f>
        <v>2.7870358E-3</v>
      </c>
      <c r="AS35" s="62">
        <f>NZ2050_industry_final_energy!R68</f>
        <v>2.3308460000000001E-3</v>
      </c>
      <c r="AT35" s="62">
        <f>NZ2050_industry_final_energy!S68</f>
        <v>1.6993620000000001E-3</v>
      </c>
      <c r="AU35" s="62">
        <f>NZ2050_industry_final_energy!T68</f>
        <v>5.3455059999999897E-4</v>
      </c>
    </row>
    <row r="36" spans="12:47">
      <c r="AU36" s="63"/>
    </row>
    <row r="37" spans="12:47">
      <c r="L37" s="62" t="str">
        <f>'CurPol_industry_final_energ (2)'!A10</f>
        <v>CurPol,date=2022-3-7T01:16:15-015:00</v>
      </c>
      <c r="M37" s="62" t="str">
        <f>'CurPol_industry_final_energ (2)'!B10</f>
        <v>South Korea</v>
      </c>
      <c r="N37" s="62" t="str">
        <f>'CurPol_industry_final_energ (2)'!C10</f>
        <v>cement</v>
      </c>
      <c r="O37" s="62" t="str">
        <f>'CurPol_industry_final_energ (2)'!D10</f>
        <v>cement</v>
      </c>
      <c r="P37" s="62" t="str">
        <f>'CurPol_industry_final_energ (2)'!E10</f>
        <v>elect_td_ind</v>
      </c>
      <c r="Q37" s="62" t="str">
        <f>'CurPol_industry_final_energ (2)'!F10</f>
        <v>cement</v>
      </c>
      <c r="AE37" s="62" t="str">
        <f>NZ2050_industry_final_energy!D11</f>
        <v>NZ2050,date=2022-3-7T01:15:47-015:00</v>
      </c>
      <c r="AF37" s="62" t="str">
        <f>NZ2050_industry_final_energy!E11</f>
        <v>South Korea</v>
      </c>
      <c r="AG37" s="62" t="str">
        <f>NZ2050_industry_final_energy!F11</f>
        <v>cement</v>
      </c>
      <c r="AH37" s="62" t="str">
        <f>NZ2050_industry_final_energy!G11</f>
        <v>cement</v>
      </c>
      <c r="AI37" s="62" t="str">
        <f>NZ2050_industry_final_energy!H11</f>
        <v>elect_td_ind</v>
      </c>
      <c r="AJ37" s="62" t="str">
        <f>NZ2050_industry_final_energy!I11</f>
        <v>cement</v>
      </c>
    </row>
    <row r="38" spans="12:47">
      <c r="L38" s="62" t="str">
        <f>'CurPol_industry_final_energ (2)'!A57</f>
        <v>CurPol,date=2022-3-7T01:16:15-015:00</v>
      </c>
      <c r="M38" s="62" t="str">
        <f>'CurPol_industry_final_energ (2)'!B57</f>
        <v>South Korea</v>
      </c>
      <c r="N38" s="62" t="str">
        <f>'CurPol_industry_final_energ (2)'!C57</f>
        <v>process heat cement</v>
      </c>
      <c r="O38" s="62" t="str">
        <f>'CurPol_industry_final_energ (2)'!D57</f>
        <v>biomass</v>
      </c>
      <c r="P38" s="62" t="str">
        <f>'CurPol_industry_final_energ (2)'!E57</f>
        <v>delivered biomass</v>
      </c>
      <c r="Q38" s="62" t="str">
        <f>'CurPol_industry_final_energ (2)'!F57</f>
        <v>biomass</v>
      </c>
      <c r="AE38" s="62" t="str">
        <f>NZ2050_industry_final_energy!D12</f>
        <v>NZ2050,date=2022-3-7T01:15:47-015:00</v>
      </c>
      <c r="AF38" s="62" t="str">
        <f>NZ2050_industry_final_energy!E12</f>
        <v>South Korea</v>
      </c>
      <c r="AG38" s="62" t="str">
        <f>NZ2050_industry_final_energy!F12</f>
        <v>cement</v>
      </c>
      <c r="AH38" s="62" t="str">
        <f>NZ2050_industry_final_energy!G12</f>
        <v>cement</v>
      </c>
      <c r="AI38" s="62" t="str">
        <f>NZ2050_industry_final_energy!H12</f>
        <v>elect_td_ind</v>
      </c>
      <c r="AJ38" s="62" t="str">
        <f>NZ2050_industry_final_energy!I12</f>
        <v>cement CCS</v>
      </c>
    </row>
    <row r="39" spans="12:47">
      <c r="L39" s="62" t="str">
        <f>'CurPol_industry_final_energ (2)'!A58</f>
        <v>CurPol,date=2022-3-7T01:16:15-015:00</v>
      </c>
      <c r="M39" s="62" t="str">
        <f>'CurPol_industry_final_energ (2)'!B58</f>
        <v>South Korea</v>
      </c>
      <c r="N39" s="62" t="str">
        <f>'CurPol_industry_final_energ (2)'!C58</f>
        <v>process heat cement</v>
      </c>
      <c r="O39" s="62" t="str">
        <f>'CurPol_industry_final_energ (2)'!D58</f>
        <v>coal</v>
      </c>
      <c r="P39" s="62" t="str">
        <f>'CurPol_industry_final_energ (2)'!E58</f>
        <v>delivered coal</v>
      </c>
      <c r="Q39" s="62" t="str">
        <f>'CurPol_industry_final_energ (2)'!F58</f>
        <v>coal</v>
      </c>
      <c r="AE39" s="62" t="str">
        <f>NZ2050_industry_final_energy!D81</f>
        <v>NZ2050,date=2022-3-7T01:15:47-015:00</v>
      </c>
      <c r="AF39" s="62" t="str">
        <f>NZ2050_industry_final_energy!E81</f>
        <v>South Korea</v>
      </c>
      <c r="AG39" s="62" t="str">
        <f>NZ2050_industry_final_energy!F81</f>
        <v>process heat cement</v>
      </c>
      <c r="AH39" s="62" t="str">
        <f>NZ2050_industry_final_energy!G81</f>
        <v>biomass</v>
      </c>
      <c r="AI39" s="62" t="str">
        <f>NZ2050_industry_final_energy!H81</f>
        <v>delivered biomass</v>
      </c>
      <c r="AJ39" s="62" t="str">
        <f>NZ2050_industry_final_energy!I81</f>
        <v>biomass</v>
      </c>
    </row>
    <row r="40" spans="12:47">
      <c r="L40" s="62" t="str">
        <f>'CurPol_industry_final_energ (2)'!A59</f>
        <v>CurPol,date=2022-3-7T01:16:15-015:00</v>
      </c>
      <c r="M40" s="62" t="str">
        <f>'CurPol_industry_final_energ (2)'!B59</f>
        <v>South Korea</v>
      </c>
      <c r="N40" s="62" t="str">
        <f>'CurPol_industry_final_energ (2)'!C59</f>
        <v>process heat cement</v>
      </c>
      <c r="O40" s="62" t="str">
        <f>'CurPol_industry_final_energ (2)'!D59</f>
        <v>hydrogen</v>
      </c>
      <c r="P40" s="62" t="str">
        <f>'CurPol_industry_final_energ (2)'!E59</f>
        <v>H2 enduse</v>
      </c>
      <c r="Q40" s="62" t="str">
        <f>'CurPol_industry_final_energ (2)'!F59</f>
        <v>hydrogen</v>
      </c>
      <c r="AE40" s="62" t="str">
        <f>NZ2050_industry_final_energy!D82</f>
        <v>NZ2050,date=2022-3-7T01:15:47-015:00</v>
      </c>
      <c r="AF40" s="62" t="str">
        <f>NZ2050_industry_final_energy!E82</f>
        <v>South Korea</v>
      </c>
      <c r="AG40" s="62" t="str">
        <f>NZ2050_industry_final_energy!F82</f>
        <v>process heat cement</v>
      </c>
      <c r="AH40" s="62" t="str">
        <f>NZ2050_industry_final_energy!G82</f>
        <v>coal</v>
      </c>
      <c r="AI40" s="62" t="str">
        <f>NZ2050_industry_final_energy!H82</f>
        <v>delivered coal</v>
      </c>
      <c r="AJ40" s="62" t="str">
        <f>NZ2050_industry_final_energy!I82</f>
        <v>coal</v>
      </c>
    </row>
    <row r="41" spans="12:47">
      <c r="L41" s="62" t="str">
        <f>'CurPol_industry_final_energ (2)'!A60</f>
        <v>CurPol,date=2022-3-7T01:16:15-015:00</v>
      </c>
      <c r="M41" s="62" t="str">
        <f>'CurPol_industry_final_energ (2)'!B60</f>
        <v>South Korea</v>
      </c>
      <c r="N41" s="62" t="str">
        <f>'CurPol_industry_final_energ (2)'!C60</f>
        <v>process heat cement</v>
      </c>
      <c r="O41" s="62" t="str">
        <f>'CurPol_industry_final_energ (2)'!D60</f>
        <v>refined liquids</v>
      </c>
      <c r="P41" s="62" t="str">
        <f>'CurPol_industry_final_energ (2)'!E60</f>
        <v>refined liquids industrial</v>
      </c>
      <c r="Q41" s="62" t="str">
        <f>'CurPol_industry_final_energ (2)'!F60</f>
        <v>refined liquids</v>
      </c>
      <c r="AE41" s="62" t="str">
        <f>NZ2050_industry_final_energy!D83</f>
        <v>NZ2050,date=2022-3-7T01:15:47-015:00</v>
      </c>
      <c r="AF41" s="62" t="str">
        <f>NZ2050_industry_final_energy!E83</f>
        <v>South Korea</v>
      </c>
      <c r="AG41" s="62" t="str">
        <f>NZ2050_industry_final_energy!F83</f>
        <v>process heat cement</v>
      </c>
      <c r="AH41" s="62" t="str">
        <f>NZ2050_industry_final_energy!G83</f>
        <v>hydrogen</v>
      </c>
      <c r="AI41" s="62" t="str">
        <f>NZ2050_industry_final_energy!H83</f>
        <v>H2 enduse</v>
      </c>
      <c r="AJ41" s="62" t="str">
        <f>NZ2050_industry_final_energy!I83</f>
        <v>hydrogen</v>
      </c>
    </row>
    <row r="42" spans="12:47">
      <c r="AE42" s="62" t="str">
        <f>NZ2050_industry_final_energy!D84</f>
        <v>NZ2050,date=2022-3-7T01:15:47-015:00</v>
      </c>
      <c r="AF42" s="62" t="str">
        <f>NZ2050_industry_final_energy!E84</f>
        <v>South Korea</v>
      </c>
      <c r="AG42" s="62" t="str">
        <f>NZ2050_industry_final_energy!F84</f>
        <v>process heat cement</v>
      </c>
      <c r="AH42" s="62" t="str">
        <f>NZ2050_industry_final_energy!G84</f>
        <v>refined liquids</v>
      </c>
      <c r="AI42" s="62" t="str">
        <f>NZ2050_industry_final_energy!H84</f>
        <v>refined liquids industrial</v>
      </c>
      <c r="AJ42" s="62" t="str">
        <f>NZ2050_industry_final_energy!I84</f>
        <v>refined liquids</v>
      </c>
    </row>
    <row r="44" spans="12:47">
      <c r="AU44" s="63"/>
    </row>
    <row r="46" spans="12:47">
      <c r="L46" s="115" t="s">
        <v>29</v>
      </c>
      <c r="M46" s="115"/>
      <c r="N46" s="115"/>
      <c r="O46" s="115"/>
      <c r="P46" s="115"/>
      <c r="Q46" s="115"/>
      <c r="R46" s="115"/>
      <c r="S46" s="27">
        <f>SUM(S3:S41)</f>
        <v>1.67632556</v>
      </c>
      <c r="T46" s="27">
        <f t="shared" ref="T46:AB46" si="0">SUM(T3:T41)</f>
        <v>1.9839178500000003</v>
      </c>
      <c r="U46" s="27">
        <f t="shared" si="0"/>
        <v>1.3984170090000001</v>
      </c>
      <c r="V46" s="27">
        <f t="shared" si="0"/>
        <v>1.4742855763299998</v>
      </c>
      <c r="W46" s="27">
        <f t="shared" si="0"/>
        <v>1.5695734418999996</v>
      </c>
      <c r="X46" s="27">
        <f t="shared" si="0"/>
        <v>1.6042409103899986</v>
      </c>
      <c r="Y46" s="27">
        <f t="shared" si="0"/>
        <v>1.5949038484279983</v>
      </c>
      <c r="Z46" s="27">
        <f t="shared" si="0"/>
        <v>1.5728397720900003</v>
      </c>
      <c r="AA46" s="27">
        <f t="shared" si="0"/>
        <v>1.5373871549199987</v>
      </c>
      <c r="AB46" s="103">
        <f t="shared" si="0"/>
        <v>1.5063713315499989</v>
      </c>
      <c r="AE46" s="115" t="s">
        <v>29</v>
      </c>
      <c r="AF46" s="115"/>
      <c r="AG46" s="115"/>
      <c r="AH46" s="115"/>
      <c r="AI46" s="115"/>
      <c r="AJ46" s="115"/>
      <c r="AK46" s="115"/>
      <c r="AL46" s="27">
        <f>SUM(AL3:AL42)</f>
        <v>1.67632556</v>
      </c>
      <c r="AM46" s="27">
        <f t="shared" ref="AM46:AU46" si="1">SUM(AM3:AM42)</f>
        <v>1.9839178500000003</v>
      </c>
      <c r="AN46" s="27">
        <f t="shared" si="1"/>
        <v>1.3984170090000001</v>
      </c>
      <c r="AO46" s="27">
        <f t="shared" si="1"/>
        <v>1.4741914397099996</v>
      </c>
      <c r="AP46" s="27">
        <f t="shared" si="1"/>
        <v>1.5682072888900005</v>
      </c>
      <c r="AQ46" s="27">
        <f t="shared" si="1"/>
        <v>1.5722772621399987</v>
      </c>
      <c r="AR46" s="27">
        <f t="shared" si="1"/>
        <v>1.5144675123619988</v>
      </c>
      <c r="AS46" s="27">
        <f t="shared" si="1"/>
        <v>1.4443051516800001</v>
      </c>
      <c r="AT46" s="27">
        <f t="shared" si="1"/>
        <v>1.4111547622199998</v>
      </c>
      <c r="AU46" s="27">
        <f t="shared" si="1"/>
        <v>1.4137728600599997</v>
      </c>
    </row>
    <row r="48" spans="12:47">
      <c r="L48" s="1" t="s">
        <v>23</v>
      </c>
      <c r="AE48" s="1" t="s">
        <v>23</v>
      </c>
    </row>
    <row r="49" spans="12:45">
      <c r="L49" s="62" t="s">
        <v>8</v>
      </c>
      <c r="M49" s="62" t="s">
        <v>9</v>
      </c>
      <c r="N49" s="62" t="s">
        <v>24</v>
      </c>
      <c r="O49" s="62" t="s">
        <v>10</v>
      </c>
      <c r="P49" s="62">
        <v>1990</v>
      </c>
      <c r="Q49" s="62">
        <v>2005</v>
      </c>
      <c r="R49" s="62">
        <v>2010</v>
      </c>
      <c r="S49" s="62">
        <v>2015</v>
      </c>
      <c r="T49" s="62">
        <v>2020</v>
      </c>
      <c r="U49" s="62">
        <v>2025</v>
      </c>
      <c r="V49" s="62">
        <v>2030</v>
      </c>
      <c r="W49" s="62">
        <v>2035</v>
      </c>
      <c r="X49" s="62">
        <v>2040</v>
      </c>
      <c r="Y49" s="62">
        <v>2045</v>
      </c>
      <c r="Z49" s="62">
        <v>2050</v>
      </c>
      <c r="AE49" s="62" t="s">
        <v>8</v>
      </c>
      <c r="AF49" s="62" t="s">
        <v>9</v>
      </c>
      <c r="AG49" s="62" t="s">
        <v>24</v>
      </c>
      <c r="AH49" s="62" t="s">
        <v>10</v>
      </c>
      <c r="AI49" s="62">
        <v>1990</v>
      </c>
      <c r="AJ49" s="62">
        <v>2005</v>
      </c>
      <c r="AK49" s="62">
        <v>2010</v>
      </c>
      <c r="AL49" s="62">
        <v>2015</v>
      </c>
      <c r="AM49" s="62">
        <v>2020</v>
      </c>
      <c r="AN49" s="62">
        <v>2025</v>
      </c>
      <c r="AO49" s="62">
        <v>2030</v>
      </c>
      <c r="AP49" s="62">
        <v>2035</v>
      </c>
      <c r="AQ49" s="62">
        <v>2040</v>
      </c>
      <c r="AR49" s="62">
        <v>2045</v>
      </c>
      <c r="AS49" s="62">
        <v>2050</v>
      </c>
    </row>
    <row r="50" spans="12:45">
      <c r="L50" s="62" t="str">
        <f>'CurPol_industry_final_energ (2)'!A72</f>
        <v>CurPol,date=2022-3-7T01:16:15-015:00</v>
      </c>
      <c r="M50" s="62" t="str">
        <f>'CurPol_industry_final_energ (2)'!B72</f>
        <v>South Korea</v>
      </c>
      <c r="N50" s="62" t="str">
        <f>'CurPol_industry_final_energ (2)'!C72</f>
        <v>chemical feedstocks</v>
      </c>
      <c r="O50" s="62" t="str">
        <f>'CurPol_industry_final_energ (2)'!D72</f>
        <v>delivered coal</v>
      </c>
      <c r="P50" s="62">
        <f>'CurPol_industry_final_energ (2)'!E72</f>
        <v>0</v>
      </c>
      <c r="Q50" s="62">
        <f>'CurPol_industry_final_energ (2)'!F72</f>
        <v>0</v>
      </c>
      <c r="R50" s="62">
        <f>'CurPol_industry_final_energ (2)'!G72</f>
        <v>1.6953300000000001E-2</v>
      </c>
      <c r="S50" s="62">
        <f>'CurPol_industry_final_energ (2)'!H72</f>
        <v>2.3106700000000001E-2</v>
      </c>
      <c r="T50" s="62">
        <f>'CurPol_industry_final_energ (2)'!I72</f>
        <v>1.8826900000000001E-2</v>
      </c>
      <c r="U50" s="62">
        <f>'CurPol_industry_final_energ (2)'!J72</f>
        <v>1.99977E-2</v>
      </c>
      <c r="V50" s="62">
        <f>'CurPol_industry_final_energ (2)'!K72</f>
        <v>1.9488100000000001E-2</v>
      </c>
      <c r="W50" s="62">
        <f>'CurPol_industry_final_energ (2)'!L72</f>
        <v>2.0002900000000001E-2</v>
      </c>
      <c r="X50" s="62">
        <f>'CurPol_industry_final_energ (2)'!M72</f>
        <v>2.1653599999999999E-2</v>
      </c>
      <c r="Y50" s="62">
        <f>'CurPol_industry_final_energ (2)'!N72</f>
        <v>2.3451300000000001E-2</v>
      </c>
      <c r="Z50" s="62">
        <f>'CurPol_industry_final_energ (2)'!O72</f>
        <v>2.3886899999999999E-2</v>
      </c>
      <c r="AE50" s="62" t="str">
        <f>NZ2050_industry_final_energy!A103</f>
        <v>NZ2050,date=2022-23-6T11:29:55+09:00</v>
      </c>
      <c r="AF50" s="62" t="str">
        <f>NZ2050_industry_final_energy!B103</f>
        <v>South Korea</v>
      </c>
      <c r="AG50" s="62" t="str">
        <f>NZ2050_industry_final_energy!C103</f>
        <v>chemical feedstocks</v>
      </c>
      <c r="AH50" s="62" t="str">
        <f>NZ2050_industry_final_energy!D103</f>
        <v>NZ2050,date=2022-3-7T01:15:47-015:00</v>
      </c>
      <c r="AI50" s="62" t="str">
        <f>NZ2050_industry_final_energy!E103</f>
        <v>South Korea</v>
      </c>
      <c r="AJ50" s="62" t="str">
        <f>NZ2050_industry_final_energy!F103</f>
        <v>chemical feedstocks</v>
      </c>
      <c r="AK50" s="62" t="str">
        <f>NZ2050_industry_final_energy!G103</f>
        <v>delivered coal</v>
      </c>
      <c r="AL50" s="62">
        <f>NZ2050_industry_final_energy!H103</f>
        <v>0</v>
      </c>
      <c r="AM50" s="62">
        <f>NZ2050_industry_final_energy!I103</f>
        <v>0</v>
      </c>
      <c r="AN50" s="62">
        <f>NZ2050_industry_final_energy!J103</f>
        <v>1.6953300000000001E-2</v>
      </c>
      <c r="AO50" s="62">
        <f>NZ2050_industry_final_energy!K103</f>
        <v>2.3106700000000001E-2</v>
      </c>
      <c r="AP50" s="62">
        <f>NZ2050_industry_final_energy!L103</f>
        <v>1.99516E-2</v>
      </c>
      <c r="AQ50" s="62">
        <f>NZ2050_industry_final_energy!M103</f>
        <v>2.8079100000000002E-4</v>
      </c>
      <c r="AR50" s="62">
        <f>NZ2050_industry_final_energy!N103</f>
        <v>1.09905E-4</v>
      </c>
      <c r="AS50" s="62">
        <f>NZ2050_industry_final_energy!O103</f>
        <v>4.41366E-5</v>
      </c>
    </row>
    <row r="51" spans="12:45">
      <c r="L51" s="62" t="str">
        <f>'CurPol_industry_final_energ (2)'!A73</f>
        <v>CurPol,date=2022-3-7T01:16:15-015:00</v>
      </c>
      <c r="M51" s="62" t="str">
        <f>'CurPol_industry_final_energ (2)'!B73</f>
        <v>South Korea</v>
      </c>
      <c r="N51" s="62" t="str">
        <f>'CurPol_industry_final_energ (2)'!C73</f>
        <v>chemical feedstocks</v>
      </c>
      <c r="O51" s="62" t="str">
        <f>'CurPol_industry_final_energ (2)'!D73</f>
        <v>refined liquids industrial</v>
      </c>
      <c r="P51" s="62">
        <f>'CurPol_industry_final_energ (2)'!E73</f>
        <v>0.23639399999999999</v>
      </c>
      <c r="Q51" s="62">
        <f>'CurPol_industry_final_energ (2)'!F73</f>
        <v>1.18882</v>
      </c>
      <c r="R51" s="62">
        <f>'CurPol_industry_final_energ (2)'!G73</f>
        <v>1.5032799999999999</v>
      </c>
      <c r="S51" s="62">
        <f>'CurPol_industry_final_energ (2)'!H73</f>
        <v>1.8793899999999999</v>
      </c>
      <c r="T51" s="62">
        <f>'CurPol_industry_final_energ (2)'!I73</f>
        <v>1.89863</v>
      </c>
      <c r="U51" s="62">
        <f>'CurPol_industry_final_energ (2)'!J73</f>
        <v>2.1570999999999998</v>
      </c>
      <c r="V51" s="62">
        <f>'CurPol_industry_final_energ (2)'!K73</f>
        <v>2.2750400000000002</v>
      </c>
      <c r="W51" s="62">
        <f>'CurPol_industry_final_energ (2)'!L73</f>
        <v>2.3559000000000001</v>
      </c>
      <c r="X51" s="62">
        <f>'CurPol_industry_final_energ (2)'!M73</f>
        <v>2.4420299999999999</v>
      </c>
      <c r="Y51" s="62">
        <f>'CurPol_industry_final_energ (2)'!N73</f>
        <v>2.5479500000000002</v>
      </c>
      <c r="Z51" s="62">
        <f>'CurPol_industry_final_energ (2)'!O73</f>
        <v>2.6657500000000001</v>
      </c>
      <c r="AE51" s="62" t="str">
        <f>NZ2050_industry_final_energy!A104</f>
        <v>NZ2050,date=2022-23-6T11:29:55+09:00</v>
      </c>
      <c r="AF51" s="62" t="str">
        <f>NZ2050_industry_final_energy!B104</f>
        <v>South Korea</v>
      </c>
      <c r="AG51" s="62" t="str">
        <f>NZ2050_industry_final_energy!C104</f>
        <v>chemical feedstocks</v>
      </c>
      <c r="AH51" s="62" t="str">
        <f>NZ2050_industry_final_energy!D104</f>
        <v>NZ2050,date=2022-3-7T01:15:47-015:00</v>
      </c>
      <c r="AI51" s="62" t="str">
        <f>NZ2050_industry_final_energy!E104</f>
        <v>South Korea</v>
      </c>
      <c r="AJ51" s="62" t="str">
        <f>NZ2050_industry_final_energy!F104</f>
        <v>chemical feedstocks</v>
      </c>
      <c r="AK51" s="62" t="str">
        <f>NZ2050_industry_final_energy!G104</f>
        <v>refined liquids industrial</v>
      </c>
      <c r="AL51" s="62">
        <f>NZ2050_industry_final_energy!H104</f>
        <v>0.23639399999999999</v>
      </c>
      <c r="AM51" s="62">
        <f>NZ2050_industry_final_energy!I104</f>
        <v>1.18882</v>
      </c>
      <c r="AN51" s="62">
        <f>NZ2050_industry_final_energy!J104</f>
        <v>1.5032799999999999</v>
      </c>
      <c r="AO51" s="62">
        <f>NZ2050_industry_final_energy!K104</f>
        <v>1.8793899999999999</v>
      </c>
      <c r="AP51" s="62">
        <f>NZ2050_industry_final_energy!L104</f>
        <v>1.89751</v>
      </c>
      <c r="AQ51" s="62">
        <f>NZ2050_industry_final_energy!M104</f>
        <v>2.02014</v>
      </c>
      <c r="AR51" s="62">
        <f>NZ2050_industry_final_energy!N104</f>
        <v>2.13828</v>
      </c>
      <c r="AS51" s="62">
        <f>NZ2050_industry_final_energy!O104</f>
        <v>2.2135099999999999</v>
      </c>
    </row>
    <row r="52" spans="12:45">
      <c r="L52" s="62" t="str">
        <f>'CurPol_industry_final_energ (2)'!A74</f>
        <v>CurPol,date=2022-3-7T01:16:15-015:00</v>
      </c>
      <c r="M52" s="62" t="str">
        <f>'CurPol_industry_final_energ (2)'!B74</f>
        <v>South Korea</v>
      </c>
      <c r="N52" s="62" t="str">
        <f>'CurPol_industry_final_energ (2)'!C74</f>
        <v>construction feedstocks</v>
      </c>
      <c r="O52" s="62" t="str">
        <f>'CurPol_industry_final_energ (2)'!D74</f>
        <v>refined liquids industrial</v>
      </c>
      <c r="P52" s="62">
        <f>'CurPol_industry_final_energ (2)'!E74</f>
        <v>3.2608900000000003E-2</v>
      </c>
      <c r="Q52" s="62">
        <f>'CurPol_industry_final_energ (2)'!F74</f>
        <v>5.08599E-2</v>
      </c>
      <c r="R52" s="62">
        <f>'CurPol_industry_final_energ (2)'!G74</f>
        <v>5.3873799999999999E-2</v>
      </c>
      <c r="S52" s="62">
        <f>'CurPol_industry_final_energ (2)'!H74</f>
        <v>4.94367E-2</v>
      </c>
      <c r="T52" s="62">
        <f>'CurPol_industry_final_energ (2)'!I74</f>
        <v>5.4238799999999997E-2</v>
      </c>
      <c r="U52" s="62">
        <f>'CurPol_industry_final_energ (2)'!J74</f>
        <v>5.7499799999999997E-2</v>
      </c>
      <c r="V52" s="62">
        <f>'CurPol_industry_final_energ (2)'!K74</f>
        <v>5.8557600000000001E-2</v>
      </c>
      <c r="W52" s="62">
        <f>'CurPol_industry_final_energ (2)'!L74</f>
        <v>5.9224600000000002E-2</v>
      </c>
      <c r="X52" s="62">
        <f>'CurPol_industry_final_energ (2)'!M74</f>
        <v>6.0279899999999997E-2</v>
      </c>
      <c r="Y52" s="62">
        <f>'CurPol_industry_final_energ (2)'!N74</f>
        <v>6.1346600000000001E-2</v>
      </c>
      <c r="Z52" s="62">
        <f>'CurPol_industry_final_energ (2)'!O74</f>
        <v>6.2424199999999999E-2</v>
      </c>
      <c r="AE52" s="62" t="str">
        <f>NZ2050_industry_final_energy!A105</f>
        <v>NZ2050,date=2022-23-6T11:29:55+09:00</v>
      </c>
      <c r="AF52" s="62" t="str">
        <f>NZ2050_industry_final_energy!B105</f>
        <v>South Korea</v>
      </c>
      <c r="AG52" s="62" t="str">
        <f>NZ2050_industry_final_energy!C105</f>
        <v>construction feedstocks</v>
      </c>
      <c r="AH52" s="62" t="str">
        <f>NZ2050_industry_final_energy!D105</f>
        <v>NZ2050,date=2022-3-7T01:15:47-015:00</v>
      </c>
      <c r="AI52" s="62" t="str">
        <f>NZ2050_industry_final_energy!E105</f>
        <v>South Korea</v>
      </c>
      <c r="AJ52" s="62" t="str">
        <f>NZ2050_industry_final_energy!F105</f>
        <v>construction feedstocks</v>
      </c>
      <c r="AK52" s="62" t="str">
        <f>NZ2050_industry_final_energy!G105</f>
        <v>refined liquids industrial</v>
      </c>
      <c r="AL52" s="62">
        <f>NZ2050_industry_final_energy!H105</f>
        <v>3.2608900000000003E-2</v>
      </c>
      <c r="AM52" s="62">
        <f>NZ2050_industry_final_energy!I105</f>
        <v>5.08599E-2</v>
      </c>
      <c r="AN52" s="62">
        <f>NZ2050_industry_final_energy!J105</f>
        <v>5.3873799999999999E-2</v>
      </c>
      <c r="AO52" s="62">
        <f>NZ2050_industry_final_energy!K105</f>
        <v>4.94367E-2</v>
      </c>
      <c r="AP52" s="62">
        <f>NZ2050_industry_final_energy!L105</f>
        <v>5.4238799999999997E-2</v>
      </c>
      <c r="AQ52" s="62">
        <f>NZ2050_industry_final_energy!M105</f>
        <v>5.7499799999999997E-2</v>
      </c>
      <c r="AR52" s="62">
        <f>NZ2050_industry_final_energy!N105</f>
        <v>5.7588500000000001E-2</v>
      </c>
      <c r="AS52" s="62">
        <f>NZ2050_industry_final_energy!O105</f>
        <v>5.6500700000000001E-2</v>
      </c>
    </row>
    <row r="53" spans="12:45">
      <c r="L53" s="62" t="str">
        <f>'CurPol_industry_final_energ (2)'!A75</f>
        <v>CurPol,date=2022-3-7T01:16:15-015:00</v>
      </c>
      <c r="M53" s="62" t="str">
        <f>'CurPol_industry_final_energ (2)'!B75</f>
        <v>South Korea</v>
      </c>
      <c r="N53" s="62" t="str">
        <f>'CurPol_industry_final_energ (2)'!C75</f>
        <v>other industrial feedstocks</v>
      </c>
      <c r="O53" s="62" t="str">
        <f>'CurPol_industry_final_energ (2)'!D75</f>
        <v>refined liquids industrial</v>
      </c>
      <c r="P53" s="62">
        <f>'CurPol_industry_final_energ (2)'!E75</f>
        <v>0</v>
      </c>
      <c r="Q53" s="62">
        <f>'CurPol_industry_final_energ (2)'!F75</f>
        <v>3.1394999999999999E-2</v>
      </c>
      <c r="R53" s="62">
        <f>'CurPol_industry_final_energ (2)'!G75</f>
        <v>3.1520600000000003E-2</v>
      </c>
      <c r="S53" s="62">
        <f>'CurPol_industry_final_energ (2)'!H75</f>
        <v>2.9218299999999999E-2</v>
      </c>
      <c r="T53" s="62">
        <f>'CurPol_industry_final_energ (2)'!I75</f>
        <v>3.22203E-2</v>
      </c>
      <c r="U53" s="62">
        <f>'CurPol_industry_final_energ (2)'!J75</f>
        <v>3.8402800000000001E-2</v>
      </c>
      <c r="V53" s="62">
        <f>'CurPol_industry_final_energ (2)'!K75</f>
        <v>4.89063E-2</v>
      </c>
      <c r="W53" s="62">
        <f>'CurPol_industry_final_energ (2)'!L75</f>
        <v>7.4603199999999995E-2</v>
      </c>
      <c r="X53" s="62">
        <f>'CurPol_industry_final_energ (2)'!M75</f>
        <v>0.10693</v>
      </c>
      <c r="Y53" s="62">
        <f>'CurPol_industry_final_energ (2)'!N75</f>
        <v>0.125863</v>
      </c>
      <c r="Z53" s="62">
        <f>'CurPol_industry_final_energ (2)'!O75</f>
        <v>0.139158</v>
      </c>
      <c r="AE53" s="62" t="str">
        <f>NZ2050_industry_final_energy!A106</f>
        <v>NZ2050,date=2022-23-6T11:29:55+09:00</v>
      </c>
      <c r="AF53" s="62" t="str">
        <f>NZ2050_industry_final_energy!B106</f>
        <v>South Korea</v>
      </c>
      <c r="AG53" s="62" t="str">
        <f>NZ2050_industry_final_energy!C106</f>
        <v>other industrial feedstocks</v>
      </c>
      <c r="AH53" s="62" t="str">
        <f>NZ2050_industry_final_energy!D106</f>
        <v>NZ2050,date=2022-3-7T01:15:47-015:00</v>
      </c>
      <c r="AI53" s="62" t="str">
        <f>NZ2050_industry_final_energy!E106</f>
        <v>South Korea</v>
      </c>
      <c r="AJ53" s="62" t="str">
        <f>NZ2050_industry_final_energy!F106</f>
        <v>other industrial feedstocks</v>
      </c>
      <c r="AK53" s="62" t="str">
        <f>NZ2050_industry_final_energy!G106</f>
        <v>refined liquids industrial</v>
      </c>
      <c r="AL53" s="62">
        <f>NZ2050_industry_final_energy!H106</f>
        <v>0</v>
      </c>
      <c r="AM53" s="62">
        <f>NZ2050_industry_final_energy!I106</f>
        <v>3.1394999999999999E-2</v>
      </c>
      <c r="AN53" s="62">
        <f>NZ2050_industry_final_energy!J106</f>
        <v>3.1520600000000003E-2</v>
      </c>
      <c r="AO53" s="62">
        <f>NZ2050_industry_final_energy!K106</f>
        <v>2.9218299999999999E-2</v>
      </c>
      <c r="AP53" s="62">
        <f>NZ2050_industry_final_energy!L106</f>
        <v>3.22203E-2</v>
      </c>
      <c r="AQ53" s="62">
        <f>NZ2050_industry_final_energy!M106</f>
        <v>3.8403E-2</v>
      </c>
      <c r="AR53" s="62">
        <f>NZ2050_industry_final_energy!N106</f>
        <v>4.7491199999999997E-2</v>
      </c>
      <c r="AS53" s="62">
        <f>NZ2050_industry_final_energy!O106</f>
        <v>7.0613700000000001E-2</v>
      </c>
    </row>
    <row r="55" spans="12:45">
      <c r="L55" s="1" t="s">
        <v>11</v>
      </c>
      <c r="AE55" s="1" t="s">
        <v>11</v>
      </c>
    </row>
    <row r="56" spans="12:45">
      <c r="L56" s="62" t="s">
        <v>8</v>
      </c>
      <c r="M56" s="62" t="s">
        <v>9</v>
      </c>
      <c r="R56" s="62">
        <v>2015</v>
      </c>
      <c r="S56" s="62">
        <v>2020</v>
      </c>
      <c r="T56" s="62">
        <v>2025</v>
      </c>
      <c r="U56" s="62">
        <v>2030</v>
      </c>
      <c r="V56" s="62">
        <v>2035</v>
      </c>
      <c r="W56" s="62">
        <v>2040</v>
      </c>
      <c r="X56" s="62">
        <v>2045</v>
      </c>
      <c r="Y56" s="62">
        <v>2050</v>
      </c>
      <c r="AE56" s="62" t="s">
        <v>8</v>
      </c>
      <c r="AF56" s="62" t="s">
        <v>9</v>
      </c>
      <c r="AK56" s="62">
        <v>2015</v>
      </c>
      <c r="AL56" s="62">
        <v>2020</v>
      </c>
      <c r="AM56" s="62">
        <v>2025</v>
      </c>
      <c r="AN56" s="62">
        <v>2030</v>
      </c>
      <c r="AO56" s="62">
        <v>2035</v>
      </c>
      <c r="AP56" s="62">
        <v>2040</v>
      </c>
      <c r="AQ56" s="62">
        <v>2045</v>
      </c>
      <c r="AR56" s="62">
        <v>2050</v>
      </c>
    </row>
    <row r="57" spans="12:45">
      <c r="L57" s="62" t="s">
        <v>0</v>
      </c>
      <c r="M57" s="62" t="s">
        <v>2</v>
      </c>
      <c r="P57" s="62" t="s">
        <v>2</v>
      </c>
      <c r="Q57" s="62" t="s">
        <v>12</v>
      </c>
      <c r="R57" s="57">
        <f>SUMIF($P$3:$P$41,$P57,U$3:U$41)</f>
        <v>0</v>
      </c>
      <c r="S57" s="57">
        <f t="shared" ref="S57:Y60" si="2">SUMIF($P$3:$P$41,$P57,V$3:V$41)</f>
        <v>6.4645223E-4</v>
      </c>
      <c r="T57" s="57">
        <f t="shared" si="2"/>
        <v>2.7461124999999991E-3</v>
      </c>
      <c r="U57" s="57">
        <f t="shared" si="2"/>
        <v>8.9111973200000014E-3</v>
      </c>
      <c r="V57" s="57">
        <f t="shared" si="2"/>
        <v>2.8196798987999989E-2</v>
      </c>
      <c r="W57" s="57">
        <f t="shared" si="2"/>
        <v>6.0017633989999992E-2</v>
      </c>
      <c r="X57" s="57">
        <f t="shared" si="2"/>
        <v>8.8675246220000004E-2</v>
      </c>
      <c r="Y57" s="57">
        <f t="shared" si="2"/>
        <v>0.1190112347599999</v>
      </c>
      <c r="AE57" s="62" t="s">
        <v>0</v>
      </c>
      <c r="AF57" s="62" t="s">
        <v>2</v>
      </c>
      <c r="AI57" s="62" t="s">
        <v>2</v>
      </c>
      <c r="AJ57" s="62" t="s">
        <v>12</v>
      </c>
      <c r="AK57" s="57">
        <f>SUMIF($AI$3:$AI$42,$AI57,AN$3:AN$42)</f>
        <v>0</v>
      </c>
      <c r="AL57" s="57">
        <f t="shared" ref="AL57:AR57" si="3">SUMIF($AI$3:$AI$42,$AI57,AO$3:AO$42)</f>
        <v>6.4267601000000008E-4</v>
      </c>
      <c r="AM57" s="57">
        <f t="shared" si="3"/>
        <v>3.1501101799999991E-3</v>
      </c>
      <c r="AN57" s="57">
        <f t="shared" si="3"/>
        <v>9.6912214699999884E-3</v>
      </c>
      <c r="AO57" s="57">
        <f t="shared" si="3"/>
        <v>3.6616989871999996E-2</v>
      </c>
      <c r="AP57" s="57">
        <f t="shared" si="3"/>
        <v>0.10879647160000001</v>
      </c>
      <c r="AQ57" s="57">
        <f t="shared" si="3"/>
        <v>0.19041144203999999</v>
      </c>
      <c r="AR57" s="57">
        <f t="shared" si="3"/>
        <v>0.38763035809000002</v>
      </c>
    </row>
    <row r="58" spans="12:45">
      <c r="L58" s="62" t="s">
        <v>0</v>
      </c>
      <c r="M58" s="62" t="s">
        <v>5</v>
      </c>
      <c r="P58" s="62" t="s">
        <v>5</v>
      </c>
      <c r="Q58" s="62" t="s">
        <v>17</v>
      </c>
      <c r="R58" s="57">
        <f>SUMIF($P$3:$P$41,$P58,U$3:U$41)</f>
        <v>0.44748419</v>
      </c>
      <c r="S58" s="57">
        <f t="shared" si="2"/>
        <v>0.46017015699999997</v>
      </c>
      <c r="T58" s="57">
        <f t="shared" si="2"/>
        <v>0.48309099789999999</v>
      </c>
      <c r="U58" s="57">
        <f t="shared" si="2"/>
        <v>0.47631803370000003</v>
      </c>
      <c r="V58" s="57">
        <f t="shared" si="2"/>
        <v>0.46058392319999897</v>
      </c>
      <c r="W58" s="57">
        <f t="shared" si="2"/>
        <v>0.43542242939999998</v>
      </c>
      <c r="X58" s="57">
        <f t="shared" si="2"/>
        <v>0.42127438819999902</v>
      </c>
      <c r="Y58" s="57">
        <f t="shared" si="2"/>
        <v>0.41794173029999987</v>
      </c>
      <c r="AE58" s="62" t="s">
        <v>0</v>
      </c>
      <c r="AF58" s="62" t="s">
        <v>5</v>
      </c>
      <c r="AI58" s="62" t="s">
        <v>5</v>
      </c>
      <c r="AJ58" s="62" t="s">
        <v>17</v>
      </c>
      <c r="AK58" s="57">
        <f>SUMIF($AI$3:$AI$42,$P58,AN$3:AN$42)</f>
        <v>0.44748419</v>
      </c>
      <c r="AL58" s="57">
        <f t="shared" ref="AL58:AR59" si="4">SUMIF($AI$3:$AI$42,$P58,AO$3:AO$42)</f>
        <v>0.46066485099999899</v>
      </c>
      <c r="AM58" s="57">
        <f t="shared" si="4"/>
        <v>0.48020157869999996</v>
      </c>
      <c r="AN58" s="57">
        <f t="shared" si="4"/>
        <v>0.47452024010000005</v>
      </c>
      <c r="AO58" s="57">
        <f t="shared" si="4"/>
        <v>0.47507529579999991</v>
      </c>
      <c r="AP58" s="57">
        <f t="shared" si="4"/>
        <v>0.50574934259999993</v>
      </c>
      <c r="AQ58" s="57">
        <f t="shared" si="4"/>
        <v>0.53805795769999998</v>
      </c>
      <c r="AR58" s="57">
        <f t="shared" si="4"/>
        <v>0.66289309200000002</v>
      </c>
    </row>
    <row r="59" spans="12:45">
      <c r="L59" s="62" t="s">
        <v>0</v>
      </c>
      <c r="M59" s="62" t="s">
        <v>3</v>
      </c>
      <c r="P59" s="62" t="s">
        <v>3</v>
      </c>
      <c r="Q59" s="62" t="s">
        <v>13</v>
      </c>
      <c r="R59" s="57">
        <f>SUMIF($P$3:$P$41,$P59,U$3:U$41)</f>
        <v>0.1134222</v>
      </c>
      <c r="S59" s="57">
        <f t="shared" si="2"/>
        <v>0.12302566799999996</v>
      </c>
      <c r="T59" s="57">
        <f t="shared" si="2"/>
        <v>0.135552543</v>
      </c>
      <c r="U59" s="57">
        <f t="shared" si="2"/>
        <v>0.14645124499999898</v>
      </c>
      <c r="V59" s="57">
        <f t="shared" si="2"/>
        <v>0.159293778</v>
      </c>
      <c r="W59" s="57">
        <f t="shared" si="2"/>
        <v>0.171311878</v>
      </c>
      <c r="X59" s="57">
        <f t="shared" si="2"/>
        <v>0.17382923299999989</v>
      </c>
      <c r="Y59" s="57">
        <f t="shared" si="2"/>
        <v>0.17256785979999997</v>
      </c>
      <c r="AE59" s="62" t="s">
        <v>0</v>
      </c>
      <c r="AF59" s="62" t="s">
        <v>3</v>
      </c>
      <c r="AI59" s="62" t="s">
        <v>3</v>
      </c>
      <c r="AJ59" s="62" t="s">
        <v>13</v>
      </c>
      <c r="AK59" s="57">
        <f>SUMIF($AI$3:$AI$42,$P59,AN$3:AN$42)</f>
        <v>0.1134222</v>
      </c>
      <c r="AL59" s="57">
        <f t="shared" si="4"/>
        <v>0.12264120899999999</v>
      </c>
      <c r="AM59" s="57">
        <f t="shared" si="4"/>
        <v>0.15280953500000002</v>
      </c>
      <c r="AN59" s="57">
        <f t="shared" si="4"/>
        <v>0.18502126099999897</v>
      </c>
      <c r="AO59" s="57">
        <f t="shared" si="4"/>
        <v>0.22234236800000001</v>
      </c>
      <c r="AP59" s="57">
        <f t="shared" si="4"/>
        <v>0.217369333</v>
      </c>
      <c r="AQ59" s="57">
        <f t="shared" si="4"/>
        <v>0.18834181199999989</v>
      </c>
      <c r="AR59" s="57">
        <f t="shared" si="4"/>
        <v>5.3896797069999884E-2</v>
      </c>
    </row>
    <row r="60" spans="12:45">
      <c r="L60" s="62" t="s">
        <v>0</v>
      </c>
      <c r="M60" s="62" t="s">
        <v>7</v>
      </c>
      <c r="P60" s="62" t="s">
        <v>7</v>
      </c>
      <c r="Q60" s="62" t="s">
        <v>15</v>
      </c>
      <c r="R60" s="57">
        <f>SUMIF($P$3:$P$41,$P60,U$3:U$41)</f>
        <v>0.209188019</v>
      </c>
      <c r="S60" s="57">
        <f t="shared" si="2"/>
        <v>0.22277062109999998</v>
      </c>
      <c r="T60" s="57">
        <f t="shared" si="2"/>
        <v>0.2352683314999999</v>
      </c>
      <c r="U60" s="57">
        <f t="shared" si="2"/>
        <v>0.23583214137</v>
      </c>
      <c r="V60" s="57">
        <f t="shared" si="2"/>
        <v>0.21265791783999999</v>
      </c>
      <c r="W60" s="57">
        <f t="shared" si="2"/>
        <v>0.1715860377</v>
      </c>
      <c r="X60" s="57">
        <f t="shared" si="2"/>
        <v>0.14066358549999997</v>
      </c>
      <c r="Y60" s="57">
        <f t="shared" si="2"/>
        <v>0.11435319568999991</v>
      </c>
      <c r="AE60" s="62" t="s">
        <v>0</v>
      </c>
      <c r="AF60" s="62" t="s">
        <v>7</v>
      </c>
      <c r="AI60" s="62" t="s">
        <v>7</v>
      </c>
      <c r="AJ60" s="62" t="s">
        <v>15</v>
      </c>
      <c r="AK60" s="57">
        <f>SUMIF($AI$3:$AI$42,$P60,AN$3:AN$42)-AK61</f>
        <v>0.209188019</v>
      </c>
      <c r="AL60" s="57">
        <f t="shared" ref="AL60:AR60" si="5">SUMIF($AI$3:$AI$42,$P60,AO$3:AO$42)-AL61</f>
        <v>0.22272795270000001</v>
      </c>
      <c r="AM60" s="57">
        <f t="shared" si="5"/>
        <v>0.23872672620000002</v>
      </c>
      <c r="AN60" s="57">
        <f t="shared" si="5"/>
        <v>0.23838240025999999</v>
      </c>
      <c r="AO60" s="57">
        <f t="shared" si="5"/>
        <v>0.20929529023999999</v>
      </c>
      <c r="AP60" s="57">
        <f t="shared" si="5"/>
        <v>0.15583894749999999</v>
      </c>
      <c r="AQ60" s="57">
        <f t="shared" si="5"/>
        <v>0.11569668324</v>
      </c>
      <c r="AR60" s="57">
        <f t="shared" si="5"/>
        <v>6.763412466999999E-2</v>
      </c>
    </row>
    <row r="61" spans="12:45">
      <c r="Q61" s="62" t="s">
        <v>114</v>
      </c>
      <c r="AJ61" s="62" t="s">
        <v>114</v>
      </c>
      <c r="AK61" s="62">
        <f>AN25</f>
        <v>0</v>
      </c>
      <c r="AL61" s="62">
        <f t="shared" ref="AL61:AR61" si="6">AO25</f>
        <v>0</v>
      </c>
      <c r="AM61" s="62">
        <f t="shared" si="6"/>
        <v>5.5648100000000003E-6</v>
      </c>
      <c r="AN61" s="62">
        <f t="shared" si="6"/>
        <v>6.0751310000000003E-5</v>
      </c>
      <c r="AO61" s="62">
        <f t="shared" si="6"/>
        <v>5.7699165000000001E-4</v>
      </c>
      <c r="AP61" s="62">
        <f t="shared" si="6"/>
        <v>1.8523799799999999E-3</v>
      </c>
      <c r="AQ61" s="62">
        <f t="shared" si="6"/>
        <v>2.8353002399999902E-3</v>
      </c>
      <c r="AR61" s="62">
        <f t="shared" si="6"/>
        <v>3.9918900300000004E-3</v>
      </c>
    </row>
    <row r="62" spans="12:45">
      <c r="L62" s="62" t="s">
        <v>0</v>
      </c>
      <c r="M62" s="62" t="s">
        <v>4</v>
      </c>
      <c r="P62" s="62" t="s">
        <v>4</v>
      </c>
      <c r="Q62" s="62" t="s">
        <v>14</v>
      </c>
      <c r="R62" s="101">
        <f>SUMIF($P$3:$P$41,$P62,U$3:U$41)</f>
        <v>0.31868060000000004</v>
      </c>
      <c r="S62" s="101">
        <f t="shared" ref="S62:Y62" si="7">SUMIF($P$3:$P$41,$P62,V$3:V$41)</f>
        <v>0.33914468999999986</v>
      </c>
      <c r="T62" s="101">
        <f t="shared" si="7"/>
        <v>0.36365533999999999</v>
      </c>
      <c r="U62" s="101">
        <f t="shared" si="7"/>
        <v>0.37803881</v>
      </c>
      <c r="V62" s="101">
        <f t="shared" si="7"/>
        <v>0.36581582299999998</v>
      </c>
      <c r="W62" s="101">
        <f t="shared" si="7"/>
        <v>0.35620432900000004</v>
      </c>
      <c r="X62" s="101">
        <f t="shared" si="7"/>
        <v>0.33835281499999986</v>
      </c>
      <c r="Y62" s="101">
        <f t="shared" si="7"/>
        <v>0.31587525599999899</v>
      </c>
      <c r="AE62" s="62" t="s">
        <v>0</v>
      </c>
      <c r="AF62" s="62" t="s">
        <v>4</v>
      </c>
      <c r="AI62" s="62" t="s">
        <v>4</v>
      </c>
      <c r="AJ62" s="62" t="s">
        <v>14</v>
      </c>
      <c r="AK62" s="101">
        <f>SUMIF($P$3:$P$35,$P62,AN$3:AN$35)+BB53</f>
        <v>0.31868060000000004</v>
      </c>
      <c r="AL62" s="101">
        <f t="shared" ref="AL62:AR62" si="8">SUMIF($P$3:$P$35,$P62,AO$3:AO$35)+BC53</f>
        <v>0.33916015999999999</v>
      </c>
      <c r="AM62" s="101">
        <f t="shared" si="8"/>
        <v>0.33916259999999998</v>
      </c>
      <c r="AN62" s="101">
        <f t="shared" si="8"/>
        <v>0.30410707999999997</v>
      </c>
      <c r="AO62" s="101">
        <f t="shared" si="8"/>
        <v>0.20767973199999901</v>
      </c>
      <c r="AP62" s="101">
        <f t="shared" si="8"/>
        <v>0.1010578109999999</v>
      </c>
      <c r="AQ62" s="101">
        <f t="shared" si="8"/>
        <v>4.5563588000000002E-2</v>
      </c>
      <c r="AR62" s="101">
        <f t="shared" si="8"/>
        <v>3.7947944999999999E-3</v>
      </c>
    </row>
    <row r="63" spans="12:45">
      <c r="L63" s="62" t="s">
        <v>26</v>
      </c>
      <c r="P63" s="62" t="s">
        <v>4</v>
      </c>
      <c r="Q63" s="62" t="s">
        <v>30</v>
      </c>
      <c r="R63" s="101">
        <v>0</v>
      </c>
      <c r="S63" s="101">
        <v>0</v>
      </c>
      <c r="T63" s="101">
        <v>0</v>
      </c>
      <c r="U63" s="101">
        <v>0</v>
      </c>
      <c r="V63" s="101">
        <v>0</v>
      </c>
      <c r="W63" s="101">
        <v>0</v>
      </c>
      <c r="X63" s="101">
        <v>0</v>
      </c>
      <c r="Y63" s="101">
        <v>0</v>
      </c>
      <c r="AE63" s="62" t="s">
        <v>26</v>
      </c>
      <c r="AI63" s="62" t="s">
        <v>4</v>
      </c>
      <c r="AJ63" s="62" t="s">
        <v>30</v>
      </c>
      <c r="AK63" s="62">
        <v>0</v>
      </c>
      <c r="AL63" s="62">
        <v>0</v>
      </c>
      <c r="AM63" s="62">
        <v>0</v>
      </c>
      <c r="AN63" s="62">
        <v>0</v>
      </c>
      <c r="AO63" s="62">
        <v>0</v>
      </c>
      <c r="AP63" s="62">
        <v>0</v>
      </c>
      <c r="AQ63" s="62">
        <v>0</v>
      </c>
      <c r="AR63" s="62">
        <v>0</v>
      </c>
    </row>
    <row r="64" spans="12:45">
      <c r="L64" s="62" t="s">
        <v>27</v>
      </c>
      <c r="M64" s="62" t="s">
        <v>6</v>
      </c>
      <c r="P64" s="62" t="s">
        <v>6</v>
      </c>
      <c r="Q64" s="62" t="s">
        <v>305</v>
      </c>
      <c r="R64" s="101">
        <f>SUMIF($P$3:$P$41,$P64,U$3:U$41)-R65</f>
        <v>0.23098699999999997</v>
      </c>
      <c r="S64" s="101">
        <f t="shared" ref="S64:Y64" si="9">SUMIF($P$3:$P$41,$P64,V$3:V$41)-S65</f>
        <v>0.24206888799999987</v>
      </c>
      <c r="T64" s="101">
        <f t="shared" si="9"/>
        <v>0.25335751700000003</v>
      </c>
      <c r="U64" s="101">
        <f t="shared" si="9"/>
        <v>0.25122558299999903</v>
      </c>
      <c r="V64" s="101">
        <f t="shared" si="9"/>
        <v>0.23452780740000001</v>
      </c>
      <c r="W64" s="101">
        <f t="shared" si="9"/>
        <v>0.21108756399999998</v>
      </c>
      <c r="X64" s="101">
        <f t="shared" si="9"/>
        <v>0.18738228700000001</v>
      </c>
      <c r="Y64" s="101">
        <f t="shared" si="9"/>
        <v>0.16503985500000001</v>
      </c>
      <c r="AE64" s="62" t="s">
        <v>27</v>
      </c>
      <c r="AF64" s="62" t="s">
        <v>6</v>
      </c>
      <c r="AI64" s="62" t="s">
        <v>6</v>
      </c>
      <c r="AJ64" s="62" t="s">
        <v>305</v>
      </c>
      <c r="AK64" s="101">
        <f>SUMIF($AI$3:$AI$42,$P64,AN$3:AN$42)-AK65</f>
        <v>0.27703309999999998</v>
      </c>
      <c r="AL64" s="101">
        <f t="shared" ref="AL64:AR64" si="10">SUMIF($AI$3:$AI$42,$P64,AO$3:AO$42)-AL65</f>
        <v>0.24609969100000004</v>
      </c>
      <c r="AM64" s="101">
        <f t="shared" si="10"/>
        <v>0.26875677399999998</v>
      </c>
      <c r="AN64" s="101">
        <f t="shared" si="10"/>
        <v>0.2818393079999999</v>
      </c>
      <c r="AO64" s="101">
        <f t="shared" si="10"/>
        <v>0.27642174479999998</v>
      </c>
      <c r="AP64" s="101">
        <f t="shared" si="10"/>
        <v>0.25773806599999999</v>
      </c>
      <c r="AQ64" s="101">
        <f t="shared" si="10"/>
        <v>0.22516827899999986</v>
      </c>
      <c r="AR64" s="101">
        <f t="shared" si="10"/>
        <v>0.10681740369999998</v>
      </c>
    </row>
    <row r="65" spans="12:44">
      <c r="L65" s="62" t="s">
        <v>28</v>
      </c>
      <c r="O65" s="4" t="s">
        <v>21</v>
      </c>
      <c r="P65" s="62" t="s">
        <v>6</v>
      </c>
      <c r="Q65" s="62" t="s">
        <v>320</v>
      </c>
      <c r="R65" s="101">
        <f>SUM(S52:S53)</f>
        <v>7.8655000000000003E-2</v>
      </c>
      <c r="S65" s="101">
        <f t="shared" ref="S65:Y65" si="11">SUM(T52:T53)</f>
        <v>8.6459099999999997E-2</v>
      </c>
      <c r="T65" s="101">
        <f t="shared" si="11"/>
        <v>9.5902600000000005E-2</v>
      </c>
      <c r="U65" s="101">
        <f t="shared" si="11"/>
        <v>0.1074639</v>
      </c>
      <c r="V65" s="101">
        <f t="shared" si="11"/>
        <v>0.1338278</v>
      </c>
      <c r="W65" s="101">
        <f t="shared" si="11"/>
        <v>0.16720989999999999</v>
      </c>
      <c r="X65" s="101">
        <f t="shared" si="11"/>
        <v>0.1872096</v>
      </c>
      <c r="Y65" s="101">
        <f t="shared" si="11"/>
        <v>0.20158219999999999</v>
      </c>
      <c r="AE65" s="62" t="s">
        <v>28</v>
      </c>
      <c r="AH65" s="4" t="s">
        <v>21</v>
      </c>
      <c r="AI65" s="62" t="s">
        <v>6</v>
      </c>
      <c r="AJ65" s="62" t="s">
        <v>320</v>
      </c>
      <c r="AK65" s="101">
        <f>SUM(AL52:AL53)</f>
        <v>3.2608900000000003E-2</v>
      </c>
      <c r="AL65" s="101">
        <f t="shared" ref="AL65:AR65" si="12">SUM(AM52:AM53)</f>
        <v>8.2254899999999992E-2</v>
      </c>
      <c r="AM65" s="101">
        <f t="shared" si="12"/>
        <v>8.5394400000000009E-2</v>
      </c>
      <c r="AN65" s="101">
        <f t="shared" si="12"/>
        <v>7.8655000000000003E-2</v>
      </c>
      <c r="AO65" s="101">
        <f t="shared" si="12"/>
        <v>8.6459099999999997E-2</v>
      </c>
      <c r="AP65" s="101">
        <f t="shared" si="12"/>
        <v>9.5902799999999996E-2</v>
      </c>
      <c r="AQ65" s="101">
        <f t="shared" si="12"/>
        <v>0.1050797</v>
      </c>
      <c r="AR65" s="101">
        <f t="shared" si="12"/>
        <v>0.12711440000000002</v>
      </c>
    </row>
    <row r="66" spans="12:44">
      <c r="O66" s="4"/>
      <c r="AH66" s="4"/>
    </row>
    <row r="67" spans="12:44">
      <c r="L67" s="115" t="s">
        <v>29</v>
      </c>
      <c r="M67" s="115"/>
      <c r="N67" s="115"/>
      <c r="O67" s="115"/>
      <c r="P67" s="115"/>
      <c r="Q67" s="115"/>
      <c r="R67" s="62">
        <f t="shared" ref="R67:Y67" si="13">SUM(R57:R65)</f>
        <v>1.3984170089999999</v>
      </c>
      <c r="S67" s="62">
        <f t="shared" si="13"/>
        <v>1.4742855763299996</v>
      </c>
      <c r="T67" s="62">
        <f t="shared" si="13"/>
        <v>1.5695734418999998</v>
      </c>
      <c r="U67" s="62">
        <f t="shared" si="13"/>
        <v>1.6042409103899979</v>
      </c>
      <c r="V67" s="62">
        <f t="shared" si="13"/>
        <v>1.5949038484279987</v>
      </c>
      <c r="W67" s="62">
        <f t="shared" si="13"/>
        <v>1.57283977209</v>
      </c>
      <c r="X67" s="62">
        <f t="shared" si="13"/>
        <v>1.5373871549199987</v>
      </c>
      <c r="Y67" s="62">
        <f t="shared" si="13"/>
        <v>1.5063713315499987</v>
      </c>
      <c r="AE67" s="115" t="s">
        <v>29</v>
      </c>
      <c r="AF67" s="115"/>
      <c r="AG67" s="115"/>
      <c r="AH67" s="115"/>
      <c r="AI67" s="115"/>
      <c r="AJ67" s="115"/>
      <c r="AK67" s="57">
        <f>SUM(AK57:AK66)</f>
        <v>1.3984170089999999</v>
      </c>
      <c r="AL67" s="102">
        <f t="shared" ref="AL67:AR67" si="14">SUM(AL57:AL66)</f>
        <v>1.4741914397099989</v>
      </c>
      <c r="AM67" s="57">
        <f t="shared" si="14"/>
        <v>1.5682072888899998</v>
      </c>
      <c r="AN67" s="57">
        <f t="shared" si="14"/>
        <v>1.5722772621399987</v>
      </c>
      <c r="AO67" s="57">
        <f t="shared" si="14"/>
        <v>1.5144675123619988</v>
      </c>
      <c r="AP67" s="57">
        <f t="shared" si="14"/>
        <v>1.4443051516799996</v>
      </c>
      <c r="AQ67" s="57">
        <f t="shared" si="14"/>
        <v>1.4111547622199998</v>
      </c>
      <c r="AR67" s="57">
        <f t="shared" si="14"/>
        <v>1.4137728600600001</v>
      </c>
    </row>
  </sheetData>
  <mergeCells count="4">
    <mergeCell ref="L46:R46"/>
    <mergeCell ref="AE46:AK46"/>
    <mergeCell ref="L67:Q67"/>
    <mergeCell ref="AE67:AJ67"/>
  </mergeCell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19F8-5BEA-4C0B-A340-207604551803}">
  <dimension ref="A1:AH57"/>
  <sheetViews>
    <sheetView zoomScale="55" zoomScaleNormal="55" workbookViewId="0">
      <selection activeCell="O1" sqref="E1:O1"/>
    </sheetView>
  </sheetViews>
  <sheetFormatPr defaultRowHeight="17.399999999999999"/>
  <cols>
    <col min="3" max="3" width="23.3984375" customWidth="1"/>
    <col min="4" max="4" width="26.09765625" customWidth="1"/>
    <col min="21" max="21" width="15.8984375" customWidth="1"/>
    <col min="22" max="22" width="18.59765625" customWidth="1"/>
  </cols>
  <sheetData>
    <row r="1" spans="1:34" s="62" customFormat="1">
      <c r="A1" s="62" t="s">
        <v>679</v>
      </c>
      <c r="E1" s="62">
        <v>1990</v>
      </c>
      <c r="F1" s="62">
        <v>2005</v>
      </c>
      <c r="G1" s="62">
        <v>2010</v>
      </c>
      <c r="H1" s="62">
        <v>2015</v>
      </c>
      <c r="I1" s="62">
        <v>2020</v>
      </c>
      <c r="J1" s="62">
        <v>2025</v>
      </c>
      <c r="K1" s="62">
        <v>2030</v>
      </c>
      <c r="L1" s="62">
        <v>2035</v>
      </c>
      <c r="M1" s="62">
        <v>2040</v>
      </c>
      <c r="N1" s="62">
        <v>2045</v>
      </c>
      <c r="O1" s="62">
        <v>2050</v>
      </c>
      <c r="S1" s="62" t="s">
        <v>579</v>
      </c>
      <c r="W1" s="62">
        <v>1990</v>
      </c>
      <c r="X1" s="62">
        <v>2005</v>
      </c>
      <c r="Y1" s="62">
        <v>2010</v>
      </c>
      <c r="Z1" s="62">
        <v>2015</v>
      </c>
      <c r="AA1" s="62">
        <v>2020</v>
      </c>
      <c r="AB1" s="62">
        <v>2025</v>
      </c>
      <c r="AC1" s="62">
        <v>2030</v>
      </c>
      <c r="AD1" s="62">
        <v>2035</v>
      </c>
      <c r="AE1" s="62">
        <v>2040</v>
      </c>
      <c r="AF1" s="62">
        <v>2045</v>
      </c>
      <c r="AG1" s="62">
        <v>2050</v>
      </c>
    </row>
    <row r="2" spans="1:34">
      <c r="A2" t="s">
        <v>606</v>
      </c>
      <c r="B2" t="s">
        <v>1</v>
      </c>
      <c r="C2" t="s">
        <v>3</v>
      </c>
      <c r="D2" t="s">
        <v>144</v>
      </c>
      <c r="E2">
        <v>1.7707000000000001E-3</v>
      </c>
      <c r="F2">
        <v>9.7255999999999992E-3</v>
      </c>
      <c r="G2">
        <v>1.88148E-2</v>
      </c>
      <c r="H2">
        <v>5.3065500000000002E-2</v>
      </c>
      <c r="I2">
        <v>7.8572500000000003E-2</v>
      </c>
      <c r="J2">
        <v>7.6252E-2</v>
      </c>
      <c r="K2">
        <v>7.5810299999999997E-2</v>
      </c>
      <c r="L2">
        <v>7.2645899999999999E-2</v>
      </c>
      <c r="M2">
        <v>7.0590200000000006E-2</v>
      </c>
      <c r="N2">
        <v>6.2126800000000003E-2</v>
      </c>
      <c r="O2">
        <v>5.4984199999999997E-2</v>
      </c>
      <c r="S2" s="62" t="s">
        <v>607</v>
      </c>
      <c r="T2" s="62" t="s">
        <v>1</v>
      </c>
      <c r="U2" s="62" t="s">
        <v>3</v>
      </c>
      <c r="V2" s="62" t="s">
        <v>144</v>
      </c>
      <c r="W2" s="62">
        <v>1.7707000000000001E-3</v>
      </c>
      <c r="X2" s="62">
        <v>9.7255999999999992E-3</v>
      </c>
      <c r="Y2" s="62">
        <v>1.88148E-2</v>
      </c>
      <c r="Z2" s="62">
        <v>5.3065500000000002E-2</v>
      </c>
      <c r="AA2" s="62">
        <v>7.4936699999999995E-2</v>
      </c>
      <c r="AB2" s="62">
        <v>8.7408899999999998E-2</v>
      </c>
      <c r="AC2" s="62">
        <v>6.9942799999999999E-2</v>
      </c>
      <c r="AD2" s="62">
        <v>4.2514200000000002E-2</v>
      </c>
      <c r="AE2" s="62">
        <v>1.7042999999999999E-2</v>
      </c>
      <c r="AF2" s="62">
        <v>6.5846300000000002E-3</v>
      </c>
      <c r="AG2" s="63">
        <v>5.3332900000000003E-4</v>
      </c>
      <c r="AH2" s="62"/>
    </row>
    <row r="3" spans="1:34">
      <c r="A3" t="s">
        <v>606</v>
      </c>
      <c r="B3" t="s">
        <v>1</v>
      </c>
      <c r="C3" t="s">
        <v>3</v>
      </c>
      <c r="D3" t="s">
        <v>145</v>
      </c>
      <c r="E3" s="63">
        <v>1.9670000000000001E-4</v>
      </c>
      <c r="F3">
        <v>1.0805999999999999E-3</v>
      </c>
      <c r="G3">
        <v>2.0904999999999999E-3</v>
      </c>
      <c r="H3">
        <v>5.8961999999999999E-3</v>
      </c>
      <c r="I3">
        <v>7.3883400000000002E-3</v>
      </c>
      <c r="J3">
        <v>7.0992800000000003E-3</v>
      </c>
      <c r="K3">
        <v>7.3673699999999998E-3</v>
      </c>
      <c r="L3">
        <v>6.8496199999999998E-3</v>
      </c>
      <c r="M3">
        <v>6.4998900000000004E-3</v>
      </c>
      <c r="N3">
        <v>5.6322400000000002E-3</v>
      </c>
      <c r="O3">
        <v>4.8024799999999996E-3</v>
      </c>
      <c r="S3" s="62" t="s">
        <v>607</v>
      </c>
      <c r="T3" s="62" t="s">
        <v>1</v>
      </c>
      <c r="U3" s="62" t="s">
        <v>3</v>
      </c>
      <c r="V3" s="62" t="s">
        <v>145</v>
      </c>
      <c r="W3" s="63">
        <v>1.9670000000000001E-4</v>
      </c>
      <c r="X3" s="62">
        <v>1.0805999999999999E-3</v>
      </c>
      <c r="Y3" s="62">
        <v>2.0904999999999999E-3</v>
      </c>
      <c r="Z3" s="62">
        <v>5.8961999999999999E-3</v>
      </c>
      <c r="AA3" s="62">
        <v>7.0316700000000003E-3</v>
      </c>
      <c r="AB3" s="62">
        <v>8.69611E-3</v>
      </c>
      <c r="AC3" s="62">
        <v>6.9779400000000002E-3</v>
      </c>
      <c r="AD3" s="62">
        <v>3.96029E-3</v>
      </c>
      <c r="AE3" s="62">
        <v>1.3737000000000001E-3</v>
      </c>
      <c r="AF3" s="63">
        <v>4.5106200000000001E-4</v>
      </c>
      <c r="AG3" s="63">
        <v>2.6809799999999999E-5</v>
      </c>
      <c r="AH3" s="62"/>
    </row>
    <row r="4" spans="1:34">
      <c r="A4" t="s">
        <v>606</v>
      </c>
      <c r="B4" t="s">
        <v>1</v>
      </c>
      <c r="C4" t="s">
        <v>3</v>
      </c>
      <c r="D4" t="s">
        <v>152</v>
      </c>
      <c r="E4">
        <v>1.47682E-2</v>
      </c>
      <c r="F4">
        <v>4.0486999999999997E-3</v>
      </c>
      <c r="G4">
        <v>8.4463000000000003E-3</v>
      </c>
      <c r="H4">
        <v>1.01321E-2</v>
      </c>
      <c r="I4">
        <v>2.9004700000000001E-2</v>
      </c>
      <c r="J4">
        <v>3.0604099999999999E-2</v>
      </c>
      <c r="K4">
        <v>3.42861E-2</v>
      </c>
      <c r="L4">
        <v>3.7078199999999999E-2</v>
      </c>
      <c r="M4">
        <v>4.0904299999999998E-2</v>
      </c>
      <c r="N4">
        <v>4.2874099999999998E-2</v>
      </c>
      <c r="O4">
        <v>4.6470600000000001E-2</v>
      </c>
      <c r="S4" s="62" t="s">
        <v>607</v>
      </c>
      <c r="T4" s="62" t="s">
        <v>1</v>
      </c>
      <c r="U4" s="62" t="s">
        <v>3</v>
      </c>
      <c r="V4" s="62" t="s">
        <v>152</v>
      </c>
      <c r="W4" s="62">
        <v>1.47682E-2</v>
      </c>
      <c r="X4" s="62">
        <v>4.0486999999999997E-3</v>
      </c>
      <c r="Y4" s="62">
        <v>8.4463000000000003E-3</v>
      </c>
      <c r="Z4" s="62">
        <v>1.01321E-2</v>
      </c>
      <c r="AA4" s="62">
        <v>2.7519399999999999E-2</v>
      </c>
      <c r="AB4" s="62">
        <v>3.5565800000000002E-2</v>
      </c>
      <c r="AC4" s="62">
        <v>3.0734399999999999E-2</v>
      </c>
      <c r="AD4" s="62">
        <v>1.9653400000000001E-2</v>
      </c>
      <c r="AE4" s="62">
        <v>7.8144700000000004E-3</v>
      </c>
      <c r="AF4" s="62">
        <v>2.8639300000000002E-3</v>
      </c>
      <c r="AG4" s="63">
        <v>1.6659500000000001E-4</v>
      </c>
      <c r="AH4" s="62"/>
    </row>
    <row r="5" spans="1:34">
      <c r="A5" t="s">
        <v>606</v>
      </c>
      <c r="B5" t="s">
        <v>1</v>
      </c>
      <c r="C5" t="s">
        <v>3</v>
      </c>
      <c r="D5" t="s">
        <v>153</v>
      </c>
      <c r="E5">
        <v>1.6409E-3</v>
      </c>
      <c r="F5" s="63">
        <v>4.4989999999999999E-4</v>
      </c>
      <c r="G5" s="63">
        <v>9.3849999999999999E-4</v>
      </c>
      <c r="H5">
        <v>1.1257999999999999E-3</v>
      </c>
      <c r="I5">
        <v>1.4828E-3</v>
      </c>
      <c r="J5">
        <v>1.41511E-3</v>
      </c>
      <c r="K5">
        <v>1.43234E-3</v>
      </c>
      <c r="L5">
        <v>1.3377300000000001E-3</v>
      </c>
      <c r="M5">
        <v>1.2772300000000001E-3</v>
      </c>
      <c r="N5">
        <v>1.1090200000000001E-3</v>
      </c>
      <c r="O5" s="63">
        <v>9.5735000000000004E-4</v>
      </c>
      <c r="S5" s="62" t="s">
        <v>607</v>
      </c>
      <c r="T5" s="62" t="s">
        <v>1</v>
      </c>
      <c r="U5" s="62" t="s">
        <v>3</v>
      </c>
      <c r="V5" s="62" t="s">
        <v>153</v>
      </c>
      <c r="W5" s="62">
        <v>1.6409E-3</v>
      </c>
      <c r="X5" s="63">
        <v>4.4989999999999999E-4</v>
      </c>
      <c r="Y5" s="63">
        <v>9.3849999999999999E-4</v>
      </c>
      <c r="Z5" s="62">
        <v>1.1257999999999999E-3</v>
      </c>
      <c r="AA5" s="62">
        <v>1.41325E-3</v>
      </c>
      <c r="AB5" s="62">
        <v>1.6929899999999999E-3</v>
      </c>
      <c r="AC5" s="62">
        <v>1.3485299999999999E-3</v>
      </c>
      <c r="AD5" s="63">
        <v>7.8540299999999995E-4</v>
      </c>
      <c r="AE5" s="63">
        <v>2.9017399999999998E-4</v>
      </c>
      <c r="AF5" s="63">
        <v>1.01829E-4</v>
      </c>
      <c r="AG5" s="63">
        <v>6.8207499999999999E-6</v>
      </c>
      <c r="AH5" s="62"/>
    </row>
    <row r="6" spans="1:34">
      <c r="A6" t="s">
        <v>606</v>
      </c>
      <c r="B6" t="s">
        <v>1</v>
      </c>
      <c r="C6" t="s">
        <v>4</v>
      </c>
      <c r="D6" t="s">
        <v>145</v>
      </c>
      <c r="E6">
        <v>1.1302E-3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S6" s="62" t="s">
        <v>607</v>
      </c>
      <c r="T6" s="62" t="s">
        <v>1</v>
      </c>
      <c r="U6" s="62" t="s">
        <v>4</v>
      </c>
      <c r="V6" s="62" t="s">
        <v>145</v>
      </c>
      <c r="W6" s="62">
        <v>1.1302E-3</v>
      </c>
      <c r="X6" s="62">
        <v>0</v>
      </c>
      <c r="Y6" s="62">
        <v>0</v>
      </c>
      <c r="Z6" s="62">
        <v>0</v>
      </c>
      <c r="AA6" s="62">
        <v>0</v>
      </c>
      <c r="AB6" s="62">
        <v>0</v>
      </c>
      <c r="AC6" s="62">
        <v>0</v>
      </c>
      <c r="AD6" s="62">
        <v>0</v>
      </c>
      <c r="AE6" s="62">
        <v>0</v>
      </c>
      <c r="AF6" s="62">
        <v>0</v>
      </c>
      <c r="AG6" s="62">
        <v>0</v>
      </c>
      <c r="AH6" s="62"/>
    </row>
    <row r="7" spans="1:34">
      <c r="A7" t="s">
        <v>606</v>
      </c>
      <c r="B7" t="s">
        <v>1</v>
      </c>
      <c r="C7" t="s">
        <v>4</v>
      </c>
      <c r="D7" t="s">
        <v>152</v>
      </c>
      <c r="E7">
        <v>0.108476</v>
      </c>
      <c r="F7">
        <v>1.1980299999999999E-2</v>
      </c>
      <c r="G7">
        <v>1.0737099999999999E-2</v>
      </c>
      <c r="H7">
        <v>8.2255000000000002E-3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S7" s="62" t="s">
        <v>607</v>
      </c>
      <c r="T7" s="62" t="s">
        <v>1</v>
      </c>
      <c r="U7" s="62" t="s">
        <v>4</v>
      </c>
      <c r="V7" s="62" t="s">
        <v>152</v>
      </c>
      <c r="W7" s="62">
        <v>0.108476</v>
      </c>
      <c r="X7" s="62">
        <v>1.1980299999999999E-2</v>
      </c>
      <c r="Y7" s="62">
        <v>1.0737099999999999E-2</v>
      </c>
      <c r="Z7" s="62">
        <v>8.2255000000000002E-3</v>
      </c>
      <c r="AA7" s="62">
        <v>0</v>
      </c>
      <c r="AB7" s="62">
        <v>0</v>
      </c>
      <c r="AC7" s="62">
        <v>0</v>
      </c>
      <c r="AD7" s="62">
        <v>0</v>
      </c>
      <c r="AE7" s="62">
        <v>0</v>
      </c>
      <c r="AF7" s="62">
        <v>0</v>
      </c>
      <c r="AG7" s="62">
        <v>0</v>
      </c>
      <c r="AH7" s="62"/>
    </row>
    <row r="8" spans="1:34">
      <c r="A8" t="s">
        <v>606</v>
      </c>
      <c r="B8" t="s">
        <v>1</v>
      </c>
      <c r="C8" t="s">
        <v>4</v>
      </c>
      <c r="D8" t="s">
        <v>153</v>
      </c>
      <c r="E8">
        <v>0.25311099999999997</v>
      </c>
      <c r="F8">
        <v>2.7954099999999999E-2</v>
      </c>
      <c r="G8">
        <v>2.5053200000000001E-2</v>
      </c>
      <c r="H8">
        <v>1.9192799999999999E-2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S8" s="62" t="s">
        <v>607</v>
      </c>
      <c r="T8" s="62" t="s">
        <v>1</v>
      </c>
      <c r="U8" s="62" t="s">
        <v>4</v>
      </c>
      <c r="V8" s="62" t="s">
        <v>153</v>
      </c>
      <c r="W8" s="62">
        <v>0.25311099999999997</v>
      </c>
      <c r="X8" s="62">
        <v>2.7954099999999999E-2</v>
      </c>
      <c r="Y8" s="62">
        <v>2.5053200000000001E-2</v>
      </c>
      <c r="Z8" s="62">
        <v>1.9192799999999999E-2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  <c r="AG8" s="62">
        <v>0</v>
      </c>
      <c r="AH8" s="62"/>
    </row>
    <row r="9" spans="1:34">
      <c r="A9" t="s">
        <v>606</v>
      </c>
      <c r="B9" t="s">
        <v>1</v>
      </c>
      <c r="C9" t="s">
        <v>162</v>
      </c>
      <c r="D9" t="s">
        <v>143</v>
      </c>
      <c r="E9" s="63">
        <v>4.2680300000000001E-4</v>
      </c>
      <c r="F9">
        <v>9.3863000000000002E-3</v>
      </c>
      <c r="G9">
        <v>1.0848200000000001E-2</v>
      </c>
      <c r="H9">
        <v>1.1294500000000001E-2</v>
      </c>
      <c r="I9">
        <v>1.1767400000000001E-2</v>
      </c>
      <c r="J9">
        <v>1.0912699999999999E-2</v>
      </c>
      <c r="K9">
        <v>1.07513E-2</v>
      </c>
      <c r="L9">
        <v>9.8092000000000006E-3</v>
      </c>
      <c r="M9">
        <v>8.8540500000000005E-3</v>
      </c>
      <c r="N9">
        <v>8.0661199999999995E-3</v>
      </c>
      <c r="O9">
        <v>7.0879899999999997E-3</v>
      </c>
      <c r="S9" s="62" t="s">
        <v>607</v>
      </c>
      <c r="T9" s="62" t="s">
        <v>1</v>
      </c>
      <c r="U9" s="62" t="s">
        <v>162</v>
      </c>
      <c r="V9" s="62" t="s">
        <v>143</v>
      </c>
      <c r="W9" s="63">
        <v>4.2680300000000001E-4</v>
      </c>
      <c r="X9" s="62">
        <v>9.3863000000000002E-3</v>
      </c>
      <c r="Y9" s="62">
        <v>1.0848200000000001E-2</v>
      </c>
      <c r="Z9" s="62">
        <v>1.1294500000000001E-2</v>
      </c>
      <c r="AA9" s="62">
        <v>1.1708700000000001E-2</v>
      </c>
      <c r="AB9" s="62">
        <v>1.09152E-2</v>
      </c>
      <c r="AC9" s="62">
        <v>1.00204E-2</v>
      </c>
      <c r="AD9" s="62">
        <v>8.2776499999999992E-3</v>
      </c>
      <c r="AE9" s="62">
        <v>5.9158099999999996E-3</v>
      </c>
      <c r="AF9" s="62">
        <v>3.9345200000000004E-3</v>
      </c>
      <c r="AG9" s="62">
        <v>1.0594599999999999E-3</v>
      </c>
      <c r="AH9" s="62"/>
    </row>
    <row r="10" spans="1:34">
      <c r="A10" t="s">
        <v>606</v>
      </c>
      <c r="B10" t="s">
        <v>1</v>
      </c>
      <c r="C10" t="s">
        <v>162</v>
      </c>
      <c r="D10" t="s">
        <v>144</v>
      </c>
      <c r="E10">
        <v>3.4529000000000001E-3</v>
      </c>
      <c r="F10">
        <v>7.5930899999999996E-2</v>
      </c>
      <c r="G10">
        <v>8.7757299999999996E-2</v>
      </c>
      <c r="H10">
        <v>9.1367699999999996E-2</v>
      </c>
      <c r="I10">
        <v>0.127718</v>
      </c>
      <c r="J10">
        <v>0.14735400000000001</v>
      </c>
      <c r="K10">
        <v>0.16209599999999999</v>
      </c>
      <c r="L10">
        <v>0.16980799999999999</v>
      </c>
      <c r="M10">
        <v>0.17025899999999999</v>
      </c>
      <c r="N10">
        <v>0.17082700000000001</v>
      </c>
      <c r="O10">
        <v>0.167576</v>
      </c>
      <c r="S10" s="62" t="s">
        <v>607</v>
      </c>
      <c r="T10" s="62" t="s">
        <v>1</v>
      </c>
      <c r="U10" s="62" t="s">
        <v>162</v>
      </c>
      <c r="V10" s="62" t="s">
        <v>144</v>
      </c>
      <c r="W10" s="62">
        <v>3.4529000000000001E-3</v>
      </c>
      <c r="X10" s="62">
        <v>7.5930899999999996E-2</v>
      </c>
      <c r="Y10" s="62">
        <v>8.7757299999999996E-2</v>
      </c>
      <c r="Z10" s="62">
        <v>9.1367699999999996E-2</v>
      </c>
      <c r="AA10" s="62">
        <v>0.128333</v>
      </c>
      <c r="AB10" s="62">
        <v>0.127967</v>
      </c>
      <c r="AC10" s="62">
        <v>0.13470799999999999</v>
      </c>
      <c r="AD10" s="62">
        <v>0.13311899999999999</v>
      </c>
      <c r="AE10" s="62">
        <v>0.117865</v>
      </c>
      <c r="AF10" s="62">
        <v>9.1044899999999998E-2</v>
      </c>
      <c r="AG10" s="62">
        <v>2.5950500000000001E-2</v>
      </c>
      <c r="AH10" s="62"/>
    </row>
    <row r="11" spans="1:34">
      <c r="A11" t="s">
        <v>606</v>
      </c>
      <c r="B11" t="s">
        <v>1</v>
      </c>
      <c r="C11" t="s">
        <v>162</v>
      </c>
      <c r="D11" t="s">
        <v>145</v>
      </c>
      <c r="E11">
        <v>2.0642999999999998E-3</v>
      </c>
      <c r="F11">
        <v>4.5395600000000001E-2</v>
      </c>
      <c r="G11">
        <v>5.2465999999999999E-2</v>
      </c>
      <c r="H11">
        <v>5.4624499999999999E-2</v>
      </c>
      <c r="I11">
        <v>6.6134499999999999E-2</v>
      </c>
      <c r="J11">
        <v>7.5216500000000006E-2</v>
      </c>
      <c r="K11">
        <v>8.5996600000000006E-2</v>
      </c>
      <c r="L11">
        <v>8.7019600000000003E-2</v>
      </c>
      <c r="M11">
        <v>8.5579500000000003E-2</v>
      </c>
      <c r="N11">
        <v>8.3023399999999997E-2</v>
      </c>
      <c r="O11">
        <v>7.7594999999999997E-2</v>
      </c>
      <c r="S11" s="62" t="s">
        <v>607</v>
      </c>
      <c r="T11" s="62" t="s">
        <v>1</v>
      </c>
      <c r="U11" s="62" t="s">
        <v>162</v>
      </c>
      <c r="V11" s="62" t="s">
        <v>145</v>
      </c>
      <c r="W11" s="62">
        <v>2.0642999999999998E-3</v>
      </c>
      <c r="X11" s="62">
        <v>4.5395600000000001E-2</v>
      </c>
      <c r="Y11" s="62">
        <v>5.2465999999999999E-2</v>
      </c>
      <c r="Z11" s="62">
        <v>5.4624499999999999E-2</v>
      </c>
      <c r="AA11" s="62">
        <v>6.5715300000000004E-2</v>
      </c>
      <c r="AB11" s="62">
        <v>7.2573499999999999E-2</v>
      </c>
      <c r="AC11" s="62">
        <v>7.4267700000000006E-2</v>
      </c>
      <c r="AD11" s="62">
        <v>6.5164299999999994E-2</v>
      </c>
      <c r="AE11" s="62">
        <v>4.7103699999999998E-2</v>
      </c>
      <c r="AF11" s="62">
        <v>3.0034700000000001E-2</v>
      </c>
      <c r="AG11" s="62">
        <v>6.3672800000000003E-3</v>
      </c>
      <c r="AH11" s="62"/>
    </row>
    <row r="12" spans="1:34">
      <c r="A12" t="s">
        <v>606</v>
      </c>
      <c r="B12" t="s">
        <v>1</v>
      </c>
      <c r="C12" t="s">
        <v>162</v>
      </c>
      <c r="D12" t="s">
        <v>152</v>
      </c>
      <c r="E12">
        <v>1.18706E-2</v>
      </c>
      <c r="F12">
        <v>0.214805</v>
      </c>
      <c r="G12">
        <v>0.22955900000000001</v>
      </c>
      <c r="H12">
        <v>0.20899400000000001</v>
      </c>
      <c r="I12">
        <v>0.112566</v>
      </c>
      <c r="J12">
        <v>0.117756</v>
      </c>
      <c r="K12">
        <v>0.116961</v>
      </c>
      <c r="L12">
        <v>0.103823</v>
      </c>
      <c r="M12">
        <v>7.8531199999999995E-2</v>
      </c>
      <c r="N12">
        <v>4.6990799999999999E-2</v>
      </c>
      <c r="O12">
        <v>0</v>
      </c>
      <c r="S12" s="62" t="s">
        <v>607</v>
      </c>
      <c r="T12" s="62" t="s">
        <v>1</v>
      </c>
      <c r="U12" s="62" t="s">
        <v>162</v>
      </c>
      <c r="V12" s="62" t="s">
        <v>152</v>
      </c>
      <c r="W12" s="62">
        <v>1.18706E-2</v>
      </c>
      <c r="X12" s="62">
        <v>0.214805</v>
      </c>
      <c r="Y12" s="62">
        <v>0.22955900000000001</v>
      </c>
      <c r="Z12" s="62">
        <v>0.20899400000000001</v>
      </c>
      <c r="AA12" s="62">
        <v>0.112571</v>
      </c>
      <c r="AB12" s="62">
        <v>0.101427</v>
      </c>
      <c r="AC12" s="62">
        <v>9.1823399999999999E-2</v>
      </c>
      <c r="AD12" s="62">
        <v>7.1185200000000004E-2</v>
      </c>
      <c r="AE12" s="62">
        <v>4.1423799999999997E-2</v>
      </c>
      <c r="AF12" s="62">
        <v>1.50911E-2</v>
      </c>
      <c r="AG12" s="62">
        <v>0</v>
      </c>
      <c r="AH12" s="62"/>
    </row>
    <row r="13" spans="1:34">
      <c r="A13" t="s">
        <v>606</v>
      </c>
      <c r="B13" t="s">
        <v>1</v>
      </c>
      <c r="C13" t="s">
        <v>162</v>
      </c>
      <c r="D13" t="s">
        <v>153</v>
      </c>
      <c r="E13">
        <v>7.5943E-3</v>
      </c>
      <c r="F13">
        <v>0.13742299999999999</v>
      </c>
      <c r="G13">
        <v>0.14686199999999999</v>
      </c>
      <c r="H13">
        <v>0.13370599999999999</v>
      </c>
      <c r="I13">
        <v>0.16999500000000001</v>
      </c>
      <c r="J13">
        <v>0.19206400000000001</v>
      </c>
      <c r="K13">
        <v>0.21428700000000001</v>
      </c>
      <c r="L13">
        <v>0.21789500000000001</v>
      </c>
      <c r="M13">
        <v>0.215365</v>
      </c>
      <c r="N13">
        <v>0.209423</v>
      </c>
      <c r="O13">
        <v>0.19816400000000001</v>
      </c>
      <c r="S13" s="62" t="s">
        <v>607</v>
      </c>
      <c r="T13" s="62" t="s">
        <v>1</v>
      </c>
      <c r="U13" s="62" t="s">
        <v>162</v>
      </c>
      <c r="V13" s="62" t="s">
        <v>153</v>
      </c>
      <c r="W13" s="62">
        <v>7.5943E-3</v>
      </c>
      <c r="X13" s="62">
        <v>0.13742299999999999</v>
      </c>
      <c r="Y13" s="62">
        <v>0.14686199999999999</v>
      </c>
      <c r="Z13" s="62">
        <v>0.13370599999999999</v>
      </c>
      <c r="AA13" s="62">
        <v>0.16916400000000001</v>
      </c>
      <c r="AB13" s="62">
        <v>0.179615</v>
      </c>
      <c r="AC13" s="62">
        <v>0.18204000000000001</v>
      </c>
      <c r="AD13" s="62">
        <v>0.16340199999999999</v>
      </c>
      <c r="AE13" s="62">
        <v>0.12537300000000001</v>
      </c>
      <c r="AF13" s="62">
        <v>8.5190799999999997E-2</v>
      </c>
      <c r="AG13" s="62">
        <v>2.01852E-2</v>
      </c>
      <c r="AH13" s="62"/>
    </row>
    <row r="14" spans="1:34">
      <c r="A14" t="s">
        <v>606</v>
      </c>
      <c r="B14" t="s">
        <v>1</v>
      </c>
      <c r="C14" t="s">
        <v>264</v>
      </c>
      <c r="D14" t="s">
        <v>143</v>
      </c>
      <c r="E14">
        <v>3.7439299999999999E-3</v>
      </c>
      <c r="F14">
        <v>3.1338999999999999E-2</v>
      </c>
      <c r="G14">
        <v>4.1733800000000001E-2</v>
      </c>
      <c r="H14">
        <v>4.3011199999999999E-2</v>
      </c>
      <c r="I14">
        <v>4.3743299999999999E-2</v>
      </c>
      <c r="J14">
        <v>4.7688000000000001E-2</v>
      </c>
      <c r="K14">
        <v>4.8189099999999999E-2</v>
      </c>
      <c r="L14">
        <v>4.8597700000000001E-2</v>
      </c>
      <c r="M14">
        <v>4.7861800000000003E-2</v>
      </c>
      <c r="N14">
        <v>4.5816099999999998E-2</v>
      </c>
      <c r="O14">
        <v>4.3660299999999999E-2</v>
      </c>
      <c r="S14" s="62" t="s">
        <v>607</v>
      </c>
      <c r="T14" s="62" t="s">
        <v>1</v>
      </c>
      <c r="U14" s="62" t="s">
        <v>264</v>
      </c>
      <c r="V14" s="62" t="s">
        <v>143</v>
      </c>
      <c r="W14" s="62">
        <v>3.7439299999999999E-3</v>
      </c>
      <c r="X14" s="62">
        <v>3.1338999999999999E-2</v>
      </c>
      <c r="Y14" s="62">
        <v>4.1733800000000001E-2</v>
      </c>
      <c r="Z14" s="62">
        <v>4.3011199999999999E-2</v>
      </c>
      <c r="AA14" s="62">
        <v>4.3811999999999997E-2</v>
      </c>
      <c r="AB14" s="62">
        <v>4.4596299999999998E-2</v>
      </c>
      <c r="AC14" s="62">
        <v>4.4845599999999999E-2</v>
      </c>
      <c r="AD14" s="62">
        <v>4.49284E-2</v>
      </c>
      <c r="AE14" s="62">
        <v>4.5037800000000003E-2</v>
      </c>
      <c r="AF14" s="62">
        <v>4.3888000000000003E-2</v>
      </c>
      <c r="AG14" s="62">
        <v>4.29188E-2</v>
      </c>
      <c r="AH14" s="62"/>
    </row>
    <row r="15" spans="1:34">
      <c r="A15" t="s">
        <v>606</v>
      </c>
      <c r="B15" t="s">
        <v>1</v>
      </c>
      <c r="C15" t="s">
        <v>264</v>
      </c>
      <c r="D15" t="s">
        <v>144</v>
      </c>
      <c r="E15">
        <v>2.8473999999999999E-3</v>
      </c>
      <c r="F15">
        <v>2.3834999999999999E-2</v>
      </c>
      <c r="G15">
        <v>3.1740900000000002E-2</v>
      </c>
      <c r="H15">
        <v>3.2712400000000003E-2</v>
      </c>
      <c r="I15">
        <v>3.7810099999999999E-2</v>
      </c>
      <c r="J15">
        <v>4.4269299999999998E-2</v>
      </c>
      <c r="K15">
        <v>4.3857E-2</v>
      </c>
      <c r="L15">
        <v>4.8482900000000002E-2</v>
      </c>
      <c r="M15">
        <v>5.11596E-2</v>
      </c>
      <c r="N15">
        <v>5.3071300000000002E-2</v>
      </c>
      <c r="O15">
        <v>5.5985899999999998E-2</v>
      </c>
      <c r="S15" s="62" t="s">
        <v>607</v>
      </c>
      <c r="T15" s="62" t="s">
        <v>1</v>
      </c>
      <c r="U15" s="62" t="s">
        <v>264</v>
      </c>
      <c r="V15" s="62" t="s">
        <v>144</v>
      </c>
      <c r="W15" s="62">
        <v>2.8473999999999999E-3</v>
      </c>
      <c r="X15" s="62">
        <v>2.3834999999999999E-2</v>
      </c>
      <c r="Y15" s="62">
        <v>3.1740900000000002E-2</v>
      </c>
      <c r="Z15" s="62">
        <v>3.2712400000000003E-2</v>
      </c>
      <c r="AA15" s="62">
        <v>3.8439800000000003E-2</v>
      </c>
      <c r="AB15" s="62">
        <v>3.5947600000000003E-2</v>
      </c>
      <c r="AC15" s="62">
        <v>3.8971600000000002E-2</v>
      </c>
      <c r="AD15" s="62">
        <v>4.7419700000000002E-2</v>
      </c>
      <c r="AE15" s="62">
        <v>6.4413799999999993E-2</v>
      </c>
      <c r="AF15" s="62">
        <v>8.4153500000000006E-2</v>
      </c>
      <c r="AG15" s="62">
        <v>0.131443</v>
      </c>
      <c r="AH15" s="62"/>
    </row>
    <row r="16" spans="1:34">
      <c r="A16" t="s">
        <v>606</v>
      </c>
      <c r="B16" t="s">
        <v>1</v>
      </c>
      <c r="C16" t="s">
        <v>264</v>
      </c>
      <c r="D16" t="s">
        <v>145</v>
      </c>
      <c r="E16">
        <v>3.9137400000000003E-2</v>
      </c>
      <c r="F16">
        <v>0.32760699999999998</v>
      </c>
      <c r="G16">
        <v>0.43627100000000002</v>
      </c>
      <c r="H16">
        <v>0.449625</v>
      </c>
      <c r="I16">
        <v>0.46132600000000001</v>
      </c>
      <c r="J16">
        <v>0.53083100000000005</v>
      </c>
      <c r="K16">
        <v>0.55476700000000001</v>
      </c>
      <c r="L16">
        <v>0.58751200000000003</v>
      </c>
      <c r="M16">
        <v>0.60107999999999995</v>
      </c>
      <c r="N16">
        <v>0.59949799999999998</v>
      </c>
      <c r="O16">
        <v>0.595217</v>
      </c>
      <c r="S16" s="62" t="s">
        <v>607</v>
      </c>
      <c r="T16" s="62" t="s">
        <v>1</v>
      </c>
      <c r="U16" s="62" t="s">
        <v>264</v>
      </c>
      <c r="V16" s="62" t="s">
        <v>145</v>
      </c>
      <c r="W16" s="62">
        <v>3.9137400000000003E-2</v>
      </c>
      <c r="X16" s="62">
        <v>0.32760699999999998</v>
      </c>
      <c r="Y16" s="62">
        <v>0.43627100000000002</v>
      </c>
      <c r="Z16" s="62">
        <v>0.449625</v>
      </c>
      <c r="AA16" s="62">
        <v>0.46305400000000002</v>
      </c>
      <c r="AB16" s="62">
        <v>0.47378900000000002</v>
      </c>
      <c r="AC16" s="62">
        <v>0.49421599999999999</v>
      </c>
      <c r="AD16" s="62">
        <v>0.51841800000000005</v>
      </c>
      <c r="AE16" s="62">
        <v>0.54797600000000002</v>
      </c>
      <c r="AF16" s="62">
        <v>0.56073700000000004</v>
      </c>
      <c r="AG16" s="62">
        <v>0.57339499999999999</v>
      </c>
      <c r="AH16" s="62"/>
    </row>
    <row r="17" spans="1:34">
      <c r="A17" t="s">
        <v>606</v>
      </c>
      <c r="B17" t="s">
        <v>1</v>
      </c>
      <c r="C17" t="s">
        <v>264</v>
      </c>
      <c r="D17" t="s">
        <v>231</v>
      </c>
      <c r="E17">
        <v>4.9894900000000001E-3</v>
      </c>
      <c r="F17">
        <v>1.42068E-2</v>
      </c>
      <c r="G17">
        <v>1.72421E-2</v>
      </c>
      <c r="H17">
        <v>1.79227E-2</v>
      </c>
      <c r="I17">
        <v>1.8798200000000001E-2</v>
      </c>
      <c r="J17">
        <v>2.16124E-2</v>
      </c>
      <c r="K17">
        <v>2.2592999999999999E-2</v>
      </c>
      <c r="L17">
        <v>2.3438899999999999E-2</v>
      </c>
      <c r="M17">
        <v>2.3646899999999998E-2</v>
      </c>
      <c r="N17">
        <v>2.29508E-2</v>
      </c>
      <c r="O17">
        <v>2.2321799999999999E-2</v>
      </c>
      <c r="S17" s="62" t="s">
        <v>607</v>
      </c>
      <c r="T17" s="62" t="s">
        <v>1</v>
      </c>
      <c r="U17" s="62" t="s">
        <v>264</v>
      </c>
      <c r="V17" s="62" t="s">
        <v>231</v>
      </c>
      <c r="W17" s="62">
        <v>4.9894900000000001E-3</v>
      </c>
      <c r="X17" s="62">
        <v>1.42068E-2</v>
      </c>
      <c r="Y17" s="62">
        <v>1.72421E-2</v>
      </c>
      <c r="Z17" s="62">
        <v>1.79227E-2</v>
      </c>
      <c r="AA17" s="62">
        <v>1.8820099999999999E-2</v>
      </c>
      <c r="AB17" s="62">
        <v>2.0030800000000001E-2</v>
      </c>
      <c r="AC17" s="62">
        <v>2.0587600000000001E-2</v>
      </c>
      <c r="AD17" s="62">
        <v>2.0886200000000001E-2</v>
      </c>
      <c r="AE17" s="62">
        <v>2.11334E-2</v>
      </c>
      <c r="AF17" s="62">
        <v>2.0655900000000001E-2</v>
      </c>
      <c r="AG17" s="62">
        <v>2.0250000000000001E-2</v>
      </c>
      <c r="AH17" s="62"/>
    </row>
    <row r="18" spans="1:34">
      <c r="A18" t="s">
        <v>606</v>
      </c>
      <c r="B18" t="s">
        <v>1</v>
      </c>
      <c r="C18" t="s">
        <v>264</v>
      </c>
      <c r="D18" t="s">
        <v>152</v>
      </c>
      <c r="E18">
        <v>9.979E-3</v>
      </c>
      <c r="F18">
        <v>2.8413500000000001E-2</v>
      </c>
      <c r="G18">
        <v>3.4484300000000002E-2</v>
      </c>
      <c r="H18">
        <v>3.5845299999999997E-2</v>
      </c>
      <c r="I18">
        <v>8.0508999999999997E-2</v>
      </c>
      <c r="J18">
        <v>0.10248500000000001</v>
      </c>
      <c r="K18">
        <v>0.114403</v>
      </c>
      <c r="L18">
        <v>0.14269799999999999</v>
      </c>
      <c r="M18">
        <v>0.17105100000000001</v>
      </c>
      <c r="N18">
        <v>0.21141399999999999</v>
      </c>
      <c r="O18">
        <v>0.27320699999999998</v>
      </c>
      <c r="S18" s="62" t="s">
        <v>607</v>
      </c>
      <c r="T18" s="62" t="s">
        <v>1</v>
      </c>
      <c r="U18" s="62" t="s">
        <v>264</v>
      </c>
      <c r="V18" s="62" t="s">
        <v>152</v>
      </c>
      <c r="W18" s="62">
        <v>9.979E-3</v>
      </c>
      <c r="X18" s="62">
        <v>2.8413500000000001E-2</v>
      </c>
      <c r="Y18" s="62">
        <v>3.4484300000000002E-2</v>
      </c>
      <c r="Z18" s="62">
        <v>3.5845299999999997E-2</v>
      </c>
      <c r="AA18" s="62">
        <v>8.1452999999999998E-2</v>
      </c>
      <c r="AB18" s="62">
        <v>8.4726599999999999E-2</v>
      </c>
      <c r="AC18" s="62">
        <v>9.9474999999999994E-2</v>
      </c>
      <c r="AD18" s="62">
        <v>0.12781699999999999</v>
      </c>
      <c r="AE18" s="62">
        <v>0.17288700000000001</v>
      </c>
      <c r="AF18" s="62">
        <v>0.214752</v>
      </c>
      <c r="AG18" s="62">
        <v>0.24168300000000001</v>
      </c>
      <c r="AH18" s="62"/>
    </row>
    <row r="19" spans="1:34">
      <c r="A19" t="s">
        <v>606</v>
      </c>
      <c r="B19" t="s">
        <v>1</v>
      </c>
      <c r="C19" t="s">
        <v>264</v>
      </c>
      <c r="D19" t="s">
        <v>153</v>
      </c>
      <c r="E19">
        <v>4.8892900000000003E-2</v>
      </c>
      <c r="F19">
        <v>0.139214</v>
      </c>
      <c r="G19">
        <v>0.168958</v>
      </c>
      <c r="H19">
        <v>0.17562700000000001</v>
      </c>
      <c r="I19">
        <v>0.18918599999999999</v>
      </c>
      <c r="J19">
        <v>0.21625</v>
      </c>
      <c r="K19">
        <v>0.22038099999999999</v>
      </c>
      <c r="L19">
        <v>0.234545</v>
      </c>
      <c r="M19">
        <v>0.241398</v>
      </c>
      <c r="N19">
        <v>0.24133199999999999</v>
      </c>
      <c r="O19">
        <v>0.242671</v>
      </c>
      <c r="S19" s="62" t="s">
        <v>607</v>
      </c>
      <c r="T19" s="62" t="s">
        <v>1</v>
      </c>
      <c r="U19" s="62" t="s">
        <v>264</v>
      </c>
      <c r="V19" s="62" t="s">
        <v>153</v>
      </c>
      <c r="W19" s="62">
        <v>4.8892900000000003E-2</v>
      </c>
      <c r="X19" s="62">
        <v>0.139214</v>
      </c>
      <c r="Y19" s="62">
        <v>0.168958</v>
      </c>
      <c r="Z19" s="62">
        <v>0.17562700000000001</v>
      </c>
      <c r="AA19" s="62">
        <v>0.19017899999999999</v>
      </c>
      <c r="AB19" s="62">
        <v>0.187914</v>
      </c>
      <c r="AC19" s="62">
        <v>0.194436</v>
      </c>
      <c r="AD19" s="62">
        <v>0.209202</v>
      </c>
      <c r="AE19" s="62">
        <v>0.23552600000000001</v>
      </c>
      <c r="AF19" s="62">
        <v>0.25767699999999999</v>
      </c>
      <c r="AG19" s="62">
        <v>0.29708400000000001</v>
      </c>
      <c r="AH19" s="62"/>
    </row>
    <row r="20" spans="1:34">
      <c r="A20" t="s">
        <v>606</v>
      </c>
      <c r="B20" t="s">
        <v>1</v>
      </c>
      <c r="C20" t="s">
        <v>164</v>
      </c>
      <c r="D20" t="s">
        <v>144</v>
      </c>
      <c r="E20">
        <v>0.15587899999999999</v>
      </c>
      <c r="F20">
        <v>0.13662299999999999</v>
      </c>
      <c r="G20">
        <v>8.5985500000000006E-2</v>
      </c>
      <c r="H20">
        <v>7.1054999999999993E-2</v>
      </c>
      <c r="I20">
        <v>3.5776299999999997E-2</v>
      </c>
      <c r="J20">
        <v>3.4368599999999999E-2</v>
      </c>
      <c r="K20">
        <v>2.9744E-2</v>
      </c>
      <c r="L20">
        <v>2.2964399999999999E-2</v>
      </c>
      <c r="M20">
        <v>1.6827700000000001E-2</v>
      </c>
      <c r="N20">
        <v>8.2290799999999997E-3</v>
      </c>
      <c r="O20">
        <v>0</v>
      </c>
      <c r="S20" s="62" t="s">
        <v>607</v>
      </c>
      <c r="T20" s="62" t="s">
        <v>1</v>
      </c>
      <c r="U20" s="62" t="s">
        <v>164</v>
      </c>
      <c r="V20" s="62" t="s">
        <v>144</v>
      </c>
      <c r="W20" s="62">
        <v>0.15587899999999999</v>
      </c>
      <c r="X20" s="62">
        <v>0.13662299999999999</v>
      </c>
      <c r="Y20" s="62">
        <v>8.5985500000000006E-2</v>
      </c>
      <c r="Z20" s="62">
        <v>7.1054999999999993E-2</v>
      </c>
      <c r="AA20" s="62">
        <v>3.5835499999999999E-2</v>
      </c>
      <c r="AB20" s="62">
        <v>2.9960500000000001E-2</v>
      </c>
      <c r="AC20" s="62">
        <v>2.4943E-2</v>
      </c>
      <c r="AD20" s="62">
        <v>1.8310799999999999E-2</v>
      </c>
      <c r="AE20" s="62">
        <v>1.1056099999999999E-2</v>
      </c>
      <c r="AF20" s="62">
        <v>4.1131500000000003E-3</v>
      </c>
      <c r="AG20" s="62">
        <v>0</v>
      </c>
      <c r="AH20" s="62"/>
    </row>
    <row r="21" spans="1:34">
      <c r="A21" t="s">
        <v>606</v>
      </c>
      <c r="B21" t="s">
        <v>1</v>
      </c>
      <c r="C21" t="s">
        <v>164</v>
      </c>
      <c r="D21" t="s">
        <v>145</v>
      </c>
      <c r="E21">
        <v>0.18410699999999999</v>
      </c>
      <c r="F21">
        <v>0.16136400000000001</v>
      </c>
      <c r="G21">
        <v>0.10155699999999999</v>
      </c>
      <c r="H21">
        <v>8.3922200000000002E-2</v>
      </c>
      <c r="I21">
        <v>8.9766499999999999E-2</v>
      </c>
      <c r="J21">
        <v>7.2801400000000002E-2</v>
      </c>
      <c r="K21">
        <v>6.0459199999999998E-2</v>
      </c>
      <c r="L21">
        <v>4.20933E-2</v>
      </c>
      <c r="M21">
        <v>2.78541E-2</v>
      </c>
      <c r="N21">
        <v>1.2785299999999999E-2</v>
      </c>
      <c r="O21">
        <v>0</v>
      </c>
      <c r="S21" s="62" t="s">
        <v>607</v>
      </c>
      <c r="T21" s="62" t="s">
        <v>1</v>
      </c>
      <c r="U21" s="62" t="s">
        <v>164</v>
      </c>
      <c r="V21" s="62" t="s">
        <v>145</v>
      </c>
      <c r="W21" s="62">
        <v>0.18410699999999999</v>
      </c>
      <c r="X21" s="62">
        <v>0.16136400000000001</v>
      </c>
      <c r="Y21" s="62">
        <v>0.10155699999999999</v>
      </c>
      <c r="Z21" s="62">
        <v>8.3922200000000002E-2</v>
      </c>
      <c r="AA21" s="62">
        <v>8.8956099999999996E-2</v>
      </c>
      <c r="AB21" s="62">
        <v>6.6657599999999997E-2</v>
      </c>
      <c r="AC21" s="62">
        <v>4.8754600000000002E-2</v>
      </c>
      <c r="AD21" s="62">
        <v>2.8895899999999999E-2</v>
      </c>
      <c r="AE21" s="62">
        <v>1.29833E-2</v>
      </c>
      <c r="AF21" s="62">
        <v>3.77956E-3</v>
      </c>
      <c r="AG21" s="62">
        <v>0</v>
      </c>
      <c r="AH21" s="62"/>
    </row>
    <row r="22" spans="1:34">
      <c r="A22" t="s">
        <v>606</v>
      </c>
      <c r="B22" t="s">
        <v>1</v>
      </c>
      <c r="C22" t="s">
        <v>164</v>
      </c>
      <c r="D22" t="s">
        <v>152</v>
      </c>
      <c r="E22">
        <v>5.8141100000000001E-2</v>
      </c>
      <c r="F22">
        <v>0.102991</v>
      </c>
      <c r="G22">
        <v>9.4862299999999997E-2</v>
      </c>
      <c r="H22">
        <v>9.3317700000000003E-2</v>
      </c>
      <c r="I22">
        <v>0.12624199999999999</v>
      </c>
      <c r="J22">
        <v>0.131853</v>
      </c>
      <c r="K22">
        <v>0.12853899999999999</v>
      </c>
      <c r="L22">
        <v>0.11199199999999999</v>
      </c>
      <c r="M22">
        <v>9.3234300000000006E-2</v>
      </c>
      <c r="N22">
        <v>5.4335700000000001E-2</v>
      </c>
      <c r="O22">
        <v>0</v>
      </c>
      <c r="S22" s="62" t="s">
        <v>607</v>
      </c>
      <c r="T22" s="62" t="s">
        <v>1</v>
      </c>
      <c r="U22" s="62" t="s">
        <v>164</v>
      </c>
      <c r="V22" s="62" t="s">
        <v>152</v>
      </c>
      <c r="W22" s="62">
        <v>5.8141100000000001E-2</v>
      </c>
      <c r="X22" s="62">
        <v>0.102991</v>
      </c>
      <c r="Y22" s="62">
        <v>9.4862299999999997E-2</v>
      </c>
      <c r="Z22" s="62">
        <v>9.3317700000000003E-2</v>
      </c>
      <c r="AA22" s="62">
        <v>0.12584200000000001</v>
      </c>
      <c r="AB22" s="62">
        <v>0.11776399999999999</v>
      </c>
      <c r="AC22" s="62">
        <v>0.10639899999999999</v>
      </c>
      <c r="AD22" s="62">
        <v>8.2717299999999994E-2</v>
      </c>
      <c r="AE22" s="62">
        <v>4.9881399999999999E-2</v>
      </c>
      <c r="AF22" s="62">
        <v>1.7695300000000001E-2</v>
      </c>
      <c r="AG22" s="62">
        <v>0</v>
      </c>
      <c r="AH22" s="62"/>
    </row>
    <row r="23" spans="1:34">
      <c r="A23" t="s">
        <v>606</v>
      </c>
      <c r="B23" t="s">
        <v>1</v>
      </c>
      <c r="C23" t="s">
        <v>164</v>
      </c>
      <c r="D23" t="s">
        <v>153</v>
      </c>
      <c r="E23">
        <v>2.2062700000000001E-2</v>
      </c>
      <c r="F23">
        <v>3.90818E-2</v>
      </c>
      <c r="G23">
        <v>3.59972E-2</v>
      </c>
      <c r="H23">
        <v>3.5410999999999998E-2</v>
      </c>
      <c r="I23">
        <v>1.34406E-2</v>
      </c>
      <c r="J23">
        <v>1.08264E-2</v>
      </c>
      <c r="K23">
        <v>8.7692900000000008E-3</v>
      </c>
      <c r="L23">
        <v>6.1331700000000003E-3</v>
      </c>
      <c r="M23">
        <v>4.0834000000000001E-3</v>
      </c>
      <c r="N23">
        <v>1.8781799999999999E-3</v>
      </c>
      <c r="O23">
        <v>0</v>
      </c>
      <c r="S23" s="62" t="s">
        <v>607</v>
      </c>
      <c r="T23" s="62" t="s">
        <v>1</v>
      </c>
      <c r="U23" s="62" t="s">
        <v>164</v>
      </c>
      <c r="V23" s="62" t="s">
        <v>153</v>
      </c>
      <c r="W23" s="62">
        <v>2.2062700000000001E-2</v>
      </c>
      <c r="X23" s="62">
        <v>3.90818E-2</v>
      </c>
      <c r="Y23" s="62">
        <v>3.59972E-2</v>
      </c>
      <c r="Z23" s="62">
        <v>3.5410999999999998E-2</v>
      </c>
      <c r="AA23" s="62">
        <v>1.33384E-2</v>
      </c>
      <c r="AB23" s="62">
        <v>9.6816300000000001E-3</v>
      </c>
      <c r="AC23" s="62">
        <v>7.02938E-3</v>
      </c>
      <c r="AD23" s="62">
        <v>4.2753499999999998E-3</v>
      </c>
      <c r="AE23" s="62">
        <v>2.0460700000000001E-3</v>
      </c>
      <c r="AF23" s="63">
        <v>6.3657000000000004E-4</v>
      </c>
      <c r="AG23" s="62">
        <v>0</v>
      </c>
      <c r="AH23" s="62"/>
    </row>
    <row r="24" spans="1:34" s="62" customFormat="1">
      <c r="G24" s="62" t="s">
        <v>477</v>
      </c>
      <c r="H24" s="62">
        <f>SUM(H2:H23)</f>
        <v>1.6360741000000003</v>
      </c>
      <c r="I24" s="62">
        <f t="shared" ref="I24:O24" si="0">SUM(I2:I23)</f>
        <v>1.7012272399999999</v>
      </c>
      <c r="J24" s="62">
        <f t="shared" si="0"/>
        <v>1.8716587899999999</v>
      </c>
      <c r="K24" s="62">
        <f t="shared" si="0"/>
        <v>1.9406896</v>
      </c>
      <c r="L24" s="62">
        <f t="shared" si="0"/>
        <v>1.97472362</v>
      </c>
      <c r="M24" s="62">
        <f t="shared" si="0"/>
        <v>1.95605717</v>
      </c>
      <c r="N24" s="62">
        <f t="shared" si="0"/>
        <v>1.8813829400000004</v>
      </c>
      <c r="O24" s="62">
        <f t="shared" si="0"/>
        <v>1.79070062</v>
      </c>
      <c r="Y24" s="62" t="s">
        <v>477</v>
      </c>
      <c r="Z24" s="62">
        <f>SUM(Z2:Z23)</f>
        <v>1.6360741000000003</v>
      </c>
      <c r="AA24" s="62">
        <f t="shared" ref="AA24" si="1">SUM(AA2:AA23)</f>
        <v>1.6981229200000001</v>
      </c>
      <c r="AB24" s="62">
        <f t="shared" ref="AB24" si="2">SUM(AB2:AB23)</f>
        <v>1.69692953</v>
      </c>
      <c r="AC24" s="62">
        <f t="shared" ref="AC24" si="3">SUM(AC2:AC23)</f>
        <v>1.6815209500000001</v>
      </c>
      <c r="AD24" s="62">
        <f t="shared" ref="AD24" si="4">SUM(AD2:AD23)</f>
        <v>1.6109320930000002</v>
      </c>
      <c r="AE24" s="62">
        <f t="shared" ref="AE24" si="5">SUM(AE2:AE23)</f>
        <v>1.5271435240000002</v>
      </c>
      <c r="AF24" s="62">
        <f t="shared" ref="AF24" si="6">SUM(AF2:AF23)</f>
        <v>1.4433854509999997</v>
      </c>
      <c r="AG24" s="62">
        <f t="shared" ref="AG24" si="7">SUM(AG2:AG23)</f>
        <v>1.3610697945500001</v>
      </c>
    </row>
    <row r="25" spans="1:34"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</row>
    <row r="26" spans="1:34">
      <c r="C26" t="s">
        <v>677</v>
      </c>
      <c r="E26">
        <v>2015</v>
      </c>
      <c r="F26">
        <v>2020</v>
      </c>
      <c r="G26" s="62">
        <v>2025</v>
      </c>
      <c r="H26" s="62">
        <v>2030</v>
      </c>
      <c r="I26" s="62">
        <v>2035</v>
      </c>
      <c r="J26" s="62">
        <v>2040</v>
      </c>
      <c r="K26" s="62">
        <v>2045</v>
      </c>
      <c r="L26" s="62">
        <v>2050</v>
      </c>
      <c r="S26" s="62"/>
      <c r="T26" s="62"/>
      <c r="U26" s="62" t="s">
        <v>677</v>
      </c>
      <c r="V26" s="62"/>
      <c r="W26" s="62">
        <v>2015</v>
      </c>
      <c r="X26" s="62">
        <v>2020</v>
      </c>
      <c r="Y26" s="62">
        <v>2025</v>
      </c>
      <c r="Z26" s="62">
        <v>2030</v>
      </c>
      <c r="AA26" s="62">
        <v>2035</v>
      </c>
      <c r="AB26" s="62">
        <v>2040</v>
      </c>
      <c r="AC26" s="62">
        <v>2045</v>
      </c>
      <c r="AD26" s="62">
        <v>2050</v>
      </c>
      <c r="AE26" s="62"/>
      <c r="AF26" s="62"/>
      <c r="AG26" s="62"/>
      <c r="AH26" s="62"/>
    </row>
    <row r="27" spans="1:34">
      <c r="A27" s="45"/>
      <c r="D27" t="s">
        <v>17</v>
      </c>
      <c r="E27">
        <f>SUM(H17:H19)</f>
        <v>0.22939500000000002</v>
      </c>
      <c r="F27" s="62">
        <f t="shared" ref="F27:L27" si="8">SUM(I17:I19)</f>
        <v>0.28849320000000001</v>
      </c>
      <c r="G27" s="62">
        <f t="shared" si="8"/>
        <v>0.34034740000000002</v>
      </c>
      <c r="H27" s="62">
        <f t="shared" si="8"/>
        <v>0.357377</v>
      </c>
      <c r="I27" s="62">
        <f t="shared" si="8"/>
        <v>0.40068189999999998</v>
      </c>
      <c r="J27" s="62">
        <f t="shared" si="8"/>
        <v>0.43609589999999998</v>
      </c>
      <c r="K27" s="62">
        <f t="shared" si="8"/>
        <v>0.47569679999999998</v>
      </c>
      <c r="L27" s="62">
        <f t="shared" si="8"/>
        <v>0.53819980000000001</v>
      </c>
      <c r="M27" s="62"/>
      <c r="S27" s="45"/>
      <c r="T27" s="62"/>
      <c r="U27" s="62"/>
      <c r="V27" s="62" t="s">
        <v>17</v>
      </c>
      <c r="W27" s="62">
        <f>SUM(Z17:Z19)</f>
        <v>0.22939500000000002</v>
      </c>
      <c r="X27" s="62">
        <f t="shared" ref="X27" si="9">SUM(AA17:AA19)</f>
        <v>0.29045209999999999</v>
      </c>
      <c r="Y27" s="62">
        <f t="shared" ref="Y27" si="10">SUM(AB17:AB19)</f>
        <v>0.29267140000000003</v>
      </c>
      <c r="Z27" s="62">
        <f t="shared" ref="Z27" si="11">SUM(AC17:AC19)</f>
        <v>0.31449859999999996</v>
      </c>
      <c r="AA27" s="62">
        <f t="shared" ref="AA27" si="12">SUM(AD17:AD19)</f>
        <v>0.35790519999999998</v>
      </c>
      <c r="AB27" s="62">
        <f t="shared" ref="AB27" si="13">SUM(AE17:AE19)</f>
        <v>0.42954639999999999</v>
      </c>
      <c r="AC27" s="62">
        <f t="shared" ref="AC27" si="14">SUM(AF17:AF19)</f>
        <v>0.49308489999999999</v>
      </c>
      <c r="AD27" s="62">
        <f t="shared" ref="AD27" si="15">SUM(AG17:AG19)</f>
        <v>0.5590170000000001</v>
      </c>
      <c r="AE27" s="62"/>
      <c r="AF27" s="62"/>
      <c r="AG27" s="62"/>
      <c r="AH27" s="62"/>
    </row>
    <row r="28" spans="1:34">
      <c r="A28" s="45"/>
      <c r="D28" t="s">
        <v>13</v>
      </c>
      <c r="E28">
        <f>SUM(H4:H5)</f>
        <v>1.12579E-2</v>
      </c>
      <c r="F28" s="62">
        <f t="shared" ref="F28:L28" si="16">SUM(I4:I5)</f>
        <v>3.0487500000000001E-2</v>
      </c>
      <c r="G28" s="62">
        <f t="shared" si="16"/>
        <v>3.2019209999999999E-2</v>
      </c>
      <c r="H28" s="62">
        <f t="shared" si="16"/>
        <v>3.5718439999999997E-2</v>
      </c>
      <c r="I28" s="62">
        <f t="shared" si="16"/>
        <v>3.8415930000000001E-2</v>
      </c>
      <c r="J28" s="62">
        <f t="shared" si="16"/>
        <v>4.2181529999999995E-2</v>
      </c>
      <c r="K28" s="62">
        <f t="shared" si="16"/>
        <v>4.3983120000000001E-2</v>
      </c>
      <c r="L28" s="62">
        <f t="shared" si="16"/>
        <v>4.7427950000000003E-2</v>
      </c>
      <c r="M28" s="62"/>
      <c r="S28" s="45"/>
      <c r="T28" s="62"/>
      <c r="U28" s="62"/>
      <c r="V28" s="62" t="s">
        <v>13</v>
      </c>
      <c r="W28" s="62">
        <f>SUM(Z4:Z5)</f>
        <v>1.12579E-2</v>
      </c>
      <c r="X28" s="62">
        <f t="shared" ref="X28" si="17">SUM(AA4:AA5)</f>
        <v>2.8932650000000001E-2</v>
      </c>
      <c r="Y28" s="62">
        <f t="shared" ref="Y28" si="18">SUM(AB4:AB5)</f>
        <v>3.725879E-2</v>
      </c>
      <c r="Z28" s="62">
        <f t="shared" ref="Z28" si="19">SUM(AC4:AC5)</f>
        <v>3.2082929999999996E-2</v>
      </c>
      <c r="AA28" s="62">
        <f t="shared" ref="AA28" si="20">SUM(AD4:AD5)</f>
        <v>2.0438803000000002E-2</v>
      </c>
      <c r="AB28" s="62">
        <f t="shared" ref="AB28" si="21">SUM(AE4:AE5)</f>
        <v>8.1046440000000011E-3</v>
      </c>
      <c r="AC28" s="62">
        <f t="shared" ref="AC28" si="22">SUM(AF4:AF5)</f>
        <v>2.9657590000000001E-3</v>
      </c>
      <c r="AD28" s="62">
        <f t="shared" ref="AD28" si="23">SUM(AG4:AG5)</f>
        <v>1.7341575000000002E-4</v>
      </c>
      <c r="AE28" s="62"/>
      <c r="AF28" s="62"/>
      <c r="AG28" s="62"/>
      <c r="AH28" s="62"/>
    </row>
    <row r="29" spans="1:34">
      <c r="A29" s="45"/>
      <c r="D29" t="s">
        <v>15</v>
      </c>
      <c r="E29">
        <f>SUM(H12:H13)</f>
        <v>0.3427</v>
      </c>
      <c r="F29" s="62">
        <f t="shared" ref="F29:L29" si="24">SUM(I12:I13)</f>
        <v>0.28256100000000001</v>
      </c>
      <c r="G29" s="62">
        <f t="shared" si="24"/>
        <v>0.30981999999999998</v>
      </c>
      <c r="H29" s="62">
        <f t="shared" si="24"/>
        <v>0.33124799999999999</v>
      </c>
      <c r="I29" s="62">
        <f t="shared" si="24"/>
        <v>0.321718</v>
      </c>
      <c r="J29" s="62">
        <f t="shared" si="24"/>
        <v>0.2938962</v>
      </c>
      <c r="K29" s="62">
        <f t="shared" si="24"/>
        <v>0.25641380000000003</v>
      </c>
      <c r="L29" s="62">
        <f t="shared" si="24"/>
        <v>0.19816400000000001</v>
      </c>
      <c r="M29" s="62"/>
      <c r="S29" s="45"/>
      <c r="T29" s="62"/>
      <c r="U29" s="62"/>
      <c r="V29" s="62" t="s">
        <v>15</v>
      </c>
      <c r="W29" s="62">
        <f>SUM(Z12:Z13)</f>
        <v>0.3427</v>
      </c>
      <c r="X29" s="62">
        <f t="shared" ref="X29" si="25">SUM(AA12:AA13)</f>
        <v>0.28173500000000001</v>
      </c>
      <c r="Y29" s="62">
        <f t="shared" ref="Y29" si="26">SUM(AB12:AB13)</f>
        <v>0.28104200000000001</v>
      </c>
      <c r="Z29" s="62">
        <f t="shared" ref="Z29" si="27">SUM(AC12:AC13)</f>
        <v>0.27386339999999998</v>
      </c>
      <c r="AA29" s="62">
        <f t="shared" ref="AA29" si="28">SUM(AD12:AD13)</f>
        <v>0.2345872</v>
      </c>
      <c r="AB29" s="62">
        <f t="shared" ref="AB29" si="29">SUM(AE12:AE13)</f>
        <v>0.16679680000000002</v>
      </c>
      <c r="AC29" s="62">
        <f t="shared" ref="AC29" si="30">SUM(AF12:AF13)</f>
        <v>0.10028189999999999</v>
      </c>
      <c r="AD29" s="62">
        <f t="shared" ref="AD29" si="31">SUM(AG12:AG13)</f>
        <v>2.01852E-2</v>
      </c>
      <c r="AE29" s="62"/>
      <c r="AF29" s="62"/>
      <c r="AG29" s="62"/>
      <c r="AH29" s="62"/>
    </row>
    <row r="30" spans="1:34">
      <c r="A30" s="45"/>
      <c r="D30" t="s">
        <v>14</v>
      </c>
      <c r="E30">
        <f>SUM(H7:H8)</f>
        <v>2.74183E-2</v>
      </c>
      <c r="F30" s="62">
        <f t="shared" ref="F30:L30" si="32">SUM(I7:I8)</f>
        <v>0</v>
      </c>
      <c r="G30" s="62">
        <f t="shared" si="32"/>
        <v>0</v>
      </c>
      <c r="H30" s="62">
        <f t="shared" si="32"/>
        <v>0</v>
      </c>
      <c r="I30" s="62">
        <f t="shared" si="32"/>
        <v>0</v>
      </c>
      <c r="J30" s="62">
        <f t="shared" si="32"/>
        <v>0</v>
      </c>
      <c r="K30" s="62">
        <f t="shared" si="32"/>
        <v>0</v>
      </c>
      <c r="L30" s="62">
        <f t="shared" si="32"/>
        <v>0</v>
      </c>
      <c r="M30" s="62"/>
      <c r="S30" s="45"/>
      <c r="T30" s="62"/>
      <c r="U30" s="62"/>
      <c r="V30" s="62" t="s">
        <v>14</v>
      </c>
      <c r="W30" s="62">
        <f>SUM(Z7:Z8)</f>
        <v>2.74183E-2</v>
      </c>
      <c r="X30" s="62">
        <f t="shared" ref="X30" si="33">SUM(AA7:AA8)</f>
        <v>0</v>
      </c>
      <c r="Y30" s="62">
        <f t="shared" ref="Y30" si="34">SUM(AB7:AB8)</f>
        <v>0</v>
      </c>
      <c r="Z30" s="62">
        <f t="shared" ref="Z30" si="35">SUM(AC7:AC8)</f>
        <v>0</v>
      </c>
      <c r="AA30" s="62">
        <f t="shared" ref="AA30" si="36">SUM(AD7:AD8)</f>
        <v>0</v>
      </c>
      <c r="AB30" s="62">
        <f t="shared" ref="AB30" si="37">SUM(AE7:AE8)</f>
        <v>0</v>
      </c>
      <c r="AC30" s="62">
        <f t="shared" ref="AC30" si="38">SUM(AF7:AF8)</f>
        <v>0</v>
      </c>
      <c r="AD30" s="62">
        <f t="shared" ref="AD30" si="39">SUM(AG7:AG8)</f>
        <v>0</v>
      </c>
      <c r="AE30" s="62"/>
      <c r="AF30" s="62"/>
      <c r="AG30" s="62"/>
      <c r="AH30" s="62"/>
    </row>
    <row r="31" spans="1:34">
      <c r="A31" s="71"/>
      <c r="D31" t="s">
        <v>16</v>
      </c>
      <c r="E31">
        <f>SUM(H22:H23)</f>
        <v>0.1287287</v>
      </c>
      <c r="F31" s="62">
        <f t="shared" ref="F31:L31" si="40">SUM(I22:I23)</f>
        <v>0.13968259999999999</v>
      </c>
      <c r="G31" s="62">
        <f t="shared" si="40"/>
        <v>0.14267940000000001</v>
      </c>
      <c r="H31" s="62">
        <f t="shared" si="40"/>
        <v>0.13730829</v>
      </c>
      <c r="I31" s="62">
        <f t="shared" si="40"/>
        <v>0.11812517</v>
      </c>
      <c r="J31" s="62">
        <f t="shared" si="40"/>
        <v>9.7317700000000007E-2</v>
      </c>
      <c r="K31" s="62">
        <f t="shared" si="40"/>
        <v>5.6213880000000001E-2</v>
      </c>
      <c r="L31" s="62">
        <f t="shared" si="40"/>
        <v>0</v>
      </c>
      <c r="M31" s="62"/>
      <c r="S31" s="71"/>
      <c r="T31" s="62"/>
      <c r="U31" s="62"/>
      <c r="V31" s="62" t="s">
        <v>16</v>
      </c>
      <c r="W31" s="62">
        <f>SUM(Z22:Z23)</f>
        <v>0.1287287</v>
      </c>
      <c r="X31" s="62">
        <f t="shared" ref="X31" si="41">SUM(AA22:AA23)</f>
        <v>0.13918040000000001</v>
      </c>
      <c r="Y31" s="62">
        <f t="shared" ref="Y31" si="42">SUM(AB22:AB23)</f>
        <v>0.12744563</v>
      </c>
      <c r="Z31" s="62">
        <f t="shared" ref="Z31" si="43">SUM(AC22:AC23)</f>
        <v>0.11342838</v>
      </c>
      <c r="AA31" s="62">
        <f t="shared" ref="AA31" si="44">SUM(AD22:AD23)</f>
        <v>8.6992649999999991E-2</v>
      </c>
      <c r="AB31" s="62">
        <f t="shared" ref="AB31" si="45">SUM(AE22:AE23)</f>
        <v>5.1927469999999996E-2</v>
      </c>
      <c r="AC31" s="62">
        <f t="shared" ref="AC31" si="46">SUM(AF22:AF23)</f>
        <v>1.833187E-2</v>
      </c>
      <c r="AD31" s="62">
        <f t="shared" ref="AD31" si="47">SUM(AG22:AG23)</f>
        <v>0</v>
      </c>
      <c r="AE31" s="62"/>
      <c r="AF31" s="62"/>
      <c r="AG31" s="62"/>
      <c r="AH31" s="62"/>
    </row>
    <row r="32" spans="1:34">
      <c r="F32" s="62"/>
      <c r="G32" s="62"/>
      <c r="H32" s="62"/>
      <c r="I32" s="62"/>
      <c r="J32" s="62"/>
      <c r="K32" s="62"/>
      <c r="L32" s="62"/>
      <c r="M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</row>
    <row r="33" spans="3:34">
      <c r="C33" t="s">
        <v>678</v>
      </c>
      <c r="F33" s="62"/>
      <c r="G33" s="62"/>
      <c r="H33" s="62"/>
      <c r="I33" s="62"/>
      <c r="J33" s="62"/>
      <c r="K33" s="62"/>
      <c r="L33" s="62"/>
      <c r="M33" s="62"/>
      <c r="S33" s="62"/>
      <c r="T33" s="62"/>
      <c r="U33" s="62" t="s">
        <v>678</v>
      </c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</row>
    <row r="34" spans="3:34">
      <c r="D34" s="62" t="s">
        <v>17</v>
      </c>
      <c r="E34">
        <f>SUM(H14:H16)</f>
        <v>0.52534860000000005</v>
      </c>
      <c r="F34" s="62">
        <f t="shared" ref="F34:L34" si="48">SUM(I14:I16)</f>
        <v>0.54287940000000001</v>
      </c>
      <c r="G34" s="62">
        <f t="shared" si="48"/>
        <v>0.62278830000000007</v>
      </c>
      <c r="H34" s="62">
        <f t="shared" si="48"/>
        <v>0.64681310000000003</v>
      </c>
      <c r="I34" s="62">
        <f t="shared" si="48"/>
        <v>0.6845926</v>
      </c>
      <c r="J34" s="62">
        <f t="shared" si="48"/>
        <v>0.70010139999999998</v>
      </c>
      <c r="K34" s="62">
        <f t="shared" si="48"/>
        <v>0.69838539999999993</v>
      </c>
      <c r="L34" s="62">
        <f t="shared" si="48"/>
        <v>0.69486320000000001</v>
      </c>
      <c r="M34" s="62"/>
      <c r="S34" s="62"/>
      <c r="T34" s="62"/>
      <c r="U34" s="62"/>
      <c r="V34" s="62" t="s">
        <v>17</v>
      </c>
      <c r="W34" s="62">
        <f>SUM(Z14:Z16)</f>
        <v>0.52534860000000005</v>
      </c>
      <c r="X34" s="62">
        <f t="shared" ref="X34" si="49">SUM(AA14:AA16)</f>
        <v>0.54530580000000006</v>
      </c>
      <c r="Y34" s="62">
        <f t="shared" ref="Y34" si="50">SUM(AB14:AB16)</f>
        <v>0.55433290000000002</v>
      </c>
      <c r="Z34" s="62">
        <f t="shared" ref="Z34" si="51">SUM(AC14:AC16)</f>
        <v>0.57803320000000002</v>
      </c>
      <c r="AA34" s="62">
        <f t="shared" ref="AA34" si="52">SUM(AD14:AD16)</f>
        <v>0.61076610000000009</v>
      </c>
      <c r="AB34" s="62">
        <f t="shared" ref="AB34" si="53">SUM(AE14:AE16)</f>
        <v>0.6574276</v>
      </c>
      <c r="AC34" s="62">
        <f t="shared" ref="AC34" si="54">SUM(AF14:AF16)</f>
        <v>0.68877850000000007</v>
      </c>
      <c r="AD34" s="62">
        <f t="shared" ref="AD34" si="55">SUM(AG14:AG16)</f>
        <v>0.7477568</v>
      </c>
      <c r="AE34" s="62"/>
      <c r="AF34" s="62"/>
      <c r="AG34" s="62"/>
      <c r="AH34" s="62"/>
    </row>
    <row r="35" spans="3:34">
      <c r="D35" s="62" t="s">
        <v>13</v>
      </c>
      <c r="E35">
        <f>SUM(H2:H3)</f>
        <v>5.8961699999999999E-2</v>
      </c>
      <c r="F35" s="62">
        <f t="shared" ref="F35:L35" si="56">SUM(I2:I3)</f>
        <v>8.5960840000000011E-2</v>
      </c>
      <c r="G35" s="62">
        <f t="shared" si="56"/>
        <v>8.335128E-2</v>
      </c>
      <c r="H35" s="62">
        <f t="shared" si="56"/>
        <v>8.3177669999999995E-2</v>
      </c>
      <c r="I35" s="62">
        <f t="shared" si="56"/>
        <v>7.949552E-2</v>
      </c>
      <c r="J35" s="62">
        <f t="shared" si="56"/>
        <v>7.709009E-2</v>
      </c>
      <c r="K35" s="62">
        <f t="shared" si="56"/>
        <v>6.7759040000000006E-2</v>
      </c>
      <c r="L35" s="62">
        <f t="shared" si="56"/>
        <v>5.9786679999999995E-2</v>
      </c>
      <c r="M35" s="62"/>
      <c r="S35" s="62"/>
      <c r="T35" s="62"/>
      <c r="U35" s="62"/>
      <c r="V35" s="62" t="s">
        <v>13</v>
      </c>
      <c r="W35" s="62">
        <f>SUM(Z2:Z3)</f>
        <v>5.8961699999999999E-2</v>
      </c>
      <c r="X35" s="62">
        <f t="shared" ref="X35" si="57">SUM(AA2:AA3)</f>
        <v>8.1968369999999999E-2</v>
      </c>
      <c r="Y35" s="62">
        <f t="shared" ref="Y35" si="58">SUM(AB2:AB3)</f>
        <v>9.6105009999999991E-2</v>
      </c>
      <c r="Z35" s="62">
        <f t="shared" ref="Z35" si="59">SUM(AC2:AC3)</f>
        <v>7.6920740000000001E-2</v>
      </c>
      <c r="AA35" s="62">
        <f t="shared" ref="AA35" si="60">SUM(AD2:AD3)</f>
        <v>4.647449E-2</v>
      </c>
      <c r="AB35" s="62">
        <f t="shared" ref="AB35" si="61">SUM(AE2:AE3)</f>
        <v>1.8416699999999998E-2</v>
      </c>
      <c r="AC35" s="62">
        <f t="shared" ref="AC35" si="62">SUM(AF2:AF3)</f>
        <v>7.0356920000000005E-3</v>
      </c>
      <c r="AD35" s="62">
        <f t="shared" ref="AD35" si="63">SUM(AG2:AG3)</f>
        <v>5.6013880000000001E-4</v>
      </c>
      <c r="AE35" s="62"/>
      <c r="AF35" s="62"/>
      <c r="AG35" s="62"/>
      <c r="AH35" s="62"/>
    </row>
    <row r="36" spans="3:34">
      <c r="D36" s="62" t="s">
        <v>15</v>
      </c>
      <c r="E36">
        <f>SUM(H9:H11)</f>
        <v>0.1572867</v>
      </c>
      <c r="F36" s="62">
        <f t="shared" ref="F36:L36" si="64">SUM(I9:I11)</f>
        <v>0.20561990000000002</v>
      </c>
      <c r="G36" s="62">
        <f t="shared" si="64"/>
        <v>0.2334832</v>
      </c>
      <c r="H36" s="62">
        <f t="shared" si="64"/>
        <v>0.25884390000000002</v>
      </c>
      <c r="I36" s="62">
        <f t="shared" si="64"/>
        <v>0.26663680000000001</v>
      </c>
      <c r="J36" s="62">
        <f t="shared" si="64"/>
        <v>0.26469255000000003</v>
      </c>
      <c r="K36" s="62">
        <f t="shared" si="64"/>
        <v>0.26191651999999999</v>
      </c>
      <c r="L36" s="62">
        <f t="shared" si="64"/>
        <v>0.25225898999999996</v>
      </c>
      <c r="M36" s="62"/>
      <c r="S36" s="62"/>
      <c r="T36" s="62"/>
      <c r="U36" s="62"/>
      <c r="V36" s="62" t="s">
        <v>15</v>
      </c>
      <c r="W36" s="62">
        <f>SUM(Z9:Z11)</f>
        <v>0.1572867</v>
      </c>
      <c r="X36" s="62">
        <f t="shared" ref="X36" si="65">SUM(AA9:AA11)</f>
        <v>0.205757</v>
      </c>
      <c r="Y36" s="62">
        <f t="shared" ref="Y36" si="66">SUM(AB9:AB11)</f>
        <v>0.21145570000000002</v>
      </c>
      <c r="Z36" s="62">
        <f t="shared" ref="Z36" si="67">SUM(AC9:AC11)</f>
        <v>0.21899610000000003</v>
      </c>
      <c r="AA36" s="62">
        <f t="shared" ref="AA36" si="68">SUM(AD9:AD11)</f>
        <v>0.20656094999999997</v>
      </c>
      <c r="AB36" s="62">
        <f t="shared" ref="AB36" si="69">SUM(AE9:AE11)</f>
        <v>0.17088450999999999</v>
      </c>
      <c r="AC36" s="62">
        <f t="shared" ref="AC36" si="70">SUM(AF9:AF11)</f>
        <v>0.12501412000000001</v>
      </c>
      <c r="AD36" s="62">
        <f t="shared" ref="AD36" si="71">SUM(AG9:AG11)</f>
        <v>3.3377240000000002E-2</v>
      </c>
      <c r="AE36" s="62"/>
      <c r="AF36" s="62"/>
      <c r="AG36" s="62"/>
      <c r="AH36" s="62"/>
    </row>
    <row r="37" spans="3:34">
      <c r="D37" s="62" t="s">
        <v>14</v>
      </c>
      <c r="E37">
        <f>SUM(H6)</f>
        <v>0</v>
      </c>
      <c r="F37" s="62">
        <f t="shared" ref="F37:L37" si="72">SUM(I6)</f>
        <v>0</v>
      </c>
      <c r="G37" s="62">
        <f t="shared" si="72"/>
        <v>0</v>
      </c>
      <c r="H37" s="62">
        <f t="shared" si="72"/>
        <v>0</v>
      </c>
      <c r="I37" s="62">
        <f t="shared" si="72"/>
        <v>0</v>
      </c>
      <c r="J37" s="62">
        <f t="shared" si="72"/>
        <v>0</v>
      </c>
      <c r="K37" s="62">
        <f t="shared" si="72"/>
        <v>0</v>
      </c>
      <c r="L37" s="62">
        <f t="shared" si="72"/>
        <v>0</v>
      </c>
      <c r="M37" s="62"/>
      <c r="S37" s="62"/>
      <c r="T37" s="62"/>
      <c r="U37" s="62"/>
      <c r="V37" s="62" t="s">
        <v>14</v>
      </c>
      <c r="W37" s="62">
        <f>SUM(Z6)</f>
        <v>0</v>
      </c>
      <c r="X37" s="62">
        <f t="shared" ref="X37" si="73">SUM(AA6)</f>
        <v>0</v>
      </c>
      <c r="Y37" s="62">
        <f t="shared" ref="Y37" si="74">SUM(AB6)</f>
        <v>0</v>
      </c>
      <c r="Z37" s="62">
        <f t="shared" ref="Z37" si="75">SUM(AC6)</f>
        <v>0</v>
      </c>
      <c r="AA37" s="62">
        <f t="shared" ref="AA37" si="76">SUM(AD6)</f>
        <v>0</v>
      </c>
      <c r="AB37" s="62">
        <f t="shared" ref="AB37" si="77">SUM(AE6)</f>
        <v>0</v>
      </c>
      <c r="AC37" s="62">
        <f t="shared" ref="AC37" si="78">SUM(AF6)</f>
        <v>0</v>
      </c>
      <c r="AD37" s="62">
        <f t="shared" ref="AD37" si="79">SUM(AG6)</f>
        <v>0</v>
      </c>
      <c r="AE37" s="62"/>
      <c r="AF37" s="62"/>
      <c r="AG37" s="62"/>
      <c r="AH37" s="62"/>
    </row>
    <row r="38" spans="3:34">
      <c r="D38" s="62" t="s">
        <v>16</v>
      </c>
      <c r="E38">
        <f>SUM(H20:H21)</f>
        <v>0.15497719999999998</v>
      </c>
      <c r="F38" s="62">
        <f t="shared" ref="F38:L38" si="80">SUM(I20:I21)</f>
        <v>0.12554280000000001</v>
      </c>
      <c r="G38" s="62">
        <f t="shared" si="80"/>
        <v>0.10717</v>
      </c>
      <c r="H38" s="62">
        <f t="shared" si="80"/>
        <v>9.0203199999999997E-2</v>
      </c>
      <c r="I38" s="62">
        <f t="shared" si="80"/>
        <v>6.5057699999999996E-2</v>
      </c>
      <c r="J38" s="62">
        <f t="shared" si="80"/>
        <v>4.4681800000000001E-2</v>
      </c>
      <c r="K38" s="62">
        <f t="shared" si="80"/>
        <v>2.1014379999999999E-2</v>
      </c>
      <c r="L38" s="62">
        <f t="shared" si="80"/>
        <v>0</v>
      </c>
      <c r="M38" s="62"/>
      <c r="S38" s="62"/>
      <c r="T38" s="62"/>
      <c r="U38" s="62"/>
      <c r="V38" s="62" t="s">
        <v>16</v>
      </c>
      <c r="W38" s="62">
        <f>SUM(Z20:Z21)</f>
        <v>0.15497719999999998</v>
      </c>
      <c r="X38" s="62">
        <f t="shared" ref="X38" si="81">SUM(AA20:AA21)</f>
        <v>0.1247916</v>
      </c>
      <c r="Y38" s="62">
        <f t="shared" ref="Y38" si="82">SUM(AB20:AB21)</f>
        <v>9.6618099999999998E-2</v>
      </c>
      <c r="Z38" s="62">
        <f t="shared" ref="Z38" si="83">SUM(AC20:AC21)</f>
        <v>7.3697600000000002E-2</v>
      </c>
      <c r="AA38" s="62">
        <f t="shared" ref="AA38" si="84">SUM(AD20:AD21)</f>
        <v>4.7206699999999997E-2</v>
      </c>
      <c r="AB38" s="62">
        <f t="shared" ref="AB38" si="85">SUM(AE20:AE21)</f>
        <v>2.4039399999999999E-2</v>
      </c>
      <c r="AC38" s="62">
        <f t="shared" ref="AC38" si="86">SUM(AF20:AF21)</f>
        <v>7.8927100000000007E-3</v>
      </c>
      <c r="AD38" s="62">
        <f t="shared" ref="AD38" si="87">SUM(AG20:AG21)</f>
        <v>0</v>
      </c>
      <c r="AE38" s="62"/>
      <c r="AF38" s="62"/>
      <c r="AG38" s="62"/>
      <c r="AH38" s="62"/>
    </row>
    <row r="39" spans="3:34">
      <c r="F39" s="62"/>
      <c r="G39" s="62"/>
      <c r="H39" s="62"/>
      <c r="I39" s="62"/>
      <c r="J39" s="62"/>
      <c r="K39" s="62"/>
      <c r="L39" s="62"/>
      <c r="M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</row>
    <row r="40" spans="3:34">
      <c r="E40">
        <f>SUM(E27:E38)</f>
        <v>1.6360741000000001</v>
      </c>
      <c r="F40" s="62">
        <f t="shared" ref="F40:L40" si="88">SUM(F27:F38)</f>
        <v>1.7012272400000004</v>
      </c>
      <c r="G40" s="62">
        <f t="shared" si="88"/>
        <v>1.8716587900000001</v>
      </c>
      <c r="H40" s="62">
        <f t="shared" si="88"/>
        <v>1.9406895999999998</v>
      </c>
      <c r="I40" s="62">
        <f t="shared" si="88"/>
        <v>1.9747236200000002</v>
      </c>
      <c r="J40" s="62">
        <f t="shared" si="88"/>
        <v>1.95605717</v>
      </c>
      <c r="K40" s="62">
        <f t="shared" si="88"/>
        <v>1.8813829399999999</v>
      </c>
      <c r="L40" s="62">
        <f t="shared" si="88"/>
        <v>1.79070062</v>
      </c>
      <c r="M40" s="62"/>
      <c r="S40" s="62"/>
      <c r="T40" s="62"/>
      <c r="U40" s="62"/>
      <c r="V40" s="62"/>
      <c r="W40" s="62">
        <f>SUM(W27:W38)</f>
        <v>1.6360741000000001</v>
      </c>
      <c r="X40" s="62">
        <f t="shared" ref="X40:AD40" si="89">SUM(X27:X38)</f>
        <v>1.6981229200000001</v>
      </c>
      <c r="Y40" s="62">
        <f t="shared" si="89"/>
        <v>1.69692953</v>
      </c>
      <c r="Z40" s="62">
        <f t="shared" si="89"/>
        <v>1.6815209500000001</v>
      </c>
      <c r="AA40" s="62">
        <f t="shared" si="89"/>
        <v>1.6109320930000004</v>
      </c>
      <c r="AB40" s="62">
        <f t="shared" si="89"/>
        <v>1.527143524</v>
      </c>
      <c r="AC40" s="62">
        <f t="shared" si="89"/>
        <v>1.4433854509999999</v>
      </c>
      <c r="AD40" s="62">
        <f t="shared" si="89"/>
        <v>1.3610697945500001</v>
      </c>
      <c r="AE40" s="62"/>
      <c r="AF40" s="62"/>
      <c r="AG40" s="62"/>
      <c r="AH40" s="62"/>
    </row>
    <row r="41" spans="3:34"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</row>
    <row r="42" spans="3:34"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</row>
    <row r="43" spans="3:34"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</row>
    <row r="44" spans="3:34"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</row>
    <row r="45" spans="3:34"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</row>
    <row r="46" spans="3:34"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</row>
    <row r="47" spans="3:34"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</row>
    <row r="48" spans="3:34"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</row>
    <row r="49" spans="19:34"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</row>
    <row r="50" spans="19:34"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</row>
    <row r="51" spans="19:34"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</row>
    <row r="52" spans="19:34"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</row>
    <row r="53" spans="19:34"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</row>
    <row r="54" spans="19:34"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</row>
    <row r="55" spans="19:34"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</row>
    <row r="56" spans="19:34"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</row>
    <row r="57" spans="19:34"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</row>
  </sheetData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C82A5-B34F-46B9-BE38-55F807F11977}">
  <dimension ref="A1:AJ104"/>
  <sheetViews>
    <sheetView topLeftCell="A57" zoomScale="49" zoomScaleNormal="40" workbookViewId="0">
      <selection activeCell="D106" sqref="D106"/>
    </sheetView>
  </sheetViews>
  <sheetFormatPr defaultRowHeight="17.399999999999999"/>
  <cols>
    <col min="2" max="2" width="9.69921875" bestFit="1" customWidth="1"/>
    <col min="3" max="3" width="25.3984375" customWidth="1"/>
    <col min="4" max="4" width="23.3984375" customWidth="1"/>
    <col min="5" max="5" width="20.8984375" customWidth="1"/>
    <col min="6" max="6" width="24.3984375" customWidth="1"/>
    <col min="7" max="13" width="9.69921875" bestFit="1" customWidth="1"/>
    <col min="14" max="16" width="8.8984375" bestFit="1" customWidth="1"/>
    <col min="22" max="22" width="9.69921875" bestFit="1" customWidth="1"/>
    <col min="23" max="23" width="14" bestFit="1" customWidth="1"/>
    <col min="24" max="24" width="17.796875" customWidth="1"/>
    <col min="25" max="31" width="9.69921875" bestFit="1" customWidth="1"/>
    <col min="32" max="35" width="8.8984375" bestFit="1" customWidth="1"/>
    <col min="36" max="36" width="9.69921875" bestFit="1" customWidth="1"/>
  </cols>
  <sheetData>
    <row r="1" spans="1:36" s="62" customFormat="1">
      <c r="F1" s="62">
        <v>1990</v>
      </c>
      <c r="G1" s="62">
        <v>2005</v>
      </c>
      <c r="H1" s="62">
        <v>2010</v>
      </c>
      <c r="I1" s="62">
        <v>2015</v>
      </c>
      <c r="J1" s="62">
        <v>2020</v>
      </c>
      <c r="K1" s="62">
        <v>2025</v>
      </c>
      <c r="L1" s="62">
        <v>2030</v>
      </c>
      <c r="M1" s="62">
        <v>2035</v>
      </c>
      <c r="N1" s="62">
        <v>2040</v>
      </c>
      <c r="O1" s="62">
        <v>2045</v>
      </c>
      <c r="P1" s="62">
        <v>2050</v>
      </c>
    </row>
    <row r="2" spans="1:36">
      <c r="A2" t="s">
        <v>606</v>
      </c>
      <c r="B2" t="s">
        <v>1</v>
      </c>
      <c r="C2" t="s">
        <v>154</v>
      </c>
      <c r="D2" t="s">
        <v>164</v>
      </c>
      <c r="E2" t="s">
        <v>448</v>
      </c>
      <c r="F2">
        <v>7.8068599999999997E-3</v>
      </c>
      <c r="G2">
        <v>0.14140800000000001</v>
      </c>
      <c r="H2">
        <v>0.16677700000000001</v>
      </c>
      <c r="I2">
        <v>0.215944</v>
      </c>
      <c r="J2">
        <v>0.22608</v>
      </c>
      <c r="K2">
        <v>0.24329799999999999</v>
      </c>
      <c r="L2">
        <v>0.24890399999999999</v>
      </c>
      <c r="M2">
        <v>0.25092399999999998</v>
      </c>
      <c r="N2">
        <v>0.25099300000000002</v>
      </c>
      <c r="O2">
        <v>0.24365500000000001</v>
      </c>
      <c r="P2">
        <v>0.235814</v>
      </c>
      <c r="U2" t="s">
        <v>607</v>
      </c>
      <c r="V2" t="s">
        <v>1</v>
      </c>
      <c r="W2" t="s">
        <v>154</v>
      </c>
      <c r="X2" s="62" t="s">
        <v>164</v>
      </c>
      <c r="Y2" t="s">
        <v>448</v>
      </c>
      <c r="Z2">
        <v>7.8068599999999997E-3</v>
      </c>
      <c r="AA2">
        <v>0.14140800000000001</v>
      </c>
      <c r="AB2">
        <v>0.16677700000000001</v>
      </c>
      <c r="AC2">
        <v>0.215944</v>
      </c>
      <c r="AD2">
        <v>0.22605800000000001</v>
      </c>
      <c r="AE2">
        <v>0.22861999999999999</v>
      </c>
      <c r="AF2">
        <v>0.22861799999999999</v>
      </c>
      <c r="AG2">
        <v>0.22326699999999999</v>
      </c>
      <c r="AH2">
        <v>0.21526400000000001</v>
      </c>
      <c r="AI2">
        <v>0.19996800000000001</v>
      </c>
      <c r="AJ2">
        <v>0.158307</v>
      </c>
    </row>
    <row r="3" spans="1:36">
      <c r="A3" t="s">
        <v>606</v>
      </c>
      <c r="B3" t="s">
        <v>1</v>
      </c>
      <c r="C3" t="s">
        <v>155</v>
      </c>
      <c r="D3" t="s">
        <v>4</v>
      </c>
      <c r="E3" t="s">
        <v>548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U3" t="s">
        <v>607</v>
      </c>
      <c r="V3" t="s">
        <v>1</v>
      </c>
      <c r="W3" t="s">
        <v>155</v>
      </c>
      <c r="X3" s="62" t="s">
        <v>4</v>
      </c>
      <c r="Y3" t="s">
        <v>548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>
      <c r="A4" t="s">
        <v>606</v>
      </c>
      <c r="B4" t="s">
        <v>1</v>
      </c>
      <c r="C4" t="s">
        <v>155</v>
      </c>
      <c r="D4" t="s">
        <v>430</v>
      </c>
      <c r="E4" t="s">
        <v>548</v>
      </c>
      <c r="F4">
        <v>1.22799E-3</v>
      </c>
      <c r="G4">
        <v>3.1387799999999999E-3</v>
      </c>
      <c r="H4">
        <v>2.6536099999999998E-3</v>
      </c>
      <c r="I4">
        <v>2.69206E-3</v>
      </c>
      <c r="J4">
        <v>2.7234899999999999E-3</v>
      </c>
      <c r="K4">
        <v>3.2186300000000001E-3</v>
      </c>
      <c r="L4">
        <v>3.5860100000000002E-3</v>
      </c>
      <c r="M4">
        <v>3.89954E-3</v>
      </c>
      <c r="N4">
        <v>3.99607E-3</v>
      </c>
      <c r="O4">
        <v>4.0215099999999998E-3</v>
      </c>
      <c r="P4">
        <v>4.0160700000000001E-3</v>
      </c>
      <c r="U4" t="s">
        <v>607</v>
      </c>
      <c r="V4" t="s">
        <v>1</v>
      </c>
      <c r="W4" t="s">
        <v>155</v>
      </c>
      <c r="X4" s="62" t="s">
        <v>430</v>
      </c>
      <c r="Y4" t="s">
        <v>548</v>
      </c>
      <c r="Z4">
        <v>1.22799E-3</v>
      </c>
      <c r="AA4">
        <v>3.1387799999999999E-3</v>
      </c>
      <c r="AB4">
        <v>2.6536099999999998E-3</v>
      </c>
      <c r="AC4">
        <v>2.69206E-3</v>
      </c>
      <c r="AD4">
        <v>2.7341100000000001E-3</v>
      </c>
      <c r="AE4">
        <v>2.7735199999999998E-3</v>
      </c>
      <c r="AF4">
        <v>2.88237E-3</v>
      </c>
      <c r="AG4">
        <v>2.7545199999999999E-3</v>
      </c>
      <c r="AH4">
        <v>2.5297599999999998E-3</v>
      </c>
      <c r="AI4">
        <v>2.3221800000000001E-3</v>
      </c>
      <c r="AJ4">
        <v>2.3267000000000001E-3</v>
      </c>
    </row>
    <row r="5" spans="1:36">
      <c r="A5" t="s">
        <v>606</v>
      </c>
      <c r="B5" t="s">
        <v>1</v>
      </c>
      <c r="C5" t="s">
        <v>155</v>
      </c>
      <c r="D5" t="s">
        <v>164</v>
      </c>
      <c r="E5" t="s">
        <v>680</v>
      </c>
      <c r="F5">
        <v>6.8853399999999995E-2</v>
      </c>
      <c r="G5">
        <v>3.67935E-2</v>
      </c>
      <c r="H5">
        <v>2.8170899999999999E-2</v>
      </c>
      <c r="I5">
        <v>9.1671600000000006E-3</v>
      </c>
      <c r="J5">
        <v>1.0090200000000001E-2</v>
      </c>
      <c r="K5">
        <v>1.10569E-2</v>
      </c>
      <c r="L5">
        <v>1.20102E-2</v>
      </c>
      <c r="M5">
        <v>1.2512499999999999E-2</v>
      </c>
      <c r="N5">
        <v>1.27201E-2</v>
      </c>
      <c r="O5">
        <v>1.25799E-2</v>
      </c>
      <c r="P5">
        <v>1.2711E-2</v>
      </c>
      <c r="U5" t="s">
        <v>607</v>
      </c>
      <c r="V5" t="s">
        <v>1</v>
      </c>
      <c r="W5" t="s">
        <v>155</v>
      </c>
      <c r="X5" s="62" t="s">
        <v>164</v>
      </c>
      <c r="Y5" t="s">
        <v>680</v>
      </c>
      <c r="Z5">
        <v>6.8853399999999995E-2</v>
      </c>
      <c r="AA5">
        <v>3.67935E-2</v>
      </c>
      <c r="AB5">
        <v>2.8170899999999999E-2</v>
      </c>
      <c r="AC5">
        <v>9.1671600000000006E-3</v>
      </c>
      <c r="AD5">
        <v>1.00871E-2</v>
      </c>
      <c r="AE5">
        <v>7.2440999999999998E-3</v>
      </c>
      <c r="AF5">
        <v>6.6358199999999997E-3</v>
      </c>
      <c r="AG5">
        <v>5.1270300000000003E-3</v>
      </c>
      <c r="AH5">
        <v>3.5600699999999998E-3</v>
      </c>
      <c r="AI5">
        <v>2.3296900000000001E-3</v>
      </c>
      <c r="AJ5" s="63">
        <v>6.9079199999999997E-4</v>
      </c>
    </row>
    <row r="6" spans="1:36">
      <c r="A6" t="s">
        <v>606</v>
      </c>
      <c r="B6" t="s">
        <v>1</v>
      </c>
      <c r="C6" t="s">
        <v>155</v>
      </c>
      <c r="D6" t="s">
        <v>164</v>
      </c>
      <c r="E6" t="s">
        <v>548</v>
      </c>
      <c r="F6">
        <v>1.52976E-3</v>
      </c>
      <c r="G6">
        <v>3.7160600000000002E-3</v>
      </c>
      <c r="H6">
        <v>3.8852800000000001E-3</v>
      </c>
      <c r="I6">
        <v>4.3526299999999997E-3</v>
      </c>
      <c r="J6">
        <v>4.5808400000000001E-3</v>
      </c>
      <c r="K6">
        <v>5.53077E-3</v>
      </c>
      <c r="L6">
        <v>6.2558500000000003E-3</v>
      </c>
      <c r="M6">
        <v>6.88888E-3</v>
      </c>
      <c r="N6">
        <v>7.2945400000000004E-3</v>
      </c>
      <c r="O6">
        <v>7.5107300000000002E-3</v>
      </c>
      <c r="P6">
        <v>7.7430499999999996E-3</v>
      </c>
      <c r="U6" t="s">
        <v>607</v>
      </c>
      <c r="V6" t="s">
        <v>1</v>
      </c>
      <c r="W6" t="s">
        <v>155</v>
      </c>
      <c r="X6" s="62" t="s">
        <v>164</v>
      </c>
      <c r="Y6" t="s">
        <v>548</v>
      </c>
      <c r="Z6">
        <v>1.52976E-3</v>
      </c>
      <c r="AA6">
        <v>3.7160600000000002E-3</v>
      </c>
      <c r="AB6">
        <v>3.8852800000000001E-3</v>
      </c>
      <c r="AC6">
        <v>4.3526299999999997E-3</v>
      </c>
      <c r="AD6">
        <v>4.5877299999999999E-3</v>
      </c>
      <c r="AE6">
        <v>4.56522E-3</v>
      </c>
      <c r="AF6">
        <v>4.6713900000000001E-3</v>
      </c>
      <c r="AG6">
        <v>4.2244099999999996E-3</v>
      </c>
      <c r="AH6">
        <v>3.4944799999999999E-3</v>
      </c>
      <c r="AI6">
        <v>2.7439700000000001E-3</v>
      </c>
      <c r="AJ6">
        <v>1.33986E-3</v>
      </c>
    </row>
    <row r="7" spans="1:36">
      <c r="A7" t="s">
        <v>606</v>
      </c>
      <c r="B7" t="s">
        <v>1</v>
      </c>
      <c r="C7" t="s">
        <v>156</v>
      </c>
      <c r="D7" t="s">
        <v>2</v>
      </c>
      <c r="E7" t="s">
        <v>549</v>
      </c>
      <c r="F7">
        <v>0</v>
      </c>
      <c r="G7">
        <v>0</v>
      </c>
      <c r="H7">
        <v>0</v>
      </c>
      <c r="I7">
        <v>0</v>
      </c>
      <c r="J7" s="63">
        <v>6.0831999999999996E-6</v>
      </c>
      <c r="K7" s="63">
        <v>9.310427E-5</v>
      </c>
      <c r="L7" s="63">
        <v>3.2003070999999999E-4</v>
      </c>
      <c r="M7" s="63">
        <v>8.7587954999999995E-4</v>
      </c>
      <c r="N7">
        <v>1.808469E-3</v>
      </c>
      <c r="O7">
        <v>2.67507865E-3</v>
      </c>
      <c r="P7">
        <v>3.3398381800000001E-3</v>
      </c>
      <c r="U7" t="s">
        <v>607</v>
      </c>
      <c r="V7" t="s">
        <v>1</v>
      </c>
      <c r="W7" t="s">
        <v>156</v>
      </c>
      <c r="X7" s="62" t="s">
        <v>2</v>
      </c>
      <c r="Y7" t="s">
        <v>549</v>
      </c>
      <c r="Z7">
        <v>0</v>
      </c>
      <c r="AA7">
        <v>0</v>
      </c>
      <c r="AB7">
        <v>0</v>
      </c>
      <c r="AC7">
        <v>0</v>
      </c>
      <c r="AD7" s="63">
        <v>1.7210999999999998E-5</v>
      </c>
      <c r="AE7" s="63">
        <v>4.6596079999999899E-4</v>
      </c>
      <c r="AF7">
        <v>2.4307740000000001E-3</v>
      </c>
      <c r="AG7">
        <v>8.5431916999999993E-3</v>
      </c>
      <c r="AH7">
        <v>2.0001550489999999E-2</v>
      </c>
      <c r="AI7">
        <v>3.1539203289999998E-2</v>
      </c>
      <c r="AJ7">
        <v>4.3303137009999999E-2</v>
      </c>
    </row>
    <row r="8" spans="1:36">
      <c r="A8" t="s">
        <v>606</v>
      </c>
      <c r="B8" t="s">
        <v>1</v>
      </c>
      <c r="C8" t="s">
        <v>156</v>
      </c>
      <c r="D8" t="s">
        <v>162</v>
      </c>
      <c r="E8" t="s">
        <v>549</v>
      </c>
      <c r="F8">
        <v>0</v>
      </c>
      <c r="G8">
        <v>0</v>
      </c>
      <c r="H8">
        <v>0</v>
      </c>
      <c r="I8">
        <v>0</v>
      </c>
      <c r="J8">
        <v>2.5966700000000001E-3</v>
      </c>
      <c r="K8">
        <v>7.4723799999999998E-3</v>
      </c>
      <c r="L8">
        <v>1.3971249999999999E-2</v>
      </c>
      <c r="M8">
        <v>2.1754309999999999E-2</v>
      </c>
      <c r="N8">
        <v>3.1753129999999997E-2</v>
      </c>
      <c r="O8">
        <v>4.2754172E-2</v>
      </c>
      <c r="P8">
        <v>5.8585805999999997E-2</v>
      </c>
      <c r="U8" t="s">
        <v>607</v>
      </c>
      <c r="V8" t="s">
        <v>1</v>
      </c>
      <c r="W8" t="s">
        <v>156</v>
      </c>
      <c r="X8" s="62" t="s">
        <v>162</v>
      </c>
      <c r="Y8" t="s">
        <v>549</v>
      </c>
      <c r="Z8">
        <v>0</v>
      </c>
      <c r="AA8">
        <v>0</v>
      </c>
      <c r="AB8">
        <v>0</v>
      </c>
      <c r="AC8">
        <v>0</v>
      </c>
      <c r="AD8">
        <v>2.5211600000000002E-3</v>
      </c>
      <c r="AE8">
        <v>6.7166400000000003E-3</v>
      </c>
      <c r="AF8">
        <v>1.0453240000000001E-2</v>
      </c>
      <c r="AG8">
        <v>1.4090200000000001E-2</v>
      </c>
      <c r="AH8">
        <v>1.5785609999999999E-2</v>
      </c>
      <c r="AI8">
        <v>1.5368629E-2</v>
      </c>
      <c r="AJ8">
        <v>1.2766062999999999E-2</v>
      </c>
    </row>
    <row r="9" spans="1:36">
      <c r="A9" t="s">
        <v>606</v>
      </c>
      <c r="B9" t="s">
        <v>1</v>
      </c>
      <c r="C9" t="s">
        <v>156</v>
      </c>
      <c r="D9" t="s">
        <v>430</v>
      </c>
      <c r="E9" t="s">
        <v>549</v>
      </c>
      <c r="F9">
        <v>0</v>
      </c>
      <c r="G9">
        <v>0</v>
      </c>
      <c r="H9">
        <v>0</v>
      </c>
      <c r="I9">
        <v>0</v>
      </c>
      <c r="J9" s="63">
        <v>4.2205499999999998E-6</v>
      </c>
      <c r="K9" s="63">
        <v>8.1364210000000003E-5</v>
      </c>
      <c r="L9" s="63">
        <v>2.8248873000000002E-4</v>
      </c>
      <c r="M9" s="63">
        <v>7.8445396999999998E-4</v>
      </c>
      <c r="N9">
        <v>1.41207388E-3</v>
      </c>
      <c r="O9">
        <v>2.0041654799999998E-3</v>
      </c>
      <c r="P9">
        <v>2.459350517E-3</v>
      </c>
      <c r="U9" t="s">
        <v>607</v>
      </c>
      <c r="V9" t="s">
        <v>1</v>
      </c>
      <c r="W9" t="s">
        <v>156</v>
      </c>
      <c r="X9" s="62" t="s">
        <v>430</v>
      </c>
      <c r="Y9" t="s">
        <v>549</v>
      </c>
      <c r="Z9">
        <v>0</v>
      </c>
      <c r="AA9">
        <v>0</v>
      </c>
      <c r="AB9">
        <v>0</v>
      </c>
      <c r="AC9">
        <v>0</v>
      </c>
      <c r="AD9" s="63">
        <v>1.19684E-5</v>
      </c>
      <c r="AE9" s="63">
        <v>4.2654690000000001E-4</v>
      </c>
      <c r="AF9">
        <v>2.2794933699999999E-3</v>
      </c>
      <c r="AG9">
        <v>8.0898228200000002E-3</v>
      </c>
      <c r="AH9">
        <v>1.5993708199999901E-2</v>
      </c>
      <c r="AI9">
        <v>2.3982509589999999E-2</v>
      </c>
      <c r="AJ9">
        <v>3.2100915039999997E-2</v>
      </c>
    </row>
    <row r="10" spans="1:36">
      <c r="A10" t="s">
        <v>606</v>
      </c>
      <c r="B10" t="s">
        <v>1</v>
      </c>
      <c r="C10" t="s">
        <v>156</v>
      </c>
      <c r="D10" t="s">
        <v>164</v>
      </c>
      <c r="E10" t="s">
        <v>549</v>
      </c>
      <c r="F10">
        <v>0.13100500000000001</v>
      </c>
      <c r="G10">
        <v>0.31823299999999999</v>
      </c>
      <c r="H10">
        <v>0.33272200000000002</v>
      </c>
      <c r="I10">
        <v>0.37274600000000002</v>
      </c>
      <c r="J10">
        <v>0.39907209999999999</v>
      </c>
      <c r="K10">
        <v>0.44390819999999998</v>
      </c>
      <c r="L10">
        <v>0.45045489999999999</v>
      </c>
      <c r="M10">
        <v>0.44790269999999999</v>
      </c>
      <c r="N10">
        <v>0.43061300000000002</v>
      </c>
      <c r="O10">
        <v>0.39899289999999998</v>
      </c>
      <c r="P10">
        <v>0.36812709999999998</v>
      </c>
      <c r="U10" t="s">
        <v>607</v>
      </c>
      <c r="V10" t="s">
        <v>1</v>
      </c>
      <c r="W10" t="s">
        <v>156</v>
      </c>
      <c r="X10" s="62" t="s">
        <v>164</v>
      </c>
      <c r="Y10" t="s">
        <v>549</v>
      </c>
      <c r="Z10">
        <v>0.13100500000000001</v>
      </c>
      <c r="AA10">
        <v>0.31823299999999999</v>
      </c>
      <c r="AB10">
        <v>0.33272200000000002</v>
      </c>
      <c r="AC10">
        <v>0.37274600000000002</v>
      </c>
      <c r="AD10">
        <v>0.39889330000000001</v>
      </c>
      <c r="AE10">
        <v>0.41625000000000001</v>
      </c>
      <c r="AF10">
        <v>0.40289069999999999</v>
      </c>
      <c r="AG10">
        <v>0.36503249999999998</v>
      </c>
      <c r="AH10">
        <v>0.30319610000000002</v>
      </c>
      <c r="AI10">
        <v>0.23056119999999999</v>
      </c>
      <c r="AJ10">
        <v>0.16124799200000001</v>
      </c>
    </row>
    <row r="11" spans="1:36">
      <c r="A11" t="s">
        <v>606</v>
      </c>
      <c r="B11" t="s">
        <v>1</v>
      </c>
      <c r="C11" t="s">
        <v>157</v>
      </c>
      <c r="D11" t="s">
        <v>430</v>
      </c>
      <c r="E11" t="s">
        <v>550</v>
      </c>
      <c r="F11" s="63">
        <v>6.8778800000000005E-4</v>
      </c>
      <c r="G11">
        <v>1.7579900000000001E-3</v>
      </c>
      <c r="H11">
        <v>1.4862899999999999E-3</v>
      </c>
      <c r="I11">
        <v>1.50779E-3</v>
      </c>
      <c r="J11">
        <v>1.6065599999999999E-3</v>
      </c>
      <c r="K11">
        <v>1.79714E-3</v>
      </c>
      <c r="L11">
        <v>1.85414E-3</v>
      </c>
      <c r="M11">
        <v>1.8839200000000001E-3</v>
      </c>
      <c r="N11">
        <v>1.8744600000000001E-3</v>
      </c>
      <c r="O11">
        <v>1.78963E-3</v>
      </c>
      <c r="P11">
        <v>1.7033700000000001E-3</v>
      </c>
      <c r="U11" t="s">
        <v>607</v>
      </c>
      <c r="V11" t="s">
        <v>1</v>
      </c>
      <c r="W11" t="s">
        <v>157</v>
      </c>
      <c r="X11" s="62" t="s">
        <v>430</v>
      </c>
      <c r="Y11" t="s">
        <v>550</v>
      </c>
      <c r="Z11" s="63">
        <v>6.8778800000000005E-4</v>
      </c>
      <c r="AA11">
        <v>1.7579900000000001E-3</v>
      </c>
      <c r="AB11">
        <v>1.4862899999999999E-3</v>
      </c>
      <c r="AC11">
        <v>1.50779E-3</v>
      </c>
      <c r="AD11">
        <v>1.7656099999999999E-3</v>
      </c>
      <c r="AE11">
        <v>1.9302E-3</v>
      </c>
      <c r="AF11">
        <v>1.9699399999999999E-3</v>
      </c>
      <c r="AG11">
        <v>1.9784300000000002E-3</v>
      </c>
      <c r="AH11">
        <v>1.95685E-3</v>
      </c>
      <c r="AI11">
        <v>1.8657599999999999E-3</v>
      </c>
      <c r="AJ11">
        <v>1.7770500000000001E-3</v>
      </c>
    </row>
    <row r="12" spans="1:36">
      <c r="A12" t="s">
        <v>606</v>
      </c>
      <c r="B12" t="s">
        <v>1</v>
      </c>
      <c r="C12" t="s">
        <v>157</v>
      </c>
      <c r="D12" t="s">
        <v>430</v>
      </c>
      <c r="E12" t="s">
        <v>551</v>
      </c>
      <c r="F12">
        <v>1.72737E-3</v>
      </c>
      <c r="G12">
        <v>4.4150700000000001E-3</v>
      </c>
      <c r="H12">
        <v>3.7325700000000002E-3</v>
      </c>
      <c r="I12">
        <v>3.78657E-3</v>
      </c>
      <c r="J12">
        <v>3.8269699999999999E-3</v>
      </c>
      <c r="K12">
        <v>3.7765199999999998E-3</v>
      </c>
      <c r="L12">
        <v>3.7168499999999998E-3</v>
      </c>
      <c r="M12">
        <v>3.6635000000000001E-3</v>
      </c>
      <c r="N12">
        <v>3.5690499999999998E-3</v>
      </c>
      <c r="O12">
        <v>3.4641799999999999E-3</v>
      </c>
      <c r="P12">
        <v>3.3217099999999999E-3</v>
      </c>
      <c r="U12" t="s">
        <v>607</v>
      </c>
      <c r="V12" t="s">
        <v>1</v>
      </c>
      <c r="W12" t="s">
        <v>157</v>
      </c>
      <c r="X12" s="62" t="s">
        <v>430</v>
      </c>
      <c r="Y12" t="s">
        <v>551</v>
      </c>
      <c r="Z12">
        <v>1.72737E-3</v>
      </c>
      <c r="AA12">
        <v>4.4150700000000001E-3</v>
      </c>
      <c r="AB12">
        <v>3.7325700000000002E-3</v>
      </c>
      <c r="AC12">
        <v>3.78657E-3</v>
      </c>
      <c r="AD12">
        <v>3.8683699999999999E-3</v>
      </c>
      <c r="AE12">
        <v>3.84155E-3</v>
      </c>
      <c r="AF12">
        <v>3.7935299999999998E-3</v>
      </c>
      <c r="AG12">
        <v>3.7427200000000002E-3</v>
      </c>
      <c r="AH12">
        <v>3.6736300000000002E-3</v>
      </c>
      <c r="AI12">
        <v>3.5926199999999999E-3</v>
      </c>
      <c r="AJ12">
        <v>3.6103900000000002E-3</v>
      </c>
    </row>
    <row r="13" spans="1:36">
      <c r="A13" t="s">
        <v>606</v>
      </c>
      <c r="B13" t="s">
        <v>1</v>
      </c>
      <c r="C13" t="s">
        <v>157</v>
      </c>
      <c r="D13" t="s">
        <v>164</v>
      </c>
      <c r="E13" t="s">
        <v>681</v>
      </c>
      <c r="F13">
        <v>8.4659700000000004E-2</v>
      </c>
      <c r="G13">
        <v>1.3042E-2</v>
      </c>
      <c r="H13">
        <v>1.53817E-2</v>
      </c>
      <c r="I13">
        <v>1.9916400000000001E-2</v>
      </c>
      <c r="J13">
        <v>2.1609900000000001E-2</v>
      </c>
      <c r="K13">
        <v>2.3584600000000001E-2</v>
      </c>
      <c r="L13">
        <v>2.4349699999999998E-2</v>
      </c>
      <c r="M13">
        <v>2.4708600000000001E-2</v>
      </c>
      <c r="N13">
        <v>2.4519599999999999E-2</v>
      </c>
      <c r="O13">
        <v>2.3713700000000001E-2</v>
      </c>
      <c r="P13">
        <v>2.2877600000000001E-2</v>
      </c>
      <c r="U13" t="s">
        <v>607</v>
      </c>
      <c r="V13" t="s">
        <v>1</v>
      </c>
      <c r="W13" t="s">
        <v>157</v>
      </c>
      <c r="X13" s="62" t="s">
        <v>164</v>
      </c>
      <c r="Y13" t="s">
        <v>681</v>
      </c>
      <c r="Z13">
        <v>8.4659700000000004E-2</v>
      </c>
      <c r="AA13">
        <v>1.3042E-2</v>
      </c>
      <c r="AB13">
        <v>1.53817E-2</v>
      </c>
      <c r="AC13">
        <v>1.9916400000000001E-2</v>
      </c>
      <c r="AD13">
        <v>2.16026E-2</v>
      </c>
      <c r="AE13">
        <v>2.1311299999999998E-2</v>
      </c>
      <c r="AF13">
        <v>2.11305E-2</v>
      </c>
      <c r="AG13">
        <v>2.0287800000000002E-2</v>
      </c>
      <c r="AH13">
        <v>1.8878900000000001E-2</v>
      </c>
      <c r="AI13">
        <v>1.69166E-2</v>
      </c>
      <c r="AJ13">
        <v>1.16956E-2</v>
      </c>
    </row>
    <row r="14" spans="1:36">
      <c r="A14" t="s">
        <v>606</v>
      </c>
      <c r="B14" t="s">
        <v>1</v>
      </c>
      <c r="C14" t="s">
        <v>157</v>
      </c>
      <c r="D14" t="s">
        <v>164</v>
      </c>
      <c r="E14" t="s">
        <v>551</v>
      </c>
      <c r="F14">
        <v>3.03025E-3</v>
      </c>
      <c r="G14">
        <v>7.3607400000000002E-3</v>
      </c>
      <c r="H14">
        <v>7.6958499999999997E-3</v>
      </c>
      <c r="I14">
        <v>8.6215400000000005E-3</v>
      </c>
      <c r="J14">
        <v>8.7973600000000006E-3</v>
      </c>
      <c r="K14">
        <v>8.6844999999999995E-3</v>
      </c>
      <c r="L14">
        <v>8.5763899999999997E-3</v>
      </c>
      <c r="M14">
        <v>8.4426199999999996E-3</v>
      </c>
      <c r="N14">
        <v>8.2400900000000003E-3</v>
      </c>
      <c r="O14">
        <v>7.9897700000000002E-3</v>
      </c>
      <c r="P14">
        <v>7.6607400000000001E-3</v>
      </c>
      <c r="U14" t="s">
        <v>607</v>
      </c>
      <c r="V14" t="s">
        <v>1</v>
      </c>
      <c r="W14" t="s">
        <v>157</v>
      </c>
      <c r="X14" s="62" t="s">
        <v>164</v>
      </c>
      <c r="Y14" t="s">
        <v>551</v>
      </c>
      <c r="Z14">
        <v>3.03025E-3</v>
      </c>
      <c r="AA14">
        <v>7.3607400000000002E-3</v>
      </c>
      <c r="AB14">
        <v>7.6958499999999997E-3</v>
      </c>
      <c r="AC14">
        <v>8.6215400000000005E-3</v>
      </c>
      <c r="AD14">
        <v>8.8696999999999995E-3</v>
      </c>
      <c r="AE14">
        <v>8.7772500000000003E-3</v>
      </c>
      <c r="AF14">
        <v>8.6430299999999995E-3</v>
      </c>
      <c r="AG14">
        <v>8.4403800000000008E-3</v>
      </c>
      <c r="AH14">
        <v>8.1249400000000006E-3</v>
      </c>
      <c r="AI14">
        <v>7.7179199999999996E-3</v>
      </c>
      <c r="AJ14">
        <v>6.7822200000000003E-3</v>
      </c>
    </row>
    <row r="15" spans="1:36">
      <c r="A15" t="s">
        <v>606</v>
      </c>
      <c r="B15" t="s">
        <v>1</v>
      </c>
      <c r="C15" t="s">
        <v>158</v>
      </c>
      <c r="D15" t="s">
        <v>162</v>
      </c>
      <c r="E15" t="s">
        <v>552</v>
      </c>
      <c r="F15">
        <v>0</v>
      </c>
      <c r="G15">
        <v>1.3381799999999999E-2</v>
      </c>
      <c r="H15">
        <v>4.2251499999999997E-2</v>
      </c>
      <c r="I15">
        <v>4.8075E-2</v>
      </c>
      <c r="J15">
        <v>6.15022E-2</v>
      </c>
      <c r="K15">
        <v>6.2981499999999996E-2</v>
      </c>
      <c r="L15">
        <v>5.9978799999999999E-2</v>
      </c>
      <c r="M15">
        <v>5.6651600000000003E-2</v>
      </c>
      <c r="N15">
        <v>5.76734E-2</v>
      </c>
      <c r="O15">
        <v>5.9438600000000001E-2</v>
      </c>
      <c r="P15">
        <v>6.0662500000000001E-2</v>
      </c>
      <c r="U15" t="s">
        <v>607</v>
      </c>
      <c r="V15" t="s">
        <v>1</v>
      </c>
      <c r="W15" t="s">
        <v>158</v>
      </c>
      <c r="X15" s="62" t="s">
        <v>162</v>
      </c>
      <c r="Y15" t="s">
        <v>552</v>
      </c>
      <c r="Z15">
        <v>0</v>
      </c>
      <c r="AA15">
        <v>1.3381799999999999E-2</v>
      </c>
      <c r="AB15">
        <v>4.2251499999999997E-2</v>
      </c>
      <c r="AC15">
        <v>4.8075E-2</v>
      </c>
      <c r="AD15">
        <v>6.12995E-2</v>
      </c>
      <c r="AE15">
        <v>5.9937799999999999E-2</v>
      </c>
      <c r="AF15">
        <v>5.3471600000000001E-2</v>
      </c>
      <c r="AG15">
        <v>4.6654000000000001E-2</v>
      </c>
      <c r="AH15">
        <v>4.4791200000000003E-2</v>
      </c>
      <c r="AI15">
        <v>4.3275599999999997E-2</v>
      </c>
      <c r="AJ15">
        <v>3.7729199999999997E-2</v>
      </c>
    </row>
    <row r="16" spans="1:36">
      <c r="A16" t="s">
        <v>606</v>
      </c>
      <c r="B16" t="s">
        <v>1</v>
      </c>
      <c r="C16" t="s">
        <v>158</v>
      </c>
      <c r="D16" t="s">
        <v>430</v>
      </c>
      <c r="E16" t="s">
        <v>552</v>
      </c>
      <c r="F16">
        <v>0</v>
      </c>
      <c r="G16">
        <v>0</v>
      </c>
      <c r="H16">
        <v>0</v>
      </c>
      <c r="I16">
        <v>0</v>
      </c>
      <c r="J16" s="63">
        <v>5.2522300000000001E-4</v>
      </c>
      <c r="K16">
        <v>3.7587599999999999E-3</v>
      </c>
      <c r="L16">
        <v>6.5041500000000002E-3</v>
      </c>
      <c r="M16">
        <v>8.9259200000000004E-3</v>
      </c>
      <c r="N16">
        <v>8.7477800000000001E-3</v>
      </c>
      <c r="O16">
        <v>8.6114999999999994E-3</v>
      </c>
      <c r="P16">
        <v>8.2711499999999997E-3</v>
      </c>
      <c r="U16" t="s">
        <v>607</v>
      </c>
      <c r="V16" t="s">
        <v>1</v>
      </c>
      <c r="W16" t="s">
        <v>158</v>
      </c>
      <c r="X16" s="62" t="s">
        <v>430</v>
      </c>
      <c r="Y16" t="s">
        <v>552</v>
      </c>
      <c r="Z16">
        <v>0</v>
      </c>
      <c r="AA16">
        <v>0</v>
      </c>
      <c r="AB16">
        <v>0</v>
      </c>
      <c r="AC16">
        <v>0</v>
      </c>
      <c r="AD16" s="63">
        <v>6.8090700000000002E-4</v>
      </c>
      <c r="AE16">
        <v>5.3732700000000003E-3</v>
      </c>
      <c r="AF16">
        <v>9.8000899999999991E-3</v>
      </c>
      <c r="AG16">
        <v>1.3978900000000001E-2</v>
      </c>
      <c r="AH16">
        <v>1.46728E-2</v>
      </c>
      <c r="AI16">
        <v>1.55429E-2</v>
      </c>
      <c r="AJ16">
        <v>1.7835899999999998E-2</v>
      </c>
    </row>
    <row r="17" spans="1:36">
      <c r="A17" t="s">
        <v>606</v>
      </c>
      <c r="B17" t="s">
        <v>1</v>
      </c>
      <c r="C17" t="s">
        <v>158</v>
      </c>
      <c r="D17" t="s">
        <v>164</v>
      </c>
      <c r="E17" t="s">
        <v>552</v>
      </c>
      <c r="F17">
        <v>8.5116300000000006E-2</v>
      </c>
      <c r="G17">
        <v>0.20674799999999999</v>
      </c>
      <c r="H17">
        <v>0.21615999999999999</v>
      </c>
      <c r="I17">
        <v>0.24215900000000001</v>
      </c>
      <c r="J17">
        <v>0.23958299999999999</v>
      </c>
      <c r="K17">
        <v>0.19994000000000001</v>
      </c>
      <c r="L17">
        <v>0.16108500000000001</v>
      </c>
      <c r="M17">
        <v>0.13183700000000001</v>
      </c>
      <c r="N17">
        <v>0.11890299999999999</v>
      </c>
      <c r="O17">
        <v>0.10927199999999999</v>
      </c>
      <c r="P17">
        <v>0.10097399999999999</v>
      </c>
      <c r="U17" t="s">
        <v>607</v>
      </c>
      <c r="V17" t="s">
        <v>1</v>
      </c>
      <c r="W17" t="s">
        <v>158</v>
      </c>
      <c r="X17" s="62" t="s">
        <v>164</v>
      </c>
      <c r="Y17" t="s">
        <v>552</v>
      </c>
      <c r="Z17">
        <v>8.5116300000000006E-2</v>
      </c>
      <c r="AA17">
        <v>0.20674799999999999</v>
      </c>
      <c r="AB17">
        <v>0.21615999999999999</v>
      </c>
      <c r="AC17">
        <v>0.24215900000000001</v>
      </c>
      <c r="AD17">
        <v>0.238734</v>
      </c>
      <c r="AE17">
        <v>0.186809</v>
      </c>
      <c r="AF17">
        <v>0.14016600000000001</v>
      </c>
      <c r="AG17">
        <v>0.10506600000000001</v>
      </c>
      <c r="AH17">
        <v>8.8120199999999996E-2</v>
      </c>
      <c r="AI17">
        <v>7.4635499999999994E-2</v>
      </c>
      <c r="AJ17">
        <v>5.4309000000000003E-2</v>
      </c>
    </row>
    <row r="18" spans="1:36">
      <c r="A18" t="s">
        <v>606</v>
      </c>
      <c r="B18" t="s">
        <v>1</v>
      </c>
      <c r="C18" t="s">
        <v>159</v>
      </c>
      <c r="D18" t="s">
        <v>430</v>
      </c>
      <c r="E18" t="s">
        <v>553</v>
      </c>
      <c r="F18">
        <v>0</v>
      </c>
      <c r="G18">
        <v>0</v>
      </c>
      <c r="H18">
        <v>0</v>
      </c>
      <c r="I18">
        <v>0</v>
      </c>
      <c r="J18">
        <v>1.17537E-3</v>
      </c>
      <c r="K18">
        <v>6.3041900000000003E-3</v>
      </c>
      <c r="L18">
        <v>8.81791E-3</v>
      </c>
      <c r="M18">
        <v>1.04502E-2</v>
      </c>
      <c r="N18">
        <v>1.0484500000000001E-2</v>
      </c>
      <c r="O18">
        <v>1.0310700000000001E-2</v>
      </c>
      <c r="P18">
        <v>1.0155000000000001E-2</v>
      </c>
      <c r="U18" t="s">
        <v>607</v>
      </c>
      <c r="V18" t="s">
        <v>1</v>
      </c>
      <c r="W18" t="s">
        <v>159</v>
      </c>
      <c r="X18" s="62" t="s">
        <v>430</v>
      </c>
      <c r="Y18" t="s">
        <v>553</v>
      </c>
      <c r="Z18">
        <v>0</v>
      </c>
      <c r="AA18">
        <v>0</v>
      </c>
      <c r="AB18">
        <v>0</v>
      </c>
      <c r="AC18">
        <v>0</v>
      </c>
      <c r="AD18">
        <v>1.1755100000000001E-3</v>
      </c>
      <c r="AE18">
        <v>6.2107999999999998E-3</v>
      </c>
      <c r="AF18">
        <v>8.3581300000000001E-3</v>
      </c>
      <c r="AG18">
        <v>9.5306899999999996E-3</v>
      </c>
      <c r="AH18">
        <v>9.4369299999999996E-3</v>
      </c>
      <c r="AI18">
        <v>9.2458499999999999E-3</v>
      </c>
      <c r="AJ18">
        <v>1.00567E-2</v>
      </c>
    </row>
    <row r="19" spans="1:36">
      <c r="A19" t="s">
        <v>606</v>
      </c>
      <c r="B19" t="s">
        <v>1</v>
      </c>
      <c r="C19" t="s">
        <v>159</v>
      </c>
      <c r="D19" t="s">
        <v>164</v>
      </c>
      <c r="E19" t="s">
        <v>553</v>
      </c>
      <c r="F19">
        <v>6.7987400000000002E-3</v>
      </c>
      <c r="G19">
        <v>1.6514299999999999E-2</v>
      </c>
      <c r="H19">
        <v>1.7266E-2</v>
      </c>
      <c r="I19">
        <v>1.9342700000000001E-2</v>
      </c>
      <c r="J19">
        <v>1.9957599999999999E-2</v>
      </c>
      <c r="K19">
        <v>1.43815E-2</v>
      </c>
      <c r="L19">
        <v>1.07397E-2</v>
      </c>
      <c r="M19">
        <v>8.49952E-3</v>
      </c>
      <c r="N19">
        <v>8.4375200000000004E-3</v>
      </c>
      <c r="O19">
        <v>8.12797E-3</v>
      </c>
      <c r="P19">
        <v>7.8729300000000002E-3</v>
      </c>
      <c r="U19" t="s">
        <v>607</v>
      </c>
      <c r="V19" t="s">
        <v>1</v>
      </c>
      <c r="W19" t="s">
        <v>159</v>
      </c>
      <c r="X19" s="62" t="s">
        <v>164</v>
      </c>
      <c r="Y19" t="s">
        <v>553</v>
      </c>
      <c r="Z19">
        <v>6.7987400000000002E-3</v>
      </c>
      <c r="AA19">
        <v>1.6514299999999999E-2</v>
      </c>
      <c r="AB19">
        <v>1.7266E-2</v>
      </c>
      <c r="AC19">
        <v>1.9342700000000001E-2</v>
      </c>
      <c r="AD19">
        <v>1.99299E-2</v>
      </c>
      <c r="AE19">
        <v>1.31878E-2</v>
      </c>
      <c r="AF19">
        <v>9.09161E-3</v>
      </c>
      <c r="AG19">
        <v>6.4954499999999998E-3</v>
      </c>
      <c r="AH19">
        <v>5.6577399999999996E-3</v>
      </c>
      <c r="AI19">
        <v>4.6692599999999997E-3</v>
      </c>
      <c r="AJ19">
        <v>2.3758799999999999E-3</v>
      </c>
    </row>
    <row r="20" spans="1:36">
      <c r="A20" t="s">
        <v>606</v>
      </c>
      <c r="B20" t="s">
        <v>1</v>
      </c>
      <c r="C20" t="s">
        <v>160</v>
      </c>
      <c r="D20" t="s">
        <v>2</v>
      </c>
      <c r="E20" t="s">
        <v>554</v>
      </c>
      <c r="F20">
        <v>0</v>
      </c>
      <c r="G20">
        <v>0</v>
      </c>
      <c r="H20">
        <v>0</v>
      </c>
      <c r="I20">
        <v>0</v>
      </c>
      <c r="J20" s="63">
        <v>2.64932E-4</v>
      </c>
      <c r="K20">
        <v>3.0621730000000001E-3</v>
      </c>
      <c r="L20">
        <v>8.4920689999999997E-3</v>
      </c>
      <c r="M20">
        <v>1.5131173499999999E-2</v>
      </c>
      <c r="N20">
        <v>2.27514259E-2</v>
      </c>
      <c r="O20">
        <v>2.6590586999999999E-2</v>
      </c>
      <c r="P20">
        <v>2.8655969999999999E-2</v>
      </c>
      <c r="U20" t="s">
        <v>607</v>
      </c>
      <c r="V20" t="s">
        <v>1</v>
      </c>
      <c r="W20" t="s">
        <v>160</v>
      </c>
      <c r="X20" s="62" t="s">
        <v>2</v>
      </c>
      <c r="Y20" t="s">
        <v>554</v>
      </c>
      <c r="Z20">
        <v>0</v>
      </c>
      <c r="AA20">
        <v>0</v>
      </c>
      <c r="AB20">
        <v>0</v>
      </c>
      <c r="AC20">
        <v>0</v>
      </c>
      <c r="AD20" s="63">
        <v>5.33327E-4</v>
      </c>
      <c r="AE20">
        <v>7.110028E-3</v>
      </c>
      <c r="AF20">
        <v>1.787857E-2</v>
      </c>
      <c r="AG20">
        <v>2.9076191000000001E-2</v>
      </c>
      <c r="AH20">
        <v>3.9279791299999998E-2</v>
      </c>
      <c r="AI20">
        <v>4.2952489999999899E-2</v>
      </c>
      <c r="AJ20">
        <v>4.4004750000000002E-2</v>
      </c>
    </row>
    <row r="21" spans="1:36">
      <c r="A21" t="s">
        <v>606</v>
      </c>
      <c r="B21" t="s">
        <v>1</v>
      </c>
      <c r="C21" t="s">
        <v>160</v>
      </c>
      <c r="D21" t="s">
        <v>2</v>
      </c>
      <c r="E21" t="s">
        <v>555</v>
      </c>
      <c r="F21">
        <v>0</v>
      </c>
      <c r="G21">
        <v>0</v>
      </c>
      <c r="H21">
        <v>0</v>
      </c>
      <c r="I21">
        <v>0</v>
      </c>
      <c r="J21" s="63">
        <v>1.0210200000000001E-4</v>
      </c>
      <c r="K21">
        <v>1.3926886E-3</v>
      </c>
      <c r="L21">
        <v>4.2182730999999899E-3</v>
      </c>
      <c r="M21">
        <v>8.0904780999999995E-3</v>
      </c>
      <c r="N21">
        <v>1.31087902E-2</v>
      </c>
      <c r="O21">
        <v>1.6161540999999901E-2</v>
      </c>
      <c r="P21">
        <v>1.8204522000000001E-2</v>
      </c>
      <c r="U21" t="s">
        <v>607</v>
      </c>
      <c r="V21" t="s">
        <v>1</v>
      </c>
      <c r="W21" t="s">
        <v>160</v>
      </c>
      <c r="X21" s="62" t="s">
        <v>2</v>
      </c>
      <c r="Y21" t="s">
        <v>555</v>
      </c>
      <c r="Z21">
        <v>0</v>
      </c>
      <c r="AA21">
        <v>0</v>
      </c>
      <c r="AB21">
        <v>0</v>
      </c>
      <c r="AC21">
        <v>0</v>
      </c>
      <c r="AD21" s="63">
        <v>2.2451599999999999E-4</v>
      </c>
      <c r="AE21">
        <v>3.5343620000000001E-3</v>
      </c>
      <c r="AF21">
        <v>1.1236108999999999E-2</v>
      </c>
      <c r="AG21">
        <v>2.2851827799999998E-2</v>
      </c>
      <c r="AH21">
        <v>3.8589344599999999E-2</v>
      </c>
      <c r="AI21">
        <v>5.0186017999999999E-2</v>
      </c>
      <c r="AJ21">
        <v>6.1699019999999903E-2</v>
      </c>
    </row>
    <row r="22" spans="1:36">
      <c r="A22" t="s">
        <v>606</v>
      </c>
      <c r="B22" t="s">
        <v>1</v>
      </c>
      <c r="C22" t="s">
        <v>160</v>
      </c>
      <c r="D22" t="s">
        <v>162</v>
      </c>
      <c r="E22" t="s">
        <v>554</v>
      </c>
      <c r="F22">
        <v>0</v>
      </c>
      <c r="G22" s="63">
        <v>9.6684399999999999E-5</v>
      </c>
      <c r="H22" s="63">
        <v>3.0545000000000002E-4</v>
      </c>
      <c r="I22" s="63">
        <v>3.4754300000000002E-4</v>
      </c>
      <c r="J22">
        <v>1.9091080000000001E-3</v>
      </c>
      <c r="K22">
        <v>4.1664379999999997E-3</v>
      </c>
      <c r="L22">
        <v>5.5606520000000001E-3</v>
      </c>
      <c r="M22">
        <v>6.2383170000000002E-3</v>
      </c>
      <c r="N22">
        <v>6.4461239999999897E-3</v>
      </c>
      <c r="O22">
        <v>6.1541979999999996E-3</v>
      </c>
      <c r="P22">
        <v>6.0736940000000001E-3</v>
      </c>
      <c r="U22" t="s">
        <v>607</v>
      </c>
      <c r="V22" t="s">
        <v>1</v>
      </c>
      <c r="W22" t="s">
        <v>160</v>
      </c>
      <c r="X22" s="62" t="s">
        <v>162</v>
      </c>
      <c r="Y22" t="s">
        <v>554</v>
      </c>
      <c r="Z22">
        <v>0</v>
      </c>
      <c r="AA22" s="63">
        <v>9.6684399999999999E-5</v>
      </c>
      <c r="AB22" s="63">
        <v>3.0545000000000002E-4</v>
      </c>
      <c r="AC22" s="63">
        <v>3.4754300000000002E-4</v>
      </c>
      <c r="AD22">
        <v>1.8064279999999999E-3</v>
      </c>
      <c r="AE22">
        <v>3.5554779999999999E-3</v>
      </c>
      <c r="AF22">
        <v>4.0046329999999996E-3</v>
      </c>
      <c r="AG22">
        <v>3.6301319999999999E-3</v>
      </c>
      <c r="AH22">
        <v>2.809134E-3</v>
      </c>
      <c r="AI22">
        <v>1.838512E-3</v>
      </c>
      <c r="AJ22" s="63">
        <v>9.743951E-4</v>
      </c>
    </row>
    <row r="23" spans="1:36">
      <c r="A23" t="s">
        <v>606</v>
      </c>
      <c r="B23" t="s">
        <v>1</v>
      </c>
      <c r="C23" t="s">
        <v>160</v>
      </c>
      <c r="D23" t="s">
        <v>162</v>
      </c>
      <c r="E23" t="s">
        <v>555</v>
      </c>
      <c r="F23">
        <v>0</v>
      </c>
      <c r="G23" s="63">
        <v>8.3286499999999996E-5</v>
      </c>
      <c r="H23" s="63">
        <v>2.6305700000000003E-4</v>
      </c>
      <c r="I23" s="63">
        <v>2.99351E-4</v>
      </c>
      <c r="J23">
        <v>1.8437289999999999E-3</v>
      </c>
      <c r="K23">
        <v>4.22635299999999E-3</v>
      </c>
      <c r="L23">
        <v>5.7522335000000004E-3</v>
      </c>
      <c r="M23">
        <v>6.6373264E-3</v>
      </c>
      <c r="N23">
        <v>7.1513979999999998E-3</v>
      </c>
      <c r="O23">
        <v>7.1276539999999998E-3</v>
      </c>
      <c r="P23">
        <v>7.3462709999999997E-3</v>
      </c>
      <c r="U23" t="s">
        <v>607</v>
      </c>
      <c r="V23" t="s">
        <v>1</v>
      </c>
      <c r="W23" t="s">
        <v>160</v>
      </c>
      <c r="X23" s="62" t="s">
        <v>162</v>
      </c>
      <c r="Y23" t="s">
        <v>555</v>
      </c>
      <c r="Z23">
        <v>0</v>
      </c>
      <c r="AA23" s="63">
        <v>8.3286499999999996E-5</v>
      </c>
      <c r="AB23" s="63">
        <v>2.6305700000000003E-4</v>
      </c>
      <c r="AC23" s="63">
        <v>2.99351E-4</v>
      </c>
      <c r="AD23">
        <v>1.6729589999999999E-3</v>
      </c>
      <c r="AE23">
        <v>3.3668729999999998E-3</v>
      </c>
      <c r="AF23">
        <v>4.0753105000000001E-3</v>
      </c>
      <c r="AG23">
        <v>4.0999024E-3</v>
      </c>
      <c r="AH23">
        <v>3.7479150000000001E-3</v>
      </c>
      <c r="AI23">
        <v>3.0083570000000001E-3</v>
      </c>
      <c r="AJ23">
        <v>2.0417199999999999E-3</v>
      </c>
    </row>
    <row r="24" spans="1:36">
      <c r="A24" t="s">
        <v>606</v>
      </c>
      <c r="B24" t="s">
        <v>1</v>
      </c>
      <c r="C24" t="s">
        <v>160</v>
      </c>
      <c r="D24" t="s">
        <v>430</v>
      </c>
      <c r="E24" t="s">
        <v>554</v>
      </c>
      <c r="F24">
        <v>0</v>
      </c>
      <c r="G24">
        <v>0</v>
      </c>
      <c r="H24">
        <v>0</v>
      </c>
      <c r="I24">
        <v>0</v>
      </c>
      <c r="J24" s="63">
        <v>7.3175400000000004E-4</v>
      </c>
      <c r="K24">
        <v>6.0719270000000004E-3</v>
      </c>
      <c r="L24">
        <v>1.2679407E-2</v>
      </c>
      <c r="M24">
        <v>1.7491019E-2</v>
      </c>
      <c r="N24">
        <v>2.0810235E-2</v>
      </c>
      <c r="O24">
        <v>2.1614593000000001E-2</v>
      </c>
      <c r="P24">
        <v>2.151745E-2</v>
      </c>
      <c r="U24" t="s">
        <v>607</v>
      </c>
      <c r="V24" t="s">
        <v>1</v>
      </c>
      <c r="W24" t="s">
        <v>160</v>
      </c>
      <c r="X24" s="62" t="s">
        <v>430</v>
      </c>
      <c r="Y24" t="s">
        <v>554</v>
      </c>
      <c r="Z24">
        <v>0</v>
      </c>
      <c r="AA24">
        <v>0</v>
      </c>
      <c r="AB24">
        <v>0</v>
      </c>
      <c r="AC24">
        <v>0</v>
      </c>
      <c r="AD24">
        <v>1.4757500000000001E-3</v>
      </c>
      <c r="AE24">
        <v>1.451818E-2</v>
      </c>
      <c r="AF24">
        <v>2.8269545E-2</v>
      </c>
      <c r="AG24">
        <v>3.6166045999999903E-2</v>
      </c>
      <c r="AH24">
        <v>3.8876696000000002E-2</v>
      </c>
      <c r="AI24">
        <v>3.7114149999999999E-2</v>
      </c>
      <c r="AJ24">
        <v>3.4080550000000001E-2</v>
      </c>
    </row>
    <row r="25" spans="1:36">
      <c r="A25" t="s">
        <v>606</v>
      </c>
      <c r="B25" t="s">
        <v>1</v>
      </c>
      <c r="C25" t="s">
        <v>160</v>
      </c>
      <c r="D25" t="s">
        <v>430</v>
      </c>
      <c r="E25" t="s">
        <v>555</v>
      </c>
      <c r="F25">
        <v>0</v>
      </c>
      <c r="G25">
        <v>0</v>
      </c>
      <c r="H25">
        <v>0</v>
      </c>
      <c r="I25">
        <v>0</v>
      </c>
      <c r="J25" s="63">
        <v>2.7985599999999998E-4</v>
      </c>
      <c r="K25">
        <v>2.736718E-3</v>
      </c>
      <c r="L25">
        <v>6.2257240000000002E-3</v>
      </c>
      <c r="M25">
        <v>9.1817940000000001E-3</v>
      </c>
      <c r="N25">
        <v>1.1715791E-2</v>
      </c>
      <c r="O25">
        <v>1.2938895000000001E-2</v>
      </c>
      <c r="P25">
        <v>1.3623135999999999E-2</v>
      </c>
      <c r="U25" t="s">
        <v>607</v>
      </c>
      <c r="V25" t="s">
        <v>1</v>
      </c>
      <c r="W25" t="s">
        <v>160</v>
      </c>
      <c r="X25" s="62" t="s">
        <v>430</v>
      </c>
      <c r="Y25" t="s">
        <v>555</v>
      </c>
      <c r="Z25">
        <v>0</v>
      </c>
      <c r="AA25">
        <v>0</v>
      </c>
      <c r="AB25">
        <v>0</v>
      </c>
      <c r="AC25">
        <v>0</v>
      </c>
      <c r="AD25" s="63">
        <v>6.1616299999999998E-4</v>
      </c>
      <c r="AE25">
        <v>7.091684E-3</v>
      </c>
      <c r="AF25">
        <v>1.7044153999999999E-2</v>
      </c>
      <c r="AG25">
        <v>2.6440103E-2</v>
      </c>
      <c r="AH25">
        <v>3.4831027000000001E-2</v>
      </c>
      <c r="AI25">
        <v>4.037019E-2</v>
      </c>
      <c r="AJ25">
        <v>4.6256180000000001E-2</v>
      </c>
    </row>
    <row r="26" spans="1:36">
      <c r="A26" t="s">
        <v>606</v>
      </c>
      <c r="B26" t="s">
        <v>1</v>
      </c>
      <c r="C26" t="s">
        <v>160</v>
      </c>
      <c r="D26" t="s">
        <v>164</v>
      </c>
      <c r="E26" t="s">
        <v>554</v>
      </c>
      <c r="F26">
        <v>0.12321699999999999</v>
      </c>
      <c r="G26">
        <v>0.29929600000000001</v>
      </c>
      <c r="H26">
        <v>0.312921</v>
      </c>
      <c r="I26">
        <v>0.35055700000000001</v>
      </c>
      <c r="J26">
        <v>0.35021935999999998</v>
      </c>
      <c r="K26">
        <v>0.33125652</v>
      </c>
      <c r="L26">
        <v>0.27537817999999997</v>
      </c>
      <c r="M26">
        <v>0.22128711000000001</v>
      </c>
      <c r="N26">
        <v>0.16502002900000001</v>
      </c>
      <c r="O26">
        <v>0.13529529000000001</v>
      </c>
      <c r="P26">
        <v>0.11376361</v>
      </c>
      <c r="U26" t="s">
        <v>607</v>
      </c>
      <c r="V26" t="s">
        <v>1</v>
      </c>
      <c r="W26" t="s">
        <v>160</v>
      </c>
      <c r="X26" s="62" t="s">
        <v>164</v>
      </c>
      <c r="Y26" t="s">
        <v>554</v>
      </c>
      <c r="Z26">
        <v>0.12321699999999999</v>
      </c>
      <c r="AA26">
        <v>0.29929600000000001</v>
      </c>
      <c r="AB26">
        <v>0.312921</v>
      </c>
      <c r="AC26">
        <v>0.35055700000000001</v>
      </c>
      <c r="AD26">
        <v>0.34773210999999998</v>
      </c>
      <c r="AE26">
        <v>0.30270615000000001</v>
      </c>
      <c r="AF26">
        <v>0.21610037000000001</v>
      </c>
      <c r="AG26">
        <v>0.13698261</v>
      </c>
      <c r="AH26">
        <v>6.5929722999999996E-2</v>
      </c>
      <c r="AI26">
        <v>3.5465910000000003E-2</v>
      </c>
      <c r="AJ26">
        <v>1.6310609E-2</v>
      </c>
    </row>
    <row r="27" spans="1:36">
      <c r="A27" t="s">
        <v>606</v>
      </c>
      <c r="B27" t="s">
        <v>1</v>
      </c>
      <c r="C27" t="s">
        <v>160</v>
      </c>
      <c r="D27" t="s">
        <v>164</v>
      </c>
      <c r="E27" t="s">
        <v>555</v>
      </c>
      <c r="F27">
        <v>0.106142</v>
      </c>
      <c r="G27">
        <v>0.25781999999999999</v>
      </c>
      <c r="H27">
        <v>0.26955600000000002</v>
      </c>
      <c r="I27">
        <v>0.301977</v>
      </c>
      <c r="J27">
        <v>0.30045018000000001</v>
      </c>
      <c r="K27">
        <v>0.27840567999999999</v>
      </c>
      <c r="L27">
        <v>0.22354110999999999</v>
      </c>
      <c r="M27">
        <v>0.1776179</v>
      </c>
      <c r="N27">
        <v>0.136231361</v>
      </c>
      <c r="O27">
        <v>0.115117859999999</v>
      </c>
      <c r="P27">
        <v>0.10031237</v>
      </c>
      <c r="U27" t="s">
        <v>607</v>
      </c>
      <c r="V27" t="s">
        <v>1</v>
      </c>
      <c r="W27" t="s">
        <v>160</v>
      </c>
      <c r="X27" s="62" t="s">
        <v>164</v>
      </c>
      <c r="Y27" t="s">
        <v>555</v>
      </c>
      <c r="Z27">
        <v>0.106142</v>
      </c>
      <c r="AA27">
        <v>0.25781999999999999</v>
      </c>
      <c r="AB27">
        <v>0.26955600000000002</v>
      </c>
      <c r="AC27">
        <v>0.301977</v>
      </c>
      <c r="AD27">
        <v>0.29699892999999999</v>
      </c>
      <c r="AE27">
        <v>0.25496827999999999</v>
      </c>
      <c r="AF27">
        <v>0.18112840999999999</v>
      </c>
      <c r="AG27">
        <v>0.11956252000000001</v>
      </c>
      <c r="AH27">
        <v>6.6790024000000003E-2</v>
      </c>
      <c r="AI27">
        <v>4.2536690000000002E-2</v>
      </c>
      <c r="AJ27">
        <v>2.3823768999999901E-2</v>
      </c>
    </row>
    <row r="28" spans="1:36">
      <c r="A28" t="s">
        <v>606</v>
      </c>
      <c r="B28" t="s">
        <v>1</v>
      </c>
      <c r="C28" t="s">
        <v>161</v>
      </c>
      <c r="D28" t="s">
        <v>164</v>
      </c>
      <c r="E28" t="s">
        <v>449</v>
      </c>
      <c r="F28">
        <v>6.6034099999999998E-2</v>
      </c>
      <c r="G28">
        <v>0.41629699999999997</v>
      </c>
      <c r="H28">
        <v>0.35850700000000002</v>
      </c>
      <c r="I28">
        <v>0.33729500000000001</v>
      </c>
      <c r="J28">
        <v>0.35245599999999999</v>
      </c>
      <c r="K28">
        <v>0.37283300000000003</v>
      </c>
      <c r="L28">
        <v>0.38450099999999998</v>
      </c>
      <c r="M28">
        <v>0.39315099999999997</v>
      </c>
      <c r="N28">
        <v>0.39850799999999997</v>
      </c>
      <c r="O28">
        <v>0.39760899999999999</v>
      </c>
      <c r="P28">
        <v>0.399621</v>
      </c>
      <c r="U28" t="s">
        <v>607</v>
      </c>
      <c r="V28" t="s">
        <v>1</v>
      </c>
      <c r="W28" t="s">
        <v>161</v>
      </c>
      <c r="X28" s="62" t="s">
        <v>164</v>
      </c>
      <c r="Y28" t="s">
        <v>449</v>
      </c>
      <c r="Z28">
        <v>6.6034099999999998E-2</v>
      </c>
      <c r="AA28">
        <v>0.41629699999999997</v>
      </c>
      <c r="AB28">
        <v>0.35850700000000002</v>
      </c>
      <c r="AC28">
        <v>0.33729500000000001</v>
      </c>
      <c r="AD28">
        <v>0.352379</v>
      </c>
      <c r="AE28">
        <v>0.32519599999999999</v>
      </c>
      <c r="AF28">
        <v>0.31743100000000002</v>
      </c>
      <c r="AG28">
        <v>0.30131400000000003</v>
      </c>
      <c r="AH28">
        <v>0.28138999999999997</v>
      </c>
      <c r="AI28">
        <v>0.25643300000000002</v>
      </c>
      <c r="AJ28">
        <v>0.18520500000000001</v>
      </c>
    </row>
    <row r="29" spans="1:36">
      <c r="I29">
        <f>SUM(I3:I27)</f>
        <v>1.3855477440000001</v>
      </c>
      <c r="J29" s="62">
        <f t="shared" ref="J29:P29" si="0">SUM(J3:J27)</f>
        <v>1.4334588077500001</v>
      </c>
      <c r="K29" s="62">
        <f t="shared" si="0"/>
        <v>1.4278885560800001</v>
      </c>
      <c r="L29" s="62">
        <f t="shared" si="0"/>
        <v>1.31435101804</v>
      </c>
      <c r="M29" s="62">
        <f t="shared" si="0"/>
        <v>1.21135626152</v>
      </c>
      <c r="N29" s="62">
        <f t="shared" si="0"/>
        <v>1.11528193698</v>
      </c>
      <c r="O29" s="62">
        <f t="shared" si="0"/>
        <v>1.0442571241299989</v>
      </c>
      <c r="P29" s="62">
        <f t="shared" si="0"/>
        <v>0.989978237697</v>
      </c>
      <c r="U29" s="62"/>
      <c r="V29" s="62"/>
      <c r="W29" s="62"/>
      <c r="X29" s="62"/>
      <c r="Y29" s="62"/>
      <c r="Z29" s="62"/>
      <c r="AA29" s="62"/>
      <c r="AB29" s="62"/>
      <c r="AC29" s="62">
        <f>SUM(AC3:AC27)</f>
        <v>1.3855477440000001</v>
      </c>
      <c r="AD29" s="62">
        <f t="shared" ref="AD29:AJ29" si="1">SUM(AD3:AD27)</f>
        <v>1.4278388593999998</v>
      </c>
      <c r="AE29" s="62">
        <f t="shared" si="1"/>
        <v>1.3426719927000001</v>
      </c>
      <c r="AF29" s="62">
        <f t="shared" si="1"/>
        <v>1.1684053188700001</v>
      </c>
      <c r="AG29" s="62">
        <f t="shared" si="1"/>
        <v>1.0028453767199998</v>
      </c>
      <c r="AH29" s="62">
        <f t="shared" si="1"/>
        <v>0.85072812358999994</v>
      </c>
      <c r="AI29" s="62">
        <f t="shared" si="1"/>
        <v>0.73978170887999983</v>
      </c>
      <c r="AJ29" s="62">
        <f t="shared" si="1"/>
        <v>0.62913839214999989</v>
      </c>
    </row>
    <row r="30" spans="1:36"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</row>
    <row r="31" spans="1:36">
      <c r="A31" t="s">
        <v>682</v>
      </c>
      <c r="U31" s="62" t="s">
        <v>682</v>
      </c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</row>
    <row r="32" spans="1:36">
      <c r="B32">
        <v>2015</v>
      </c>
      <c r="C32">
        <v>2020</v>
      </c>
      <c r="D32">
        <v>2025</v>
      </c>
      <c r="E32">
        <v>2030</v>
      </c>
      <c r="F32">
        <v>2035</v>
      </c>
      <c r="G32">
        <v>2040</v>
      </c>
      <c r="H32">
        <v>2045</v>
      </c>
      <c r="I32">
        <v>2050</v>
      </c>
      <c r="U32" s="62"/>
      <c r="V32" s="62">
        <v>2015</v>
      </c>
      <c r="W32" s="62">
        <v>2020</v>
      </c>
      <c r="X32" s="62">
        <v>2025</v>
      </c>
      <c r="Y32" s="62">
        <v>2030</v>
      </c>
      <c r="Z32" s="62">
        <v>2035</v>
      </c>
      <c r="AA32" s="62">
        <v>2040</v>
      </c>
      <c r="AB32" s="62">
        <v>2045</v>
      </c>
      <c r="AC32" s="62">
        <v>2050</v>
      </c>
      <c r="AD32" s="62"/>
      <c r="AE32" s="62"/>
      <c r="AF32" s="62"/>
      <c r="AG32" s="62"/>
      <c r="AH32" s="62"/>
      <c r="AI32" s="62"/>
      <c r="AJ32" s="62"/>
    </row>
    <row r="33" spans="1:36">
      <c r="A33" t="s">
        <v>12</v>
      </c>
      <c r="B33">
        <f>SUM(I20:I21)</f>
        <v>0</v>
      </c>
      <c r="C33" s="62">
        <f t="shared" ref="C33:I33" si="2">SUM(J20:J21)</f>
        <v>3.6703400000000002E-4</v>
      </c>
      <c r="D33" s="62">
        <f t="shared" si="2"/>
        <v>4.4548616000000003E-3</v>
      </c>
      <c r="E33" s="62">
        <f t="shared" si="2"/>
        <v>1.271034209999999E-2</v>
      </c>
      <c r="F33" s="62">
        <f t="shared" si="2"/>
        <v>2.3221651599999997E-2</v>
      </c>
      <c r="G33" s="62">
        <f t="shared" si="2"/>
        <v>3.5860216100000002E-2</v>
      </c>
      <c r="H33" s="62">
        <f t="shared" si="2"/>
        <v>4.2752127999999903E-2</v>
      </c>
      <c r="I33" s="62">
        <f t="shared" si="2"/>
        <v>4.6860492000000004E-2</v>
      </c>
      <c r="U33" s="62" t="s">
        <v>12</v>
      </c>
      <c r="V33" s="62">
        <f>SUM(AC20:AC21)</f>
        <v>0</v>
      </c>
      <c r="W33" s="62">
        <f t="shared" ref="W33" si="3">SUM(AD20:AD21)</f>
        <v>7.5784300000000001E-4</v>
      </c>
      <c r="X33" s="62">
        <f t="shared" ref="X33" si="4">SUM(AE20:AE21)</f>
        <v>1.064439E-2</v>
      </c>
      <c r="Y33" s="62">
        <f t="shared" ref="Y33" si="5">SUM(AF20:AF21)</f>
        <v>2.9114678999999997E-2</v>
      </c>
      <c r="Z33" s="62">
        <f t="shared" ref="Z33" si="6">SUM(AG20:AG21)</f>
        <v>5.1928018800000003E-2</v>
      </c>
      <c r="AA33" s="62">
        <f t="shared" ref="AA33" si="7">SUM(AH20:AH21)</f>
        <v>7.7869135899999997E-2</v>
      </c>
      <c r="AB33" s="62">
        <f t="shared" ref="AB33" si="8">SUM(AI20:AI21)</f>
        <v>9.3138507999999898E-2</v>
      </c>
      <c r="AC33" s="62">
        <f t="shared" ref="AC33" si="9">SUM(AJ20:AJ21)</f>
        <v>0.10570376999999991</v>
      </c>
      <c r="AD33" s="62"/>
      <c r="AE33" s="62"/>
      <c r="AF33" s="62"/>
      <c r="AG33" s="62"/>
      <c r="AH33" s="62"/>
      <c r="AI33" s="62"/>
      <c r="AJ33" s="62"/>
    </row>
    <row r="34" spans="1:36">
      <c r="A34" t="s">
        <v>17</v>
      </c>
      <c r="B34">
        <f>SUM(I11:I12,I16,I18,I24:I25)</f>
        <v>5.2943599999999997E-3</v>
      </c>
      <c r="C34" s="62">
        <f t="shared" ref="C34:I34" si="10">SUM(J11:J12,J16,J18,J24:J25)</f>
        <v>8.1457330000000005E-3</v>
      </c>
      <c r="D34" s="62">
        <f t="shared" si="10"/>
        <v>2.4445254999999999E-2</v>
      </c>
      <c r="E34" s="62">
        <f t="shared" si="10"/>
        <v>3.9798181000000002E-2</v>
      </c>
      <c r="F34" s="62">
        <f t="shared" si="10"/>
        <v>5.1596353000000005E-2</v>
      </c>
      <c r="G34" s="62">
        <f t="shared" si="10"/>
        <v>5.7201816000000003E-2</v>
      </c>
      <c r="H34" s="62">
        <f t="shared" si="10"/>
        <v>5.8729497999999998E-2</v>
      </c>
      <c r="I34" s="62">
        <f t="shared" si="10"/>
        <v>5.8591815999999998E-2</v>
      </c>
      <c r="U34" s="62" t="s">
        <v>17</v>
      </c>
      <c r="V34" s="62">
        <f>SUM(AC11:AC12,AC16,AC18,AC24:AC25)</f>
        <v>5.2943599999999997E-3</v>
      </c>
      <c r="W34" s="62">
        <f t="shared" ref="W34" si="11">SUM(AD11:AD12,AD16,AD18,AD24:AD25)</f>
        <v>9.5823100000000001E-3</v>
      </c>
      <c r="X34" s="62">
        <f t="shared" ref="X34" si="12">SUM(AE11:AE12,AE16,AE18,AE24:AE25)</f>
        <v>3.8965684E-2</v>
      </c>
      <c r="Y34" s="62">
        <f t="shared" ref="Y34" si="13">SUM(AF11:AF12,AF16,AF18,AF24:AF25)</f>
        <v>6.9235389000000008E-2</v>
      </c>
      <c r="Z34" s="62">
        <f t="shared" ref="Z34" si="14">SUM(AG11:AG12,AG16,AG18,AG24:AG25)</f>
        <v>9.1836888999999894E-2</v>
      </c>
      <c r="AA34" s="62">
        <f t="shared" ref="AA34" si="15">SUM(AH11:AH12,AH16,AH18,AH24:AH25)</f>
        <v>0.10344793300000001</v>
      </c>
      <c r="AB34" s="62">
        <f t="shared" ref="AB34" si="16">SUM(AI11:AI12,AI16,AI18,AI24:AI25)</f>
        <v>0.10773147</v>
      </c>
      <c r="AC34" s="62">
        <f t="shared" ref="AC34" si="17">SUM(AJ11:AJ12,AJ16,AJ18,AJ24:AJ25)</f>
        <v>0.11361677000000001</v>
      </c>
      <c r="AD34" s="62"/>
      <c r="AE34" s="62"/>
      <c r="AF34" s="62"/>
      <c r="AG34" s="62"/>
      <c r="AH34" s="62"/>
      <c r="AI34" s="62"/>
      <c r="AJ34" s="62"/>
    </row>
    <row r="35" spans="1:36">
      <c r="A35" t="s">
        <v>13</v>
      </c>
      <c r="B35">
        <v>0</v>
      </c>
      <c r="C35" s="62">
        <v>0</v>
      </c>
      <c r="D35" s="62">
        <v>0</v>
      </c>
      <c r="E35" s="62">
        <v>0</v>
      </c>
      <c r="F35" s="62">
        <v>0</v>
      </c>
      <c r="G35" s="62">
        <v>0</v>
      </c>
      <c r="H35" s="62">
        <v>0</v>
      </c>
      <c r="I35" s="62">
        <v>0</v>
      </c>
      <c r="U35" s="62" t="s">
        <v>13</v>
      </c>
      <c r="V35" s="62">
        <v>0</v>
      </c>
      <c r="W35" s="62">
        <v>0</v>
      </c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62"/>
      <c r="AE35" s="62"/>
      <c r="AF35" s="62"/>
      <c r="AG35" s="62"/>
      <c r="AH35" s="62"/>
      <c r="AI35" s="62"/>
      <c r="AJ35" s="62"/>
    </row>
    <row r="36" spans="1:36">
      <c r="A36" t="s">
        <v>15</v>
      </c>
      <c r="B36" s="63">
        <f>SUM(I15,I22,I23)</f>
        <v>4.8721894000000002E-2</v>
      </c>
      <c r="C36" s="63">
        <f t="shared" ref="C36:I36" si="18">SUM(J15,J22,J23)</f>
        <v>6.5255037000000002E-2</v>
      </c>
      <c r="D36" s="63">
        <f t="shared" si="18"/>
        <v>7.1374290999999979E-2</v>
      </c>
      <c r="E36" s="63">
        <f t="shared" si="18"/>
        <v>7.1291685499999993E-2</v>
      </c>
      <c r="F36" s="63">
        <f t="shared" si="18"/>
        <v>6.9527243400000008E-2</v>
      </c>
      <c r="G36" s="63">
        <f t="shared" si="18"/>
        <v>7.1270921999999987E-2</v>
      </c>
      <c r="H36" s="63">
        <f t="shared" si="18"/>
        <v>7.2720452000000005E-2</v>
      </c>
      <c r="I36" s="63">
        <f t="shared" si="18"/>
        <v>7.4082465E-2</v>
      </c>
      <c r="U36" s="62" t="s">
        <v>15</v>
      </c>
      <c r="V36" s="63">
        <f>SUM(AC15,AC22,AC23)</f>
        <v>4.8721894000000002E-2</v>
      </c>
      <c r="W36" s="63">
        <f t="shared" ref="W36" si="19">SUM(AD15,AD22,AD23)</f>
        <v>6.4778887000000007E-2</v>
      </c>
      <c r="X36" s="63">
        <f t="shared" ref="X36" si="20">SUM(AE15,AE22,AE23)</f>
        <v>6.6860151000000007E-2</v>
      </c>
      <c r="Y36" s="63">
        <f t="shared" ref="Y36" si="21">SUM(AF15,AF22,AF23)</f>
        <v>6.15515435E-2</v>
      </c>
      <c r="Z36" s="63">
        <f t="shared" ref="Z36" si="22">SUM(AG15,AG22,AG23)</f>
        <v>5.4384034400000003E-2</v>
      </c>
      <c r="AA36" s="63">
        <f t="shared" ref="AA36" si="23">SUM(AH15,AH22,AH23)</f>
        <v>5.1348248999999999E-2</v>
      </c>
      <c r="AB36" s="63">
        <f t="shared" ref="AB36" si="24">SUM(AI15,AI22,AI23)</f>
        <v>4.8122469000000001E-2</v>
      </c>
      <c r="AC36" s="63">
        <f t="shared" ref="AC36" si="25">SUM(AJ15,AJ22,AJ23)</f>
        <v>4.0745315099999992E-2</v>
      </c>
      <c r="AD36" s="62"/>
      <c r="AE36" s="62"/>
      <c r="AF36" s="62"/>
      <c r="AG36" s="62"/>
      <c r="AH36" s="62"/>
      <c r="AI36" s="62"/>
      <c r="AJ36" s="62"/>
    </row>
    <row r="37" spans="1:36">
      <c r="A37" t="s">
        <v>14</v>
      </c>
      <c r="B37">
        <v>0</v>
      </c>
      <c r="C37" s="62">
        <v>0</v>
      </c>
      <c r="D37" s="62">
        <v>0</v>
      </c>
      <c r="E37" s="62">
        <v>0</v>
      </c>
      <c r="F37" s="62">
        <v>0</v>
      </c>
      <c r="G37" s="62">
        <v>0</v>
      </c>
      <c r="H37" s="62">
        <v>0</v>
      </c>
      <c r="I37" s="62">
        <v>0</v>
      </c>
      <c r="U37" s="62" t="s">
        <v>14</v>
      </c>
      <c r="V37" s="62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/>
      <c r="AE37" s="62"/>
      <c r="AF37" s="62"/>
      <c r="AG37" s="62"/>
      <c r="AH37" s="62"/>
      <c r="AI37" s="62"/>
      <c r="AJ37" s="62"/>
    </row>
    <row r="38" spans="1:36">
      <c r="A38" t="s">
        <v>16</v>
      </c>
      <c r="B38">
        <f>SUM(I13,I14,I17,I19,I26,I27)</f>
        <v>0.94257363999999999</v>
      </c>
      <c r="C38" s="62">
        <f t="shared" ref="C38:I38" si="26">SUM(J13,J14,J17,J19,J26,J27)</f>
        <v>0.94061739999999994</v>
      </c>
      <c r="D38" s="62">
        <f t="shared" si="26"/>
        <v>0.85625279999999993</v>
      </c>
      <c r="E38" s="62">
        <f t="shared" si="26"/>
        <v>0.70367007999999998</v>
      </c>
      <c r="F38" s="62">
        <f t="shared" si="26"/>
        <v>0.57239275000000001</v>
      </c>
      <c r="G38" s="62">
        <f t="shared" si="26"/>
        <v>0.46135159999999997</v>
      </c>
      <c r="H38" s="62">
        <f t="shared" si="26"/>
        <v>0.39951658999999906</v>
      </c>
      <c r="I38" s="62">
        <f t="shared" si="26"/>
        <v>0.35346125</v>
      </c>
      <c r="U38" s="62" t="s">
        <v>16</v>
      </c>
      <c r="V38" s="62">
        <f>SUM(AC13,AC14,AC17,AC19,AC26,AC27)</f>
        <v>0.94257363999999999</v>
      </c>
      <c r="W38" s="62">
        <f t="shared" ref="W38" si="27">SUM(AD13,AD14,AD17,AD19,AD26,AD27)</f>
        <v>0.93386723999999999</v>
      </c>
      <c r="X38" s="62">
        <f t="shared" ref="X38" si="28">SUM(AE13,AE14,AE17,AE19,AE26,AE27)</f>
        <v>0.78775978000000002</v>
      </c>
      <c r="Y38" s="62">
        <f t="shared" ref="Y38" si="29">SUM(AF13,AF14,AF17,AF19,AF26,AF27)</f>
        <v>0.57625992000000004</v>
      </c>
      <c r="Z38" s="62">
        <f t="shared" ref="Z38" si="30">SUM(AG13,AG14,AG17,AG19,AG26,AG27)</f>
        <v>0.39683476000000001</v>
      </c>
      <c r="AA38" s="62">
        <f t="shared" ref="AA38" si="31">SUM(AH13,AH14,AH17,AH19,AH26,AH27)</f>
        <v>0.253501527</v>
      </c>
      <c r="AB38" s="62">
        <f t="shared" ref="AB38" si="32">SUM(AI13,AI14,AI17,AI19,AI26,AI27)</f>
        <v>0.18194188</v>
      </c>
      <c r="AC38" s="62">
        <f t="shared" ref="AC38" si="33">SUM(AJ13,AJ14,AJ17,AJ19,AJ26,AJ27)</f>
        <v>0.1152970779999999</v>
      </c>
      <c r="AD38" s="62"/>
      <c r="AE38" s="62"/>
      <c r="AF38" s="62"/>
      <c r="AG38" s="62"/>
      <c r="AH38" s="62"/>
      <c r="AI38" s="62"/>
      <c r="AJ38" s="62"/>
    </row>
    <row r="39" spans="1:36" s="62" customFormat="1"/>
    <row r="40" spans="1:36">
      <c r="A40" t="s">
        <v>683</v>
      </c>
      <c r="C40" s="62"/>
      <c r="D40" s="62"/>
      <c r="E40" s="62"/>
      <c r="F40" s="62"/>
      <c r="G40" s="62"/>
      <c r="H40" s="62"/>
      <c r="I40" s="62"/>
      <c r="U40" s="62" t="s">
        <v>683</v>
      </c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</row>
    <row r="41" spans="1:36">
      <c r="B41" s="62">
        <v>2015</v>
      </c>
      <c r="C41" s="62">
        <v>2016</v>
      </c>
      <c r="D41" s="62">
        <v>2017</v>
      </c>
      <c r="E41" s="62">
        <v>2018</v>
      </c>
      <c r="F41" s="62">
        <v>2019</v>
      </c>
      <c r="G41" s="62">
        <v>2020</v>
      </c>
      <c r="H41" s="62">
        <v>2021</v>
      </c>
      <c r="I41" s="62">
        <v>2022</v>
      </c>
      <c r="U41" s="62"/>
      <c r="V41" s="62">
        <v>2015</v>
      </c>
      <c r="W41" s="62">
        <v>2016</v>
      </c>
      <c r="X41" s="62">
        <v>2017</v>
      </c>
      <c r="Y41" s="62">
        <v>2018</v>
      </c>
      <c r="Z41" s="62">
        <v>2019</v>
      </c>
      <c r="AA41" s="62">
        <v>2020</v>
      </c>
      <c r="AB41" s="62">
        <v>2021</v>
      </c>
      <c r="AC41" s="62">
        <v>2022</v>
      </c>
      <c r="AD41" s="62"/>
      <c r="AE41" s="62"/>
      <c r="AF41" s="62"/>
      <c r="AG41" s="62"/>
      <c r="AH41" s="62"/>
      <c r="AI41" s="62"/>
      <c r="AJ41" s="62"/>
    </row>
    <row r="42" spans="1:36">
      <c r="A42" s="62" t="s">
        <v>12</v>
      </c>
      <c r="B42">
        <f>SUM(I7)</f>
        <v>0</v>
      </c>
      <c r="C42" s="62">
        <f t="shared" ref="C42:I42" si="34">SUM(J7)</f>
        <v>6.0831999999999996E-6</v>
      </c>
      <c r="D42" s="62">
        <f t="shared" si="34"/>
        <v>9.310427E-5</v>
      </c>
      <c r="E42" s="62">
        <f t="shared" si="34"/>
        <v>3.2003070999999999E-4</v>
      </c>
      <c r="F42" s="62">
        <f t="shared" si="34"/>
        <v>8.7587954999999995E-4</v>
      </c>
      <c r="G42" s="62">
        <f t="shared" si="34"/>
        <v>1.808469E-3</v>
      </c>
      <c r="H42" s="62">
        <f t="shared" si="34"/>
        <v>2.67507865E-3</v>
      </c>
      <c r="I42" s="62">
        <f t="shared" si="34"/>
        <v>3.3398381800000001E-3</v>
      </c>
      <c r="U42" s="62" t="s">
        <v>12</v>
      </c>
      <c r="V42" s="62">
        <f>SUM(AC7)</f>
        <v>0</v>
      </c>
      <c r="W42" s="62">
        <f t="shared" ref="W42" si="35">SUM(AD7)</f>
        <v>1.7210999999999998E-5</v>
      </c>
      <c r="X42" s="62">
        <f t="shared" ref="X42" si="36">SUM(AE7)</f>
        <v>4.6596079999999899E-4</v>
      </c>
      <c r="Y42" s="62">
        <f t="shared" ref="Y42" si="37">SUM(AF7)</f>
        <v>2.4307740000000001E-3</v>
      </c>
      <c r="Z42" s="62">
        <f t="shared" ref="Z42" si="38">SUM(AG7)</f>
        <v>8.5431916999999993E-3</v>
      </c>
      <c r="AA42" s="62">
        <f t="shared" ref="AA42" si="39">SUM(AH7)</f>
        <v>2.0001550489999999E-2</v>
      </c>
      <c r="AB42" s="62">
        <f t="shared" ref="AB42" si="40">SUM(AI7)</f>
        <v>3.1539203289999998E-2</v>
      </c>
      <c r="AC42" s="62">
        <f t="shared" ref="AC42" si="41">SUM(AJ7)</f>
        <v>4.3303137009999999E-2</v>
      </c>
      <c r="AD42" s="62"/>
      <c r="AE42" s="62"/>
      <c r="AF42" s="62"/>
      <c r="AG42" s="62"/>
      <c r="AH42" s="62"/>
      <c r="AI42" s="62"/>
      <c r="AJ42" s="62"/>
    </row>
    <row r="43" spans="1:36">
      <c r="A43" s="62" t="s">
        <v>17</v>
      </c>
      <c r="B43">
        <f>SUM(I4,I9)</f>
        <v>2.69206E-3</v>
      </c>
      <c r="C43" s="62">
        <f t="shared" ref="C43:I43" si="42">SUM(J4,J9)</f>
        <v>2.7277105499999999E-3</v>
      </c>
      <c r="D43" s="62">
        <f t="shared" si="42"/>
        <v>3.2999942100000001E-3</v>
      </c>
      <c r="E43" s="62">
        <f t="shared" si="42"/>
        <v>3.8684987300000003E-3</v>
      </c>
      <c r="F43" s="62">
        <f t="shared" si="42"/>
        <v>4.6839939699999996E-3</v>
      </c>
      <c r="G43" s="62">
        <f t="shared" si="42"/>
        <v>5.4081438799999998E-3</v>
      </c>
      <c r="H43" s="62">
        <f t="shared" si="42"/>
        <v>6.0256754799999993E-3</v>
      </c>
      <c r="I43" s="62">
        <f t="shared" si="42"/>
        <v>6.4754205170000001E-3</v>
      </c>
      <c r="U43" s="62" t="s">
        <v>17</v>
      </c>
      <c r="V43" s="62">
        <f>SUM(AC4,AC9)</f>
        <v>2.69206E-3</v>
      </c>
      <c r="W43" s="62">
        <f t="shared" ref="W43" si="43">SUM(AD4,AD9)</f>
        <v>2.7460784E-3</v>
      </c>
      <c r="X43" s="62">
        <f t="shared" ref="X43" si="44">SUM(AE4,AE9)</f>
        <v>3.2000669E-3</v>
      </c>
      <c r="Y43" s="62">
        <f t="shared" ref="Y43" si="45">SUM(AF4,AF9)</f>
        <v>5.1618633700000003E-3</v>
      </c>
      <c r="Z43" s="62">
        <f t="shared" ref="Z43" si="46">SUM(AG4,AG9)</f>
        <v>1.084434282E-2</v>
      </c>
      <c r="AA43" s="62">
        <f t="shared" ref="AA43" si="47">SUM(AH4,AH9)</f>
        <v>1.85234681999999E-2</v>
      </c>
      <c r="AB43" s="62">
        <f t="shared" ref="AB43" si="48">SUM(AI4,AI9)</f>
        <v>2.6304689589999999E-2</v>
      </c>
      <c r="AC43" s="62">
        <f t="shared" ref="AC43" si="49">SUM(AJ4,AJ9)</f>
        <v>3.4427615039999998E-2</v>
      </c>
      <c r="AD43" s="62"/>
      <c r="AE43" s="62"/>
      <c r="AF43" s="62"/>
      <c r="AG43" s="62"/>
      <c r="AH43" s="62"/>
      <c r="AI43" s="62"/>
      <c r="AJ43" s="62"/>
    </row>
    <row r="44" spans="1:36">
      <c r="A44" s="62" t="s">
        <v>13</v>
      </c>
      <c r="B44">
        <v>0</v>
      </c>
      <c r="C44" s="62">
        <v>0</v>
      </c>
      <c r="D44" s="62">
        <v>0</v>
      </c>
      <c r="E44" s="62">
        <v>0</v>
      </c>
      <c r="F44" s="62">
        <v>0</v>
      </c>
      <c r="G44" s="62">
        <v>0</v>
      </c>
      <c r="H44" s="62">
        <v>0</v>
      </c>
      <c r="I44" s="62">
        <v>0</v>
      </c>
      <c r="U44" s="62" t="s">
        <v>13</v>
      </c>
      <c r="V44" s="62">
        <v>0</v>
      </c>
      <c r="W44" s="62">
        <v>0</v>
      </c>
      <c r="X44" s="62">
        <v>0</v>
      </c>
      <c r="Y44" s="62">
        <v>0</v>
      </c>
      <c r="Z44" s="62">
        <v>0</v>
      </c>
      <c r="AA44" s="62">
        <v>0</v>
      </c>
      <c r="AB44" s="62">
        <v>0</v>
      </c>
      <c r="AC44" s="62">
        <v>0</v>
      </c>
      <c r="AD44" s="62"/>
      <c r="AE44" s="62"/>
      <c r="AF44" s="62"/>
      <c r="AG44" s="62"/>
      <c r="AH44" s="62"/>
      <c r="AI44" s="62"/>
      <c r="AJ44" s="62"/>
    </row>
    <row r="45" spans="1:36">
      <c r="A45" s="62" t="s">
        <v>15</v>
      </c>
      <c r="B45">
        <f>SUM(I8)</f>
        <v>0</v>
      </c>
      <c r="C45" s="62">
        <f t="shared" ref="C45:I45" si="50">SUM(J8)</f>
        <v>2.5966700000000001E-3</v>
      </c>
      <c r="D45" s="62">
        <f t="shared" si="50"/>
        <v>7.4723799999999998E-3</v>
      </c>
      <c r="E45" s="62">
        <f t="shared" si="50"/>
        <v>1.3971249999999999E-2</v>
      </c>
      <c r="F45" s="62">
        <f t="shared" si="50"/>
        <v>2.1754309999999999E-2</v>
      </c>
      <c r="G45" s="62">
        <f t="shared" si="50"/>
        <v>3.1753129999999997E-2</v>
      </c>
      <c r="H45" s="62">
        <f t="shared" si="50"/>
        <v>4.2754172E-2</v>
      </c>
      <c r="I45" s="62">
        <f t="shared" si="50"/>
        <v>5.8585805999999997E-2</v>
      </c>
      <c r="U45" s="62" t="s">
        <v>15</v>
      </c>
      <c r="V45" s="62">
        <f>SUM(AC8)</f>
        <v>0</v>
      </c>
      <c r="W45" s="62">
        <f t="shared" ref="W45" si="51">SUM(AD8)</f>
        <v>2.5211600000000002E-3</v>
      </c>
      <c r="X45" s="62">
        <f t="shared" ref="X45" si="52">SUM(AE8)</f>
        <v>6.7166400000000003E-3</v>
      </c>
      <c r="Y45" s="62">
        <f t="shared" ref="Y45" si="53">SUM(AF8)</f>
        <v>1.0453240000000001E-2</v>
      </c>
      <c r="Z45" s="62">
        <f t="shared" ref="Z45" si="54">SUM(AG8)</f>
        <v>1.4090200000000001E-2</v>
      </c>
      <c r="AA45" s="62">
        <f t="shared" ref="AA45" si="55">SUM(AH8)</f>
        <v>1.5785609999999999E-2</v>
      </c>
      <c r="AB45" s="62">
        <f t="shared" ref="AB45" si="56">SUM(AI8)</f>
        <v>1.5368629E-2</v>
      </c>
      <c r="AC45" s="62">
        <f t="shared" ref="AC45" si="57">SUM(AJ8)</f>
        <v>1.2766062999999999E-2</v>
      </c>
      <c r="AD45" s="62"/>
      <c r="AE45" s="62"/>
      <c r="AF45" s="62"/>
      <c r="AG45" s="62"/>
      <c r="AH45" s="62"/>
      <c r="AI45" s="62"/>
      <c r="AJ45" s="62"/>
    </row>
    <row r="46" spans="1:36">
      <c r="A46" s="62" t="s">
        <v>14</v>
      </c>
      <c r="B46">
        <f>SUM(I3)</f>
        <v>0</v>
      </c>
      <c r="C46" s="62">
        <f t="shared" ref="C46:I46" si="58">SUM(J3)</f>
        <v>0</v>
      </c>
      <c r="D46" s="62">
        <f t="shared" si="58"/>
        <v>0</v>
      </c>
      <c r="E46" s="62">
        <f t="shared" si="58"/>
        <v>0</v>
      </c>
      <c r="F46" s="62">
        <f t="shared" si="58"/>
        <v>0</v>
      </c>
      <c r="G46" s="62">
        <f t="shared" si="58"/>
        <v>0</v>
      </c>
      <c r="H46" s="62">
        <f t="shared" si="58"/>
        <v>0</v>
      </c>
      <c r="I46" s="62">
        <f t="shared" si="58"/>
        <v>0</v>
      </c>
      <c r="U46" s="62" t="s">
        <v>14</v>
      </c>
      <c r="V46" s="62">
        <f>SUM(AC3)</f>
        <v>0</v>
      </c>
      <c r="W46" s="62">
        <f t="shared" ref="W46" si="59">SUM(AD3)</f>
        <v>0</v>
      </c>
      <c r="X46" s="62">
        <f t="shared" ref="X46" si="60">SUM(AE3)</f>
        <v>0</v>
      </c>
      <c r="Y46" s="62">
        <f t="shared" ref="Y46" si="61">SUM(AF3)</f>
        <v>0</v>
      </c>
      <c r="Z46" s="62">
        <f t="shared" ref="Z46" si="62">SUM(AG3)</f>
        <v>0</v>
      </c>
      <c r="AA46" s="62">
        <f t="shared" ref="AA46" si="63">SUM(AH3)</f>
        <v>0</v>
      </c>
      <c r="AB46" s="62">
        <f t="shared" ref="AB46" si="64">SUM(AI3)</f>
        <v>0</v>
      </c>
      <c r="AC46" s="62">
        <f t="shared" ref="AC46" si="65">SUM(AJ3)</f>
        <v>0</v>
      </c>
      <c r="AD46" s="62"/>
      <c r="AE46" s="62"/>
      <c r="AF46" s="62"/>
      <c r="AG46" s="62"/>
      <c r="AH46" s="62"/>
      <c r="AI46" s="62"/>
      <c r="AJ46" s="62"/>
    </row>
    <row r="47" spans="1:36">
      <c r="A47" s="62" t="s">
        <v>16</v>
      </c>
      <c r="B47">
        <f>SUM(I5,I6,I10)</f>
        <v>0.38626579</v>
      </c>
      <c r="C47" s="62">
        <f t="shared" ref="C47:I47" si="66">SUM(J5,J6,J10)</f>
        <v>0.41374314000000001</v>
      </c>
      <c r="D47" s="62">
        <f t="shared" si="66"/>
        <v>0.46049586999999997</v>
      </c>
      <c r="E47" s="62">
        <f t="shared" si="66"/>
        <v>0.46872094999999997</v>
      </c>
      <c r="F47" s="62">
        <f t="shared" si="66"/>
        <v>0.46730408000000001</v>
      </c>
      <c r="G47" s="62">
        <f t="shared" si="66"/>
        <v>0.45062764</v>
      </c>
      <c r="H47" s="62">
        <f t="shared" si="66"/>
        <v>0.41908352999999998</v>
      </c>
      <c r="I47" s="62">
        <f t="shared" si="66"/>
        <v>0.38858114999999999</v>
      </c>
      <c r="U47" s="62" t="s">
        <v>16</v>
      </c>
      <c r="V47" s="62">
        <f>SUM(AC5,AC6,AC10)</f>
        <v>0.38626579</v>
      </c>
      <c r="W47" s="62">
        <f t="shared" ref="W47" si="67">SUM(AD5,AD6,AD10)</f>
        <v>0.41356813000000003</v>
      </c>
      <c r="X47" s="62">
        <f t="shared" ref="X47" si="68">SUM(AE5,AE6,AE10)</f>
        <v>0.42805932000000002</v>
      </c>
      <c r="Y47" s="62">
        <f t="shared" ref="Y47" si="69">SUM(AF5,AF6,AF10)</f>
        <v>0.41419791</v>
      </c>
      <c r="Z47" s="62">
        <f t="shared" ref="Z47" si="70">SUM(AG5,AG6,AG10)</f>
        <v>0.37438393999999997</v>
      </c>
      <c r="AA47" s="62">
        <f t="shared" ref="AA47" si="71">SUM(AH5,AH6,AH10)</f>
        <v>0.31025065000000002</v>
      </c>
      <c r="AB47" s="62">
        <f t="shared" ref="AB47" si="72">SUM(AI5,AI6,AI10)</f>
        <v>0.23563486</v>
      </c>
      <c r="AC47" s="62">
        <f t="shared" ref="AC47" si="73">SUM(AJ5,AJ6,AJ10)</f>
        <v>0.163278644</v>
      </c>
      <c r="AD47" s="62"/>
      <c r="AE47" s="62"/>
      <c r="AF47" s="62"/>
      <c r="AG47" s="62"/>
      <c r="AH47" s="62"/>
      <c r="AI47" s="62"/>
      <c r="AJ47" s="62"/>
    </row>
    <row r="48" spans="1:36">
      <c r="C48" s="62"/>
      <c r="D48" s="62"/>
      <c r="E48" s="62"/>
      <c r="F48" s="62"/>
      <c r="G48" s="62"/>
      <c r="H48" s="62"/>
      <c r="I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</row>
    <row r="49" spans="1:36">
      <c r="B49">
        <f>SUM(B33:B38,B42:B47)</f>
        <v>1.3855477439999999</v>
      </c>
      <c r="C49" s="62">
        <f t="shared" ref="C49:I49" si="74">SUM(C33:C38,C42:C47)</f>
        <v>1.4334588077499999</v>
      </c>
      <c r="D49" s="62">
        <f t="shared" si="74"/>
        <v>1.4278885560799999</v>
      </c>
      <c r="E49" s="62">
        <f t="shared" si="74"/>
        <v>1.3143510180399998</v>
      </c>
      <c r="F49" s="62">
        <f t="shared" si="74"/>
        <v>1.2113562615200002</v>
      </c>
      <c r="G49" s="62">
        <f t="shared" si="74"/>
        <v>1.11528193698</v>
      </c>
      <c r="H49" s="62">
        <f t="shared" si="74"/>
        <v>1.0442571241299992</v>
      </c>
      <c r="I49" s="62">
        <f t="shared" si="74"/>
        <v>0.98997823769699989</v>
      </c>
      <c r="U49" s="62"/>
      <c r="V49" s="62">
        <f>SUM(V33:V38,V42:V47)</f>
        <v>1.3855477439999999</v>
      </c>
      <c r="W49" s="62">
        <f t="shared" ref="W49:AC49" si="75">SUM(W33:W38,W42:W47)</f>
        <v>1.4278388594</v>
      </c>
      <c r="X49" s="62">
        <f t="shared" si="75"/>
        <v>1.3426719927000001</v>
      </c>
      <c r="Y49" s="62">
        <f t="shared" si="75"/>
        <v>1.1684053188700001</v>
      </c>
      <c r="Z49" s="62">
        <f t="shared" si="75"/>
        <v>1.0028453767199998</v>
      </c>
      <c r="AA49" s="62">
        <f t="shared" si="75"/>
        <v>0.85072812358999994</v>
      </c>
      <c r="AB49" s="62">
        <f t="shared" si="75"/>
        <v>0.73978170887999983</v>
      </c>
      <c r="AC49" s="62">
        <f t="shared" si="75"/>
        <v>0.62913839214999978</v>
      </c>
      <c r="AD49" s="62"/>
      <c r="AE49" s="62"/>
      <c r="AF49" s="62"/>
      <c r="AG49" s="62"/>
      <c r="AH49" s="62"/>
      <c r="AI49" s="62"/>
      <c r="AJ49" s="62"/>
    </row>
    <row r="50" spans="1:36"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</row>
    <row r="51" spans="1:36"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</row>
    <row r="52" spans="1:36"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</row>
    <row r="59" spans="1:36">
      <c r="G59" s="62">
        <v>1990</v>
      </c>
      <c r="H59" s="62">
        <v>2005</v>
      </c>
      <c r="I59" s="62">
        <v>2010</v>
      </c>
      <c r="J59" s="62">
        <v>2015</v>
      </c>
      <c r="K59" s="62">
        <v>2020</v>
      </c>
      <c r="L59" s="62">
        <v>2025</v>
      </c>
      <c r="M59" s="62">
        <v>2030</v>
      </c>
      <c r="N59" s="62">
        <v>2035</v>
      </c>
      <c r="O59" s="62">
        <v>2040</v>
      </c>
      <c r="P59" s="62">
        <v>2045</v>
      </c>
      <c r="Q59" s="62">
        <v>2050</v>
      </c>
    </row>
    <row r="60" spans="1:36">
      <c r="A60" t="s">
        <v>685</v>
      </c>
      <c r="B60" t="s">
        <v>1</v>
      </c>
      <c r="C60" t="s">
        <v>154</v>
      </c>
      <c r="D60" t="s">
        <v>686</v>
      </c>
      <c r="E60" t="s">
        <v>430</v>
      </c>
      <c r="F60" t="s">
        <v>448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63">
        <v>6.9326599999999999E-9</v>
      </c>
      <c r="O60" s="63">
        <v>5.2488400000000002E-8</v>
      </c>
      <c r="P60" s="63">
        <v>3.82834E-7</v>
      </c>
      <c r="Q60" s="63">
        <v>2.60515E-6</v>
      </c>
    </row>
    <row r="61" spans="1:36">
      <c r="A61" t="s">
        <v>685</v>
      </c>
      <c r="B61" t="s">
        <v>1</v>
      </c>
      <c r="C61" t="s">
        <v>154</v>
      </c>
      <c r="D61" t="s">
        <v>619</v>
      </c>
      <c r="E61" t="s">
        <v>2</v>
      </c>
      <c r="F61" t="s">
        <v>448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63">
        <v>1.29716E-8</v>
      </c>
      <c r="O61" s="63">
        <v>2.3869999999999999E-7</v>
      </c>
      <c r="P61" s="63">
        <v>3.3080299999999999E-6</v>
      </c>
      <c r="Q61" s="63">
        <v>3.4185800000000001E-5</v>
      </c>
    </row>
    <row r="62" spans="1:36">
      <c r="A62" t="s">
        <v>685</v>
      </c>
      <c r="B62" t="s">
        <v>1</v>
      </c>
      <c r="C62" t="s">
        <v>154</v>
      </c>
      <c r="D62" t="s">
        <v>447</v>
      </c>
      <c r="E62" t="s">
        <v>164</v>
      </c>
      <c r="F62" t="s">
        <v>448</v>
      </c>
      <c r="G62">
        <v>7.8068599999999997E-3</v>
      </c>
      <c r="H62">
        <v>1.3040899999999999E-2</v>
      </c>
      <c r="I62">
        <v>1.53803E-2</v>
      </c>
      <c r="J62">
        <v>1.9914600000000001E-2</v>
      </c>
      <c r="K62">
        <v>2.1503700000000001E-2</v>
      </c>
      <c r="L62">
        <v>2.1834599999999999E-2</v>
      </c>
      <c r="M62">
        <v>2.12754E-2</v>
      </c>
      <c r="N62">
        <v>2.07087E-2</v>
      </c>
      <c r="O62">
        <v>2.1219700000000001E-2</v>
      </c>
      <c r="P62">
        <v>2.1096E-2</v>
      </c>
      <c r="Q62">
        <v>2.0878500000000001E-2</v>
      </c>
    </row>
    <row r="63" spans="1:36">
      <c r="A63" t="s">
        <v>685</v>
      </c>
      <c r="B63" t="s">
        <v>1</v>
      </c>
      <c r="C63" t="s">
        <v>155</v>
      </c>
      <c r="D63" t="s">
        <v>686</v>
      </c>
      <c r="E63" t="s">
        <v>430</v>
      </c>
      <c r="F63" t="s">
        <v>680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63">
        <v>1.5610599999999999E-5</v>
      </c>
      <c r="O63" s="63">
        <v>3.7466699999999998E-5</v>
      </c>
      <c r="P63" s="63">
        <v>1.01807E-4</v>
      </c>
      <c r="Q63" s="63">
        <v>2.30731E-4</v>
      </c>
    </row>
    <row r="64" spans="1:36">
      <c r="A64" t="s">
        <v>685</v>
      </c>
      <c r="B64" t="s">
        <v>1</v>
      </c>
      <c r="C64" t="s">
        <v>155</v>
      </c>
      <c r="D64" t="s">
        <v>686</v>
      </c>
      <c r="E64" t="s">
        <v>430</v>
      </c>
      <c r="F64" t="s">
        <v>548</v>
      </c>
      <c r="G64">
        <v>0</v>
      </c>
      <c r="H64">
        <v>0</v>
      </c>
      <c r="I64">
        <v>0</v>
      </c>
      <c r="J64">
        <v>0</v>
      </c>
      <c r="K64">
        <v>0</v>
      </c>
      <c r="L64" s="63">
        <v>2.62899E-5</v>
      </c>
      <c r="M64" s="63">
        <v>2.09144E-4</v>
      </c>
      <c r="N64" s="63">
        <v>4.4325099999999997E-4</v>
      </c>
      <c r="O64" s="63">
        <v>5.6261199999999999E-4</v>
      </c>
      <c r="P64" s="63">
        <v>6.0693200000000002E-4</v>
      </c>
      <c r="Q64" s="63">
        <v>6.3885299999999999E-4</v>
      </c>
    </row>
    <row r="65" spans="1:17">
      <c r="A65" t="s">
        <v>685</v>
      </c>
      <c r="B65" t="s">
        <v>1</v>
      </c>
      <c r="C65" t="s">
        <v>155</v>
      </c>
      <c r="D65" t="s">
        <v>622</v>
      </c>
      <c r="E65" t="s">
        <v>4</v>
      </c>
      <c r="F65" t="s">
        <v>548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685</v>
      </c>
      <c r="B66" t="s">
        <v>1</v>
      </c>
      <c r="C66" t="s">
        <v>155</v>
      </c>
      <c r="D66" t="s">
        <v>687</v>
      </c>
      <c r="E66" t="s">
        <v>430</v>
      </c>
      <c r="F66" t="s">
        <v>548</v>
      </c>
      <c r="G66">
        <v>1.2280100000000001E-3</v>
      </c>
      <c r="H66">
        <v>3.13876E-3</v>
      </c>
      <c r="I66">
        <v>2.6524000000000001E-3</v>
      </c>
      <c r="J66">
        <v>2.6860500000000002E-3</v>
      </c>
      <c r="K66">
        <v>2.7355399999999998E-3</v>
      </c>
      <c r="L66">
        <v>2.85207E-3</v>
      </c>
      <c r="M66">
        <v>2.3219E-3</v>
      </c>
      <c r="N66">
        <v>1.53539E-3</v>
      </c>
      <c r="O66">
        <v>1.14423E-3</v>
      </c>
      <c r="P66">
        <v>1.0568400000000001E-3</v>
      </c>
      <c r="Q66">
        <v>1.05462E-3</v>
      </c>
    </row>
    <row r="67" spans="1:17">
      <c r="A67" t="s">
        <v>685</v>
      </c>
      <c r="B67" t="s">
        <v>1</v>
      </c>
      <c r="C67" t="s">
        <v>155</v>
      </c>
      <c r="D67" t="s">
        <v>576</v>
      </c>
      <c r="E67" t="s">
        <v>2</v>
      </c>
      <c r="F67" t="s">
        <v>680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63">
        <v>1.8190300000000001E-5</v>
      </c>
      <c r="O67" s="63">
        <v>5.5550799999999997E-5</v>
      </c>
      <c r="P67" s="63">
        <v>1.8462E-4</v>
      </c>
      <c r="Q67" s="63">
        <v>4.8985499999999998E-4</v>
      </c>
    </row>
    <row r="68" spans="1:17">
      <c r="A68" t="s">
        <v>685</v>
      </c>
      <c r="B68" t="s">
        <v>1</v>
      </c>
      <c r="C68" t="s">
        <v>155</v>
      </c>
      <c r="D68" t="s">
        <v>576</v>
      </c>
      <c r="E68" t="s">
        <v>2</v>
      </c>
      <c r="F68" t="s">
        <v>548</v>
      </c>
      <c r="G68">
        <v>0</v>
      </c>
      <c r="H68">
        <v>0</v>
      </c>
      <c r="I68">
        <v>0</v>
      </c>
      <c r="J68">
        <v>0</v>
      </c>
      <c r="K68">
        <v>0</v>
      </c>
      <c r="L68" s="63">
        <v>9.0638500000000003E-5</v>
      </c>
      <c r="M68" s="63">
        <v>3.6236599999999998E-4</v>
      </c>
      <c r="N68" s="63">
        <v>7.9260400000000003E-4</v>
      </c>
      <c r="O68">
        <v>1.0444300000000001E-3</v>
      </c>
      <c r="P68">
        <v>1.16534E-3</v>
      </c>
      <c r="Q68">
        <v>1.26341E-3</v>
      </c>
    </row>
    <row r="69" spans="1:17">
      <c r="A69" t="s">
        <v>685</v>
      </c>
      <c r="B69" t="s">
        <v>1</v>
      </c>
      <c r="C69" t="s">
        <v>155</v>
      </c>
      <c r="D69" t="s">
        <v>688</v>
      </c>
      <c r="E69" t="s">
        <v>164</v>
      </c>
      <c r="F69" t="s">
        <v>680</v>
      </c>
      <c r="G69">
        <v>0</v>
      </c>
      <c r="H69">
        <v>0</v>
      </c>
      <c r="I69">
        <v>0</v>
      </c>
      <c r="J69">
        <v>0</v>
      </c>
      <c r="K69" s="63">
        <v>4.3851099999999999E-4</v>
      </c>
      <c r="L69">
        <v>1.6633100000000001E-3</v>
      </c>
      <c r="M69">
        <v>4.4820700000000003E-3</v>
      </c>
      <c r="N69">
        <v>7.7442400000000003E-3</v>
      </c>
      <c r="O69">
        <v>9.0608200000000007E-3</v>
      </c>
      <c r="P69">
        <v>9.2593699999999994E-3</v>
      </c>
      <c r="Q69">
        <v>9.0967300000000008E-3</v>
      </c>
    </row>
    <row r="70" spans="1:17">
      <c r="A70" t="s">
        <v>685</v>
      </c>
      <c r="B70" t="s">
        <v>1</v>
      </c>
      <c r="C70" t="s">
        <v>155</v>
      </c>
      <c r="D70" t="s">
        <v>688</v>
      </c>
      <c r="E70" t="s">
        <v>164</v>
      </c>
      <c r="F70" t="s">
        <v>548</v>
      </c>
      <c r="G70">
        <v>0</v>
      </c>
      <c r="H70">
        <v>0</v>
      </c>
      <c r="I70">
        <v>0</v>
      </c>
      <c r="J70">
        <v>0</v>
      </c>
      <c r="K70">
        <v>0</v>
      </c>
      <c r="L70" s="63">
        <v>1.6982299999999999E-4</v>
      </c>
      <c r="M70" s="63">
        <v>6.5242700000000002E-4</v>
      </c>
      <c r="N70">
        <v>1.35823E-3</v>
      </c>
      <c r="O70">
        <v>1.7206000000000001E-3</v>
      </c>
      <c r="P70">
        <v>1.82993E-3</v>
      </c>
      <c r="Q70">
        <v>1.9044400000000001E-3</v>
      </c>
    </row>
    <row r="71" spans="1:17">
      <c r="A71" t="s">
        <v>685</v>
      </c>
      <c r="B71" t="s">
        <v>1</v>
      </c>
      <c r="C71" t="s">
        <v>155</v>
      </c>
      <c r="D71" t="s">
        <v>447</v>
      </c>
      <c r="E71" t="s">
        <v>164</v>
      </c>
      <c r="F71" t="s">
        <v>680</v>
      </c>
      <c r="G71">
        <v>6.8854600000000002E-2</v>
      </c>
      <c r="H71">
        <v>3.6793300000000001E-2</v>
      </c>
      <c r="I71">
        <v>2.8170799999999999E-2</v>
      </c>
      <c r="J71">
        <v>9.1671300000000008E-3</v>
      </c>
      <c r="K71">
        <v>9.5837000000000006E-3</v>
      </c>
      <c r="L71">
        <v>9.6246600000000002E-3</v>
      </c>
      <c r="M71">
        <v>7.6768799999999996E-3</v>
      </c>
      <c r="N71">
        <v>5.5906100000000002E-3</v>
      </c>
      <c r="O71">
        <v>4.8167599999999998E-3</v>
      </c>
      <c r="P71">
        <v>4.4755799999999998E-3</v>
      </c>
      <c r="Q71">
        <v>4.2904299999999996E-3</v>
      </c>
    </row>
    <row r="72" spans="1:17">
      <c r="A72" t="s">
        <v>685</v>
      </c>
      <c r="B72" t="s">
        <v>1</v>
      </c>
      <c r="C72" t="s">
        <v>155</v>
      </c>
      <c r="D72" t="s">
        <v>447</v>
      </c>
      <c r="E72" t="s">
        <v>164</v>
      </c>
      <c r="F72" t="s">
        <v>548</v>
      </c>
      <c r="G72">
        <v>1.5297900000000001E-3</v>
      </c>
      <c r="H72">
        <v>3.7160399999999999E-3</v>
      </c>
      <c r="I72">
        <v>3.8852600000000002E-3</v>
      </c>
      <c r="J72">
        <v>4.3526199999999998E-3</v>
      </c>
      <c r="K72">
        <v>4.5540299999999997E-3</v>
      </c>
      <c r="L72">
        <v>4.7468800000000002E-3</v>
      </c>
      <c r="M72">
        <v>3.8179199999999998E-3</v>
      </c>
      <c r="N72">
        <v>2.51425E-3</v>
      </c>
      <c r="O72">
        <v>1.8842399999999999E-3</v>
      </c>
      <c r="P72">
        <v>1.73843E-3</v>
      </c>
      <c r="Q72">
        <v>1.74215E-3</v>
      </c>
    </row>
    <row r="73" spans="1:17">
      <c r="A73" t="s">
        <v>685</v>
      </c>
      <c r="B73" t="s">
        <v>1</v>
      </c>
      <c r="C73" t="s">
        <v>156</v>
      </c>
      <c r="D73" t="s">
        <v>686</v>
      </c>
      <c r="E73" t="s">
        <v>430</v>
      </c>
      <c r="F73" t="s">
        <v>549</v>
      </c>
      <c r="G73">
        <v>0</v>
      </c>
      <c r="H73">
        <v>0</v>
      </c>
      <c r="I73">
        <v>0</v>
      </c>
      <c r="J73">
        <v>0</v>
      </c>
      <c r="K73">
        <v>0</v>
      </c>
      <c r="L73" s="63">
        <v>1.81292E-6</v>
      </c>
      <c r="M73" s="63">
        <v>2.0850380000000001E-5</v>
      </c>
      <c r="N73" s="63">
        <v>1.4051006199999999E-4</v>
      </c>
      <c r="O73" s="63">
        <v>3.7013533600000002E-4</v>
      </c>
      <c r="P73" s="63">
        <v>7.3038200000000001E-4</v>
      </c>
      <c r="Q73">
        <v>1.2702016000000001E-3</v>
      </c>
    </row>
    <row r="74" spans="1:17">
      <c r="A74" t="s">
        <v>685</v>
      </c>
      <c r="B74" t="s">
        <v>1</v>
      </c>
      <c r="C74" t="s">
        <v>156</v>
      </c>
      <c r="D74" t="s">
        <v>576</v>
      </c>
      <c r="E74" t="s">
        <v>2</v>
      </c>
      <c r="F74" t="s">
        <v>549</v>
      </c>
      <c r="G74">
        <v>0</v>
      </c>
      <c r="H74">
        <v>0</v>
      </c>
      <c r="I74">
        <v>0</v>
      </c>
      <c r="J74">
        <v>0</v>
      </c>
      <c r="K74">
        <v>0</v>
      </c>
      <c r="L74" s="63">
        <v>7.2687499999999997E-6</v>
      </c>
      <c r="M74" s="63">
        <v>6.6359259999999997E-5</v>
      </c>
      <c r="N74" s="63">
        <v>3.5932816999999998E-4</v>
      </c>
      <c r="O74" s="63">
        <v>7.9033819000000002E-4</v>
      </c>
      <c r="P74">
        <v>1.295547E-3</v>
      </c>
      <c r="Q74">
        <v>1.8460620999999999E-3</v>
      </c>
    </row>
    <row r="75" spans="1:17">
      <c r="A75" t="s">
        <v>685</v>
      </c>
      <c r="B75" t="s">
        <v>1</v>
      </c>
      <c r="C75" t="s">
        <v>156</v>
      </c>
      <c r="D75" t="s">
        <v>688</v>
      </c>
      <c r="E75" t="s">
        <v>164</v>
      </c>
      <c r="F75" t="s">
        <v>549</v>
      </c>
      <c r="G75">
        <v>0</v>
      </c>
      <c r="H75">
        <v>0</v>
      </c>
      <c r="I75">
        <v>0</v>
      </c>
      <c r="J75">
        <v>0</v>
      </c>
      <c r="K75" s="63">
        <v>1.11779E-4</v>
      </c>
      <c r="L75">
        <v>1.2792213E-3</v>
      </c>
      <c r="M75">
        <v>3.0545473E-3</v>
      </c>
      <c r="N75">
        <v>5.0953452999999999E-3</v>
      </c>
      <c r="O75">
        <v>6.0395179999999998E-3</v>
      </c>
      <c r="P75">
        <v>6.4799050000000002E-3</v>
      </c>
      <c r="Q75">
        <v>6.7475699999999996E-3</v>
      </c>
    </row>
    <row r="76" spans="1:17">
      <c r="A76" t="s">
        <v>685</v>
      </c>
      <c r="B76" t="s">
        <v>1</v>
      </c>
      <c r="C76" t="s">
        <v>156</v>
      </c>
      <c r="D76" t="s">
        <v>447</v>
      </c>
      <c r="E76" t="s">
        <v>164</v>
      </c>
      <c r="F76" t="s">
        <v>549</v>
      </c>
      <c r="G76">
        <v>0.13100700000000001</v>
      </c>
      <c r="H76">
        <v>0.31823099999999999</v>
      </c>
      <c r="I76">
        <v>0.33272099999999999</v>
      </c>
      <c r="J76">
        <v>0.37274499999999999</v>
      </c>
      <c r="K76">
        <v>0.400559</v>
      </c>
      <c r="L76">
        <v>0.44170769999999998</v>
      </c>
      <c r="M76">
        <v>0.46096710000000002</v>
      </c>
      <c r="N76">
        <v>0.47163500000000003</v>
      </c>
      <c r="O76">
        <v>0.48233979999999999</v>
      </c>
      <c r="P76">
        <v>0.47724630000000001</v>
      </c>
      <c r="Q76">
        <v>0.471060799999999</v>
      </c>
    </row>
    <row r="77" spans="1:17">
      <c r="A77" t="s">
        <v>685</v>
      </c>
      <c r="B77" t="s">
        <v>1</v>
      </c>
      <c r="C77" t="s">
        <v>157</v>
      </c>
      <c r="D77" t="s">
        <v>686</v>
      </c>
      <c r="E77" t="s">
        <v>430</v>
      </c>
      <c r="F77" t="s">
        <v>681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 s="63">
        <v>9.6168100000000004E-4</v>
      </c>
      <c r="O77">
        <v>2.2323E-3</v>
      </c>
      <c r="P77">
        <v>5.0305200000000001E-3</v>
      </c>
      <c r="Q77">
        <v>1.04002E-2</v>
      </c>
    </row>
    <row r="78" spans="1:17">
      <c r="A78" t="s">
        <v>685</v>
      </c>
      <c r="B78" t="s">
        <v>1</v>
      </c>
      <c r="C78" t="s">
        <v>157</v>
      </c>
      <c r="D78" t="s">
        <v>687</v>
      </c>
      <c r="E78" t="s">
        <v>430</v>
      </c>
      <c r="F78" t="s">
        <v>550</v>
      </c>
      <c r="G78" s="63">
        <v>6.8778999999999997E-4</v>
      </c>
      <c r="H78">
        <v>1.7579799999999999E-3</v>
      </c>
      <c r="I78">
        <v>1.48558E-3</v>
      </c>
      <c r="J78">
        <v>1.50438E-3</v>
      </c>
      <c r="K78">
        <v>1.8000100000000001E-3</v>
      </c>
      <c r="L78">
        <v>2.0596E-3</v>
      </c>
      <c r="M78">
        <v>2.1557799999999999E-3</v>
      </c>
      <c r="N78">
        <v>2.2286200000000002E-3</v>
      </c>
      <c r="O78">
        <v>2.25391E-3</v>
      </c>
      <c r="P78">
        <v>2.1754500000000002E-3</v>
      </c>
      <c r="Q78">
        <v>2.09691E-3</v>
      </c>
    </row>
    <row r="79" spans="1:17">
      <c r="A79" t="s">
        <v>685</v>
      </c>
      <c r="B79" t="s">
        <v>1</v>
      </c>
      <c r="C79" t="s">
        <v>157</v>
      </c>
      <c r="D79" t="s">
        <v>687</v>
      </c>
      <c r="E79" t="s">
        <v>430</v>
      </c>
      <c r="F79" t="s">
        <v>551</v>
      </c>
      <c r="G79">
        <v>1.72737E-3</v>
      </c>
      <c r="H79">
        <v>4.4150400000000003E-3</v>
      </c>
      <c r="I79">
        <v>3.73085E-3</v>
      </c>
      <c r="J79">
        <v>3.7780499999999998E-3</v>
      </c>
      <c r="K79">
        <v>3.8432900000000001E-3</v>
      </c>
      <c r="L79">
        <v>3.82337E-3</v>
      </c>
      <c r="M79">
        <v>3.78444E-3</v>
      </c>
      <c r="N79">
        <v>3.7492900000000002E-3</v>
      </c>
      <c r="O79">
        <v>3.6767800000000002E-3</v>
      </c>
      <c r="P79">
        <v>3.57493E-3</v>
      </c>
      <c r="Q79">
        <v>3.4317200000000001E-3</v>
      </c>
    </row>
    <row r="80" spans="1:17">
      <c r="A80" t="s">
        <v>685</v>
      </c>
      <c r="B80" t="s">
        <v>1</v>
      </c>
      <c r="C80" t="s">
        <v>157</v>
      </c>
      <c r="D80" t="s">
        <v>619</v>
      </c>
      <c r="E80" t="s">
        <v>2</v>
      </c>
      <c r="F80" t="s">
        <v>681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 s="63">
        <v>4.8700099999999998E-4</v>
      </c>
      <c r="O80">
        <v>1.46856E-3</v>
      </c>
      <c r="P80">
        <v>4.1841100000000004E-3</v>
      </c>
      <c r="Q80">
        <v>1.04689E-2</v>
      </c>
    </row>
    <row r="81" spans="1:17">
      <c r="A81" t="s">
        <v>685</v>
      </c>
      <c r="B81" t="s">
        <v>1</v>
      </c>
      <c r="C81" t="s">
        <v>157</v>
      </c>
      <c r="D81" t="s">
        <v>447</v>
      </c>
      <c r="E81" t="s">
        <v>164</v>
      </c>
      <c r="F81" t="s">
        <v>681</v>
      </c>
      <c r="G81">
        <v>8.4659899999999996E-2</v>
      </c>
      <c r="H81">
        <v>0.14141899999999999</v>
      </c>
      <c r="I81">
        <v>0.16679099999999999</v>
      </c>
      <c r="J81">
        <v>0.21596199999999999</v>
      </c>
      <c r="K81">
        <v>0.238126</v>
      </c>
      <c r="L81">
        <v>0.25800299999999998</v>
      </c>
      <c r="M81">
        <v>0.25900200000000001</v>
      </c>
      <c r="N81">
        <v>0.25070100000000001</v>
      </c>
      <c r="O81">
        <v>0.25250099999999998</v>
      </c>
      <c r="P81">
        <v>0.24204400000000001</v>
      </c>
      <c r="Q81">
        <v>0.22240599999999999</v>
      </c>
    </row>
    <row r="82" spans="1:17">
      <c r="A82" t="s">
        <v>685</v>
      </c>
      <c r="B82" t="s">
        <v>1</v>
      </c>
      <c r="C82" t="s">
        <v>157</v>
      </c>
      <c r="D82" t="s">
        <v>447</v>
      </c>
      <c r="E82" t="s">
        <v>164</v>
      </c>
      <c r="F82" t="s">
        <v>551</v>
      </c>
      <c r="G82">
        <v>3.03025E-3</v>
      </c>
      <c r="H82">
        <v>7.3607000000000004E-3</v>
      </c>
      <c r="I82">
        <v>7.69581E-3</v>
      </c>
      <c r="J82">
        <v>8.6214900000000008E-3</v>
      </c>
      <c r="K82">
        <v>8.8129200000000001E-3</v>
      </c>
      <c r="L82">
        <v>8.7674799999999994E-3</v>
      </c>
      <c r="M82">
        <v>8.6875900000000002E-3</v>
      </c>
      <c r="N82">
        <v>8.6008600000000001E-3</v>
      </c>
      <c r="O82">
        <v>8.4442800000000002E-3</v>
      </c>
      <c r="P82">
        <v>8.2086999999999993E-3</v>
      </c>
      <c r="Q82">
        <v>7.8834500000000002E-3</v>
      </c>
    </row>
    <row r="83" spans="1:17">
      <c r="A83" t="s">
        <v>685</v>
      </c>
      <c r="B83" t="s">
        <v>1</v>
      </c>
      <c r="C83" t="s">
        <v>158</v>
      </c>
      <c r="D83" t="s">
        <v>686</v>
      </c>
      <c r="E83" t="s">
        <v>430</v>
      </c>
      <c r="F83" t="s">
        <v>552</v>
      </c>
      <c r="G83">
        <v>0</v>
      </c>
      <c r="H83">
        <v>0</v>
      </c>
      <c r="I83">
        <v>0</v>
      </c>
      <c r="J83">
        <v>0</v>
      </c>
      <c r="K83">
        <v>0</v>
      </c>
      <c r="L83" s="63">
        <v>4.1918899999999999E-4</v>
      </c>
      <c r="M83">
        <v>2.3156779999999998E-3</v>
      </c>
      <c r="N83">
        <v>6.7430199999999997E-3</v>
      </c>
      <c r="O83">
        <v>1.146232E-2</v>
      </c>
      <c r="P83">
        <v>1.4838580000000001E-2</v>
      </c>
      <c r="Q83">
        <v>1.6193470000000001E-2</v>
      </c>
    </row>
    <row r="84" spans="1:17">
      <c r="A84" t="s">
        <v>685</v>
      </c>
      <c r="B84" t="s">
        <v>1</v>
      </c>
      <c r="C84" t="s">
        <v>158</v>
      </c>
      <c r="D84" t="s">
        <v>576</v>
      </c>
      <c r="E84" t="s">
        <v>2</v>
      </c>
      <c r="F84" t="s">
        <v>552</v>
      </c>
      <c r="G84">
        <v>0</v>
      </c>
      <c r="H84">
        <v>0</v>
      </c>
      <c r="I84">
        <v>0</v>
      </c>
      <c r="J84">
        <v>0</v>
      </c>
      <c r="K84">
        <v>0</v>
      </c>
      <c r="L84" s="63">
        <v>6.8355200000000003E-4</v>
      </c>
      <c r="M84">
        <v>3.5420429999999999E-3</v>
      </c>
      <c r="N84">
        <v>9.6418219999999995E-3</v>
      </c>
      <c r="O84">
        <v>1.535601E-2</v>
      </c>
      <c r="P84">
        <v>1.858317E-2</v>
      </c>
      <c r="Q84">
        <v>1.8816659999999999E-2</v>
      </c>
    </row>
    <row r="85" spans="1:17">
      <c r="A85" t="s">
        <v>685</v>
      </c>
      <c r="B85" t="s">
        <v>1</v>
      </c>
      <c r="C85" t="s">
        <v>158</v>
      </c>
      <c r="D85" t="s">
        <v>688</v>
      </c>
      <c r="E85" t="s">
        <v>164</v>
      </c>
      <c r="F85" t="s">
        <v>552</v>
      </c>
      <c r="G85">
        <v>0</v>
      </c>
      <c r="H85">
        <v>0</v>
      </c>
      <c r="I85">
        <v>0</v>
      </c>
      <c r="J85">
        <v>0</v>
      </c>
      <c r="K85">
        <v>1.8653200000000002E-2</v>
      </c>
      <c r="L85">
        <v>6.4557900000000001E-2</v>
      </c>
      <c r="M85">
        <v>0.10295106</v>
      </c>
      <c r="N85">
        <v>0.1105109</v>
      </c>
      <c r="O85">
        <v>9.5961799999999903E-2</v>
      </c>
      <c r="P85">
        <v>8.0191299999999993E-2</v>
      </c>
      <c r="Q85">
        <v>7.0835999999999996E-2</v>
      </c>
    </row>
    <row r="86" spans="1:17">
      <c r="A86" t="s">
        <v>685</v>
      </c>
      <c r="B86" t="s">
        <v>1</v>
      </c>
      <c r="C86" t="s">
        <v>158</v>
      </c>
      <c r="D86" t="s">
        <v>447</v>
      </c>
      <c r="E86" t="s">
        <v>164</v>
      </c>
      <c r="F86" t="s">
        <v>552</v>
      </c>
      <c r="G86">
        <v>8.5114400000000007E-2</v>
      </c>
      <c r="H86">
        <v>0.20674699999999999</v>
      </c>
      <c r="I86">
        <v>0.21615899999999999</v>
      </c>
      <c r="J86">
        <v>0.24215700000000001</v>
      </c>
      <c r="K86">
        <v>0.29206100000000002</v>
      </c>
      <c r="L86">
        <v>0.27247120000000002</v>
      </c>
      <c r="M86">
        <v>0.1919913</v>
      </c>
      <c r="N86">
        <v>0.1442985</v>
      </c>
      <c r="O86">
        <v>0.12026820000000001</v>
      </c>
      <c r="P86">
        <v>9.9075200000000002E-2</v>
      </c>
      <c r="Q86">
        <v>8.6295899999999995E-2</v>
      </c>
    </row>
    <row r="87" spans="1:17">
      <c r="A87" t="s">
        <v>685</v>
      </c>
      <c r="B87" t="s">
        <v>1</v>
      </c>
      <c r="C87" t="s">
        <v>158</v>
      </c>
      <c r="D87" t="s">
        <v>689</v>
      </c>
      <c r="E87" t="s">
        <v>162</v>
      </c>
      <c r="F87" t="s">
        <v>552</v>
      </c>
      <c r="G87">
        <v>0</v>
      </c>
      <c r="H87">
        <v>1.33817E-2</v>
      </c>
      <c r="I87">
        <v>4.2251200000000003E-2</v>
      </c>
      <c r="J87">
        <v>4.8074699999999998E-2</v>
      </c>
      <c r="K87">
        <v>5.1837500000000002E-2</v>
      </c>
      <c r="L87">
        <v>4.8635899999999899E-2</v>
      </c>
      <c r="M87">
        <v>3.2590519999999998E-2</v>
      </c>
      <c r="N87">
        <v>2.5533650000000001E-2</v>
      </c>
      <c r="O87">
        <v>2.1364729999999998E-2</v>
      </c>
      <c r="P87">
        <v>1.7683819999999999E-2</v>
      </c>
      <c r="Q87">
        <v>1.54499799999999E-2</v>
      </c>
    </row>
    <row r="88" spans="1:17">
      <c r="A88" t="s">
        <v>685</v>
      </c>
      <c r="B88" t="s">
        <v>1</v>
      </c>
      <c r="C88" t="s">
        <v>159</v>
      </c>
      <c r="D88" t="s">
        <v>686</v>
      </c>
      <c r="E88" t="s">
        <v>430</v>
      </c>
      <c r="F88" t="s">
        <v>553</v>
      </c>
      <c r="G88">
        <v>0</v>
      </c>
      <c r="H88">
        <v>0</v>
      </c>
      <c r="I88">
        <v>0</v>
      </c>
      <c r="J88">
        <v>0</v>
      </c>
      <c r="K88">
        <v>0</v>
      </c>
      <c r="L88">
        <v>3.4039999999999999E-3</v>
      </c>
      <c r="M88">
        <v>5.6423000000000003E-3</v>
      </c>
      <c r="N88">
        <v>5.7793599999999999E-3</v>
      </c>
      <c r="O88">
        <v>5.6545299999999996E-3</v>
      </c>
      <c r="P88">
        <v>5.6276599999999996E-3</v>
      </c>
      <c r="Q88">
        <v>5.4944599999999996E-3</v>
      </c>
    </row>
    <row r="89" spans="1:17">
      <c r="A89" t="s">
        <v>685</v>
      </c>
      <c r="B89" t="s">
        <v>1</v>
      </c>
      <c r="C89" t="s">
        <v>159</v>
      </c>
      <c r="D89" t="s">
        <v>447</v>
      </c>
      <c r="E89" t="s">
        <v>164</v>
      </c>
      <c r="F89" t="s">
        <v>553</v>
      </c>
      <c r="G89">
        <v>6.7985900000000002E-3</v>
      </c>
      <c r="H89">
        <v>1.65142E-2</v>
      </c>
      <c r="I89">
        <v>1.7265900000000001E-2</v>
      </c>
      <c r="J89">
        <v>1.9342600000000001E-2</v>
      </c>
      <c r="K89">
        <v>1.34947E-2</v>
      </c>
      <c r="L89">
        <v>5.7041699999999997E-3</v>
      </c>
      <c r="M89">
        <v>4.6785200000000002E-3</v>
      </c>
      <c r="N89">
        <v>4.6873699999999997E-3</v>
      </c>
      <c r="O89">
        <v>4.5484499999999999E-3</v>
      </c>
      <c r="P89">
        <v>4.4494499999999998E-3</v>
      </c>
      <c r="Q89">
        <v>4.2811799999999999E-3</v>
      </c>
    </row>
    <row r="90" spans="1:17">
      <c r="A90" t="s">
        <v>685</v>
      </c>
      <c r="B90" t="s">
        <v>1</v>
      </c>
      <c r="C90" t="s">
        <v>160</v>
      </c>
      <c r="D90" t="s">
        <v>686</v>
      </c>
      <c r="E90" t="s">
        <v>430</v>
      </c>
      <c r="F90" t="s">
        <v>554</v>
      </c>
      <c r="G90">
        <v>0</v>
      </c>
      <c r="H90">
        <v>0</v>
      </c>
      <c r="I90">
        <v>0</v>
      </c>
      <c r="J90">
        <v>0</v>
      </c>
      <c r="K90">
        <v>0</v>
      </c>
      <c r="L90">
        <v>1.4857500000000001E-3</v>
      </c>
      <c r="M90">
        <v>2.1251320000000001E-2</v>
      </c>
      <c r="N90">
        <v>2.9436693E-2</v>
      </c>
      <c r="O90">
        <v>3.3411925000000002E-2</v>
      </c>
      <c r="P90">
        <v>3.2820073999999998E-2</v>
      </c>
      <c r="Q90">
        <v>3.120324E-2</v>
      </c>
    </row>
    <row r="91" spans="1:17">
      <c r="A91" t="s">
        <v>685</v>
      </c>
      <c r="B91" t="s">
        <v>1</v>
      </c>
      <c r="C91" t="s">
        <v>160</v>
      </c>
      <c r="D91" t="s">
        <v>686</v>
      </c>
      <c r="E91" t="s">
        <v>430</v>
      </c>
      <c r="F91" t="s">
        <v>555</v>
      </c>
      <c r="G91">
        <v>0</v>
      </c>
      <c r="H91">
        <v>0</v>
      </c>
      <c r="I91">
        <v>0</v>
      </c>
      <c r="J91">
        <v>0</v>
      </c>
      <c r="K91">
        <v>0</v>
      </c>
      <c r="L91" s="63">
        <v>9.7121800000000004E-4</v>
      </c>
      <c r="M91">
        <v>1.6638131E-2</v>
      </c>
      <c r="N91">
        <v>2.3443484000000001E-2</v>
      </c>
      <c r="O91">
        <v>2.70494349999999E-2</v>
      </c>
      <c r="P91">
        <v>2.699412E-2</v>
      </c>
      <c r="Q91">
        <v>2.620844E-2</v>
      </c>
    </row>
    <row r="92" spans="1:17">
      <c r="A92" t="s">
        <v>685</v>
      </c>
      <c r="B92" t="s">
        <v>1</v>
      </c>
      <c r="C92" t="s">
        <v>160</v>
      </c>
      <c r="D92" t="s">
        <v>576</v>
      </c>
      <c r="E92" t="s">
        <v>2</v>
      </c>
      <c r="F92" t="s">
        <v>554</v>
      </c>
      <c r="G92">
        <v>0</v>
      </c>
      <c r="H92">
        <v>0</v>
      </c>
      <c r="I92">
        <v>0</v>
      </c>
      <c r="J92">
        <v>0</v>
      </c>
      <c r="K92">
        <v>0</v>
      </c>
      <c r="L92" s="63">
        <v>9.5821299999999997E-5</v>
      </c>
      <c r="M92">
        <v>4.3110800000000001E-3</v>
      </c>
      <c r="N92">
        <v>6.1167640999999998E-3</v>
      </c>
      <c r="O92">
        <v>7.7469953999999997E-3</v>
      </c>
      <c r="P92">
        <v>8.9002701999999993E-3</v>
      </c>
      <c r="Q92">
        <v>1.0555772999999999E-2</v>
      </c>
    </row>
    <row r="93" spans="1:17">
      <c r="A93" t="s">
        <v>685</v>
      </c>
      <c r="B93" t="s">
        <v>1</v>
      </c>
      <c r="C93" t="s">
        <v>160</v>
      </c>
      <c r="D93" t="s">
        <v>576</v>
      </c>
      <c r="E93" t="s">
        <v>2</v>
      </c>
      <c r="F93" t="s">
        <v>555</v>
      </c>
      <c r="G93">
        <v>0</v>
      </c>
      <c r="H93">
        <v>0</v>
      </c>
      <c r="I93">
        <v>0</v>
      </c>
      <c r="J93">
        <v>0</v>
      </c>
      <c r="K93">
        <v>0</v>
      </c>
      <c r="L93" s="63">
        <v>4.6754700000000001E-5</v>
      </c>
      <c r="M93">
        <v>2.7551861000000002E-3</v>
      </c>
      <c r="N93">
        <v>3.9583833999999899E-3</v>
      </c>
      <c r="O93">
        <v>5.1361821999999996E-3</v>
      </c>
      <c r="P93">
        <v>6.0813435599999998E-3</v>
      </c>
      <c r="Q93">
        <v>7.524144E-3</v>
      </c>
    </row>
    <row r="94" spans="1:17">
      <c r="A94" t="s">
        <v>685</v>
      </c>
      <c r="B94" t="s">
        <v>1</v>
      </c>
      <c r="C94" t="s">
        <v>160</v>
      </c>
      <c r="D94" t="s">
        <v>688</v>
      </c>
      <c r="E94" t="s">
        <v>164</v>
      </c>
      <c r="F94" t="s">
        <v>554</v>
      </c>
      <c r="G94">
        <v>0</v>
      </c>
      <c r="H94">
        <v>0</v>
      </c>
      <c r="I94">
        <v>0</v>
      </c>
      <c r="J94">
        <v>0</v>
      </c>
      <c r="K94">
        <v>0</v>
      </c>
      <c r="L94">
        <v>6.3153599999999999E-3</v>
      </c>
      <c r="M94">
        <v>3.250252E-2</v>
      </c>
      <c r="N94">
        <v>4.2708839999999998E-2</v>
      </c>
      <c r="O94">
        <v>4.7596429999999898E-2</v>
      </c>
      <c r="P94">
        <v>4.6589520000000002E-2</v>
      </c>
      <c r="Q94">
        <v>4.4465209999999998E-2</v>
      </c>
    </row>
    <row r="95" spans="1:17">
      <c r="A95" t="s">
        <v>685</v>
      </c>
      <c r="B95" t="s">
        <v>1</v>
      </c>
      <c r="C95" t="s">
        <v>160</v>
      </c>
      <c r="D95" t="s">
        <v>688</v>
      </c>
      <c r="E95" t="s">
        <v>164</v>
      </c>
      <c r="F95" t="s">
        <v>555</v>
      </c>
      <c r="G95">
        <v>0</v>
      </c>
      <c r="H95">
        <v>0</v>
      </c>
      <c r="I95">
        <v>0</v>
      </c>
      <c r="J95">
        <v>0</v>
      </c>
      <c r="K95">
        <v>0</v>
      </c>
      <c r="L95">
        <v>5.3917599999999998E-3</v>
      </c>
      <c r="M95">
        <v>2.964659E-2</v>
      </c>
      <c r="N95">
        <v>3.9579509999999998E-2</v>
      </c>
      <c r="O95">
        <v>4.4832049999999998E-2</v>
      </c>
      <c r="P95">
        <v>4.4545922000000002E-2</v>
      </c>
      <c r="Q95">
        <v>4.3409070000000001E-2</v>
      </c>
    </row>
    <row r="96" spans="1:17">
      <c r="A96" t="s">
        <v>685</v>
      </c>
      <c r="B96" t="s">
        <v>1</v>
      </c>
      <c r="C96" t="s">
        <v>160</v>
      </c>
      <c r="D96" t="s">
        <v>447</v>
      </c>
      <c r="E96" t="s">
        <v>164</v>
      </c>
      <c r="F96" t="s">
        <v>554</v>
      </c>
      <c r="G96">
        <v>0.12321500000000001</v>
      </c>
      <c r="H96">
        <v>0.299294</v>
      </c>
      <c r="I96">
        <v>0.312919</v>
      </c>
      <c r="J96">
        <v>0.35055500000000001</v>
      </c>
      <c r="K96">
        <v>0.25071300000000002</v>
      </c>
      <c r="L96">
        <v>0.20736470000000001</v>
      </c>
      <c r="M96">
        <v>0.1602335</v>
      </c>
      <c r="N96">
        <v>0.11709683</v>
      </c>
      <c r="O96">
        <v>8.1307439999999995E-2</v>
      </c>
      <c r="P96">
        <v>7.85444E-2</v>
      </c>
      <c r="Q96">
        <v>7.3691079999999895E-2</v>
      </c>
    </row>
    <row r="97" spans="1:17">
      <c r="A97" t="s">
        <v>685</v>
      </c>
      <c r="B97" t="s">
        <v>1</v>
      </c>
      <c r="C97" t="s">
        <v>160</v>
      </c>
      <c r="D97" t="s">
        <v>447</v>
      </c>
      <c r="E97" t="s">
        <v>164</v>
      </c>
      <c r="F97" t="s">
        <v>555</v>
      </c>
      <c r="G97">
        <v>0.10614</v>
      </c>
      <c r="H97">
        <v>0.25781799999999999</v>
      </c>
      <c r="I97">
        <v>0.26955499999999999</v>
      </c>
      <c r="J97">
        <v>0.30197499999999999</v>
      </c>
      <c r="K97">
        <v>0.21917</v>
      </c>
      <c r="L97">
        <v>0.18046780000000001</v>
      </c>
      <c r="M97">
        <v>0.14253141</v>
      </c>
      <c r="N97">
        <v>0.10833356</v>
      </c>
      <c r="O97">
        <v>8.311934E-2</v>
      </c>
      <c r="P97">
        <v>8.1329230000000002E-2</v>
      </c>
      <c r="Q97">
        <v>7.7599719999999997E-2</v>
      </c>
    </row>
    <row r="98" spans="1:17">
      <c r="A98" t="s">
        <v>685</v>
      </c>
      <c r="B98" t="s">
        <v>1</v>
      </c>
      <c r="C98" t="s">
        <v>160</v>
      </c>
      <c r="D98" t="s">
        <v>689</v>
      </c>
      <c r="E98" t="s">
        <v>162</v>
      </c>
      <c r="F98" t="s">
        <v>554</v>
      </c>
      <c r="G98">
        <v>0</v>
      </c>
      <c r="H98" s="63">
        <v>9.6683700000000004E-5</v>
      </c>
      <c r="I98" s="63">
        <v>3.0544799999999999E-4</v>
      </c>
      <c r="J98" s="63">
        <v>3.4754099999999998E-4</v>
      </c>
      <c r="K98" s="63">
        <v>2.4856500000000002E-4</v>
      </c>
      <c r="L98" s="63">
        <v>2.0454699999999999E-4</v>
      </c>
      <c r="M98" s="63">
        <v>1.542037E-4</v>
      </c>
      <c r="N98" s="63">
        <v>1.09618129999999E-4</v>
      </c>
      <c r="O98" s="63">
        <v>7.2097619999999906E-5</v>
      </c>
      <c r="P98" s="63">
        <v>6.842041E-5</v>
      </c>
      <c r="Q98" s="63">
        <v>6.2457319999999997E-5</v>
      </c>
    </row>
    <row r="99" spans="1:17">
      <c r="A99" t="s">
        <v>685</v>
      </c>
      <c r="B99" t="s">
        <v>1</v>
      </c>
      <c r="C99" t="s">
        <v>160</v>
      </c>
      <c r="D99" t="s">
        <v>689</v>
      </c>
      <c r="E99" t="s">
        <v>162</v>
      </c>
      <c r="F99" t="s">
        <v>555</v>
      </c>
      <c r="G99">
        <v>0</v>
      </c>
      <c r="H99" s="63">
        <v>8.3285899999999995E-5</v>
      </c>
      <c r="I99" s="63">
        <v>2.6305499999999999E-4</v>
      </c>
      <c r="J99" s="63">
        <v>2.9934900000000002E-4</v>
      </c>
      <c r="K99" s="63">
        <v>2.17309E-4</v>
      </c>
      <c r="L99" s="63">
        <v>1.78118E-4</v>
      </c>
      <c r="M99" s="63">
        <v>1.3745867999999999E-4</v>
      </c>
      <c r="N99" s="63">
        <v>1.0195827999999999E-4</v>
      </c>
      <c r="O99" s="63">
        <v>7.5098749999999895E-5</v>
      </c>
      <c r="P99" s="63">
        <v>7.2394620000000001E-5</v>
      </c>
      <c r="Q99" s="63">
        <v>6.751239E-5</v>
      </c>
    </row>
    <row r="100" spans="1:17">
      <c r="A100" t="s">
        <v>685</v>
      </c>
      <c r="B100" t="s">
        <v>1</v>
      </c>
      <c r="C100" t="s">
        <v>161</v>
      </c>
      <c r="D100" t="s">
        <v>686</v>
      </c>
      <c r="E100" t="s">
        <v>430</v>
      </c>
      <c r="F100" t="s">
        <v>449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 s="63">
        <v>8.5027700000000006E-6</v>
      </c>
      <c r="O100" s="63">
        <v>2.2260100000000001E-5</v>
      </c>
      <c r="P100" s="63">
        <v>6.5564500000000006E-5</v>
      </c>
      <c r="Q100" s="63">
        <v>1.6304500000000001E-4</v>
      </c>
    </row>
    <row r="101" spans="1:17">
      <c r="A101" t="s">
        <v>685</v>
      </c>
      <c r="B101" t="s">
        <v>1</v>
      </c>
      <c r="C101" t="s">
        <v>161</v>
      </c>
      <c r="D101" t="s">
        <v>576</v>
      </c>
      <c r="E101" t="s">
        <v>2</v>
      </c>
      <c r="F101" t="s">
        <v>449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s="63">
        <v>1.47539E-4</v>
      </c>
      <c r="O101" s="63">
        <v>5.3713299999999997E-4</v>
      </c>
      <c r="P101">
        <v>2.1331900000000001E-3</v>
      </c>
      <c r="Q101">
        <v>6.9124700000000004E-3</v>
      </c>
    </row>
    <row r="102" spans="1:17">
      <c r="A102" t="s">
        <v>685</v>
      </c>
      <c r="B102" t="s">
        <v>1</v>
      </c>
      <c r="C102" t="s">
        <v>161</v>
      </c>
      <c r="D102" t="s">
        <v>688</v>
      </c>
      <c r="E102" t="s">
        <v>164</v>
      </c>
      <c r="F102" t="s">
        <v>449</v>
      </c>
      <c r="G102">
        <v>0</v>
      </c>
      <c r="H102">
        <v>0</v>
      </c>
      <c r="I102">
        <v>0</v>
      </c>
      <c r="J102">
        <v>0</v>
      </c>
      <c r="K102">
        <v>8.5363899999999996E-3</v>
      </c>
      <c r="L102">
        <v>3.1597199999999999E-2</v>
      </c>
      <c r="M102">
        <v>9.4155100000000005E-2</v>
      </c>
      <c r="N102">
        <v>0.18146699999999999</v>
      </c>
      <c r="O102">
        <v>0.21163000000000001</v>
      </c>
      <c r="P102">
        <v>0.22029799999999999</v>
      </c>
      <c r="Q102">
        <v>0.22173200000000001</v>
      </c>
    </row>
    <row r="103" spans="1:17">
      <c r="A103" t="s">
        <v>685</v>
      </c>
      <c r="B103" t="s">
        <v>1</v>
      </c>
      <c r="C103" t="s">
        <v>161</v>
      </c>
      <c r="D103" t="s">
        <v>447</v>
      </c>
      <c r="E103" t="s">
        <v>164</v>
      </c>
      <c r="F103" t="s">
        <v>449</v>
      </c>
      <c r="G103">
        <v>6.6034099999999998E-2</v>
      </c>
      <c r="H103">
        <v>0.41629699999999997</v>
      </c>
      <c r="I103">
        <v>0.35850700000000002</v>
      </c>
      <c r="J103">
        <v>0.33729500000000001</v>
      </c>
      <c r="K103">
        <v>0.34040500000000001</v>
      </c>
      <c r="L103">
        <v>0.33204</v>
      </c>
      <c r="M103">
        <v>0.26688800000000001</v>
      </c>
      <c r="N103">
        <v>0.17841199999999999</v>
      </c>
      <c r="O103">
        <v>0.15</v>
      </c>
      <c r="P103">
        <v>0.138792</v>
      </c>
      <c r="Q103">
        <v>0.13280600000000001</v>
      </c>
    </row>
    <row r="104" spans="1:17">
      <c r="I104" t="s">
        <v>690</v>
      </c>
      <c r="J104">
        <f>SUM(J60:J103)</f>
        <v>1.93877751</v>
      </c>
      <c r="K104" s="62">
        <f t="shared" ref="K104:Q104" si="76">SUM(K60:K103)</f>
        <v>1.8874051440000001</v>
      </c>
      <c r="L104" s="62">
        <f t="shared" si="76"/>
        <v>1.9186926643700004</v>
      </c>
      <c r="M104" s="62">
        <f t="shared" si="76"/>
        <v>1.8934526944200001</v>
      </c>
      <c r="N104" s="62">
        <f t="shared" si="76"/>
        <v>1.8227950360162604</v>
      </c>
      <c r="O104" s="62">
        <f t="shared" si="76"/>
        <v>1.768815749284399</v>
      </c>
      <c r="P104" s="62">
        <f t="shared" si="76"/>
        <v>1.7201720131539999</v>
      </c>
      <c r="Q104" s="62">
        <f t="shared" si="76"/>
        <v>1.6730061353599994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CA642-3C11-4263-9815-D36B6B796F56}">
  <dimension ref="A1:Q203"/>
  <sheetViews>
    <sheetView topLeftCell="A58" zoomScale="55" zoomScaleNormal="55" workbookViewId="0">
      <selection activeCell="O92" sqref="A89:O92"/>
    </sheetView>
  </sheetViews>
  <sheetFormatPr defaultColWidth="8.69921875" defaultRowHeight="17.399999999999999"/>
  <cols>
    <col min="1" max="2" width="8.69921875" style="13"/>
    <col min="3" max="3" width="24.8984375" style="13" bestFit="1" customWidth="1"/>
    <col min="4" max="5" width="22.5" style="13" bestFit="1" customWidth="1"/>
    <col min="6" max="6" width="23.296875" style="13" bestFit="1" customWidth="1"/>
    <col min="7" max="17" width="8.69921875" style="13"/>
    <col min="18" max="22" width="11" style="13" bestFit="1" customWidth="1"/>
    <col min="23" max="16384" width="8.69921875" style="13"/>
  </cols>
  <sheetData>
    <row r="1" spans="1:17">
      <c r="A1" s="1" t="s">
        <v>18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31" t="s">
        <v>363</v>
      </c>
      <c r="B3" s="13" t="s">
        <v>1</v>
      </c>
      <c r="C3" s="13" t="s">
        <v>63</v>
      </c>
      <c r="D3" s="13" t="s">
        <v>60</v>
      </c>
      <c r="E3" s="13" t="s">
        <v>7</v>
      </c>
      <c r="F3" s="13" t="s">
        <v>60</v>
      </c>
      <c r="G3" s="13">
        <v>4.1860899999999999E-3</v>
      </c>
      <c r="H3" s="13">
        <v>1.55318E-2</v>
      </c>
      <c r="I3" s="13">
        <v>1.25215E-2</v>
      </c>
      <c r="J3" s="13">
        <v>6.4959199999999996E-3</v>
      </c>
      <c r="K3" s="14">
        <v>6.7860889999999899E-3</v>
      </c>
      <c r="L3" s="14">
        <v>6.9712970000000004E-3</v>
      </c>
      <c r="M3" s="14">
        <v>6.8405619999999997E-3</v>
      </c>
      <c r="N3" s="14">
        <v>5.9995930000000001E-3</v>
      </c>
      <c r="O3" s="14">
        <v>4.4021599999999996E-3</v>
      </c>
      <c r="P3" s="13">
        <v>3.2000878000000002E-3</v>
      </c>
      <c r="Q3" s="13">
        <v>2.3213293000000001E-3</v>
      </c>
    </row>
    <row r="4" spans="1:17">
      <c r="A4" s="13" t="s">
        <v>363</v>
      </c>
      <c r="B4" s="13" t="s">
        <v>1</v>
      </c>
      <c r="C4" s="13" t="s">
        <v>63</v>
      </c>
      <c r="D4" s="13" t="s">
        <v>60</v>
      </c>
      <c r="E4" s="13" t="s">
        <v>7</v>
      </c>
      <c r="F4" s="13" t="s">
        <v>111</v>
      </c>
      <c r="G4" s="13">
        <v>0</v>
      </c>
      <c r="H4" s="13">
        <v>0</v>
      </c>
      <c r="I4" s="13">
        <v>0</v>
      </c>
      <c r="J4" s="13">
        <v>0</v>
      </c>
      <c r="K4" s="14">
        <v>0</v>
      </c>
      <c r="L4" s="14">
        <v>3.1654199999999999E-6</v>
      </c>
      <c r="M4" s="14">
        <v>4.2896350000000001E-5</v>
      </c>
      <c r="N4" s="14">
        <v>4.2114299999999899E-4</v>
      </c>
      <c r="O4" s="13">
        <v>1.5514643199999901E-3</v>
      </c>
      <c r="P4" s="13">
        <v>2.5877477899999999E-3</v>
      </c>
      <c r="Q4" s="13">
        <v>3.3128350579999999E-3</v>
      </c>
    </row>
    <row r="5" spans="1:17">
      <c r="A5" s="13" t="s">
        <v>363</v>
      </c>
      <c r="B5" s="13" t="s">
        <v>1</v>
      </c>
      <c r="C5" s="13" t="s">
        <v>63</v>
      </c>
      <c r="D5" s="13" t="s">
        <v>19</v>
      </c>
      <c r="E5" s="13" t="s">
        <v>6</v>
      </c>
      <c r="F5" s="13" t="s">
        <v>19</v>
      </c>
      <c r="G5" s="13">
        <v>2.6574E-2</v>
      </c>
      <c r="H5" s="13">
        <v>0</v>
      </c>
      <c r="I5" s="13">
        <v>0</v>
      </c>
      <c r="J5" s="13">
        <v>0</v>
      </c>
      <c r="K5" s="13">
        <v>0</v>
      </c>
      <c r="L5" s="14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</row>
    <row r="6" spans="1:17">
      <c r="A6" s="13" t="s">
        <v>363</v>
      </c>
      <c r="B6" s="13" t="s">
        <v>1</v>
      </c>
      <c r="C6" s="13" t="s">
        <v>64</v>
      </c>
      <c r="D6" s="13" t="s">
        <v>57</v>
      </c>
      <c r="E6" s="13" t="s">
        <v>3</v>
      </c>
      <c r="F6" s="13" t="s">
        <v>57</v>
      </c>
      <c r="G6" s="13">
        <v>0</v>
      </c>
      <c r="H6" s="13">
        <v>0</v>
      </c>
      <c r="I6" s="13">
        <v>0</v>
      </c>
      <c r="J6" s="13">
        <v>2.7628000000000002E-3</v>
      </c>
      <c r="K6" s="13">
        <v>2.9902069999999999E-3</v>
      </c>
      <c r="L6" s="13">
        <v>4.1109529999999997E-3</v>
      </c>
      <c r="M6" s="13">
        <v>6.2694499999999898E-3</v>
      </c>
      <c r="N6" s="13">
        <v>8.3007889999999994E-3</v>
      </c>
      <c r="O6" s="13">
        <v>7.4155569999999997E-3</v>
      </c>
      <c r="P6" s="13">
        <v>5.2413529999999998E-3</v>
      </c>
      <c r="Q6" s="13">
        <v>2.9662719999999998E-3</v>
      </c>
    </row>
    <row r="7" spans="1:17">
      <c r="A7" s="13" t="s">
        <v>363</v>
      </c>
      <c r="B7" s="13" t="s">
        <v>1</v>
      </c>
      <c r="C7" s="13" t="s">
        <v>64</v>
      </c>
      <c r="D7" s="13" t="s">
        <v>59</v>
      </c>
      <c r="E7" s="13" t="s">
        <v>5</v>
      </c>
      <c r="F7" s="13" t="s">
        <v>59</v>
      </c>
      <c r="G7" s="13">
        <v>5.2325000000000002E-3</v>
      </c>
      <c r="H7" s="13">
        <v>1.9004400000000001E-2</v>
      </c>
      <c r="I7" s="13">
        <v>2.8799700000000001E-2</v>
      </c>
      <c r="J7" s="13">
        <v>4.1901800000000003E-2</v>
      </c>
      <c r="K7" s="14">
        <v>4.0025350000000001E-2</v>
      </c>
      <c r="L7" s="14">
        <v>3.5047969999999998E-2</v>
      </c>
      <c r="M7" s="14">
        <v>2.9974299999999999E-2</v>
      </c>
      <c r="N7" s="14">
        <v>2.6300049999999998E-2</v>
      </c>
      <c r="O7" s="14">
        <v>2.58034399999999E-2</v>
      </c>
      <c r="P7" s="14">
        <v>2.809586E-2</v>
      </c>
      <c r="Q7" s="14">
        <v>3.1490600000000001E-2</v>
      </c>
    </row>
    <row r="8" spans="1:17">
      <c r="A8" s="13" t="s">
        <v>363</v>
      </c>
      <c r="B8" s="13" t="s">
        <v>1</v>
      </c>
      <c r="C8" s="13" t="s">
        <v>64</v>
      </c>
      <c r="D8" s="13" t="s">
        <v>60</v>
      </c>
      <c r="E8" s="13" t="s">
        <v>7</v>
      </c>
      <c r="F8" s="13" t="s">
        <v>60</v>
      </c>
      <c r="G8" s="13">
        <v>0</v>
      </c>
      <c r="H8" s="13">
        <v>1.0464999999999999E-3</v>
      </c>
      <c r="I8" s="14">
        <v>1.674E-4</v>
      </c>
      <c r="J8" s="14">
        <v>1.2559999999999999E-4</v>
      </c>
      <c r="K8" s="14">
        <v>1.2654809999999999E-4</v>
      </c>
      <c r="L8" s="14">
        <v>1.2056380000000001E-4</v>
      </c>
      <c r="M8" s="14">
        <v>1.1233159999999999E-4</v>
      </c>
      <c r="N8" s="14">
        <v>9.6679620000000003E-5</v>
      </c>
      <c r="O8" s="14">
        <v>7.829158E-5</v>
      </c>
      <c r="P8" s="14">
        <v>5.7198889999999998E-5</v>
      </c>
      <c r="Q8" s="14">
        <v>3.7874789999999998E-5</v>
      </c>
    </row>
    <row r="9" spans="1:17">
      <c r="A9" s="13" t="s">
        <v>363</v>
      </c>
      <c r="B9" s="13" t="s">
        <v>1</v>
      </c>
      <c r="C9" s="13" t="s">
        <v>64</v>
      </c>
      <c r="D9" s="13" t="s">
        <v>65</v>
      </c>
      <c r="E9" s="13" t="s">
        <v>2</v>
      </c>
      <c r="F9" s="13" t="s">
        <v>65</v>
      </c>
      <c r="G9" s="13">
        <v>0</v>
      </c>
      <c r="H9" s="13">
        <v>0</v>
      </c>
      <c r="I9" s="13">
        <v>0</v>
      </c>
      <c r="J9" s="13">
        <v>0</v>
      </c>
      <c r="K9" s="14">
        <v>4.4708800000000001E-5</v>
      </c>
      <c r="L9" s="14">
        <v>1.8172609999999901E-4</v>
      </c>
      <c r="M9" s="14">
        <v>4.3444810000000002E-4</v>
      </c>
      <c r="N9" s="14">
        <v>7.1005033999999999E-4</v>
      </c>
      <c r="O9" s="14">
        <v>9.5710130000000002E-4</v>
      </c>
      <c r="P9" s="13">
        <v>1.4332936E-3</v>
      </c>
      <c r="Q9" s="13">
        <v>1.9844477000000001E-3</v>
      </c>
    </row>
    <row r="10" spans="1:17">
      <c r="A10" s="13" t="s">
        <v>363</v>
      </c>
      <c r="B10" s="13" t="s">
        <v>1</v>
      </c>
      <c r="C10" s="13" t="s">
        <v>64</v>
      </c>
      <c r="D10" s="13" t="s">
        <v>19</v>
      </c>
      <c r="E10" s="13" t="s">
        <v>6</v>
      </c>
      <c r="F10" s="13" t="s">
        <v>19</v>
      </c>
      <c r="G10" s="13">
        <v>6.4087699999999997E-2</v>
      </c>
      <c r="H10" s="13">
        <v>5.919E-2</v>
      </c>
      <c r="I10" s="13">
        <v>5.2492499999999997E-2</v>
      </c>
      <c r="J10" s="13">
        <v>1.9422999999999999E-2</v>
      </c>
      <c r="K10" s="13">
        <v>1.989016E-2</v>
      </c>
      <c r="L10" s="13">
        <v>1.9879439999999901E-2</v>
      </c>
      <c r="M10" s="13">
        <v>2.0191310000000001E-2</v>
      </c>
      <c r="N10" s="13">
        <v>1.9503247000000001E-2</v>
      </c>
      <c r="O10" s="13">
        <v>1.6925280000000001E-2</v>
      </c>
      <c r="P10" s="13">
        <v>1.3165659999999999E-2</v>
      </c>
      <c r="Q10" s="13">
        <v>9.0853400000000008E-3</v>
      </c>
    </row>
    <row r="11" spans="1:17">
      <c r="A11" s="13" t="s">
        <v>363</v>
      </c>
      <c r="B11" s="13" t="s">
        <v>1</v>
      </c>
      <c r="C11" s="13" t="s">
        <v>61</v>
      </c>
      <c r="D11" s="13" t="s">
        <v>61</v>
      </c>
      <c r="E11" s="13" t="s">
        <v>5</v>
      </c>
      <c r="F11" s="13" t="s">
        <v>61</v>
      </c>
      <c r="G11" s="13">
        <v>1.39375E-2</v>
      </c>
      <c r="H11" s="13">
        <v>2.0152400000000001E-2</v>
      </c>
      <c r="I11" s="13">
        <v>1.9656400000000001E-2</v>
      </c>
      <c r="J11" s="13">
        <v>1.9656400000000001E-2</v>
      </c>
      <c r="K11" s="13">
        <v>1.82218E-2</v>
      </c>
      <c r="L11" s="13">
        <v>1.39851E-2</v>
      </c>
      <c r="M11" s="13">
        <v>1.2134000000000001E-2</v>
      </c>
      <c r="N11" s="13">
        <v>1.0729067E-2</v>
      </c>
      <c r="O11" s="13">
        <v>5.9954939999999996E-3</v>
      </c>
      <c r="P11" s="13">
        <v>3.34154E-3</v>
      </c>
      <c r="Q11" s="13">
        <v>2.3702615900000001E-3</v>
      </c>
    </row>
    <row r="12" spans="1:17">
      <c r="A12" s="13" t="s">
        <v>363</v>
      </c>
      <c r="B12" s="13" t="s">
        <v>1</v>
      </c>
      <c r="C12" s="13" t="s">
        <v>61</v>
      </c>
      <c r="D12" s="13" t="s">
        <v>61</v>
      </c>
      <c r="E12" s="13" t="s">
        <v>5</v>
      </c>
      <c r="F12" s="13" t="s">
        <v>116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4">
        <v>0</v>
      </c>
      <c r="M12" s="14">
        <v>0</v>
      </c>
      <c r="N12" s="14">
        <v>4.2915299999999999E-4</v>
      </c>
      <c r="O12" s="13">
        <v>5.5442820000000002E-3</v>
      </c>
      <c r="P12" s="13">
        <v>7.6310850000000001E-3</v>
      </c>
      <c r="Q12" s="13">
        <v>7.5778439999999898E-3</v>
      </c>
    </row>
    <row r="13" spans="1:17">
      <c r="A13" s="13" t="s">
        <v>363</v>
      </c>
      <c r="B13" s="13" t="s">
        <v>1</v>
      </c>
      <c r="C13" s="13" t="s">
        <v>191</v>
      </c>
      <c r="D13" s="13" t="s">
        <v>338</v>
      </c>
      <c r="E13" s="13" t="s">
        <v>5</v>
      </c>
      <c r="F13" s="13" t="s">
        <v>339</v>
      </c>
      <c r="O13" s="14"/>
      <c r="P13" s="14"/>
    </row>
    <row r="14" spans="1:17">
      <c r="A14" s="13" t="s">
        <v>363</v>
      </c>
      <c r="B14" s="13" t="s">
        <v>1</v>
      </c>
      <c r="C14" s="13" t="s">
        <v>191</v>
      </c>
      <c r="D14" s="13" t="s">
        <v>338</v>
      </c>
      <c r="E14" s="13" t="s">
        <v>5</v>
      </c>
      <c r="F14" s="13" t="s">
        <v>340</v>
      </c>
      <c r="O14" s="14"/>
      <c r="P14" s="14"/>
    </row>
    <row r="15" spans="1:17">
      <c r="A15" s="13" t="s">
        <v>363</v>
      </c>
      <c r="B15" s="13" t="s">
        <v>1</v>
      </c>
      <c r="C15" s="13" t="s">
        <v>191</v>
      </c>
      <c r="D15" s="13" t="s">
        <v>338</v>
      </c>
      <c r="E15" s="13" t="s">
        <v>5</v>
      </c>
      <c r="F15" s="13" t="s">
        <v>341</v>
      </c>
      <c r="O15" s="14"/>
      <c r="P15" s="14"/>
    </row>
    <row r="16" spans="1:17">
      <c r="A16" s="13" t="s">
        <v>363</v>
      </c>
      <c r="B16" s="13" t="s">
        <v>1</v>
      </c>
      <c r="C16" s="13" t="s">
        <v>56</v>
      </c>
      <c r="D16" s="13" t="s">
        <v>57</v>
      </c>
      <c r="E16" s="13" t="s">
        <v>3</v>
      </c>
      <c r="F16" s="13" t="s">
        <v>57</v>
      </c>
      <c r="G16" s="13">
        <v>2.5953E-3</v>
      </c>
      <c r="H16" s="13">
        <v>5.4836900000000003E-3</v>
      </c>
      <c r="I16" s="13">
        <v>3.5999999999999999E-3</v>
      </c>
      <c r="J16" s="13">
        <v>1.1344099999999999E-2</v>
      </c>
      <c r="K16" s="13">
        <v>1.1659252E-2</v>
      </c>
      <c r="L16" s="13">
        <v>1.2140652E-2</v>
      </c>
      <c r="M16" s="13">
        <v>1.4689057999999901E-2</v>
      </c>
      <c r="N16" s="13">
        <v>1.8788933000000001E-2</v>
      </c>
      <c r="O16" s="13">
        <v>1.6629965E-2</v>
      </c>
      <c r="P16" s="13">
        <v>1.3915628500000001E-2</v>
      </c>
      <c r="Q16" s="13">
        <v>1.04694092E-2</v>
      </c>
    </row>
    <row r="17" spans="1:17">
      <c r="A17" s="13" t="s">
        <v>363</v>
      </c>
      <c r="B17" s="13" t="s">
        <v>1</v>
      </c>
      <c r="C17" s="13" t="s">
        <v>56</v>
      </c>
      <c r="D17" s="13" t="s">
        <v>57</v>
      </c>
      <c r="E17" s="13" t="s">
        <v>3</v>
      </c>
      <c r="F17" s="13" t="s">
        <v>109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4">
        <v>1.1905E-5</v>
      </c>
      <c r="M17" s="14">
        <v>4.174006E-4</v>
      </c>
      <c r="N17" s="13">
        <v>7.2407393E-3</v>
      </c>
      <c r="O17" s="13">
        <v>2.4382522180000001E-2</v>
      </c>
      <c r="P17" s="14">
        <v>3.2970761459999998E-2</v>
      </c>
      <c r="Q17" s="14">
        <v>3.6152592740000003E-2</v>
      </c>
    </row>
    <row r="18" spans="1:17">
      <c r="A18" s="13" t="s">
        <v>363</v>
      </c>
      <c r="B18" s="13" t="s">
        <v>1</v>
      </c>
      <c r="C18" s="13" t="s">
        <v>56</v>
      </c>
      <c r="D18" s="13" t="s">
        <v>58</v>
      </c>
      <c r="E18" s="13" t="s">
        <v>4</v>
      </c>
      <c r="F18" s="13" t="s">
        <v>58</v>
      </c>
      <c r="G18" s="13">
        <v>1.8837000000000001E-3</v>
      </c>
      <c r="H18" s="13">
        <v>3.1814E-3</v>
      </c>
      <c r="I18" s="13">
        <v>4.2278999999999997E-3</v>
      </c>
      <c r="J18" s="13">
        <v>4.6464999999999996E-3</v>
      </c>
      <c r="K18" s="13">
        <v>4.7696789999999998E-3</v>
      </c>
      <c r="L18" s="14">
        <v>4.7188949999999999E-3</v>
      </c>
      <c r="M18" s="14">
        <v>4.3647160000000003E-3</v>
      </c>
      <c r="N18" s="14">
        <v>3.1723200000000002E-3</v>
      </c>
      <c r="O18" s="14">
        <v>1.7190803000000001E-3</v>
      </c>
      <c r="P18" s="14">
        <v>9.4259520000000002E-4</v>
      </c>
      <c r="Q18" s="14">
        <v>5.3246564999999998E-4</v>
      </c>
    </row>
    <row r="19" spans="1:17">
      <c r="A19" s="13" t="s">
        <v>363</v>
      </c>
      <c r="B19" s="13" t="s">
        <v>1</v>
      </c>
      <c r="C19" s="13" t="s">
        <v>56</v>
      </c>
      <c r="D19" s="13" t="s">
        <v>58</v>
      </c>
      <c r="E19" s="13" t="s">
        <v>4</v>
      </c>
      <c r="F19" s="13" t="s">
        <v>110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4">
        <v>1.4017799999999999E-6</v>
      </c>
      <c r="M19" s="14">
        <v>3.4681080000000001E-5</v>
      </c>
      <c r="N19" s="14">
        <v>2.7344072000000001E-4</v>
      </c>
      <c r="O19" s="14">
        <v>7.4264442000000004E-4</v>
      </c>
      <c r="P19" s="14">
        <v>1.0155638770000001E-3</v>
      </c>
      <c r="Q19" s="14">
        <v>1.1495684990000001E-3</v>
      </c>
    </row>
    <row r="20" spans="1:17">
      <c r="A20" s="13" t="s">
        <v>363</v>
      </c>
      <c r="B20" s="13" t="s">
        <v>1</v>
      </c>
      <c r="C20" s="13" t="s">
        <v>56</v>
      </c>
      <c r="D20" s="13" t="s">
        <v>59</v>
      </c>
      <c r="E20" s="13" t="s">
        <v>5</v>
      </c>
      <c r="F20" s="13" t="s">
        <v>59</v>
      </c>
      <c r="G20" s="13">
        <v>3.9306500000000001E-2</v>
      </c>
      <c r="H20" s="13">
        <v>0.143622</v>
      </c>
      <c r="I20" s="13">
        <v>0.14705399999999999</v>
      </c>
      <c r="J20" s="13">
        <v>0.17627200000000001</v>
      </c>
      <c r="K20" s="13">
        <v>0.17777074000000001</v>
      </c>
      <c r="L20" s="13">
        <v>0.17706742</v>
      </c>
      <c r="M20" s="13">
        <v>0.18132245</v>
      </c>
      <c r="N20" s="13">
        <v>0.19888763999999901</v>
      </c>
      <c r="O20" s="13">
        <v>0.22202907999999999</v>
      </c>
      <c r="P20" s="13">
        <v>0.233291365999999</v>
      </c>
      <c r="Q20" s="13">
        <v>0.23885378299999999</v>
      </c>
    </row>
    <row r="21" spans="1:17">
      <c r="A21" s="13" t="s">
        <v>363</v>
      </c>
      <c r="B21" s="13" t="s">
        <v>1</v>
      </c>
      <c r="C21" s="13" t="s">
        <v>56</v>
      </c>
      <c r="D21" s="13" t="s">
        <v>60</v>
      </c>
      <c r="E21" s="13" t="s">
        <v>7</v>
      </c>
      <c r="F21" s="13" t="s">
        <v>60</v>
      </c>
      <c r="G21" s="13">
        <v>0</v>
      </c>
      <c r="H21" s="13">
        <v>2.2174E-3</v>
      </c>
      <c r="I21" s="13">
        <v>5.9310599999999998E-2</v>
      </c>
      <c r="J21" s="13">
        <v>5.4361800000000002E-2</v>
      </c>
      <c r="K21" s="13">
        <v>5.5620059999999999E-2</v>
      </c>
      <c r="L21" s="13">
        <v>5.60622E-2</v>
      </c>
      <c r="M21" s="13">
        <v>5.79041E-2</v>
      </c>
      <c r="N21" s="13">
        <v>5.6321469999999998E-2</v>
      </c>
      <c r="O21" s="13">
        <v>4.6264642000000002E-2</v>
      </c>
      <c r="P21" s="13">
        <v>3.7419461000000001E-2</v>
      </c>
      <c r="Q21" s="13">
        <v>2.9319193599999901E-2</v>
      </c>
    </row>
    <row r="22" spans="1:17">
      <c r="A22" s="13" t="s">
        <v>363</v>
      </c>
      <c r="B22" s="13" t="s">
        <v>1</v>
      </c>
      <c r="C22" s="13" t="s">
        <v>56</v>
      </c>
      <c r="D22" s="13" t="s">
        <v>60</v>
      </c>
      <c r="E22" s="13" t="s">
        <v>7</v>
      </c>
      <c r="F22" s="13" t="s">
        <v>111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4">
        <v>9.6241400000000003E-5</v>
      </c>
      <c r="M22" s="13">
        <v>1.6246813999999999E-3</v>
      </c>
      <c r="N22" s="13">
        <v>1.04784987E-2</v>
      </c>
      <c r="O22" s="13">
        <v>2.5584836600000001E-2</v>
      </c>
      <c r="P22" s="13">
        <v>3.56787753E-2</v>
      </c>
      <c r="Q22" s="13">
        <v>4.1739592300000003E-2</v>
      </c>
    </row>
    <row r="23" spans="1:17">
      <c r="A23" s="13" t="s">
        <v>363</v>
      </c>
      <c r="B23" s="13" t="s">
        <v>1</v>
      </c>
      <c r="C23" s="13" t="s">
        <v>56</v>
      </c>
      <c r="D23" s="13" t="s">
        <v>19</v>
      </c>
      <c r="E23" s="13" t="s">
        <v>6</v>
      </c>
      <c r="F23" s="13" t="s">
        <v>19</v>
      </c>
      <c r="G23" s="13">
        <v>9.6065499999999998E-2</v>
      </c>
      <c r="H23" s="13">
        <v>7.1915400000000004E-2</v>
      </c>
      <c r="I23" s="13">
        <v>4.75948E-2</v>
      </c>
      <c r="J23" s="13">
        <v>2.2311399999999999E-2</v>
      </c>
      <c r="K23" s="13">
        <v>2.2861079999999999E-2</v>
      </c>
      <c r="L23" s="13">
        <v>2.3172538999999999E-2</v>
      </c>
      <c r="M23" s="13">
        <v>2.4816365999999899E-2</v>
      </c>
      <c r="N23" s="13">
        <v>2.7084956E-2</v>
      </c>
      <c r="O23" s="13">
        <v>2.4888858E-2</v>
      </c>
      <c r="P23" s="13">
        <v>2.1097659000000001E-2</v>
      </c>
      <c r="Q23" s="13">
        <v>1.6401480699999998E-2</v>
      </c>
    </row>
    <row r="24" spans="1:17">
      <c r="A24" s="13" t="s">
        <v>363</v>
      </c>
      <c r="B24" s="13" t="s">
        <v>1</v>
      </c>
      <c r="C24" s="13" t="s">
        <v>56</v>
      </c>
      <c r="D24" s="13" t="s">
        <v>19</v>
      </c>
      <c r="E24" s="13" t="s">
        <v>6</v>
      </c>
      <c r="F24" s="13" t="s">
        <v>112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4">
        <v>6.4351300000000002E-5</v>
      </c>
      <c r="M24" s="13">
        <v>1.0002438999999999E-3</v>
      </c>
      <c r="N24" s="13">
        <v>6.4878749999999997E-3</v>
      </c>
      <c r="O24" s="13">
        <v>1.5671419700000001E-2</v>
      </c>
      <c r="P24" s="13">
        <v>2.1314145899999901E-2</v>
      </c>
      <c r="Q24" s="13">
        <v>2.4573274199999998E-2</v>
      </c>
    </row>
    <row r="25" spans="1:17">
      <c r="A25" s="13" t="s">
        <v>363</v>
      </c>
      <c r="B25" s="13" t="s">
        <v>1</v>
      </c>
      <c r="C25" s="13" t="s">
        <v>20</v>
      </c>
      <c r="D25" s="13" t="s">
        <v>58</v>
      </c>
      <c r="E25" s="13" t="s">
        <v>4</v>
      </c>
      <c r="F25" s="13" t="s">
        <v>58</v>
      </c>
      <c r="G25" s="13">
        <v>0</v>
      </c>
      <c r="H25" s="13">
        <v>0</v>
      </c>
      <c r="I25" s="13">
        <v>1.6953300000000001E-2</v>
      </c>
      <c r="J25" s="13">
        <v>2.3106700000000001E-2</v>
      </c>
      <c r="K25" s="13">
        <v>2.2199400000000001E-2</v>
      </c>
      <c r="L25" s="14">
        <v>7.9483600000000005E-4</v>
      </c>
      <c r="M25" s="14">
        <v>1.5669699999999999E-4</v>
      </c>
      <c r="N25" s="14">
        <v>4.0911100000000002E-5</v>
      </c>
      <c r="O25" s="14">
        <v>1.4817899999999999E-5</v>
      </c>
      <c r="P25" s="14">
        <v>5.5246399999999998E-6</v>
      </c>
      <c r="Q25" s="14">
        <v>2.5107500000000001E-6</v>
      </c>
    </row>
    <row r="26" spans="1:17">
      <c r="A26" s="13" t="s">
        <v>363</v>
      </c>
      <c r="B26" s="13" t="s">
        <v>1</v>
      </c>
      <c r="C26" s="13" t="s">
        <v>20</v>
      </c>
      <c r="D26" s="13" t="s">
        <v>19</v>
      </c>
      <c r="E26" s="13" t="s">
        <v>6</v>
      </c>
      <c r="F26" s="13" t="s">
        <v>19</v>
      </c>
      <c r="G26" s="13">
        <v>0.23639399999999999</v>
      </c>
      <c r="H26" s="13">
        <v>1.18882</v>
      </c>
      <c r="I26" s="13">
        <v>1.5032799999999999</v>
      </c>
      <c r="J26" s="13">
        <v>1.8793899999999999</v>
      </c>
      <c r="K26" s="13">
        <v>1.8999299999999999</v>
      </c>
      <c r="L26" s="13">
        <v>1.9077500000000001</v>
      </c>
      <c r="M26" s="13">
        <v>1.88517</v>
      </c>
      <c r="N26" s="13">
        <v>1.82524</v>
      </c>
      <c r="O26" s="13">
        <v>1.73081</v>
      </c>
      <c r="P26" s="13">
        <v>1.64761</v>
      </c>
      <c r="Q26" s="13">
        <v>1.5610299999999999</v>
      </c>
    </row>
    <row r="27" spans="1:17">
      <c r="A27" s="13" t="s">
        <v>363</v>
      </c>
      <c r="B27" s="13" t="s">
        <v>1</v>
      </c>
      <c r="C27" s="13" t="s">
        <v>67</v>
      </c>
      <c r="D27" s="13" t="s">
        <v>57</v>
      </c>
      <c r="E27" s="13" t="s">
        <v>3</v>
      </c>
      <c r="F27" s="13" t="s">
        <v>57</v>
      </c>
      <c r="G27" s="13">
        <v>0</v>
      </c>
      <c r="H27" s="13">
        <v>0</v>
      </c>
      <c r="I27" s="13">
        <v>0</v>
      </c>
      <c r="J27" s="13">
        <v>1.0884E-3</v>
      </c>
      <c r="K27" s="13">
        <v>1.4430559999999901E-3</v>
      </c>
      <c r="L27" s="13">
        <v>2.821629E-3</v>
      </c>
      <c r="M27" s="13">
        <v>5.4103160000000001E-3</v>
      </c>
      <c r="N27" s="13">
        <v>8.1745110000000006E-3</v>
      </c>
      <c r="O27" s="13">
        <v>8.0782489999999992E-3</v>
      </c>
      <c r="P27" s="13">
        <v>6.5685259999999999E-3</v>
      </c>
      <c r="Q27" s="13">
        <v>4.4985329999999999E-3</v>
      </c>
    </row>
    <row r="28" spans="1:17">
      <c r="A28" s="13" t="s">
        <v>363</v>
      </c>
      <c r="B28" s="13" t="s">
        <v>1</v>
      </c>
      <c r="C28" s="13" t="s">
        <v>67</v>
      </c>
      <c r="D28" s="13" t="s">
        <v>58</v>
      </c>
      <c r="E28" s="13" t="s">
        <v>4</v>
      </c>
      <c r="F28" s="13" t="s">
        <v>58</v>
      </c>
      <c r="G28" s="13">
        <v>0</v>
      </c>
      <c r="H28" s="13">
        <v>0</v>
      </c>
      <c r="I28" s="13">
        <v>0</v>
      </c>
      <c r="J28" s="13">
        <v>0</v>
      </c>
      <c r="K28" s="13">
        <v>1.8147E-3</v>
      </c>
      <c r="L28" s="13">
        <v>3.7558399999999999E-3</v>
      </c>
      <c r="M28" s="13">
        <v>5.0402069999999997E-3</v>
      </c>
      <c r="N28" s="13">
        <v>4.9379350000000001E-3</v>
      </c>
      <c r="O28" s="13">
        <v>3.8486919999999999E-3</v>
      </c>
      <c r="P28" s="13">
        <v>2.8375609999999902E-3</v>
      </c>
      <c r="Q28" s="13">
        <v>1.9946999999999999E-3</v>
      </c>
    </row>
    <row r="29" spans="1:17">
      <c r="A29" s="13" t="s">
        <v>363</v>
      </c>
      <c r="B29" s="13" t="s">
        <v>1</v>
      </c>
      <c r="C29" s="13" t="s">
        <v>67</v>
      </c>
      <c r="D29" s="13" t="s">
        <v>59</v>
      </c>
      <c r="E29" s="13" t="s">
        <v>5</v>
      </c>
      <c r="F29" s="13" t="s">
        <v>59</v>
      </c>
      <c r="G29" s="13">
        <v>0</v>
      </c>
      <c r="H29" s="13">
        <v>0</v>
      </c>
      <c r="I29" s="13">
        <v>0</v>
      </c>
      <c r="J29" s="13">
        <v>0</v>
      </c>
      <c r="K29" s="14">
        <v>8.3984099999999994E-5</v>
      </c>
      <c r="L29" s="14">
        <v>2.7576510000000001E-4</v>
      </c>
      <c r="M29" s="14">
        <v>5.5597139999999997E-4</v>
      </c>
      <c r="N29" s="14">
        <v>8.1843840000000003E-4</v>
      </c>
      <c r="O29" s="13">
        <v>1.0762371999999999E-3</v>
      </c>
      <c r="P29" s="13">
        <v>1.7380291999999999E-3</v>
      </c>
      <c r="Q29" s="13">
        <v>2.7901133E-3</v>
      </c>
    </row>
    <row r="30" spans="1:17">
      <c r="A30" s="13" t="s">
        <v>363</v>
      </c>
      <c r="B30" s="13" t="s">
        <v>1</v>
      </c>
      <c r="C30" s="13" t="s">
        <v>67</v>
      </c>
      <c r="D30" s="13" t="s">
        <v>60</v>
      </c>
      <c r="E30" s="13" t="s">
        <v>7</v>
      </c>
      <c r="F30" s="13" t="s">
        <v>60</v>
      </c>
      <c r="G30" s="13">
        <v>0</v>
      </c>
      <c r="H30" s="13">
        <v>0</v>
      </c>
      <c r="I30" s="13">
        <v>0</v>
      </c>
      <c r="J30" s="14">
        <v>3.3489899999999999E-4</v>
      </c>
      <c r="K30" s="14">
        <v>9.1609600000000003E-4</v>
      </c>
      <c r="L30" s="13">
        <v>2.2380719999999998E-3</v>
      </c>
      <c r="M30" s="13">
        <v>4.1213444999999996E-3</v>
      </c>
      <c r="N30" s="13">
        <v>5.3854209999999996E-3</v>
      </c>
      <c r="O30" s="13">
        <v>5.4805080000000003E-3</v>
      </c>
      <c r="P30" s="13">
        <v>5.4754280000000001E-3</v>
      </c>
      <c r="Q30" s="13">
        <v>5.0803849999999998E-3</v>
      </c>
    </row>
    <row r="31" spans="1:17">
      <c r="A31" s="13" t="s">
        <v>363</v>
      </c>
      <c r="B31" s="13" t="s">
        <v>1</v>
      </c>
      <c r="C31" s="13" t="s">
        <v>67</v>
      </c>
      <c r="D31" s="13" t="s">
        <v>65</v>
      </c>
      <c r="E31" s="13" t="s">
        <v>2</v>
      </c>
      <c r="F31" s="13" t="s">
        <v>65</v>
      </c>
      <c r="G31" s="13">
        <v>0</v>
      </c>
      <c r="H31" s="13">
        <v>0</v>
      </c>
      <c r="I31" s="13">
        <v>0</v>
      </c>
      <c r="J31" s="13">
        <v>0</v>
      </c>
      <c r="K31" s="14">
        <v>1.0846299999999999E-4</v>
      </c>
      <c r="L31" s="14">
        <v>3.6052749999999998E-4</v>
      </c>
      <c r="M31" s="14">
        <v>7.6674410000000001E-4</v>
      </c>
      <c r="N31" s="14">
        <v>1.1961057000000001E-3</v>
      </c>
      <c r="O31" s="13">
        <v>1.7099902999999899E-3</v>
      </c>
      <c r="P31" s="13">
        <v>2.9697325999999999E-3</v>
      </c>
      <c r="Q31" s="13">
        <v>4.8417549999999997E-3</v>
      </c>
    </row>
    <row r="32" spans="1:17">
      <c r="A32" s="13" t="s">
        <v>363</v>
      </c>
      <c r="B32" s="13" t="s">
        <v>1</v>
      </c>
      <c r="C32" s="13" t="s">
        <v>67</v>
      </c>
      <c r="D32" s="13" t="s">
        <v>19</v>
      </c>
      <c r="E32" s="13" t="s">
        <v>6</v>
      </c>
      <c r="F32" s="13" t="s">
        <v>19</v>
      </c>
      <c r="G32" s="13">
        <v>2.1348599999999999E-2</v>
      </c>
      <c r="H32" s="13">
        <v>2.5199699999999998E-2</v>
      </c>
      <c r="I32" s="13">
        <v>3.4157800000000002E-2</v>
      </c>
      <c r="J32" s="13">
        <v>3.4408800000000003E-2</v>
      </c>
      <c r="K32" s="13">
        <v>3.237922E-2</v>
      </c>
      <c r="L32" s="13">
        <v>2.6265719999999999E-2</v>
      </c>
      <c r="M32" s="13">
        <v>1.9327459999999901E-2</v>
      </c>
      <c r="N32" s="13">
        <v>1.4094812999999999E-2</v>
      </c>
      <c r="O32" s="14">
        <v>1.203648E-2</v>
      </c>
      <c r="P32" s="14">
        <v>9.9247699999999994E-3</v>
      </c>
      <c r="Q32" s="13">
        <v>7.6927089999999998E-3</v>
      </c>
    </row>
    <row r="33" spans="1:17">
      <c r="A33" s="13" t="s">
        <v>363</v>
      </c>
      <c r="B33" s="13" t="s">
        <v>1</v>
      </c>
      <c r="C33" s="13" t="s">
        <v>21</v>
      </c>
      <c r="D33" s="13" t="s">
        <v>19</v>
      </c>
      <c r="E33" s="13" t="s">
        <v>6</v>
      </c>
      <c r="F33" s="13" t="s">
        <v>19</v>
      </c>
      <c r="G33" s="13">
        <v>3.2608900000000003E-2</v>
      </c>
      <c r="H33" s="13">
        <v>5.08599E-2</v>
      </c>
      <c r="I33" s="13">
        <v>5.3873799999999999E-2</v>
      </c>
      <c r="J33" s="13">
        <v>4.94367E-2</v>
      </c>
      <c r="K33" s="13">
        <v>5.1756900000000002E-2</v>
      </c>
      <c r="L33" s="13">
        <v>5.0985299999999997E-2</v>
      </c>
      <c r="M33" s="13">
        <v>5.0701099999999999E-2</v>
      </c>
      <c r="N33" s="13">
        <v>5.0451200000000002E-2</v>
      </c>
      <c r="O33" s="14">
        <v>4.8451000000000001E-2</v>
      </c>
      <c r="P33" s="14">
        <v>4.6253000000000002E-2</v>
      </c>
      <c r="Q33" s="13">
        <v>4.4299900000000003E-2</v>
      </c>
    </row>
    <row r="34" spans="1:17">
      <c r="A34" s="13" t="s">
        <v>363</v>
      </c>
      <c r="B34" s="36" t="s">
        <v>1</v>
      </c>
      <c r="C34" s="36" t="s">
        <v>32</v>
      </c>
      <c r="D34" s="36" t="s">
        <v>33</v>
      </c>
      <c r="E34" s="36" t="s">
        <v>2</v>
      </c>
      <c r="F34" s="36" t="s">
        <v>34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4">
        <v>3.6154500000000001E-4</v>
      </c>
      <c r="M34" s="13">
        <v>1.6756049999999999E-3</v>
      </c>
      <c r="N34" s="13">
        <v>4.0908109999999998E-3</v>
      </c>
      <c r="O34" s="14">
        <v>5.63464309999999E-3</v>
      </c>
      <c r="P34" s="14">
        <v>4.7174840000000001E-3</v>
      </c>
      <c r="Q34" s="13">
        <v>2.596302E-3</v>
      </c>
    </row>
    <row r="35" spans="1:17">
      <c r="A35" s="13" t="s">
        <v>363</v>
      </c>
      <c r="B35" s="13" t="s">
        <v>1</v>
      </c>
      <c r="C35" s="13" t="s">
        <v>32</v>
      </c>
      <c r="D35" s="13" t="s">
        <v>33</v>
      </c>
      <c r="E35" s="13" t="s">
        <v>4</v>
      </c>
      <c r="F35" s="13" t="s">
        <v>33</v>
      </c>
      <c r="G35" s="13">
        <v>0.230465</v>
      </c>
      <c r="H35" s="13">
        <v>0</v>
      </c>
      <c r="I35" s="13">
        <v>0</v>
      </c>
      <c r="J35" s="13">
        <v>0.82835599999999998</v>
      </c>
      <c r="K35" s="13">
        <v>0.92597700000000005</v>
      </c>
      <c r="L35" s="13">
        <v>0.89325399999999999</v>
      </c>
      <c r="M35" s="13">
        <v>0.69538999999999995</v>
      </c>
      <c r="N35" s="13">
        <v>0.43975129999999901</v>
      </c>
      <c r="O35" s="13">
        <v>0.25185839999999998</v>
      </c>
      <c r="P35" s="13">
        <v>0.10693824</v>
      </c>
      <c r="Q35" s="13">
        <v>2.9708443000000001E-2</v>
      </c>
    </row>
    <row r="36" spans="1:17">
      <c r="A36" s="13" t="s">
        <v>363</v>
      </c>
      <c r="B36" s="13" t="s">
        <v>1</v>
      </c>
      <c r="C36" s="13" t="s">
        <v>32</v>
      </c>
      <c r="D36" s="13" t="s">
        <v>33</v>
      </c>
      <c r="E36" s="13" t="s">
        <v>4</v>
      </c>
      <c r="F36" s="13" t="s">
        <v>79</v>
      </c>
      <c r="G36" s="13">
        <v>0</v>
      </c>
      <c r="H36" s="13">
        <v>0</v>
      </c>
      <c r="I36" s="13">
        <v>0</v>
      </c>
      <c r="J36" s="13">
        <v>0</v>
      </c>
      <c r="K36" s="14">
        <v>0</v>
      </c>
      <c r="L36" s="14">
        <v>1.2234699999999999E-3</v>
      </c>
      <c r="M36" s="14">
        <v>9.9307479999999997E-3</v>
      </c>
      <c r="N36" s="14">
        <v>3.4963916999999997E-2</v>
      </c>
      <c r="O36" s="13">
        <v>6.4702424999999994E-2</v>
      </c>
      <c r="P36" s="13">
        <v>9.2168589999999995E-2</v>
      </c>
      <c r="Q36" s="13">
        <v>8.4531339999999996E-2</v>
      </c>
    </row>
    <row r="37" spans="1:17">
      <c r="A37" s="13" t="s">
        <v>363</v>
      </c>
      <c r="B37" s="13" t="s">
        <v>1</v>
      </c>
      <c r="C37" s="13" t="s">
        <v>32</v>
      </c>
      <c r="D37" s="13" t="s">
        <v>33</v>
      </c>
      <c r="E37" s="13" t="s">
        <v>4</v>
      </c>
      <c r="F37" s="13" t="s">
        <v>34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1.4968500000000001E-3</v>
      </c>
      <c r="M37" s="13">
        <v>6.9372099999999897E-3</v>
      </c>
      <c r="N37" s="13">
        <v>1.6936501999999999E-2</v>
      </c>
      <c r="O37" s="13">
        <v>2.33281539999999E-2</v>
      </c>
      <c r="P37" s="13">
        <v>1.9531030000000001E-2</v>
      </c>
      <c r="Q37" s="13">
        <v>1.07490419999999E-2</v>
      </c>
    </row>
    <row r="38" spans="1:17">
      <c r="A38" s="13" t="s">
        <v>363</v>
      </c>
      <c r="B38" s="13" t="s">
        <v>1</v>
      </c>
      <c r="C38" s="13" t="s">
        <v>32</v>
      </c>
      <c r="D38" s="13" t="s">
        <v>33</v>
      </c>
      <c r="E38" s="13" t="s">
        <v>5</v>
      </c>
      <c r="F38" s="13" t="s">
        <v>33</v>
      </c>
      <c r="G38" s="13">
        <v>1.2258E-2</v>
      </c>
      <c r="H38" s="13">
        <v>5.09463E-2</v>
      </c>
      <c r="I38" s="13">
        <v>6.1189E-2</v>
      </c>
      <c r="J38" s="13">
        <v>9.1281799999999996E-2</v>
      </c>
      <c r="K38" s="13">
        <v>0.1020393</v>
      </c>
      <c r="L38" s="14">
        <v>9.8433300000000001E-2</v>
      </c>
      <c r="M38" s="14">
        <v>7.6629500000000003E-2</v>
      </c>
      <c r="N38" s="13">
        <v>4.8459040000000002E-2</v>
      </c>
      <c r="O38" s="13">
        <v>2.775393E-2</v>
      </c>
      <c r="P38" s="13">
        <v>1.1784203E-2</v>
      </c>
      <c r="Q38" s="13">
        <v>3.273766E-3</v>
      </c>
    </row>
    <row r="39" spans="1:17">
      <c r="A39" s="13" t="s">
        <v>363</v>
      </c>
      <c r="B39" s="13" t="s">
        <v>1</v>
      </c>
      <c r="C39" s="13" t="s">
        <v>32</v>
      </c>
      <c r="D39" s="13" t="s">
        <v>33</v>
      </c>
      <c r="E39" s="13" t="s">
        <v>5</v>
      </c>
      <c r="F39" s="13" t="s">
        <v>79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4">
        <v>1.3482199999999999E-4</v>
      </c>
      <c r="M39" s="14">
        <v>1.0943330000000001E-3</v>
      </c>
      <c r="N39" s="14">
        <v>3.8528948000000002E-3</v>
      </c>
      <c r="O39" s="14">
        <v>7.1299761000000001E-3</v>
      </c>
      <c r="P39" s="14">
        <v>1.01566449999999E-2</v>
      </c>
      <c r="Q39" s="14">
        <v>9.3150630000000002E-3</v>
      </c>
    </row>
    <row r="40" spans="1:17">
      <c r="A40" s="13" t="s">
        <v>363</v>
      </c>
      <c r="B40" s="13" t="s">
        <v>1</v>
      </c>
      <c r="C40" s="13" t="s">
        <v>32</v>
      </c>
      <c r="D40" s="13" t="s">
        <v>33</v>
      </c>
      <c r="E40" s="13" t="s">
        <v>5</v>
      </c>
      <c r="F40" s="13" t="s">
        <v>34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4">
        <v>6.0080400000000002E-5</v>
      </c>
      <c r="M40" s="14">
        <v>2.784458E-4</v>
      </c>
      <c r="N40" s="14">
        <v>6.7979809999999896E-4</v>
      </c>
      <c r="O40" s="14">
        <v>9.3634540000000002E-4</v>
      </c>
      <c r="P40" s="14">
        <v>7.839349E-4</v>
      </c>
      <c r="Q40" s="14">
        <v>4.314446E-4</v>
      </c>
    </row>
    <row r="41" spans="1:17">
      <c r="A41" s="13" t="s">
        <v>363</v>
      </c>
      <c r="B41" s="13" t="s">
        <v>1</v>
      </c>
      <c r="C41" s="13" t="s">
        <v>32</v>
      </c>
      <c r="D41" s="13" t="s">
        <v>33</v>
      </c>
      <c r="E41" s="13" t="s">
        <v>6</v>
      </c>
      <c r="F41" s="13" t="s">
        <v>33</v>
      </c>
      <c r="G41" s="14">
        <v>3.2850000000000002E-4</v>
      </c>
      <c r="H41" s="14">
        <v>2.0024999999999999E-4</v>
      </c>
      <c r="I41" s="14">
        <v>1.0230000000000001E-4</v>
      </c>
      <c r="J41" s="14">
        <v>6.3050000000000001E-5</v>
      </c>
      <c r="K41" s="14">
        <v>7.0480399999999895E-5</v>
      </c>
      <c r="L41" s="14">
        <v>6.7989699999999997E-5</v>
      </c>
      <c r="M41" s="14">
        <v>5.2929319999999901E-5</v>
      </c>
      <c r="N41" s="14">
        <v>3.3471420000000001E-5</v>
      </c>
      <c r="O41" s="14">
        <v>1.9170109999999999E-5</v>
      </c>
      <c r="P41" s="14">
        <v>8.1395739999999997E-6</v>
      </c>
      <c r="Q41" s="14">
        <v>2.2612453000000001E-6</v>
      </c>
    </row>
    <row r="42" spans="1:17">
      <c r="A42" s="13" t="s">
        <v>363</v>
      </c>
      <c r="B42" s="13" t="s">
        <v>1</v>
      </c>
      <c r="C42" s="13" t="s">
        <v>32</v>
      </c>
      <c r="D42" s="13" t="s">
        <v>33</v>
      </c>
      <c r="E42" s="13" t="s">
        <v>6</v>
      </c>
      <c r="F42" s="13" t="s">
        <v>79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4">
        <v>9.3124200000000005E-8</v>
      </c>
      <c r="M42" s="14">
        <v>7.5587580000000003E-7</v>
      </c>
      <c r="N42" s="14">
        <v>2.6612635999999999E-6</v>
      </c>
      <c r="O42" s="14">
        <v>4.9247916999999998E-6</v>
      </c>
      <c r="P42" s="14">
        <v>7.0153709999999996E-6</v>
      </c>
      <c r="Q42" s="14">
        <v>6.4340779999999998E-6</v>
      </c>
    </row>
    <row r="43" spans="1:17">
      <c r="A43" s="13" t="s">
        <v>363</v>
      </c>
      <c r="B43" s="13" t="s">
        <v>1</v>
      </c>
      <c r="C43" s="13" t="s">
        <v>32</v>
      </c>
      <c r="D43" s="13" t="s">
        <v>33</v>
      </c>
      <c r="E43" s="13" t="s">
        <v>6</v>
      </c>
      <c r="F43" s="13" t="s">
        <v>34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4">
        <v>1.0959599999999999E-6</v>
      </c>
      <c r="M43" s="14">
        <v>5.079269E-6</v>
      </c>
      <c r="N43" s="14">
        <v>1.2400541E-5</v>
      </c>
      <c r="O43" s="14">
        <v>1.7080357999999998E-5</v>
      </c>
      <c r="P43" s="14">
        <v>1.43001699999999E-5</v>
      </c>
      <c r="Q43" s="14">
        <v>7.8702010000000007E-6</v>
      </c>
    </row>
    <row r="44" spans="1:17">
      <c r="A44" s="13" t="s">
        <v>363</v>
      </c>
      <c r="B44" s="13" t="s">
        <v>1</v>
      </c>
      <c r="C44" s="13" t="s">
        <v>32</v>
      </c>
      <c r="D44" s="13" t="s">
        <v>33</v>
      </c>
      <c r="E44" s="13" t="s">
        <v>7</v>
      </c>
      <c r="F44" s="13" t="s">
        <v>33</v>
      </c>
      <c r="G44" s="13">
        <v>0</v>
      </c>
      <c r="H44" s="14">
        <v>6.6749999999999996E-5</v>
      </c>
      <c r="I44" s="14">
        <v>1.2957999999999999E-4</v>
      </c>
      <c r="J44" s="14">
        <v>2.0369999999999999E-4</v>
      </c>
      <c r="K44" s="14">
        <v>2.277057E-4</v>
      </c>
      <c r="L44" s="14">
        <v>2.1965879999999999E-4</v>
      </c>
      <c r="M44" s="14">
        <v>1.7100239999999999E-4</v>
      </c>
      <c r="N44" s="14">
        <v>1.081387E-4</v>
      </c>
      <c r="O44" s="14">
        <v>6.1934209999999995E-5</v>
      </c>
      <c r="P44" s="14">
        <v>2.629706E-5</v>
      </c>
      <c r="Q44" s="14">
        <v>7.3055499999999999E-6</v>
      </c>
    </row>
    <row r="45" spans="1:17">
      <c r="A45" s="13" t="s">
        <v>363</v>
      </c>
      <c r="B45" s="13" t="s">
        <v>1</v>
      </c>
      <c r="C45" s="13" t="s">
        <v>32</v>
      </c>
      <c r="D45" s="13" t="s">
        <v>33</v>
      </c>
      <c r="E45" s="13" t="s">
        <v>7</v>
      </c>
      <c r="F45" s="13" t="s">
        <v>79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4">
        <v>3.0086299999999999E-7</v>
      </c>
      <c r="M45" s="14">
        <v>2.44205699999999E-6</v>
      </c>
      <c r="N45" s="14">
        <v>8.5979320000000003E-6</v>
      </c>
      <c r="O45" s="14">
        <v>1.5910881600000001E-5</v>
      </c>
      <c r="P45" s="14">
        <v>2.2665083000000001E-5</v>
      </c>
      <c r="Q45" s="14">
        <v>2.0787020000000001E-5</v>
      </c>
    </row>
    <row r="46" spans="1:17">
      <c r="A46" s="13" t="s">
        <v>363</v>
      </c>
      <c r="B46" s="13" t="s">
        <v>1</v>
      </c>
      <c r="C46" s="13" t="s">
        <v>32</v>
      </c>
      <c r="D46" s="13" t="s">
        <v>33</v>
      </c>
      <c r="E46" s="13" t="s">
        <v>7</v>
      </c>
      <c r="F46" s="13" t="s">
        <v>34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4">
        <v>1.0959599999999999E-6</v>
      </c>
      <c r="M46" s="14">
        <v>5.079269E-6</v>
      </c>
      <c r="N46" s="14">
        <v>1.2400541E-5</v>
      </c>
      <c r="O46" s="14">
        <v>1.7080357999999998E-5</v>
      </c>
      <c r="P46" s="14">
        <v>1.43001699999999E-5</v>
      </c>
      <c r="Q46" s="14">
        <v>7.8702010000000007E-6</v>
      </c>
    </row>
    <row r="47" spans="1:17">
      <c r="A47" s="13" t="s">
        <v>363</v>
      </c>
      <c r="B47" s="13" t="s">
        <v>1</v>
      </c>
      <c r="C47" s="13" t="s">
        <v>32</v>
      </c>
      <c r="D47" s="13" t="s">
        <v>36</v>
      </c>
      <c r="E47" s="13" t="s">
        <v>2</v>
      </c>
      <c r="F47" s="13" t="s">
        <v>37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2.1402399999999999E-2</v>
      </c>
      <c r="M47" s="13">
        <v>7.2678400000000004E-2</v>
      </c>
      <c r="N47" s="13">
        <v>0.13700309999999999</v>
      </c>
      <c r="O47" s="13">
        <v>0.19191406999999999</v>
      </c>
      <c r="P47" s="13">
        <v>0.25417020000000001</v>
      </c>
      <c r="Q47" s="13">
        <v>0.3080717</v>
      </c>
    </row>
    <row r="48" spans="1:17">
      <c r="A48" s="13" t="s">
        <v>363</v>
      </c>
      <c r="B48" s="13" t="s">
        <v>1</v>
      </c>
      <c r="C48" s="13" t="s">
        <v>32</v>
      </c>
      <c r="D48" s="13" t="s">
        <v>36</v>
      </c>
      <c r="E48" s="13" t="s">
        <v>4</v>
      </c>
      <c r="F48" s="13" t="s">
        <v>36</v>
      </c>
      <c r="G48" s="13">
        <v>1.2028799999999999E-2</v>
      </c>
      <c r="H48" s="13">
        <v>0</v>
      </c>
      <c r="I48" s="13">
        <v>0</v>
      </c>
      <c r="J48" s="13">
        <v>2.5251300000000001E-2</v>
      </c>
      <c r="K48" s="13">
        <v>2.9328569999999901E-2</v>
      </c>
      <c r="L48" s="13">
        <v>3.9253610000000001E-2</v>
      </c>
      <c r="M48" s="13">
        <v>4.8952250000000003E-2</v>
      </c>
      <c r="N48" s="13">
        <v>5.8903419999999998E-2</v>
      </c>
      <c r="O48" s="13">
        <v>5.6436350000000003E-2</v>
      </c>
      <c r="P48" s="13">
        <v>4.5038969999999998E-2</v>
      </c>
      <c r="Q48" s="13">
        <v>3.0260510000000001E-2</v>
      </c>
    </row>
    <row r="49" spans="1:17">
      <c r="A49" s="13" t="s">
        <v>363</v>
      </c>
      <c r="B49" s="13" t="s">
        <v>1</v>
      </c>
      <c r="C49" s="13" t="s">
        <v>32</v>
      </c>
      <c r="D49" s="13" t="s">
        <v>36</v>
      </c>
      <c r="E49" s="13" t="s">
        <v>4</v>
      </c>
      <c r="F49" s="13" t="s">
        <v>80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4">
        <v>4.8239000000000002E-4</v>
      </c>
      <c r="M49" s="14">
        <v>2.1174520000000001E-3</v>
      </c>
      <c r="N49" s="13">
        <v>6.0606059999999996E-3</v>
      </c>
      <c r="O49" s="13">
        <v>1.04886415E-2</v>
      </c>
      <c r="P49" s="13">
        <v>1.5895726999999998E-2</v>
      </c>
      <c r="Q49" s="13">
        <v>2.0190546E-2</v>
      </c>
    </row>
    <row r="50" spans="1:17">
      <c r="A50" s="13" t="s">
        <v>363</v>
      </c>
      <c r="B50" s="13" t="s">
        <v>1</v>
      </c>
      <c r="C50" s="13" t="s">
        <v>32</v>
      </c>
      <c r="D50" s="13" t="s">
        <v>36</v>
      </c>
      <c r="E50" s="13" t="s">
        <v>5</v>
      </c>
      <c r="F50" s="13" t="s">
        <v>36</v>
      </c>
      <c r="G50" s="13">
        <v>1.1003300000000001E-2</v>
      </c>
      <c r="H50" s="13">
        <v>4.8056399999999999E-2</v>
      </c>
      <c r="I50" s="13">
        <v>5.3370800000000003E-2</v>
      </c>
      <c r="J50" s="13">
        <v>4.7853699999999999E-2</v>
      </c>
      <c r="K50" s="13">
        <v>5.5580599999999897E-2</v>
      </c>
      <c r="L50" s="13">
        <v>7.4389299999999894E-2</v>
      </c>
      <c r="M50" s="13">
        <v>9.2769229999999994E-2</v>
      </c>
      <c r="N50" s="13">
        <v>0.11162758</v>
      </c>
      <c r="O50" s="13">
        <v>0.10695230999999999</v>
      </c>
      <c r="P50" s="13">
        <v>8.5353079999999998E-2</v>
      </c>
      <c r="Q50" s="13">
        <v>5.7346649999999999E-2</v>
      </c>
    </row>
    <row r="51" spans="1:17">
      <c r="A51" s="13" t="s">
        <v>363</v>
      </c>
      <c r="B51" s="13" t="s">
        <v>1</v>
      </c>
      <c r="C51" s="13" t="s">
        <v>32</v>
      </c>
      <c r="D51" s="13" t="s">
        <v>36</v>
      </c>
      <c r="E51" s="13" t="s">
        <v>5</v>
      </c>
      <c r="F51" s="13" t="s">
        <v>80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4">
        <v>9.1417699999999996E-4</v>
      </c>
      <c r="M51" s="13">
        <v>4.012776E-3</v>
      </c>
      <c r="N51" s="13">
        <v>1.1485442E-2</v>
      </c>
      <c r="O51" s="13">
        <v>1.9877009000000001E-2</v>
      </c>
      <c r="P51" s="13">
        <v>3.0123976E-2</v>
      </c>
      <c r="Q51" s="13">
        <v>3.8263069999999899E-2</v>
      </c>
    </row>
    <row r="52" spans="1:17">
      <c r="A52" s="13" t="s">
        <v>363</v>
      </c>
      <c r="B52" s="13" t="s">
        <v>1</v>
      </c>
      <c r="C52" s="13" t="s">
        <v>32</v>
      </c>
      <c r="D52" s="13" t="s">
        <v>36</v>
      </c>
      <c r="E52" s="13" t="s">
        <v>5</v>
      </c>
      <c r="F52" s="13" t="s">
        <v>37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6.7241499999999999E-3</v>
      </c>
      <c r="M52" s="13">
        <v>2.2833900000000001E-2</v>
      </c>
      <c r="N52" s="13">
        <v>4.304322E-2</v>
      </c>
      <c r="O52" s="13">
        <v>6.0295009999999899E-2</v>
      </c>
      <c r="P52" s="13">
        <v>7.9854449999999993E-2</v>
      </c>
      <c r="Q52" s="13">
        <v>9.6788920000000001E-2</v>
      </c>
    </row>
    <row r="53" spans="1:17">
      <c r="A53" s="13" t="s">
        <v>363</v>
      </c>
      <c r="B53" s="13" t="s">
        <v>1</v>
      </c>
      <c r="C53" s="13" t="s">
        <v>32</v>
      </c>
      <c r="D53" s="13" t="s">
        <v>36</v>
      </c>
      <c r="E53" s="13" t="s">
        <v>6</v>
      </c>
      <c r="F53" s="13" t="s">
        <v>36</v>
      </c>
      <c r="G53" s="14">
        <v>3.1203700000000001E-2</v>
      </c>
      <c r="H53" s="14">
        <v>1.9871300000000001E-2</v>
      </c>
      <c r="I53" s="14">
        <v>9.5727999999999994E-3</v>
      </c>
      <c r="J53" s="14">
        <v>3.3750400000000002E-3</v>
      </c>
      <c r="K53" s="14">
        <v>3.9199999999999999E-3</v>
      </c>
      <c r="L53" s="14">
        <v>5.2465560000000003E-3</v>
      </c>
      <c r="M53" s="14">
        <v>6.542862E-3</v>
      </c>
      <c r="N53" s="14">
        <v>7.8729009999999999E-3</v>
      </c>
      <c r="O53" s="14">
        <v>7.5431609999999996E-3</v>
      </c>
      <c r="P53" s="14">
        <v>6.0198129999999997E-3</v>
      </c>
      <c r="Q53" s="14">
        <v>4.0445580000000002E-3</v>
      </c>
    </row>
    <row r="54" spans="1:17">
      <c r="A54" s="13" t="s">
        <v>363</v>
      </c>
      <c r="B54" s="13" t="s">
        <v>1</v>
      </c>
      <c r="C54" s="13" t="s">
        <v>32</v>
      </c>
      <c r="D54" s="13" t="s">
        <v>36</v>
      </c>
      <c r="E54" s="13" t="s">
        <v>6</v>
      </c>
      <c r="F54" s="13" t="s">
        <v>80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4">
        <v>6.4475300000000003E-5</v>
      </c>
      <c r="M54" s="14">
        <v>2.8301349999999999E-4</v>
      </c>
      <c r="N54" s="14">
        <v>8.1004869999999997E-4</v>
      </c>
      <c r="O54" s="14">
        <v>1.40189E-3</v>
      </c>
      <c r="P54" s="14">
        <v>2.1245906000000002E-3</v>
      </c>
      <c r="Q54" s="14">
        <v>2.6986240000000002E-3</v>
      </c>
    </row>
    <row r="55" spans="1:17">
      <c r="A55" s="13" t="s">
        <v>363</v>
      </c>
      <c r="B55" s="13" t="s">
        <v>1</v>
      </c>
      <c r="C55" s="13" t="s">
        <v>32</v>
      </c>
      <c r="D55" s="13" t="s">
        <v>36</v>
      </c>
      <c r="E55" s="13" t="s">
        <v>7</v>
      </c>
      <c r="F55" s="13" t="s">
        <v>36</v>
      </c>
      <c r="G55" s="13">
        <v>0</v>
      </c>
      <c r="H55" s="13">
        <v>3.8401699999999997E-2</v>
      </c>
      <c r="I55" s="13">
        <v>6.6848400000000002E-2</v>
      </c>
      <c r="J55" s="13">
        <v>6.3758999999999996E-2</v>
      </c>
      <c r="K55" s="13">
        <v>7.4053999999999995E-2</v>
      </c>
      <c r="L55" s="14">
        <v>9.9114399999999894E-2</v>
      </c>
      <c r="M55" s="14">
        <v>0.1236032</v>
      </c>
      <c r="N55" s="14">
        <v>0.14872948</v>
      </c>
      <c r="O55" s="14">
        <v>0.14250040999999999</v>
      </c>
      <c r="P55" s="14">
        <v>0.113722399999999</v>
      </c>
      <c r="Q55" s="14">
        <v>7.6407000000000003E-2</v>
      </c>
    </row>
    <row r="56" spans="1:17">
      <c r="A56" s="13" t="s">
        <v>363</v>
      </c>
      <c r="B56" s="13" t="s">
        <v>1</v>
      </c>
      <c r="C56" s="13" t="s">
        <v>32</v>
      </c>
      <c r="D56" s="13" t="s">
        <v>36</v>
      </c>
      <c r="E56" s="13" t="s">
        <v>7</v>
      </c>
      <c r="F56" s="13" t="s">
        <v>80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1.21802E-3</v>
      </c>
      <c r="M56" s="13">
        <v>5.346511E-3</v>
      </c>
      <c r="N56" s="13">
        <v>1.5302921000000001E-2</v>
      </c>
      <c r="O56" s="13">
        <v>2.6483566E-2</v>
      </c>
      <c r="P56" s="13">
        <v>4.0136293000000003E-2</v>
      </c>
      <c r="Q56" s="13">
        <v>5.0980629999999999E-2</v>
      </c>
    </row>
    <row r="57" spans="1:17">
      <c r="A57" s="13" t="s">
        <v>363</v>
      </c>
      <c r="B57" s="13" t="s">
        <v>1</v>
      </c>
      <c r="C57" s="13" t="s">
        <v>32</v>
      </c>
      <c r="D57" s="13" t="s">
        <v>38</v>
      </c>
      <c r="E57" s="13" t="s">
        <v>5</v>
      </c>
      <c r="F57" s="13" t="s">
        <v>38</v>
      </c>
      <c r="G57" s="13">
        <v>1.29474E-2</v>
      </c>
      <c r="H57" s="13">
        <v>5.6549799999999997E-2</v>
      </c>
      <c r="I57" s="13">
        <v>6.2802300000000005E-2</v>
      </c>
      <c r="J57" s="13">
        <v>5.6310399999999997E-2</v>
      </c>
      <c r="K57" s="13">
        <v>5.8021499999999997E-2</v>
      </c>
      <c r="L57" s="14">
        <v>6.676928E-2</v>
      </c>
      <c r="M57" s="14">
        <v>7.3520600000000005E-2</v>
      </c>
      <c r="N57" s="14">
        <v>6.9987499999999994E-2</v>
      </c>
      <c r="O57" s="13">
        <v>6.8753579999999995E-2</v>
      </c>
      <c r="P57" s="13">
        <v>7.0499740000000005E-2</v>
      </c>
      <c r="Q57" s="13">
        <v>7.4195230000000001E-2</v>
      </c>
    </row>
    <row r="58" spans="1:17">
      <c r="A58" s="13" t="s">
        <v>363</v>
      </c>
      <c r="B58" s="13" t="s">
        <v>1</v>
      </c>
      <c r="C58" s="13" t="s">
        <v>32</v>
      </c>
      <c r="D58" s="13" t="s">
        <v>38</v>
      </c>
      <c r="E58" s="13" t="s">
        <v>6</v>
      </c>
      <c r="F58" s="13" t="s">
        <v>38</v>
      </c>
      <c r="G58" s="13">
        <v>6.9363999999999997E-3</v>
      </c>
      <c r="H58" s="13">
        <v>4.4173499999999996E-3</v>
      </c>
      <c r="I58" s="13">
        <v>2.1278400000000002E-3</v>
      </c>
      <c r="J58" s="14">
        <v>7.5047999999999998E-4</v>
      </c>
      <c r="K58" s="14">
        <v>7.7328599999999998E-4</v>
      </c>
      <c r="L58" s="14">
        <v>8.8987199999999999E-4</v>
      </c>
      <c r="M58" s="14">
        <v>9.7985070000000001E-4</v>
      </c>
      <c r="N58" s="14">
        <v>9.3276139999999997E-4</v>
      </c>
      <c r="O58" s="14">
        <v>9.1631639999999995E-4</v>
      </c>
      <c r="P58" s="14">
        <v>9.3958869999999904E-4</v>
      </c>
      <c r="Q58" s="14">
        <v>9.888408E-4</v>
      </c>
    </row>
    <row r="59" spans="1:17">
      <c r="A59" s="13" t="s">
        <v>363</v>
      </c>
      <c r="B59" s="13" t="s">
        <v>1</v>
      </c>
      <c r="C59" s="13" t="s">
        <v>66</v>
      </c>
      <c r="D59" s="13" t="s">
        <v>59</v>
      </c>
      <c r="E59" s="13" t="s">
        <v>5</v>
      </c>
      <c r="F59" s="13" t="s">
        <v>59</v>
      </c>
      <c r="G59" s="13">
        <v>3.6418100000000001E-3</v>
      </c>
      <c r="H59" s="13">
        <v>4.7302400000000001E-3</v>
      </c>
      <c r="I59" s="13">
        <v>6.0696700000000001E-3</v>
      </c>
      <c r="J59" s="13">
        <v>5.86039E-3</v>
      </c>
      <c r="K59" s="13">
        <v>5.5990809999999997E-3</v>
      </c>
      <c r="L59" s="13">
        <v>4.9519319999999896E-3</v>
      </c>
      <c r="M59" s="13">
        <v>4.3618219999999996E-3</v>
      </c>
      <c r="N59" s="13">
        <v>3.9637530000000004E-3</v>
      </c>
      <c r="O59" s="13">
        <v>3.9182790000000002E-3</v>
      </c>
      <c r="P59" s="13">
        <v>4.1502409999999998E-3</v>
      </c>
      <c r="Q59" s="13">
        <v>4.4821490000000004E-3</v>
      </c>
    </row>
    <row r="60" spans="1:17">
      <c r="A60" s="13" t="s">
        <v>363</v>
      </c>
      <c r="B60" s="13" t="s">
        <v>1</v>
      </c>
      <c r="C60" s="13" t="s">
        <v>66</v>
      </c>
      <c r="D60" s="13" t="s">
        <v>65</v>
      </c>
      <c r="E60" s="13" t="s">
        <v>2</v>
      </c>
      <c r="F60" s="13" t="s">
        <v>65</v>
      </c>
      <c r="G60" s="13">
        <v>0</v>
      </c>
      <c r="H60" s="13">
        <v>0</v>
      </c>
      <c r="I60" s="13">
        <v>0</v>
      </c>
      <c r="J60" s="13">
        <v>0</v>
      </c>
      <c r="K60" s="14">
        <v>6.2479099999999998E-6</v>
      </c>
      <c r="L60" s="14">
        <v>2.6120889999999999E-5</v>
      </c>
      <c r="M60" s="14">
        <v>6.4491469999999995E-5</v>
      </c>
      <c r="N60" s="14">
        <v>1.0769766E-4</v>
      </c>
      <c r="O60" s="14">
        <v>1.4559172999999999E-4</v>
      </c>
      <c r="P60" s="14">
        <v>2.1022476000000001E-4</v>
      </c>
      <c r="Q60" s="14">
        <v>2.8072749999999999E-4</v>
      </c>
    </row>
    <row r="61" spans="1:17">
      <c r="A61" s="13" t="s">
        <v>363</v>
      </c>
      <c r="B61" s="13" t="s">
        <v>1</v>
      </c>
      <c r="C61" s="13" t="s">
        <v>66</v>
      </c>
      <c r="D61" s="13" t="s">
        <v>19</v>
      </c>
      <c r="E61" s="13" t="s">
        <v>6</v>
      </c>
      <c r="F61" s="13" t="s">
        <v>19</v>
      </c>
      <c r="G61" s="13">
        <v>4.7302200000000003E-3</v>
      </c>
      <c r="H61" s="13">
        <v>2.4697199999999999E-3</v>
      </c>
      <c r="I61" s="13">
        <v>3.5580799999999999E-3</v>
      </c>
      <c r="J61" s="13">
        <v>2.679E-3</v>
      </c>
      <c r="K61" s="13">
        <v>2.7432239999999998E-3</v>
      </c>
      <c r="L61" s="13">
        <v>2.7752369999999998E-3</v>
      </c>
      <c r="M61" s="13">
        <v>2.9075799999999999E-3</v>
      </c>
      <c r="N61" s="13">
        <v>2.8948889999999999E-3</v>
      </c>
      <c r="O61" s="13">
        <v>2.5337269999999999E-3</v>
      </c>
      <c r="P61" s="13">
        <v>1.94131599999999E-3</v>
      </c>
      <c r="Q61" s="13">
        <v>1.300222E-3</v>
      </c>
    </row>
    <row r="62" spans="1:17">
      <c r="A62" s="13" t="s">
        <v>363</v>
      </c>
      <c r="B62" s="13" t="s">
        <v>1</v>
      </c>
      <c r="C62" s="13" t="s">
        <v>68</v>
      </c>
      <c r="D62" s="13" t="s">
        <v>57</v>
      </c>
      <c r="E62" s="13" t="s">
        <v>3</v>
      </c>
      <c r="F62" s="13" t="s">
        <v>57</v>
      </c>
      <c r="G62" s="13">
        <v>7.4416999999999999E-3</v>
      </c>
      <c r="H62" s="13">
        <v>6.0756999999999999E-2</v>
      </c>
      <c r="I62" s="13">
        <v>8.3468000000000001E-2</v>
      </c>
      <c r="J62" s="13">
        <v>0.105323</v>
      </c>
      <c r="K62" s="13">
        <v>0.1162292</v>
      </c>
      <c r="L62" s="13">
        <v>0.11779444999999999</v>
      </c>
      <c r="M62" s="13">
        <v>0.13190887000000001</v>
      </c>
      <c r="N62" s="13">
        <v>0.16697993999999999</v>
      </c>
      <c r="O62" s="13">
        <v>0.16587701999999999</v>
      </c>
      <c r="P62" s="13">
        <v>0.14864665999999899</v>
      </c>
      <c r="Q62" s="13">
        <v>0.123084891</v>
      </c>
    </row>
    <row r="63" spans="1:17">
      <c r="A63" s="13" t="s">
        <v>363</v>
      </c>
      <c r="B63" s="13" t="s">
        <v>1</v>
      </c>
      <c r="C63" s="13" t="s">
        <v>68</v>
      </c>
      <c r="D63" s="13" t="s">
        <v>57</v>
      </c>
      <c r="E63" s="13" t="s">
        <v>3</v>
      </c>
      <c r="F63" s="13" t="s">
        <v>69</v>
      </c>
      <c r="G63" s="13">
        <v>0</v>
      </c>
      <c r="H63" s="13">
        <v>2.1419999999999998E-3</v>
      </c>
      <c r="I63" s="13">
        <v>4.1219999999999998E-3</v>
      </c>
      <c r="J63" s="13">
        <v>4.248E-3</v>
      </c>
      <c r="K63" s="13">
        <v>4.9846659999999996E-3</v>
      </c>
      <c r="L63" s="13">
        <v>5.5061090000000004E-3</v>
      </c>
      <c r="M63" s="13">
        <v>1.0041982E-2</v>
      </c>
      <c r="N63" s="13">
        <v>2.4034429999999999E-2</v>
      </c>
      <c r="O63" s="13">
        <v>2.5735553000000001E-2</v>
      </c>
      <c r="P63" s="13">
        <v>2.37790219999999E-2</v>
      </c>
      <c r="Q63" s="13">
        <v>1.9049884600000001E-2</v>
      </c>
    </row>
    <row r="64" spans="1:17">
      <c r="A64" s="13" t="s">
        <v>363</v>
      </c>
      <c r="B64" s="13" t="s">
        <v>1</v>
      </c>
      <c r="C64" s="13" t="s">
        <v>68</v>
      </c>
      <c r="D64" s="13" t="s">
        <v>58</v>
      </c>
      <c r="E64" s="13" t="s">
        <v>4</v>
      </c>
      <c r="F64" s="13" t="s">
        <v>58</v>
      </c>
      <c r="G64" s="13">
        <v>0.16164100000000001</v>
      </c>
      <c r="H64" s="13">
        <v>0.48991299999999999</v>
      </c>
      <c r="I64" s="13">
        <v>0.63810900000000004</v>
      </c>
      <c r="J64" s="13">
        <v>2.1982600000000001E-2</v>
      </c>
      <c r="K64" s="13">
        <v>2.3404970000000001E-2</v>
      </c>
      <c r="L64" s="13">
        <v>2.2903207999999901E-2</v>
      </c>
      <c r="M64" s="13">
        <v>2.0888284E-2</v>
      </c>
      <c r="N64" s="13">
        <v>1.53293029999999E-2</v>
      </c>
      <c r="O64" s="13">
        <v>8.9947150000000003E-3</v>
      </c>
      <c r="P64" s="13">
        <v>5.6260629999999997E-3</v>
      </c>
      <c r="Q64" s="13">
        <v>3.9582161000000001E-3</v>
      </c>
    </row>
    <row r="65" spans="1:17">
      <c r="A65" s="13" t="s">
        <v>363</v>
      </c>
      <c r="B65" s="13" t="s">
        <v>1</v>
      </c>
      <c r="C65" s="13" t="s">
        <v>68</v>
      </c>
      <c r="D65" s="13" t="s">
        <v>58</v>
      </c>
      <c r="E65" s="13" t="s">
        <v>4</v>
      </c>
      <c r="F65" s="13" t="s">
        <v>70</v>
      </c>
      <c r="G65" s="13">
        <v>8.48304E-2</v>
      </c>
      <c r="H65" s="13">
        <v>0.211954</v>
      </c>
      <c r="I65" s="13">
        <v>0.27050400000000002</v>
      </c>
      <c r="J65" s="13">
        <v>0.29669800000000002</v>
      </c>
      <c r="K65" s="13">
        <v>0.34760549999999901</v>
      </c>
      <c r="L65" s="14">
        <v>0.34296200999999998</v>
      </c>
      <c r="M65" s="14">
        <v>0.316191209999999</v>
      </c>
      <c r="N65" s="14">
        <v>0.23133435999999999</v>
      </c>
      <c r="O65" s="13">
        <v>0.12642997</v>
      </c>
      <c r="P65" s="13">
        <v>6.5419389999999994E-2</v>
      </c>
      <c r="Q65" s="13">
        <v>3.5785793999999899E-2</v>
      </c>
    </row>
    <row r="66" spans="1:17">
      <c r="A66" s="13" t="s">
        <v>363</v>
      </c>
      <c r="B66" s="13" t="s">
        <v>1</v>
      </c>
      <c r="C66" s="13" t="s">
        <v>68</v>
      </c>
      <c r="D66" s="13" t="s">
        <v>59</v>
      </c>
      <c r="E66" s="13" t="s">
        <v>5</v>
      </c>
      <c r="F66" s="13" t="s">
        <v>59</v>
      </c>
      <c r="G66" s="13">
        <v>0.11110399999999999</v>
      </c>
      <c r="H66" s="13">
        <v>0.328934</v>
      </c>
      <c r="I66" s="14">
        <v>0.46490999999999999</v>
      </c>
      <c r="J66" s="14">
        <v>0.54062200000000005</v>
      </c>
      <c r="K66" s="14">
        <v>0.56406990000000001</v>
      </c>
      <c r="L66" s="14">
        <v>0.55762780000000001</v>
      </c>
      <c r="M66" s="14">
        <v>0.54209180000000001</v>
      </c>
      <c r="N66" s="14">
        <v>0.50699640000000001</v>
      </c>
      <c r="O66" s="14">
        <v>0.49752950000000001</v>
      </c>
      <c r="P66" s="14">
        <v>0.52309838999999902</v>
      </c>
      <c r="Q66" s="14">
        <v>0.56921513000000001</v>
      </c>
    </row>
    <row r="67" spans="1:17">
      <c r="A67" s="13" t="s">
        <v>363</v>
      </c>
      <c r="B67" s="13" t="s">
        <v>1</v>
      </c>
      <c r="C67" s="13" t="s">
        <v>68</v>
      </c>
      <c r="D67" s="13" t="s">
        <v>60</v>
      </c>
      <c r="E67" s="13" t="s">
        <v>7</v>
      </c>
      <c r="F67" s="13" t="s">
        <v>60</v>
      </c>
      <c r="G67" s="13">
        <v>0</v>
      </c>
      <c r="H67" s="13">
        <v>0.11128399999999999</v>
      </c>
      <c r="I67" s="13">
        <v>0.14635400000000001</v>
      </c>
      <c r="J67" s="13">
        <v>0.18251600000000001</v>
      </c>
      <c r="K67" s="13">
        <v>0.1982621</v>
      </c>
      <c r="L67" s="13">
        <v>0.19678151999999999</v>
      </c>
      <c r="M67" s="13">
        <v>0.19490783</v>
      </c>
      <c r="N67" s="13">
        <v>0.18071965000000001</v>
      </c>
      <c r="O67" s="13">
        <v>0.15429473999999899</v>
      </c>
      <c r="P67" s="13">
        <v>0.13425693</v>
      </c>
      <c r="Q67" s="13">
        <v>0.11696015</v>
      </c>
    </row>
    <row r="68" spans="1:17">
      <c r="A68" s="13" t="s">
        <v>363</v>
      </c>
      <c r="B68" s="13" t="s">
        <v>1</v>
      </c>
      <c r="C68" s="13" t="s">
        <v>68</v>
      </c>
      <c r="D68" s="13" t="s">
        <v>60</v>
      </c>
      <c r="E68" s="13" t="s">
        <v>7</v>
      </c>
      <c r="F68" s="13" t="s">
        <v>71</v>
      </c>
      <c r="G68" s="13">
        <v>0</v>
      </c>
      <c r="H68" s="13">
        <v>4.4654399999999997E-2</v>
      </c>
      <c r="I68" s="13">
        <v>3.1607999999999997E-2</v>
      </c>
      <c r="J68" s="13">
        <v>4.32576E-2</v>
      </c>
      <c r="K68" s="13">
        <v>4.9483829999999999E-2</v>
      </c>
      <c r="L68" s="14">
        <v>5.0558970000000002E-2</v>
      </c>
      <c r="M68" s="13">
        <v>5.8281880000000001E-2</v>
      </c>
      <c r="N68" s="13">
        <v>6.8448149999999999E-2</v>
      </c>
      <c r="O68" s="13">
        <v>6.5972329999999996E-2</v>
      </c>
      <c r="P68" s="13">
        <v>5.8313660000000003E-2</v>
      </c>
      <c r="Q68" s="13">
        <v>4.7877865999999998E-2</v>
      </c>
    </row>
    <row r="69" spans="1:17">
      <c r="A69" s="13" t="s">
        <v>363</v>
      </c>
      <c r="B69" s="13" t="s">
        <v>1</v>
      </c>
      <c r="C69" s="13" t="s">
        <v>68</v>
      </c>
      <c r="D69" s="13" t="s">
        <v>65</v>
      </c>
      <c r="E69" s="13" t="s">
        <v>2</v>
      </c>
      <c r="F69" s="13" t="s">
        <v>65</v>
      </c>
      <c r="G69" s="13">
        <v>0</v>
      </c>
      <c r="H69" s="13">
        <v>0</v>
      </c>
      <c r="I69" s="13">
        <v>0</v>
      </c>
      <c r="J69" s="14">
        <v>0</v>
      </c>
      <c r="K69" s="14">
        <v>5.2742000000000002E-4</v>
      </c>
      <c r="L69" s="14">
        <v>8.3806899999999999E-4</v>
      </c>
      <c r="M69" s="13">
        <v>3.0739550000000002E-3</v>
      </c>
      <c r="N69" s="13">
        <v>1.0287137E-2</v>
      </c>
      <c r="O69" s="13">
        <v>2.2024698999999998E-2</v>
      </c>
      <c r="P69" s="13">
        <v>3.1804234299999998E-2</v>
      </c>
      <c r="Q69" s="13">
        <v>4.0911207300000002E-2</v>
      </c>
    </row>
    <row r="70" spans="1:17">
      <c r="A70" s="13" t="s">
        <v>363</v>
      </c>
      <c r="B70" s="13" t="s">
        <v>1</v>
      </c>
      <c r="C70" s="13" t="s">
        <v>68</v>
      </c>
      <c r="D70" s="13" t="s">
        <v>65</v>
      </c>
      <c r="E70" s="13" t="s">
        <v>2</v>
      </c>
      <c r="F70" s="13" t="s">
        <v>72</v>
      </c>
      <c r="G70" s="13">
        <v>0</v>
      </c>
      <c r="H70" s="14">
        <v>0</v>
      </c>
      <c r="I70" s="14">
        <v>0</v>
      </c>
      <c r="J70" s="14">
        <v>0</v>
      </c>
      <c r="K70" s="14">
        <v>3.0343699999999999E-4</v>
      </c>
      <c r="L70" s="14">
        <v>5.1838100000000005E-4</v>
      </c>
      <c r="M70" s="14">
        <v>2.5332639999999999E-3</v>
      </c>
      <c r="N70" s="14">
        <v>1.0590555999999999E-2</v>
      </c>
      <c r="O70" s="14">
        <v>2.8420677999999901E-2</v>
      </c>
      <c r="P70" s="14">
        <v>4.5673477499999997E-2</v>
      </c>
      <c r="Q70" s="14">
        <v>6.1869660899999998E-2</v>
      </c>
    </row>
    <row r="71" spans="1:17">
      <c r="A71" s="13" t="s">
        <v>363</v>
      </c>
      <c r="B71" s="13" t="s">
        <v>1</v>
      </c>
      <c r="C71" s="13" t="s">
        <v>68</v>
      </c>
      <c r="D71" s="13" t="s">
        <v>19</v>
      </c>
      <c r="E71" s="13" t="s">
        <v>6</v>
      </c>
      <c r="F71" s="13" t="s">
        <v>19</v>
      </c>
      <c r="G71" s="13">
        <v>0.26414799999999999</v>
      </c>
      <c r="H71" s="13">
        <v>0.25026999999999999</v>
      </c>
      <c r="I71" s="13">
        <v>0.194684</v>
      </c>
      <c r="J71" s="13">
        <v>0.14664099999999999</v>
      </c>
      <c r="K71" s="13">
        <v>0.15991719999999901</v>
      </c>
      <c r="L71" s="14">
        <v>0.15968451</v>
      </c>
      <c r="M71" s="14">
        <v>0.16381298</v>
      </c>
      <c r="N71" s="14">
        <v>0.17023980999999999</v>
      </c>
      <c r="O71" s="14">
        <v>0.16629213999999901</v>
      </c>
      <c r="P71" s="14">
        <v>0.1550955</v>
      </c>
      <c r="Q71" s="14">
        <v>0.137424143</v>
      </c>
    </row>
    <row r="72" spans="1:17">
      <c r="A72" s="13" t="s">
        <v>363</v>
      </c>
      <c r="B72" s="13" t="s">
        <v>1</v>
      </c>
      <c r="C72" s="13" t="s">
        <v>68</v>
      </c>
      <c r="D72" s="13" t="s">
        <v>19</v>
      </c>
      <c r="E72" s="13" t="s">
        <v>6</v>
      </c>
      <c r="F72" s="13" t="s">
        <v>73</v>
      </c>
      <c r="G72" s="13">
        <v>0</v>
      </c>
      <c r="H72" s="13">
        <v>7.1294399999999994E-2</v>
      </c>
      <c r="I72" s="13">
        <v>5.7196799999999999E-2</v>
      </c>
      <c r="J72" s="13">
        <v>2.7835200000000001E-2</v>
      </c>
      <c r="K72" s="13">
        <v>3.09209999999999E-2</v>
      </c>
      <c r="L72" s="14">
        <v>3.1361269999999997E-2</v>
      </c>
      <c r="M72" s="14">
        <v>3.4998069999999999E-2</v>
      </c>
      <c r="N72" s="14">
        <v>4.267982E-2</v>
      </c>
      <c r="O72" s="14">
        <v>4.4492900000000002E-2</v>
      </c>
      <c r="P72" s="14">
        <v>4.0491513999999999E-2</v>
      </c>
      <c r="Q72" s="14">
        <v>3.2149098000000001E-2</v>
      </c>
    </row>
    <row r="73" spans="1:17">
      <c r="A73" s="13" t="s">
        <v>363</v>
      </c>
      <c r="B73" s="13" t="s">
        <v>1</v>
      </c>
      <c r="C73" s="13" t="s">
        <v>22</v>
      </c>
      <c r="D73" s="13" t="s">
        <v>19</v>
      </c>
      <c r="E73" s="13" t="s">
        <v>6</v>
      </c>
      <c r="F73" s="13" t="s">
        <v>19</v>
      </c>
      <c r="G73" s="13">
        <v>0</v>
      </c>
      <c r="H73" s="13">
        <v>3.1394999999999999E-2</v>
      </c>
      <c r="I73" s="13">
        <v>3.1520699999999999E-2</v>
      </c>
      <c r="J73" s="13">
        <v>2.9218299999999999E-2</v>
      </c>
      <c r="K73" s="13">
        <v>3.3638300000000003E-2</v>
      </c>
      <c r="L73" s="13">
        <v>3.4697100000000002E-2</v>
      </c>
      <c r="M73" s="13">
        <v>4.3046500000000001E-2</v>
      </c>
      <c r="N73" s="13">
        <v>6.8080500000000002E-2</v>
      </c>
      <c r="O73" s="13">
        <v>9.6975500000000006E-2</v>
      </c>
      <c r="P73" s="13">
        <v>0.115465</v>
      </c>
      <c r="Q73" s="13">
        <v>0.12864200000000001</v>
      </c>
    </row>
    <row r="74" spans="1:17">
      <c r="A74" s="13" t="s">
        <v>363</v>
      </c>
      <c r="B74" s="13" t="s">
        <v>1</v>
      </c>
      <c r="C74" s="13" t="s">
        <v>62</v>
      </c>
      <c r="D74" s="13" t="s">
        <v>57</v>
      </c>
      <c r="E74" s="13" t="s">
        <v>3</v>
      </c>
      <c r="F74" s="13" t="s">
        <v>57</v>
      </c>
      <c r="G74" s="13">
        <v>3.6571800000000002E-2</v>
      </c>
      <c r="H74" s="13">
        <v>3.9287299999999997E-2</v>
      </c>
      <c r="I74" s="13">
        <v>4.2373099999999997E-2</v>
      </c>
      <c r="J74" s="13">
        <v>3.9861500000000001E-2</v>
      </c>
      <c r="K74" s="13">
        <v>3.9867916000000003E-2</v>
      </c>
      <c r="L74" s="13">
        <v>2.9426437999999999E-2</v>
      </c>
      <c r="M74" s="13">
        <v>2.55534E-2</v>
      </c>
      <c r="N74" s="13">
        <v>2.9750978000000001E-2</v>
      </c>
      <c r="O74" s="13">
        <v>4.3877429999999898E-2</v>
      </c>
      <c r="P74" s="13">
        <v>4.4918956999999898E-2</v>
      </c>
      <c r="Q74" s="13">
        <v>4.1515022399999997E-2</v>
      </c>
    </row>
    <row r="75" spans="1:17">
      <c r="A75" s="13" t="s">
        <v>363</v>
      </c>
      <c r="B75" s="13" t="s">
        <v>1</v>
      </c>
      <c r="C75" s="13" t="s">
        <v>62</v>
      </c>
      <c r="D75" s="13" t="s">
        <v>58</v>
      </c>
      <c r="E75" s="13" t="s">
        <v>4</v>
      </c>
      <c r="F75" s="13" t="s">
        <v>58</v>
      </c>
      <c r="G75" s="13">
        <v>8.5812200000000005E-2</v>
      </c>
      <c r="H75" s="13">
        <v>0.118297</v>
      </c>
      <c r="I75" s="13">
        <v>0.112141</v>
      </c>
      <c r="J75" s="13">
        <v>0.114653</v>
      </c>
      <c r="K75" s="13">
        <v>0.11497772000000001</v>
      </c>
      <c r="L75" s="13">
        <v>8.4539980000000001E-2</v>
      </c>
      <c r="M75" s="13">
        <v>7.3013309999999998E-2</v>
      </c>
      <c r="N75" s="13">
        <v>5.7594528999999998E-2</v>
      </c>
      <c r="O75" s="13">
        <v>2.5224239999999998E-2</v>
      </c>
      <c r="P75" s="13">
        <v>1.0680395000000001E-2</v>
      </c>
      <c r="Q75" s="13">
        <v>6.2012617000000003E-3</v>
      </c>
    </row>
    <row r="76" spans="1:17">
      <c r="A76" s="13" t="s">
        <v>363</v>
      </c>
      <c r="B76" s="13" t="s">
        <v>1</v>
      </c>
      <c r="C76" s="13" t="s">
        <v>62</v>
      </c>
      <c r="D76" s="13" t="s">
        <v>19</v>
      </c>
      <c r="E76" s="13" t="s">
        <v>6</v>
      </c>
      <c r="F76" s="13" t="s">
        <v>19</v>
      </c>
      <c r="G76" s="13">
        <v>1.6688700000000001E-2</v>
      </c>
      <c r="H76" s="13">
        <v>2.1488799999999999E-2</v>
      </c>
      <c r="I76" s="13">
        <v>2.1070200000000001E-2</v>
      </c>
      <c r="J76" s="13">
        <v>2.1070200000000001E-2</v>
      </c>
      <c r="K76" s="13">
        <v>7.9246639999999997E-3</v>
      </c>
      <c r="L76" s="13">
        <v>1.0958058999999999E-2</v>
      </c>
      <c r="M76" s="13">
        <v>9.8226270000000004E-3</v>
      </c>
      <c r="N76" s="13">
        <v>1.02324859999999E-2</v>
      </c>
      <c r="O76" s="13">
        <v>2.1306697999999999E-2</v>
      </c>
      <c r="P76" s="13">
        <v>2.61737836E-2</v>
      </c>
      <c r="Q76" s="13">
        <v>2.5364287900000001E-2</v>
      </c>
    </row>
    <row r="77" spans="1:17">
      <c r="A77" s="13" t="s">
        <v>363</v>
      </c>
      <c r="B77" s="13" t="s">
        <v>1</v>
      </c>
      <c r="C77" s="13" t="s">
        <v>190</v>
      </c>
      <c r="D77" s="13" t="s">
        <v>111</v>
      </c>
      <c r="E77" s="13" t="s">
        <v>7</v>
      </c>
      <c r="F77" s="13" t="s">
        <v>111</v>
      </c>
      <c r="O77" s="14"/>
      <c r="P77" s="14"/>
    </row>
    <row r="78" spans="1:17">
      <c r="J78" s="13">
        <f t="shared" ref="J78:P78" si="0">SUM(J3:J77)</f>
        <v>5.0467370789999988</v>
      </c>
      <c r="K78" s="13">
        <f t="shared" si="0"/>
        <v>5.3218563110099977</v>
      </c>
      <c r="L78" s="13">
        <f t="shared" si="0"/>
        <v>5.3145176063971977</v>
      </c>
      <c r="M78" s="13">
        <f t="shared" si="0"/>
        <v>5.2167358656907989</v>
      </c>
      <c r="N78" s="13">
        <f t="shared" si="0"/>
        <v>5.0725002819375975</v>
      </c>
      <c r="O78" s="13">
        <f t="shared" si="0"/>
        <v>4.8331800917392975</v>
      </c>
      <c r="P78" s="13">
        <f t="shared" si="0"/>
        <v>4.6115787845449967</v>
      </c>
      <c r="Q78" s="13">
        <f>SUM(Q3:Q77)</f>
        <v>4.3895346894722982</v>
      </c>
    </row>
    <row r="87" spans="1:15">
      <c r="A87" s="1" t="s">
        <v>23</v>
      </c>
    </row>
    <row r="88" spans="1:15">
      <c r="A88" s="13" t="s">
        <v>8</v>
      </c>
      <c r="B88" s="13" t="s">
        <v>9</v>
      </c>
      <c r="C88" s="13" t="s">
        <v>24</v>
      </c>
      <c r="D88" s="13" t="s">
        <v>10</v>
      </c>
      <c r="E88" s="13">
        <v>1990</v>
      </c>
      <c r="F88" s="13">
        <v>2005</v>
      </c>
      <c r="G88" s="13">
        <v>2010</v>
      </c>
      <c r="H88" s="13">
        <v>2015</v>
      </c>
      <c r="I88" s="13">
        <v>2020</v>
      </c>
      <c r="J88" s="13">
        <v>2025</v>
      </c>
      <c r="K88" s="13">
        <v>2030</v>
      </c>
      <c r="L88" s="13">
        <v>2035</v>
      </c>
      <c r="M88" s="13">
        <v>2040</v>
      </c>
      <c r="N88" s="13">
        <v>2045</v>
      </c>
      <c r="O88" s="13">
        <v>2050</v>
      </c>
    </row>
    <row r="89" spans="1:15">
      <c r="A89" s="13" t="s">
        <v>261</v>
      </c>
      <c r="B89" s="13" t="s">
        <v>1</v>
      </c>
      <c r="C89" s="13" t="s">
        <v>20</v>
      </c>
      <c r="D89" s="13" t="s">
        <v>4</v>
      </c>
      <c r="E89" s="13">
        <v>0</v>
      </c>
      <c r="F89" s="13">
        <v>0</v>
      </c>
      <c r="G89" s="13">
        <v>1.6953300000000001E-2</v>
      </c>
      <c r="H89" s="13">
        <v>2.3106700000000001E-2</v>
      </c>
      <c r="I89" s="13">
        <v>2.1782200000000002E-2</v>
      </c>
      <c r="J89" s="13">
        <v>2.09131E-2</v>
      </c>
      <c r="K89" s="13">
        <v>1.9299199999999999E-2</v>
      </c>
      <c r="L89" s="13">
        <v>1.8186999999999998E-2</v>
      </c>
      <c r="M89" s="13">
        <v>1.75137E-2</v>
      </c>
      <c r="N89" s="13">
        <v>1.67279E-2</v>
      </c>
      <c r="O89" s="13">
        <v>1.5040100000000001E-2</v>
      </c>
    </row>
    <row r="90" spans="1:15">
      <c r="A90" s="13" t="s">
        <v>261</v>
      </c>
      <c r="B90" s="13" t="s">
        <v>1</v>
      </c>
      <c r="C90" s="13" t="s">
        <v>20</v>
      </c>
      <c r="D90" s="13" t="s">
        <v>6</v>
      </c>
      <c r="E90" s="13">
        <v>0.23639399999999999</v>
      </c>
      <c r="F90" s="13">
        <v>1.18882</v>
      </c>
      <c r="G90" s="13">
        <v>1.5032799999999999</v>
      </c>
      <c r="H90" s="13">
        <v>1.8793899999999999</v>
      </c>
      <c r="I90" s="13">
        <v>1.899</v>
      </c>
      <c r="J90" s="13">
        <v>1.8964000000000001</v>
      </c>
      <c r="K90" s="13">
        <v>1.8815999999999999</v>
      </c>
      <c r="L90" s="13">
        <v>1.8245</v>
      </c>
      <c r="M90" s="13">
        <v>1.73681</v>
      </c>
      <c r="N90" s="13">
        <v>1.65852</v>
      </c>
      <c r="O90" s="13">
        <v>1.5777699999999999</v>
      </c>
    </row>
    <row r="91" spans="1:15">
      <c r="A91" s="13" t="s">
        <v>261</v>
      </c>
      <c r="B91" s="13" t="s">
        <v>1</v>
      </c>
      <c r="C91" s="13" t="s">
        <v>21</v>
      </c>
      <c r="D91" s="13" t="s">
        <v>6</v>
      </c>
      <c r="E91" s="13">
        <v>3.2608900000000003E-2</v>
      </c>
      <c r="F91" s="13">
        <v>5.08599E-2</v>
      </c>
      <c r="G91" s="13">
        <v>5.3873799999999999E-2</v>
      </c>
      <c r="H91" s="13">
        <v>4.94367E-2</v>
      </c>
      <c r="I91" s="13">
        <v>5.1643300000000003E-2</v>
      </c>
      <c r="J91" s="13">
        <v>5.2851500000000003E-2</v>
      </c>
      <c r="K91" s="13">
        <v>5.3797600000000001E-2</v>
      </c>
      <c r="L91" s="13">
        <v>5.4289299999999999E-2</v>
      </c>
      <c r="M91" s="13">
        <v>5.41045E-2</v>
      </c>
      <c r="N91" s="13">
        <v>5.33854E-2</v>
      </c>
      <c r="O91" s="13">
        <v>5.2157700000000001E-2</v>
      </c>
    </row>
    <row r="92" spans="1:15">
      <c r="A92" s="13" t="s">
        <v>261</v>
      </c>
      <c r="B92" s="13" t="s">
        <v>1</v>
      </c>
      <c r="C92" s="13" t="s">
        <v>22</v>
      </c>
      <c r="D92" s="13" t="s">
        <v>6</v>
      </c>
      <c r="E92" s="13">
        <v>0</v>
      </c>
      <c r="F92" s="13">
        <v>3.1394999999999999E-2</v>
      </c>
      <c r="G92" s="13">
        <v>3.1520699999999999E-2</v>
      </c>
      <c r="H92" s="13">
        <v>2.9218299999999999E-2</v>
      </c>
      <c r="I92" s="13">
        <v>3.3572499999999998E-2</v>
      </c>
      <c r="J92" s="13">
        <v>4.0591000000000002E-2</v>
      </c>
      <c r="K92" s="13">
        <v>5.2849199999999999E-2</v>
      </c>
      <c r="L92" s="13">
        <v>8.2197000000000006E-2</v>
      </c>
      <c r="M92" s="13">
        <v>0.12002599999999999</v>
      </c>
      <c r="N92" s="13">
        <v>0.144621</v>
      </c>
      <c r="O92" s="13">
        <v>0.16065699999999999</v>
      </c>
    </row>
    <row r="94" spans="1:15">
      <c r="A94" s="1" t="s">
        <v>11</v>
      </c>
    </row>
    <row r="95" spans="1:15">
      <c r="A95" s="13" t="s">
        <v>8</v>
      </c>
      <c r="B95" s="13" t="s">
        <v>9</v>
      </c>
      <c r="C95" s="13" t="s">
        <v>10</v>
      </c>
      <c r="D95" s="13">
        <v>2015</v>
      </c>
      <c r="E95" s="13">
        <v>2020</v>
      </c>
      <c r="F95" s="13">
        <v>2025</v>
      </c>
      <c r="G95" s="13">
        <v>2030</v>
      </c>
      <c r="H95" s="13">
        <v>2035</v>
      </c>
      <c r="I95" s="13">
        <v>2040</v>
      </c>
      <c r="J95" s="13">
        <v>2045</v>
      </c>
      <c r="K95" s="13">
        <v>2050</v>
      </c>
    </row>
    <row r="96" spans="1:15">
      <c r="A96" s="13" t="s">
        <v>0</v>
      </c>
      <c r="B96" s="13" t="s">
        <v>2</v>
      </c>
      <c r="C96" s="13" t="s">
        <v>12</v>
      </c>
      <c r="D96" s="13">
        <f>SUMIF($E$3:$E$77,$B96,J$3:J$77)</f>
        <v>0</v>
      </c>
      <c r="E96" s="13">
        <f t="shared" ref="E96:J96" si="1">SUMIF($E$3:$E$77,$B96,K$3:K$77)</f>
        <v>9.9027670999999999E-4</v>
      </c>
      <c r="F96" s="13">
        <f t="shared" si="1"/>
        <v>2.3688769489999997E-2</v>
      </c>
      <c r="G96" s="13">
        <f t="shared" si="1"/>
        <v>8.1226907670000001E-2</v>
      </c>
      <c r="H96" s="13">
        <f t="shared" si="1"/>
        <v>0.16398545769999998</v>
      </c>
      <c r="I96" s="13">
        <f t="shared" si="1"/>
        <v>0.25080677342999991</v>
      </c>
      <c r="J96" s="13">
        <f t="shared" si="1"/>
        <v>0.34097864676</v>
      </c>
      <c r="K96" s="13">
        <f>SUMIF($E$3:$E$77,$B96,Q$3:Q$77)</f>
        <v>0.42055580040000007</v>
      </c>
    </row>
    <row r="97" spans="1:11">
      <c r="A97" s="13" t="s">
        <v>0</v>
      </c>
      <c r="B97" s="13" t="s">
        <v>5</v>
      </c>
      <c r="C97" s="13" t="s">
        <v>17</v>
      </c>
      <c r="D97" s="13">
        <f>SUMIF($E$3:$E$77,$B97,J$3:J$77)</f>
        <v>0.97975849000000004</v>
      </c>
      <c r="E97" s="13">
        <f t="shared" ref="E97:J98" si="2">SUMIF($E$3:$E$77,$B97,K$3:K$77)</f>
        <v>1.0214122551</v>
      </c>
      <c r="F97" s="13">
        <f t="shared" si="2"/>
        <v>1.0363810964999998</v>
      </c>
      <c r="G97" s="13">
        <f t="shared" si="2"/>
        <v>1.0415791282</v>
      </c>
      <c r="H97" s="13">
        <f t="shared" si="2"/>
        <v>1.037259976299999</v>
      </c>
      <c r="I97" s="13">
        <f t="shared" si="2"/>
        <v>1.0535944726999997</v>
      </c>
      <c r="J97" s="13">
        <f t="shared" si="2"/>
        <v>1.089902540099998</v>
      </c>
      <c r="K97" s="13">
        <f>SUMIF($E$3:$E$77,$B97,Q$3:Q$77)</f>
        <v>1.1363940244899999</v>
      </c>
    </row>
    <row r="98" spans="1:11">
      <c r="A98" s="13" t="s">
        <v>0</v>
      </c>
      <c r="B98" s="13" t="s">
        <v>3</v>
      </c>
      <c r="C98" s="13" t="s">
        <v>13</v>
      </c>
      <c r="D98" s="13">
        <f>SUMIF($E$3:$E$77,$B98,J$3:J$77)</f>
        <v>0.16462779999999999</v>
      </c>
      <c r="E98" s="13">
        <f t="shared" si="2"/>
        <v>0.17717429700000001</v>
      </c>
      <c r="F98" s="13">
        <f t="shared" si="2"/>
        <v>0.171812136</v>
      </c>
      <c r="G98" s="13">
        <f t="shared" si="2"/>
        <v>0.1942904765999999</v>
      </c>
      <c r="H98" s="13">
        <f t="shared" si="2"/>
        <v>0.26327032029999997</v>
      </c>
      <c r="I98" s="13">
        <f t="shared" si="2"/>
        <v>0.29199629617999989</v>
      </c>
      <c r="J98" s="13">
        <f t="shared" si="2"/>
        <v>0.2760409079599988</v>
      </c>
      <c r="K98" s="13">
        <f>SUMIF($E$3:$E$77,$B98,Q$3:Q$77)</f>
        <v>0.23773660494000001</v>
      </c>
    </row>
    <row r="99" spans="1:11">
      <c r="B99" s="13" t="s">
        <v>343</v>
      </c>
      <c r="C99" s="13" t="s">
        <v>114</v>
      </c>
      <c r="D99" s="13">
        <f>SUMIF($F$3:$F$77,$B99,J$3:J$77)++SUMIFS(J$3:J$77,$F$3:$F$77,"BLASTFUR CCS",$E$3:$E$77,$B$100)+SUMIFS(J$3:J$77,$F$3:$F$77,"EAF with DRI CCS",$E$3:$E$77,$B$100)</f>
        <v>0</v>
      </c>
      <c r="E99" s="13">
        <f t="shared" ref="E99:K99" si="3">SUMIF($F$3:$F$77,$B99,K$3:K$77)++SUMIFS(K$3:K$77,$F$3:$F$77,"BLASTFUR CCS",$E$3:$E$77,$B$100)+SUMIFS(K$3:K$77,$F$3:$F$77,"EAF with DRI CCS",$E$3:$E$77,$B$100)</f>
        <v>0</v>
      </c>
      <c r="F99" s="13">
        <f t="shared" si="3"/>
        <v>1.317727683E-3</v>
      </c>
      <c r="G99" s="13">
        <f t="shared" si="3"/>
        <v>7.0165308069999998E-3</v>
      </c>
      <c r="H99" s="13">
        <f t="shared" si="3"/>
        <v>2.6211160631999998E-2</v>
      </c>
      <c r="I99" s="13">
        <f t="shared" si="3"/>
        <v>5.363577780159999E-2</v>
      </c>
      <c r="J99" s="13">
        <f t="shared" si="3"/>
        <v>7.8425481172999995E-2</v>
      </c>
      <c r="K99" s="13">
        <f t="shared" si="3"/>
        <v>9.6053844378000006E-2</v>
      </c>
    </row>
    <row r="100" spans="1:11">
      <c r="A100" s="13" t="s">
        <v>0</v>
      </c>
      <c r="B100" s="13" t="s">
        <v>7</v>
      </c>
      <c r="C100" s="13" t="s">
        <v>15</v>
      </c>
      <c r="D100" s="13">
        <f>SUMIF($E$3:$E$77,$B100,J$3:J$77)-D99</f>
        <v>0.35105451900000001</v>
      </c>
      <c r="E100" s="13">
        <f t="shared" ref="E100:J100" si="4">SUMIF($E$3:$E$77,$B100,K$3:K$77)-E99</f>
        <v>0.38547642879999999</v>
      </c>
      <c r="F100" s="13">
        <f t="shared" si="4"/>
        <v>0.41206777755999985</v>
      </c>
      <c r="G100" s="13">
        <f t="shared" si="4"/>
        <v>0.44594732976899998</v>
      </c>
      <c r="H100" s="13">
        <f t="shared" si="4"/>
        <v>0.46582098286099999</v>
      </c>
      <c r="I100" s="13">
        <f t="shared" si="4"/>
        <v>0.41907209614799901</v>
      </c>
      <c r="J100" s="13">
        <f t="shared" si="4"/>
        <v>0.352485762919999</v>
      </c>
      <c r="K100" s="13">
        <f>SUMIF($E$3:$E$77,$B100,Q$3:Q$77)-K99</f>
        <v>0.27801897444099988</v>
      </c>
    </row>
    <row r="101" spans="1:11">
      <c r="A101" s="13" t="s">
        <v>0</v>
      </c>
      <c r="B101" s="13" t="s">
        <v>344</v>
      </c>
      <c r="C101" s="13" t="s">
        <v>115</v>
      </c>
      <c r="D101" s="14">
        <f>SUMIF($F$3:$F$77,$B101,J$3:J$77)+SUMIFS(J$3:J$77,$F$3:$F$77,"BLASTFUR CCS",$E$3:$E$77,$B$102)+SUMIFS(J$3:J$77,$F$3:$F$77,"EAF with DRI CCS",$E$3:$E$77,$B$102)</f>
        <v>0</v>
      </c>
      <c r="E101" s="14">
        <f t="shared" ref="E101:K101" si="5">SUMIF($F$3:$F$77,$B101,K$3:K$77)+SUMIFS(K$3:K$77,$F$3:$F$77,"BLASTFUR CCS",$E$3:$E$77,$B$102)+SUMIFS(K$3:K$77,$F$3:$F$77,"EAF with DRI CCS",$E$3:$E$77,$B$102)</f>
        <v>0</v>
      </c>
      <c r="F101" s="14">
        <f t="shared" si="5"/>
        <v>1.70726178E-3</v>
      </c>
      <c r="G101" s="14">
        <f t="shared" si="5"/>
        <v>1.208288108E-2</v>
      </c>
      <c r="H101" s="14">
        <f t="shared" si="5"/>
        <v>4.1297963719999997E-2</v>
      </c>
      <c r="I101" s="14">
        <f t="shared" si="5"/>
        <v>7.593371091999998E-2</v>
      </c>
      <c r="J101" s="14">
        <f t="shared" si="5"/>
        <v>0.10907988087699999</v>
      </c>
      <c r="K101" s="14">
        <f t="shared" si="5"/>
        <v>0.105871454499</v>
      </c>
    </row>
    <row r="102" spans="1:11">
      <c r="A102" s="13" t="s">
        <v>26</v>
      </c>
      <c r="B102" s="13" t="s">
        <v>4</v>
      </c>
      <c r="C102" s="13" t="s">
        <v>14</v>
      </c>
      <c r="D102" s="13">
        <f>SUMIF($E$3:$E$77,$B102,J$3:J$77)-D101</f>
        <v>1.3146941000000001</v>
      </c>
      <c r="E102" s="13">
        <f t="shared" ref="E102:J102" si="6">SUMIF($E$3:$E$77,$B102,K$3:K$77)-E101</f>
        <v>1.4700775389999989</v>
      </c>
      <c r="F102" s="13">
        <f t="shared" si="6"/>
        <v>1.393679229</v>
      </c>
      <c r="G102" s="13">
        <f t="shared" si="6"/>
        <v>1.1709338839999992</v>
      </c>
      <c r="H102" s="13">
        <f t="shared" si="6"/>
        <v>0.828000580099999</v>
      </c>
      <c r="I102" s="13">
        <f t="shared" si="6"/>
        <v>0.49785441919999984</v>
      </c>
      <c r="J102" s="13">
        <f t="shared" si="6"/>
        <v>0.25701976884</v>
      </c>
      <c r="K102" s="13">
        <f>SUMIF($E$3:$E$77,$B102,Q$3:Q$77)-K101</f>
        <v>0.11919294319999978</v>
      </c>
    </row>
    <row r="103" spans="1:11">
      <c r="A103" s="13" t="s">
        <v>27</v>
      </c>
      <c r="B103" s="13" t="s">
        <v>112</v>
      </c>
      <c r="C103" s="13" t="s">
        <v>342</v>
      </c>
    </row>
    <row r="104" spans="1:11">
      <c r="A104" s="13" t="s">
        <v>28</v>
      </c>
      <c r="B104" s="13" t="s">
        <v>6</v>
      </c>
      <c r="C104" s="13" t="s">
        <v>305</v>
      </c>
      <c r="D104" s="13">
        <f>SUMIF($E$3:$E$77,$B104,J$3:J$77)</f>
        <v>2.2366021700000003</v>
      </c>
      <c r="E104" s="13">
        <f t="shared" ref="E104:K104" si="7">SUMIF($E$3:$E$77,$B104,K$3:K$77)</f>
        <v>2.2667255143999978</v>
      </c>
      <c r="F104" s="13">
        <f t="shared" si="7"/>
        <v>2.2738636083841999</v>
      </c>
      <c r="G104" s="13">
        <f t="shared" si="7"/>
        <v>2.2636587275647995</v>
      </c>
      <c r="H104" s="13">
        <f t="shared" si="7"/>
        <v>2.2466538403246004</v>
      </c>
      <c r="I104" s="13">
        <f t="shared" si="7"/>
        <v>2.1902865453596987</v>
      </c>
      <c r="J104" s="13">
        <f t="shared" si="7"/>
        <v>2.1076457959149999</v>
      </c>
      <c r="K104" s="13">
        <f t="shared" si="7"/>
        <v>1.9957110431242999</v>
      </c>
    </row>
    <row r="105" spans="1:11">
      <c r="A105" s="115" t="s">
        <v>29</v>
      </c>
      <c r="B105" s="115"/>
      <c r="C105" s="115"/>
      <c r="D105" s="13">
        <f t="shared" ref="D105:J105" si="8">SUM(D96:D104)</f>
        <v>5.0467370790000006</v>
      </c>
      <c r="E105" s="13">
        <f t="shared" si="8"/>
        <v>5.3218563110099968</v>
      </c>
      <c r="F105" s="13">
        <f t="shared" si="8"/>
        <v>5.3145176063971995</v>
      </c>
      <c r="G105" s="13">
        <f t="shared" si="8"/>
        <v>5.2167358656907989</v>
      </c>
      <c r="H105" s="13">
        <f t="shared" si="8"/>
        <v>5.0725002819375984</v>
      </c>
      <c r="I105" s="13">
        <f t="shared" si="8"/>
        <v>4.8331800917392975</v>
      </c>
      <c r="J105" s="13">
        <f t="shared" si="8"/>
        <v>4.6115787845449958</v>
      </c>
      <c r="K105" s="13">
        <f>SUM(K96:K104)</f>
        <v>4.3895346894722991</v>
      </c>
    </row>
    <row r="129" spans="1:17">
      <c r="A129" s="31"/>
      <c r="K129" s="14"/>
      <c r="L129" s="14"/>
      <c r="M129" s="14"/>
      <c r="N129" s="14"/>
      <c r="O129" s="14"/>
    </row>
    <row r="130" spans="1:17">
      <c r="K130" s="14"/>
      <c r="L130" s="14"/>
      <c r="M130" s="14"/>
    </row>
    <row r="131" spans="1:17">
      <c r="L131" s="14"/>
    </row>
    <row r="133" spans="1:17">
      <c r="K133" s="14"/>
      <c r="L133" s="14"/>
      <c r="M133" s="14"/>
      <c r="N133" s="14"/>
      <c r="O133" s="14"/>
      <c r="P133" s="14"/>
      <c r="Q133" s="14"/>
    </row>
    <row r="134" spans="1:17">
      <c r="K134" s="14"/>
      <c r="L134" s="14"/>
    </row>
    <row r="135" spans="1:17">
      <c r="K135" s="14"/>
      <c r="L135" s="14"/>
    </row>
    <row r="138" spans="1:17">
      <c r="L138" s="14"/>
      <c r="M138" s="14"/>
    </row>
    <row r="143" spans="1:17">
      <c r="P143" s="14"/>
      <c r="Q143" s="14"/>
    </row>
    <row r="144" spans="1:17">
      <c r="L144" s="14"/>
      <c r="M144" s="14"/>
      <c r="N144" s="14"/>
      <c r="O144" s="14"/>
      <c r="P144" s="14"/>
    </row>
    <row r="145" spans="2:17">
      <c r="L145" s="14"/>
      <c r="M145" s="14"/>
      <c r="N145" s="14"/>
      <c r="O145" s="14"/>
      <c r="P145" s="14"/>
      <c r="Q145" s="14"/>
    </row>
    <row r="151" spans="2:17">
      <c r="L151" s="14"/>
    </row>
    <row r="157" spans="2:17">
      <c r="N157" s="14"/>
    </row>
    <row r="158" spans="2:17">
      <c r="O158" s="14"/>
      <c r="P158" s="14"/>
    </row>
    <row r="159" spans="2:17">
      <c r="O159" s="14"/>
      <c r="P159" s="14"/>
    </row>
    <row r="160" spans="2:17">
      <c r="B160" s="36"/>
      <c r="C160" s="36"/>
      <c r="D160" s="36"/>
      <c r="E160" s="36"/>
      <c r="F160" s="36"/>
      <c r="O160" s="14"/>
      <c r="P160" s="14"/>
    </row>
    <row r="162" spans="11:17">
      <c r="K162" s="14"/>
      <c r="L162" s="14"/>
      <c r="M162" s="14"/>
      <c r="N162" s="14"/>
    </row>
    <row r="164" spans="11:17">
      <c r="L164" s="14"/>
      <c r="M164" s="14"/>
    </row>
    <row r="165" spans="11:17">
      <c r="L165" s="14"/>
      <c r="M165" s="14"/>
      <c r="N165" s="14"/>
      <c r="O165" s="14"/>
      <c r="P165" s="14"/>
      <c r="Q165" s="14"/>
    </row>
    <row r="167" spans="11:17">
      <c r="L167" s="14"/>
    </row>
    <row r="175" spans="11:17">
      <c r="L175" s="14"/>
      <c r="M175" s="14"/>
    </row>
    <row r="179" spans="7:17"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</row>
    <row r="180" spans="7:17">
      <c r="L180" s="14"/>
      <c r="M180" s="14"/>
      <c r="N180" s="14"/>
      <c r="O180" s="14"/>
      <c r="P180" s="14"/>
      <c r="Q180" s="14"/>
    </row>
    <row r="181" spans="7:17">
      <c r="L181" s="14"/>
      <c r="M181" s="14"/>
      <c r="N181" s="14"/>
      <c r="O181" s="14"/>
      <c r="P181" s="14"/>
      <c r="Q181" s="14"/>
    </row>
    <row r="183" spans="7:17">
      <c r="L183" s="14"/>
      <c r="M183" s="14"/>
      <c r="N183" s="14"/>
    </row>
    <row r="184" spans="7:17">
      <c r="J184" s="14"/>
      <c r="K184" s="14"/>
      <c r="L184" s="14"/>
    </row>
    <row r="191" spans="7:17">
      <c r="L191" s="14"/>
      <c r="M191" s="14"/>
      <c r="N191" s="14"/>
    </row>
    <row r="192" spans="7:17">
      <c r="I192" s="14"/>
      <c r="J192" s="14"/>
      <c r="K192" s="14"/>
      <c r="L192" s="14"/>
      <c r="M192" s="14"/>
      <c r="N192" s="14"/>
      <c r="O192" s="14"/>
      <c r="P192" s="14"/>
      <c r="Q192" s="14"/>
    </row>
    <row r="194" spans="8:17">
      <c r="L194" s="14"/>
    </row>
    <row r="195" spans="8:17">
      <c r="J195" s="14"/>
      <c r="K195" s="14"/>
    </row>
    <row r="196" spans="8:17">
      <c r="H196" s="14"/>
      <c r="I196" s="14"/>
      <c r="J196" s="14"/>
      <c r="K196" s="14"/>
      <c r="L196" s="14"/>
      <c r="M196" s="14"/>
      <c r="N196" s="14"/>
      <c r="O196" s="14"/>
      <c r="P196" s="14"/>
      <c r="Q196" s="14"/>
    </row>
    <row r="197" spans="8:17">
      <c r="L197" s="14"/>
      <c r="M197" s="14"/>
      <c r="N197" s="14"/>
      <c r="O197" s="14"/>
      <c r="P197" s="14"/>
      <c r="Q197" s="14"/>
    </row>
    <row r="198" spans="8:17">
      <c r="L198" s="14"/>
      <c r="M198" s="14"/>
      <c r="N198" s="14"/>
      <c r="O198" s="14"/>
      <c r="P198" s="14"/>
      <c r="Q198" s="14"/>
    </row>
    <row r="203" spans="8:17">
      <c r="O203" s="14"/>
      <c r="P203" s="14"/>
    </row>
  </sheetData>
  <mergeCells count="1">
    <mergeCell ref="A105:C10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CAE00-A40D-4022-9375-73EE43FCC944}">
  <sheetPr codeName="Sheet12"/>
  <dimension ref="A1:T28"/>
  <sheetViews>
    <sheetView zoomScale="55" zoomScaleNormal="55" workbookViewId="0">
      <selection activeCell="I61" sqref="I61"/>
    </sheetView>
  </sheetViews>
  <sheetFormatPr defaultRowHeight="17.399999999999999"/>
  <sheetData>
    <row r="1" spans="1:17">
      <c r="A1" s="1" t="s">
        <v>18</v>
      </c>
      <c r="Q1" s="1" t="s">
        <v>74</v>
      </c>
    </row>
    <row r="2" spans="1:17">
      <c r="A2" t="s">
        <v>8</v>
      </c>
      <c r="B2" t="s">
        <v>9</v>
      </c>
      <c r="C2" t="s">
        <v>10</v>
      </c>
      <c r="D2">
        <v>1990</v>
      </c>
      <c r="E2">
        <v>2005</v>
      </c>
      <c r="F2">
        <v>2010</v>
      </c>
      <c r="G2">
        <v>2015</v>
      </c>
      <c r="H2">
        <v>2020</v>
      </c>
      <c r="I2">
        <v>2025</v>
      </c>
      <c r="J2">
        <v>2030</v>
      </c>
      <c r="K2">
        <v>2035</v>
      </c>
      <c r="L2">
        <v>2040</v>
      </c>
      <c r="M2">
        <v>2045</v>
      </c>
      <c r="N2">
        <v>2050</v>
      </c>
    </row>
    <row r="3" spans="1:17">
      <c r="A3" s="13" t="s">
        <v>260</v>
      </c>
      <c r="B3" s="13" t="s">
        <v>1</v>
      </c>
      <c r="C3" s="13" t="s">
        <v>2</v>
      </c>
      <c r="D3" s="13">
        <v>0</v>
      </c>
      <c r="E3" s="13">
        <v>0</v>
      </c>
      <c r="F3" s="13">
        <v>0</v>
      </c>
      <c r="G3" s="13">
        <v>0</v>
      </c>
      <c r="H3" s="14">
        <v>9.9216910999999999E-4</v>
      </c>
      <c r="I3" s="13">
        <v>2.1910835819999998E-2</v>
      </c>
      <c r="J3" s="13">
        <v>7.8333399809999898E-2</v>
      </c>
      <c r="K3" s="13">
        <v>0.16485517785999901</v>
      </c>
      <c r="L3" s="13">
        <v>0.25643851612000002</v>
      </c>
      <c r="M3" s="13">
        <v>0.33088602278000001</v>
      </c>
      <c r="N3" s="13">
        <v>0.37976163549999897</v>
      </c>
    </row>
    <row r="4" spans="1:17">
      <c r="A4" s="13" t="s">
        <v>260</v>
      </c>
      <c r="B4" s="13" t="s">
        <v>1</v>
      </c>
      <c r="C4" s="13" t="s">
        <v>3</v>
      </c>
      <c r="D4" s="13">
        <v>4.6608799999999999E-2</v>
      </c>
      <c r="E4" s="13">
        <v>0.10766998999999999</v>
      </c>
      <c r="F4" s="13">
        <v>0.13356309999999999</v>
      </c>
      <c r="G4" s="13">
        <v>0.16462779999999999</v>
      </c>
      <c r="H4" s="13">
        <v>0.17605699899999999</v>
      </c>
      <c r="I4" s="13">
        <v>0.17118660390000001</v>
      </c>
      <c r="J4" s="13">
        <v>0.19087028379999901</v>
      </c>
      <c r="K4" s="13">
        <v>0.2530944946</v>
      </c>
      <c r="L4" s="13">
        <v>0.30317377719999999</v>
      </c>
      <c r="M4" s="13">
        <v>0.31048221149999899</v>
      </c>
      <c r="N4" s="13">
        <v>0.2998033759</v>
      </c>
    </row>
    <row r="5" spans="1:17">
      <c r="A5" s="13" t="s">
        <v>260</v>
      </c>
      <c r="B5" s="13" t="s">
        <v>1</v>
      </c>
      <c r="C5" s="13" t="s">
        <v>4</v>
      </c>
      <c r="D5" s="13">
        <v>0.57666110000000004</v>
      </c>
      <c r="E5" s="13">
        <v>0.82334540000000001</v>
      </c>
      <c r="F5" s="13">
        <v>1.0419352</v>
      </c>
      <c r="G5" s="13">
        <v>1.3146941000000001</v>
      </c>
      <c r="H5" s="13">
        <v>1.468254097</v>
      </c>
      <c r="I5" s="13">
        <v>1.39566898550999</v>
      </c>
      <c r="J5" s="13">
        <v>1.21610835126999</v>
      </c>
      <c r="K5" s="13">
        <v>0.96622078468000006</v>
      </c>
      <c r="L5" s="13">
        <v>0.72869815376000002</v>
      </c>
      <c r="M5" s="13">
        <v>0.54766799735999905</v>
      </c>
      <c r="N5" s="13">
        <v>0.39473741809000001</v>
      </c>
    </row>
    <row r="6" spans="1:17">
      <c r="A6" s="13" t="s">
        <v>260</v>
      </c>
      <c r="B6" s="13" t="s">
        <v>1</v>
      </c>
      <c r="C6" s="13" t="s">
        <v>5</v>
      </c>
      <c r="D6" s="13">
        <v>0.209431009999999</v>
      </c>
      <c r="E6" s="13">
        <v>0.67199553999999995</v>
      </c>
      <c r="F6" s="13">
        <v>0.84385186999999995</v>
      </c>
      <c r="G6" s="13">
        <v>0.97975849000000004</v>
      </c>
      <c r="H6" s="13">
        <v>1.0224669735</v>
      </c>
      <c r="I6" s="13">
        <v>1.0404363274557</v>
      </c>
      <c r="J6" s="13">
        <v>1.06026356164</v>
      </c>
      <c r="K6" s="13">
        <v>1.06396515225999</v>
      </c>
      <c r="L6" s="13">
        <v>1.07086566019999</v>
      </c>
      <c r="M6" s="13">
        <v>1.1266076668718401</v>
      </c>
      <c r="N6" s="13">
        <v>1.27211385561223</v>
      </c>
    </row>
    <row r="7" spans="1:17">
      <c r="A7" s="13" t="s">
        <v>260</v>
      </c>
      <c r="B7" s="13" t="s">
        <v>1</v>
      </c>
      <c r="C7" s="13" t="s">
        <v>6</v>
      </c>
      <c r="D7" s="13">
        <v>0.80111421999999999</v>
      </c>
      <c r="E7" s="13">
        <v>1.7973918199999901</v>
      </c>
      <c r="F7" s="13">
        <v>2.01123161999999</v>
      </c>
      <c r="G7" s="13">
        <v>2.2366021699999998</v>
      </c>
      <c r="H7" s="13">
        <v>2.2634575190000001</v>
      </c>
      <c r="I7" s="13">
        <v>2.274039880024</v>
      </c>
      <c r="J7" s="13">
        <v>2.2648556270409999</v>
      </c>
      <c r="K7" s="13">
        <v>2.2552829247249999</v>
      </c>
      <c r="L7" s="13">
        <v>2.22487601011369</v>
      </c>
      <c r="M7" s="13">
        <v>2.1683359169619898</v>
      </c>
      <c r="N7" s="13">
        <v>2.0921345632949899</v>
      </c>
    </row>
    <row r="8" spans="1:17">
      <c r="A8" s="13" t="s">
        <v>260</v>
      </c>
      <c r="B8" s="13" t="s">
        <v>1</v>
      </c>
      <c r="C8" s="13" t="s">
        <v>7</v>
      </c>
      <c r="D8" s="13">
        <v>4.1860899999999999E-3</v>
      </c>
      <c r="E8" s="13">
        <v>0.21320254999999999</v>
      </c>
      <c r="F8" s="13">
        <v>0.31693948</v>
      </c>
      <c r="G8" s="13">
        <v>0.35105451900000001</v>
      </c>
      <c r="H8" s="13">
        <v>0.38535311989999899</v>
      </c>
      <c r="I8" s="13">
        <v>0.41179354827600001</v>
      </c>
      <c r="J8" s="13">
        <v>0.452497469012</v>
      </c>
      <c r="K8" s="13">
        <v>0.49402448380399999</v>
      </c>
      <c r="L8" s="13">
        <v>0.49946735567099998</v>
      </c>
      <c r="M8" s="13">
        <v>0.57136876329399899</v>
      </c>
      <c r="N8" s="13">
        <v>0.71463876528000003</v>
      </c>
    </row>
    <row r="9" spans="1:17">
      <c r="A9" s="115" t="s">
        <v>29</v>
      </c>
      <c r="B9" s="115"/>
      <c r="C9" s="115"/>
      <c r="D9">
        <f>SUM(D3:D8)</f>
        <v>1.6380012199999989</v>
      </c>
      <c r="E9">
        <f t="shared" ref="E9:N9" si="0">SUM(E3:E8)</f>
        <v>3.6136052999999899</v>
      </c>
      <c r="F9">
        <f t="shared" si="0"/>
        <v>4.3475212699999908</v>
      </c>
      <c r="G9">
        <f t="shared" si="0"/>
        <v>5.0467370789999997</v>
      </c>
      <c r="H9">
        <f t="shared" si="0"/>
        <v>5.316580877509999</v>
      </c>
      <c r="I9">
        <f t="shared" si="0"/>
        <v>5.3150361809856896</v>
      </c>
      <c r="J9">
        <f t="shared" si="0"/>
        <v>5.2629286925729888</v>
      </c>
      <c r="K9">
        <f t="shared" si="0"/>
        <v>5.1974430179289888</v>
      </c>
      <c r="L9">
        <f t="shared" si="0"/>
        <v>5.0835194730646807</v>
      </c>
      <c r="M9">
        <f t="shared" si="0"/>
        <v>5.055348578767827</v>
      </c>
      <c r="N9">
        <f t="shared" si="0"/>
        <v>5.1531896136772186</v>
      </c>
    </row>
    <row r="11" spans="1:17">
      <c r="A11" s="1" t="s">
        <v>23</v>
      </c>
    </row>
    <row r="12" spans="1:17">
      <c r="A12" t="s">
        <v>8</v>
      </c>
      <c r="B12" t="s">
        <v>9</v>
      </c>
      <c r="C12" t="s">
        <v>24</v>
      </c>
      <c r="D12" t="s">
        <v>10</v>
      </c>
      <c r="E12">
        <v>1990</v>
      </c>
      <c r="F12">
        <v>2005</v>
      </c>
      <c r="G12">
        <v>2010</v>
      </c>
      <c r="H12">
        <v>2015</v>
      </c>
      <c r="I12">
        <v>2020</v>
      </c>
      <c r="J12">
        <v>2025</v>
      </c>
      <c r="K12">
        <v>2030</v>
      </c>
      <c r="L12">
        <v>2035</v>
      </c>
      <c r="M12">
        <v>2040</v>
      </c>
      <c r="N12">
        <v>2045</v>
      </c>
      <c r="O12">
        <v>2050</v>
      </c>
    </row>
    <row r="13" spans="1:17">
      <c r="A13" s="13" t="s">
        <v>260</v>
      </c>
      <c r="B13" s="13" t="s">
        <v>1</v>
      </c>
      <c r="C13" s="13" t="s">
        <v>20</v>
      </c>
      <c r="D13" s="13" t="s">
        <v>4</v>
      </c>
      <c r="E13" s="13">
        <v>0</v>
      </c>
      <c r="F13" s="13">
        <v>0</v>
      </c>
      <c r="G13" s="13">
        <v>1.6953300000000001E-2</v>
      </c>
      <c r="H13" s="13">
        <v>2.3106700000000001E-2</v>
      </c>
      <c r="I13" s="13">
        <v>2.3052E-2</v>
      </c>
      <c r="J13" s="14">
        <v>1.01728E-3</v>
      </c>
      <c r="K13" s="14">
        <v>1.9646900000000001E-4</v>
      </c>
      <c r="L13" s="14">
        <v>7.8939399999999998E-5</v>
      </c>
      <c r="M13" s="14">
        <v>3.70472E-5</v>
      </c>
      <c r="N13" s="14">
        <v>2.5236E-5</v>
      </c>
      <c r="O13" s="14">
        <v>2.7240300000000001E-5</v>
      </c>
    </row>
    <row r="14" spans="1:17">
      <c r="A14" s="13" t="s">
        <v>260</v>
      </c>
      <c r="B14" s="13" t="s">
        <v>1</v>
      </c>
      <c r="C14" s="13" t="s">
        <v>20</v>
      </c>
      <c r="D14" s="13" t="s">
        <v>6</v>
      </c>
      <c r="E14" s="13">
        <v>0.23639399999999999</v>
      </c>
      <c r="F14" s="13">
        <v>1.18882</v>
      </c>
      <c r="G14" s="13">
        <v>1.5032799999999999</v>
      </c>
      <c r="H14" s="13">
        <v>1.8793899999999999</v>
      </c>
      <c r="I14" s="13">
        <v>1.8978200000000001</v>
      </c>
      <c r="J14" s="13">
        <v>1.9071800000000001</v>
      </c>
      <c r="K14" s="13">
        <v>1.8856599999999999</v>
      </c>
      <c r="L14" s="13">
        <v>1.8279099999999999</v>
      </c>
      <c r="M14" s="13">
        <v>1.74038</v>
      </c>
      <c r="N14" s="13">
        <v>1.6598900000000001</v>
      </c>
      <c r="O14" s="13">
        <v>1.57605</v>
      </c>
    </row>
    <row r="15" spans="1:17">
      <c r="A15" s="13" t="s">
        <v>260</v>
      </c>
      <c r="B15" s="13" t="s">
        <v>1</v>
      </c>
      <c r="C15" s="13" t="s">
        <v>21</v>
      </c>
      <c r="D15" s="13" t="s">
        <v>6</v>
      </c>
      <c r="E15" s="13">
        <v>3.2608900000000003E-2</v>
      </c>
      <c r="F15" s="13">
        <v>5.08599E-2</v>
      </c>
      <c r="G15" s="13">
        <v>5.3873799999999999E-2</v>
      </c>
      <c r="H15" s="13">
        <v>4.94367E-2</v>
      </c>
      <c r="I15" s="13">
        <v>5.1655899999999998E-2</v>
      </c>
      <c r="J15" s="13">
        <v>5.1048099999999999E-2</v>
      </c>
      <c r="K15" s="13">
        <v>5.0754899999999999E-2</v>
      </c>
      <c r="L15" s="13">
        <v>5.0676499999999999E-2</v>
      </c>
      <c r="M15" s="13">
        <v>4.9720199999999999E-2</v>
      </c>
      <c r="N15" s="13">
        <v>4.8604700000000001E-2</v>
      </c>
      <c r="O15" s="13">
        <v>4.7567199999999997E-2</v>
      </c>
    </row>
    <row r="16" spans="1:17">
      <c r="A16" s="13" t="s">
        <v>260</v>
      </c>
      <c r="B16" s="13" t="s">
        <v>1</v>
      </c>
      <c r="C16" s="13" t="s">
        <v>22</v>
      </c>
      <c r="D16" s="13" t="s">
        <v>6</v>
      </c>
      <c r="E16" s="13">
        <v>0</v>
      </c>
      <c r="F16" s="13">
        <v>3.1394999999999999E-2</v>
      </c>
      <c r="G16" s="13">
        <v>3.1520699999999999E-2</v>
      </c>
      <c r="H16" s="13">
        <v>2.9218299999999999E-2</v>
      </c>
      <c r="I16" s="13">
        <v>3.3597099999999998E-2</v>
      </c>
      <c r="J16" s="13">
        <v>3.5033099999999998E-2</v>
      </c>
      <c r="K16" s="13">
        <v>4.3373099999999998E-2</v>
      </c>
      <c r="L16" s="13">
        <v>6.9671200000000003E-2</v>
      </c>
      <c r="M16" s="13">
        <v>0.10184600000000001</v>
      </c>
      <c r="N16" s="13">
        <v>0.122879</v>
      </c>
      <c r="O16" s="13">
        <v>0.13778499999999999</v>
      </c>
    </row>
    <row r="18" spans="1:20">
      <c r="A18" s="1" t="s">
        <v>11</v>
      </c>
    </row>
    <row r="19" spans="1:20">
      <c r="A19" t="s">
        <v>8</v>
      </c>
      <c r="B19" t="s">
        <v>9</v>
      </c>
      <c r="C19" t="s">
        <v>10</v>
      </c>
      <c r="D19">
        <v>2005</v>
      </c>
      <c r="E19">
        <v>2010</v>
      </c>
      <c r="F19">
        <v>2015</v>
      </c>
      <c r="G19">
        <v>2020</v>
      </c>
      <c r="H19">
        <v>2025</v>
      </c>
      <c r="I19">
        <v>2030</v>
      </c>
      <c r="J19">
        <v>2035</v>
      </c>
      <c r="K19">
        <v>2040</v>
      </c>
      <c r="L19">
        <v>2045</v>
      </c>
      <c r="M19">
        <v>2050</v>
      </c>
      <c r="R19">
        <v>2005</v>
      </c>
      <c r="S19">
        <v>2010</v>
      </c>
      <c r="T19">
        <v>2015</v>
      </c>
    </row>
    <row r="20" spans="1:20">
      <c r="A20" t="s">
        <v>0</v>
      </c>
      <c r="B20" t="s">
        <v>2</v>
      </c>
      <c r="C20" t="s">
        <v>12</v>
      </c>
      <c r="D20">
        <f t="shared" ref="D20:M23" si="1">SUMIF($C$3:$C$8,$B20,E$3:E$8)</f>
        <v>0</v>
      </c>
      <c r="E20" s="27">
        <f t="shared" si="1"/>
        <v>0</v>
      </c>
      <c r="F20" s="27">
        <f t="shared" si="1"/>
        <v>0</v>
      </c>
      <c r="G20">
        <f t="shared" si="1"/>
        <v>9.9216910999999999E-4</v>
      </c>
      <c r="H20">
        <f t="shared" si="1"/>
        <v>2.1910835819999998E-2</v>
      </c>
      <c r="I20">
        <f t="shared" si="1"/>
        <v>7.8333399809999898E-2</v>
      </c>
      <c r="J20">
        <f t="shared" si="1"/>
        <v>0.16485517785999901</v>
      </c>
      <c r="K20">
        <f t="shared" si="1"/>
        <v>0.25643851612000002</v>
      </c>
      <c r="L20">
        <f t="shared" si="1"/>
        <v>0.33088602278000001</v>
      </c>
      <c r="M20">
        <f t="shared" si="1"/>
        <v>0.37976163549999897</v>
      </c>
      <c r="Q20" t="s">
        <v>12</v>
      </c>
    </row>
    <row r="21" spans="1:20">
      <c r="A21" t="s">
        <v>0</v>
      </c>
      <c r="B21" t="s">
        <v>5</v>
      </c>
      <c r="C21" t="s">
        <v>17</v>
      </c>
      <c r="D21">
        <f t="shared" si="1"/>
        <v>0.67199553999999995</v>
      </c>
      <c r="E21" s="27">
        <f t="shared" si="1"/>
        <v>0.84385186999999995</v>
      </c>
      <c r="F21" s="27">
        <f t="shared" si="1"/>
        <v>0.97975849000000004</v>
      </c>
      <c r="G21">
        <f t="shared" si="1"/>
        <v>1.0224669735</v>
      </c>
      <c r="H21">
        <f t="shared" si="1"/>
        <v>1.0404363274557</v>
      </c>
      <c r="I21">
        <f t="shared" si="1"/>
        <v>1.06026356164</v>
      </c>
      <c r="J21">
        <f t="shared" si="1"/>
        <v>1.06396515225999</v>
      </c>
      <c r="K21">
        <f t="shared" si="1"/>
        <v>1.07086566019999</v>
      </c>
      <c r="L21">
        <f t="shared" si="1"/>
        <v>1.1266076668718401</v>
      </c>
      <c r="M21">
        <f t="shared" si="1"/>
        <v>1.27211385561223</v>
      </c>
      <c r="Q21" t="s">
        <v>17</v>
      </c>
    </row>
    <row r="22" spans="1:20">
      <c r="A22" t="s">
        <v>0</v>
      </c>
      <c r="B22" t="s">
        <v>3</v>
      </c>
      <c r="C22" t="s">
        <v>13</v>
      </c>
      <c r="D22">
        <f t="shared" si="1"/>
        <v>0.10766998999999999</v>
      </c>
      <c r="E22" s="27">
        <f t="shared" si="1"/>
        <v>0.13356309999999999</v>
      </c>
      <c r="F22" s="27">
        <f t="shared" si="1"/>
        <v>0.16462779999999999</v>
      </c>
      <c r="G22">
        <f t="shared" si="1"/>
        <v>0.17605699899999999</v>
      </c>
      <c r="H22">
        <f t="shared" si="1"/>
        <v>0.17118660390000001</v>
      </c>
      <c r="I22">
        <f t="shared" si="1"/>
        <v>0.19087028379999901</v>
      </c>
      <c r="J22">
        <f t="shared" si="1"/>
        <v>0.2530944946</v>
      </c>
      <c r="K22">
        <f t="shared" si="1"/>
        <v>0.30317377719999999</v>
      </c>
      <c r="L22">
        <f t="shared" si="1"/>
        <v>0.31048221149999899</v>
      </c>
      <c r="M22">
        <f t="shared" si="1"/>
        <v>0.2998033759</v>
      </c>
      <c r="Q22" t="s">
        <v>13</v>
      </c>
    </row>
    <row r="23" spans="1:20">
      <c r="A23" t="s">
        <v>0</v>
      </c>
      <c r="B23" t="s">
        <v>7</v>
      </c>
      <c r="C23" t="s">
        <v>15</v>
      </c>
      <c r="D23">
        <f t="shared" si="1"/>
        <v>0.21320254999999999</v>
      </c>
      <c r="E23" s="27">
        <f t="shared" si="1"/>
        <v>0.31693948</v>
      </c>
      <c r="F23" s="27">
        <f t="shared" si="1"/>
        <v>0.35105451900000001</v>
      </c>
      <c r="G23">
        <f t="shared" si="1"/>
        <v>0.38535311989999899</v>
      </c>
      <c r="H23">
        <f t="shared" si="1"/>
        <v>0.41179354827600001</v>
      </c>
      <c r="I23">
        <f t="shared" si="1"/>
        <v>0.452497469012</v>
      </c>
      <c r="J23">
        <f t="shared" si="1"/>
        <v>0.49402448380399999</v>
      </c>
      <c r="K23">
        <f t="shared" si="1"/>
        <v>0.49946735567099998</v>
      </c>
      <c r="L23">
        <f t="shared" si="1"/>
        <v>0.57136876329399899</v>
      </c>
      <c r="M23">
        <f t="shared" si="1"/>
        <v>0.71463876528000003</v>
      </c>
      <c r="Q23" t="s">
        <v>15</v>
      </c>
    </row>
    <row r="24" spans="1:20">
      <c r="A24" t="s">
        <v>0</v>
      </c>
      <c r="B24" t="s">
        <v>4</v>
      </c>
      <c r="C24" t="s">
        <v>14</v>
      </c>
      <c r="D24">
        <f t="shared" ref="D24:M24" si="2">SUMIF($C$3:$C$8,$B24,E$3:E$8)-D25</f>
        <v>0.82334540000000001</v>
      </c>
      <c r="E24" s="27">
        <f t="shared" si="2"/>
        <v>1.0249819</v>
      </c>
      <c r="F24" s="27">
        <f t="shared" si="2"/>
        <v>1.2915874000000001</v>
      </c>
      <c r="G24">
        <f t="shared" si="2"/>
        <v>1.4452020969999999</v>
      </c>
      <c r="H24">
        <f t="shared" si="2"/>
        <v>1.3946517055099901</v>
      </c>
      <c r="I24">
        <f t="shared" si="2"/>
        <v>1.2159118822699899</v>
      </c>
      <c r="J24">
        <f t="shared" si="2"/>
        <v>0.96614184528000002</v>
      </c>
      <c r="K24">
        <f t="shared" si="2"/>
        <v>0.72866110656000005</v>
      </c>
      <c r="L24">
        <f t="shared" si="2"/>
        <v>0.54764276135999901</v>
      </c>
      <c r="M24">
        <f t="shared" si="2"/>
        <v>0.39471017779000001</v>
      </c>
      <c r="Q24" t="s">
        <v>14</v>
      </c>
    </row>
    <row r="25" spans="1:20">
      <c r="A25" t="s">
        <v>26</v>
      </c>
      <c r="B25" t="s">
        <v>4</v>
      </c>
      <c r="C25" t="s">
        <v>30</v>
      </c>
      <c r="D25">
        <f t="shared" ref="D25:M25" si="3">SUMIF($D$13:$D$16,$B25,F$13:F$16)</f>
        <v>0</v>
      </c>
      <c r="E25" s="27">
        <f t="shared" si="3"/>
        <v>1.6953300000000001E-2</v>
      </c>
      <c r="F25" s="27">
        <f t="shared" si="3"/>
        <v>2.3106700000000001E-2</v>
      </c>
      <c r="G25">
        <f t="shared" si="3"/>
        <v>2.3052E-2</v>
      </c>
      <c r="H25">
        <f t="shared" si="3"/>
        <v>1.01728E-3</v>
      </c>
      <c r="I25">
        <f t="shared" si="3"/>
        <v>1.9646900000000001E-4</v>
      </c>
      <c r="J25">
        <f t="shared" si="3"/>
        <v>7.8939399999999998E-5</v>
      </c>
      <c r="K25">
        <f t="shared" si="3"/>
        <v>3.70472E-5</v>
      </c>
      <c r="L25">
        <f t="shared" si="3"/>
        <v>2.5236E-5</v>
      </c>
      <c r="M25">
        <f t="shared" si="3"/>
        <v>2.7240300000000001E-5</v>
      </c>
      <c r="Q25" t="s">
        <v>30</v>
      </c>
    </row>
    <row r="26" spans="1:20">
      <c r="A26" t="s">
        <v>27</v>
      </c>
      <c r="B26" t="s">
        <v>6</v>
      </c>
      <c r="C26" t="s">
        <v>16</v>
      </c>
      <c r="D26">
        <f t="shared" ref="D26:M26" si="4">SUMIF($C$3:$C$8,$B26,E$3:E$8)-D27</f>
        <v>0.52631691999998997</v>
      </c>
      <c r="E26" s="27">
        <f t="shared" si="4"/>
        <v>0.42255711999999002</v>
      </c>
      <c r="F26" s="27">
        <f t="shared" si="4"/>
        <v>0.27855717000000002</v>
      </c>
      <c r="G26">
        <f t="shared" si="4"/>
        <v>0.28038451900000005</v>
      </c>
      <c r="H26">
        <f t="shared" si="4"/>
        <v>0.28077868002399997</v>
      </c>
      <c r="I26">
        <f t="shared" si="4"/>
        <v>0.28506762704099997</v>
      </c>
      <c r="J26">
        <f t="shared" si="4"/>
        <v>0.30702522472500005</v>
      </c>
      <c r="K26">
        <f t="shared" si="4"/>
        <v>0.33292981011368972</v>
      </c>
      <c r="L26">
        <f t="shared" si="4"/>
        <v>0.33696221696198969</v>
      </c>
      <c r="M26">
        <f t="shared" si="4"/>
        <v>0.3307323632949899</v>
      </c>
      <c r="Q26" t="s">
        <v>16</v>
      </c>
    </row>
    <row r="27" spans="1:20">
      <c r="A27" t="s">
        <v>28</v>
      </c>
      <c r="B27" t="s">
        <v>25</v>
      </c>
      <c r="C27" t="s">
        <v>31</v>
      </c>
      <c r="D27">
        <f t="shared" ref="D27:M27" si="5">SUMIF($D$13:$D$16,$B27,F$13:F$16)</f>
        <v>1.2710749000000001</v>
      </c>
      <c r="E27" s="27">
        <f t="shared" si="5"/>
        <v>1.5886745</v>
      </c>
      <c r="F27" s="27">
        <f t="shared" si="5"/>
        <v>1.9580449999999998</v>
      </c>
      <c r="G27">
        <f t="shared" si="5"/>
        <v>1.9830730000000001</v>
      </c>
      <c r="H27">
        <f t="shared" si="5"/>
        <v>1.9932612000000001</v>
      </c>
      <c r="I27">
        <f t="shared" si="5"/>
        <v>1.9797879999999999</v>
      </c>
      <c r="J27">
        <f t="shared" si="5"/>
        <v>1.9482576999999999</v>
      </c>
      <c r="K27">
        <f t="shared" si="5"/>
        <v>1.8919462000000002</v>
      </c>
      <c r="L27">
        <f t="shared" si="5"/>
        <v>1.8313737000000001</v>
      </c>
      <c r="M27">
        <f t="shared" si="5"/>
        <v>1.7614022</v>
      </c>
      <c r="Q27" t="s">
        <v>31</v>
      </c>
    </row>
    <row r="28" spans="1:20">
      <c r="A28" s="115" t="s">
        <v>29</v>
      </c>
      <c r="B28" s="115"/>
      <c r="C28" s="115"/>
      <c r="D28">
        <f t="shared" ref="D28:M28" si="6">SUM(D20:D27)</f>
        <v>3.6136052999999899</v>
      </c>
      <c r="E28" s="27">
        <f t="shared" si="6"/>
        <v>4.3475212699999899</v>
      </c>
      <c r="F28" s="27">
        <f t="shared" si="6"/>
        <v>5.0467370789999997</v>
      </c>
      <c r="G28">
        <f t="shared" si="6"/>
        <v>5.316580877509999</v>
      </c>
      <c r="H28">
        <f t="shared" si="6"/>
        <v>5.3150361809856896</v>
      </c>
      <c r="I28">
        <f t="shared" si="6"/>
        <v>5.2629286925729888</v>
      </c>
      <c r="J28">
        <f t="shared" si="6"/>
        <v>5.1974430179289888</v>
      </c>
      <c r="K28">
        <f t="shared" si="6"/>
        <v>5.0835194730646807</v>
      </c>
      <c r="L28">
        <f t="shared" si="6"/>
        <v>5.055348578767827</v>
      </c>
      <c r="M28">
        <f t="shared" si="6"/>
        <v>5.1531896136772186</v>
      </c>
    </row>
  </sheetData>
  <mergeCells count="2">
    <mergeCell ref="A9:C9"/>
    <mergeCell ref="A28:C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3224-8369-4E1C-A285-173AA174C131}">
  <sheetPr codeName="Sheet14"/>
  <dimension ref="A1:T28"/>
  <sheetViews>
    <sheetView zoomScale="55" zoomScaleNormal="55" workbookViewId="0">
      <selection activeCell="A3" sqref="A3:N8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18</v>
      </c>
      <c r="Q1" s="1" t="s">
        <v>74</v>
      </c>
    </row>
    <row r="2" spans="1:17">
      <c r="A2" s="13" t="s">
        <v>8</v>
      </c>
      <c r="B2" s="13" t="s">
        <v>9</v>
      </c>
      <c r="C2" s="13" t="s">
        <v>10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</row>
    <row r="3" spans="1:17">
      <c r="A3" s="13" t="s">
        <v>259</v>
      </c>
      <c r="B3" s="13" t="s">
        <v>1</v>
      </c>
      <c r="C3" s="13" t="s">
        <v>2</v>
      </c>
      <c r="D3" s="13">
        <v>0</v>
      </c>
      <c r="E3" s="13">
        <v>0</v>
      </c>
      <c r="F3" s="13">
        <v>0</v>
      </c>
      <c r="G3" s="13">
        <v>0</v>
      </c>
      <c r="H3" s="14">
        <v>9.921729900000001E-4</v>
      </c>
      <c r="I3" s="13">
        <v>2.186015384E-2</v>
      </c>
      <c r="J3" s="13">
        <v>7.1893254140000001E-2</v>
      </c>
      <c r="K3" s="13">
        <v>0.14696741826999901</v>
      </c>
      <c r="L3" s="13">
        <v>0.22558390729</v>
      </c>
      <c r="M3" s="13">
        <v>0.28656408815000001</v>
      </c>
      <c r="N3" s="13">
        <v>0.31983883029999999</v>
      </c>
    </row>
    <row r="4" spans="1:17">
      <c r="A4" s="13" t="s">
        <v>259</v>
      </c>
      <c r="B4" s="13" t="s">
        <v>1</v>
      </c>
      <c r="C4" s="13" t="s">
        <v>3</v>
      </c>
      <c r="D4" s="13">
        <v>4.6608799999999999E-2</v>
      </c>
      <c r="E4" s="13">
        <v>0.10766998999999999</v>
      </c>
      <c r="F4" s="13">
        <v>0.13356309999999999</v>
      </c>
      <c r="G4" s="13">
        <v>0.16462779999999999</v>
      </c>
      <c r="H4" s="13">
        <v>0.176056659999999</v>
      </c>
      <c r="I4" s="13">
        <v>0.17128353760000001</v>
      </c>
      <c r="J4" s="13">
        <v>0.190555517199999</v>
      </c>
      <c r="K4" s="13">
        <v>0.25092524199999999</v>
      </c>
      <c r="L4" s="13">
        <v>0.3047096259</v>
      </c>
      <c r="M4" s="13">
        <v>0.31369003089999897</v>
      </c>
      <c r="N4" s="13">
        <v>0.30258282121000002</v>
      </c>
    </row>
    <row r="5" spans="1:17">
      <c r="A5" s="13" t="s">
        <v>259</v>
      </c>
      <c r="B5" s="13" t="s">
        <v>1</v>
      </c>
      <c r="C5" s="13" t="s">
        <v>4</v>
      </c>
      <c r="D5" s="13">
        <v>0.57666110000000004</v>
      </c>
      <c r="E5" s="13">
        <v>0.82334540000000001</v>
      </c>
      <c r="F5" s="13">
        <v>1.0419352</v>
      </c>
      <c r="G5" s="13">
        <v>1.3146941000000001</v>
      </c>
      <c r="H5" s="13">
        <v>1.4682480739999999</v>
      </c>
      <c r="I5" s="13">
        <v>1.39692803572</v>
      </c>
      <c r="J5" s="13">
        <v>1.1911109042799899</v>
      </c>
      <c r="K5" s="13">
        <v>0.918550300849999</v>
      </c>
      <c r="L5" s="13">
        <v>0.66428775255999895</v>
      </c>
      <c r="M5" s="13">
        <v>0.47669982546999901</v>
      </c>
      <c r="N5" s="13">
        <v>0.33270831454999999</v>
      </c>
    </row>
    <row r="6" spans="1:17">
      <c r="A6" s="13" t="s">
        <v>259</v>
      </c>
      <c r="B6" s="13" t="s">
        <v>1</v>
      </c>
      <c r="C6" s="13" t="s">
        <v>5</v>
      </c>
      <c r="D6" s="13">
        <v>0.209431009999999</v>
      </c>
      <c r="E6" s="13">
        <v>0.67199553999999995</v>
      </c>
      <c r="F6" s="13">
        <v>0.84385186999999995</v>
      </c>
      <c r="G6" s="13">
        <v>0.97975849000000004</v>
      </c>
      <c r="H6" s="13">
        <v>1.0224650858</v>
      </c>
      <c r="I6" s="13">
        <v>1.0404766987488301</v>
      </c>
      <c r="J6" s="13">
        <v>1.046228823149</v>
      </c>
      <c r="K6" s="13">
        <v>1.0356318227600001</v>
      </c>
      <c r="L6" s="13">
        <v>1.0257779552999999</v>
      </c>
      <c r="M6" s="13">
        <v>1.05870778119145</v>
      </c>
      <c r="N6" s="13">
        <v>1.1875261776399599</v>
      </c>
    </row>
    <row r="7" spans="1:17">
      <c r="A7" s="13" t="s">
        <v>259</v>
      </c>
      <c r="B7" s="13" t="s">
        <v>1</v>
      </c>
      <c r="C7" s="13" t="s">
        <v>6</v>
      </c>
      <c r="D7" s="13">
        <v>0.80111421999999999</v>
      </c>
      <c r="E7" s="13">
        <v>1.7973918199999901</v>
      </c>
      <c r="F7" s="13">
        <v>2.01123161999999</v>
      </c>
      <c r="G7" s="13">
        <v>2.2366021699999998</v>
      </c>
      <c r="H7" s="13">
        <v>2.2634679349</v>
      </c>
      <c r="I7" s="13">
        <v>2.274267976325</v>
      </c>
      <c r="J7" s="13">
        <v>2.2649418317609902</v>
      </c>
      <c r="K7" s="13">
        <v>2.254374671631</v>
      </c>
      <c r="L7" s="13">
        <v>2.2253901563002998</v>
      </c>
      <c r="M7" s="13">
        <v>2.1681816811029999</v>
      </c>
      <c r="N7" s="13">
        <v>2.089839452359</v>
      </c>
    </row>
    <row r="8" spans="1:17">
      <c r="A8" s="13" t="s">
        <v>259</v>
      </c>
      <c r="B8" s="13" t="s">
        <v>1</v>
      </c>
      <c r="C8" s="13" t="s">
        <v>7</v>
      </c>
      <c r="D8" s="13">
        <v>4.1860899999999999E-3</v>
      </c>
      <c r="E8" s="13">
        <v>0.21320254999999999</v>
      </c>
      <c r="F8" s="13">
        <v>0.31693948</v>
      </c>
      <c r="G8" s="13">
        <v>0.35105451900000001</v>
      </c>
      <c r="H8" s="13">
        <v>0.385353582299999</v>
      </c>
      <c r="I8" s="13">
        <v>0.41177022542899999</v>
      </c>
      <c r="J8" s="13">
        <v>0.44582264680799999</v>
      </c>
      <c r="K8" s="13">
        <v>0.48165263980599998</v>
      </c>
      <c r="L8" s="13">
        <v>0.48036313822400001</v>
      </c>
      <c r="M8" s="13">
        <v>0.53323191616599996</v>
      </c>
      <c r="N8" s="13">
        <v>0.66923790915000003</v>
      </c>
    </row>
    <row r="9" spans="1:17">
      <c r="A9" s="115" t="s">
        <v>29</v>
      </c>
      <c r="B9" s="115"/>
      <c r="C9" s="115"/>
      <c r="D9" s="13">
        <f>SUM(D3:D8)</f>
        <v>1.6380012199999989</v>
      </c>
      <c r="E9" s="13">
        <f t="shared" ref="E9:N9" si="0">SUM(E3:E8)</f>
        <v>3.6136052999999899</v>
      </c>
      <c r="F9" s="13">
        <f t="shared" si="0"/>
        <v>4.3475212699999908</v>
      </c>
      <c r="G9" s="13">
        <f t="shared" si="0"/>
        <v>5.0467370789999997</v>
      </c>
      <c r="H9" s="13">
        <f t="shared" si="0"/>
        <v>5.3165835099899983</v>
      </c>
      <c r="I9" s="13">
        <f t="shared" si="0"/>
        <v>5.3165866276628302</v>
      </c>
      <c r="J9" s="13">
        <f t="shared" si="0"/>
        <v>5.2105529773379784</v>
      </c>
      <c r="K9" s="13">
        <f t="shared" si="0"/>
        <v>5.088102095316998</v>
      </c>
      <c r="L9" s="13">
        <f t="shared" si="0"/>
        <v>4.9261125355742985</v>
      </c>
      <c r="M9" s="13">
        <f t="shared" si="0"/>
        <v>4.8370753229804473</v>
      </c>
      <c r="N9" s="13">
        <f t="shared" si="0"/>
        <v>4.901733505208961</v>
      </c>
    </row>
    <row r="11" spans="1:17">
      <c r="A11" s="1" t="s">
        <v>23</v>
      </c>
    </row>
    <row r="12" spans="1:17">
      <c r="A12" s="13" t="s">
        <v>8</v>
      </c>
      <c r="B12" s="13" t="s">
        <v>9</v>
      </c>
      <c r="C12" s="13" t="s">
        <v>24</v>
      </c>
      <c r="D12" s="13" t="s">
        <v>10</v>
      </c>
      <c r="E12" s="13">
        <v>1990</v>
      </c>
      <c r="F12" s="13">
        <v>2005</v>
      </c>
      <c r="G12" s="13">
        <v>2010</v>
      </c>
      <c r="H12" s="13">
        <v>2015</v>
      </c>
      <c r="I12" s="13">
        <v>2020</v>
      </c>
      <c r="J12" s="13">
        <v>2025</v>
      </c>
      <c r="K12" s="13">
        <v>2030</v>
      </c>
      <c r="L12" s="13">
        <v>2035</v>
      </c>
      <c r="M12" s="13">
        <v>2040</v>
      </c>
      <c r="N12" s="13">
        <v>2045</v>
      </c>
      <c r="O12" s="13">
        <v>2050</v>
      </c>
    </row>
    <row r="13" spans="1:17">
      <c r="A13" s="13" t="s">
        <v>259</v>
      </c>
      <c r="B13" s="13" t="s">
        <v>1</v>
      </c>
      <c r="C13" s="13" t="s">
        <v>20</v>
      </c>
      <c r="D13" s="13" t="s">
        <v>4</v>
      </c>
      <c r="E13" s="13">
        <v>0</v>
      </c>
      <c r="F13" s="13">
        <v>0</v>
      </c>
      <c r="G13" s="13">
        <v>1.6953300000000001E-2</v>
      </c>
      <c r="H13" s="13">
        <v>2.3106700000000001E-2</v>
      </c>
      <c r="I13" s="13">
        <v>2.3049E-2</v>
      </c>
      <c r="J13" s="14">
        <v>1.03725E-3</v>
      </c>
      <c r="K13" s="14">
        <v>2.0528500000000001E-4</v>
      </c>
      <c r="L13" s="14">
        <v>8.3303899999999994E-5</v>
      </c>
      <c r="M13" s="14">
        <v>3.9326499999999997E-5</v>
      </c>
      <c r="N13" s="14">
        <v>2.6235299999999999E-5</v>
      </c>
      <c r="O13" s="14">
        <v>2.7254400000000001E-5</v>
      </c>
    </row>
    <row r="14" spans="1:17">
      <c r="A14" s="13" t="s">
        <v>259</v>
      </c>
      <c r="B14" s="13" t="s">
        <v>1</v>
      </c>
      <c r="C14" s="13" t="s">
        <v>20</v>
      </c>
      <c r="D14" s="13" t="s">
        <v>6</v>
      </c>
      <c r="E14" s="13">
        <v>0.23639399999999999</v>
      </c>
      <c r="F14" s="13">
        <v>1.18882</v>
      </c>
      <c r="G14" s="13">
        <v>1.5032799999999999</v>
      </c>
      <c r="H14" s="13">
        <v>1.8793899999999999</v>
      </c>
      <c r="I14" s="13">
        <v>1.8978299999999999</v>
      </c>
      <c r="J14" s="13">
        <v>1.90723</v>
      </c>
      <c r="K14" s="13">
        <v>1.8857699999999999</v>
      </c>
      <c r="L14" s="13">
        <v>1.8275300000000001</v>
      </c>
      <c r="M14" s="13">
        <v>1.7407699999999999</v>
      </c>
      <c r="N14" s="13">
        <v>1.6604000000000001</v>
      </c>
      <c r="O14" s="13">
        <v>1.57609</v>
      </c>
    </row>
    <row r="15" spans="1:17">
      <c r="A15" s="13" t="s">
        <v>259</v>
      </c>
      <c r="B15" s="13" t="s">
        <v>1</v>
      </c>
      <c r="C15" s="13" t="s">
        <v>21</v>
      </c>
      <c r="D15" s="13" t="s">
        <v>6</v>
      </c>
      <c r="E15" s="13">
        <v>3.2608900000000003E-2</v>
      </c>
      <c r="F15" s="13">
        <v>5.08599E-2</v>
      </c>
      <c r="G15" s="13">
        <v>5.3873799999999999E-2</v>
      </c>
      <c r="H15" s="13">
        <v>4.94367E-2</v>
      </c>
      <c r="I15" s="13">
        <v>5.1655800000000002E-2</v>
      </c>
      <c r="J15" s="13">
        <v>5.1062200000000002E-2</v>
      </c>
      <c r="K15" s="13">
        <v>5.0786900000000003E-2</v>
      </c>
      <c r="L15" s="13">
        <v>5.0689199999999997E-2</v>
      </c>
      <c r="M15" s="13">
        <v>4.98322E-2</v>
      </c>
      <c r="N15" s="13">
        <v>4.8699300000000001E-2</v>
      </c>
      <c r="O15" s="13">
        <v>4.7568399999999997E-2</v>
      </c>
    </row>
    <row r="16" spans="1:17">
      <c r="A16" s="13" t="s">
        <v>259</v>
      </c>
      <c r="B16" s="13" t="s">
        <v>1</v>
      </c>
      <c r="C16" s="13" t="s">
        <v>22</v>
      </c>
      <c r="D16" s="13" t="s">
        <v>6</v>
      </c>
      <c r="E16" s="13">
        <v>0</v>
      </c>
      <c r="F16" s="13">
        <v>3.1394999999999999E-2</v>
      </c>
      <c r="G16" s="13">
        <v>3.1520699999999999E-2</v>
      </c>
      <c r="H16" s="13">
        <v>2.9218299999999999E-2</v>
      </c>
      <c r="I16" s="13">
        <v>3.3597000000000002E-2</v>
      </c>
      <c r="J16" s="13">
        <v>3.50689E-2</v>
      </c>
      <c r="K16" s="13">
        <v>4.3472400000000001E-2</v>
      </c>
      <c r="L16" s="13">
        <v>6.9768800000000006E-2</v>
      </c>
      <c r="M16" s="13">
        <v>0.102216</v>
      </c>
      <c r="N16" s="13">
        <v>0.123143</v>
      </c>
      <c r="O16" s="13">
        <v>0.13769300000000001</v>
      </c>
    </row>
    <row r="18" spans="1:20">
      <c r="A18" s="1" t="s">
        <v>11</v>
      </c>
    </row>
    <row r="19" spans="1:20">
      <c r="A19" s="13" t="s">
        <v>8</v>
      </c>
      <c r="B19" s="13" t="s">
        <v>9</v>
      </c>
      <c r="C19" s="13" t="s">
        <v>10</v>
      </c>
      <c r="D19" s="13">
        <v>2015</v>
      </c>
      <c r="E19" s="13">
        <v>2020</v>
      </c>
      <c r="F19" s="13">
        <v>2025</v>
      </c>
      <c r="G19" s="13">
        <v>2030</v>
      </c>
      <c r="H19" s="13">
        <v>2035</v>
      </c>
      <c r="I19" s="13">
        <v>2040</v>
      </c>
      <c r="J19" s="13">
        <v>2045</v>
      </c>
      <c r="K19" s="13">
        <v>2050</v>
      </c>
      <c r="R19" s="13">
        <v>2005</v>
      </c>
      <c r="S19" s="13">
        <v>2010</v>
      </c>
      <c r="T19" s="13">
        <v>2015</v>
      </c>
    </row>
    <row r="20" spans="1:20">
      <c r="A20" s="13" t="s">
        <v>0</v>
      </c>
      <c r="B20" s="13" t="s">
        <v>2</v>
      </c>
      <c r="C20" s="13" t="s">
        <v>12</v>
      </c>
      <c r="D20" s="13">
        <f t="shared" ref="D20:K23" si="1">SUMIF($C$3:$C$8,$B20,G$3:G$8)</f>
        <v>0</v>
      </c>
      <c r="E20" s="13">
        <f t="shared" si="1"/>
        <v>9.921729900000001E-4</v>
      </c>
      <c r="F20" s="13">
        <f t="shared" si="1"/>
        <v>2.186015384E-2</v>
      </c>
      <c r="G20" s="13">
        <f t="shared" si="1"/>
        <v>7.1893254140000001E-2</v>
      </c>
      <c r="H20" s="13">
        <f t="shared" si="1"/>
        <v>0.14696741826999901</v>
      </c>
      <c r="I20" s="13">
        <f t="shared" si="1"/>
        <v>0.22558390729</v>
      </c>
      <c r="J20" s="13">
        <f t="shared" si="1"/>
        <v>0.28656408815000001</v>
      </c>
      <c r="K20" s="13">
        <f t="shared" si="1"/>
        <v>0.31983883029999999</v>
      </c>
      <c r="Q20" s="13" t="s">
        <v>12</v>
      </c>
    </row>
    <row r="21" spans="1:20">
      <c r="A21" s="13" t="s">
        <v>0</v>
      </c>
      <c r="B21" s="13" t="s">
        <v>5</v>
      </c>
      <c r="C21" s="13" t="s">
        <v>17</v>
      </c>
      <c r="D21" s="13">
        <f t="shared" si="1"/>
        <v>0.97975849000000004</v>
      </c>
      <c r="E21" s="13">
        <f t="shared" si="1"/>
        <v>1.0224650858</v>
      </c>
      <c r="F21" s="13">
        <f t="shared" si="1"/>
        <v>1.0404766987488301</v>
      </c>
      <c r="G21" s="13">
        <f t="shared" si="1"/>
        <v>1.046228823149</v>
      </c>
      <c r="H21" s="13">
        <f t="shared" si="1"/>
        <v>1.0356318227600001</v>
      </c>
      <c r="I21" s="13">
        <f t="shared" si="1"/>
        <v>1.0257779552999999</v>
      </c>
      <c r="J21" s="13">
        <f t="shared" si="1"/>
        <v>1.05870778119145</v>
      </c>
      <c r="K21" s="13">
        <f t="shared" si="1"/>
        <v>1.1875261776399599</v>
      </c>
      <c r="Q21" s="13" t="s">
        <v>17</v>
      </c>
    </row>
    <row r="22" spans="1:20">
      <c r="A22" s="13" t="s">
        <v>0</v>
      </c>
      <c r="B22" s="13" t="s">
        <v>3</v>
      </c>
      <c r="C22" s="13" t="s">
        <v>13</v>
      </c>
      <c r="D22" s="13">
        <f t="shared" si="1"/>
        <v>0.16462779999999999</v>
      </c>
      <c r="E22" s="13">
        <f t="shared" si="1"/>
        <v>0.176056659999999</v>
      </c>
      <c r="F22" s="13">
        <f t="shared" si="1"/>
        <v>0.17128353760000001</v>
      </c>
      <c r="G22" s="13">
        <f t="shared" si="1"/>
        <v>0.190555517199999</v>
      </c>
      <c r="H22" s="13">
        <f t="shared" si="1"/>
        <v>0.25092524199999999</v>
      </c>
      <c r="I22" s="13">
        <f t="shared" si="1"/>
        <v>0.3047096259</v>
      </c>
      <c r="J22" s="13">
        <f t="shared" si="1"/>
        <v>0.31369003089999897</v>
      </c>
      <c r="K22" s="13">
        <f t="shared" si="1"/>
        <v>0.30258282121000002</v>
      </c>
      <c r="Q22" s="13" t="s">
        <v>13</v>
      </c>
    </row>
    <row r="23" spans="1:20">
      <c r="A23" s="13" t="s">
        <v>0</v>
      </c>
      <c r="B23" s="13" t="s">
        <v>7</v>
      </c>
      <c r="C23" s="13" t="s">
        <v>15</v>
      </c>
      <c r="D23" s="13">
        <f t="shared" si="1"/>
        <v>0.35105451900000001</v>
      </c>
      <c r="E23" s="13">
        <f t="shared" si="1"/>
        <v>0.385353582299999</v>
      </c>
      <c r="F23" s="13">
        <f t="shared" si="1"/>
        <v>0.41177022542899999</v>
      </c>
      <c r="G23" s="13">
        <f t="shared" si="1"/>
        <v>0.44582264680799999</v>
      </c>
      <c r="H23" s="13">
        <f t="shared" si="1"/>
        <v>0.48165263980599998</v>
      </c>
      <c r="I23" s="13">
        <f t="shared" si="1"/>
        <v>0.48036313822400001</v>
      </c>
      <c r="J23" s="13">
        <f t="shared" si="1"/>
        <v>0.53323191616599996</v>
      </c>
      <c r="K23" s="13">
        <f t="shared" si="1"/>
        <v>0.66923790915000003</v>
      </c>
      <c r="Q23" s="13" t="s">
        <v>15</v>
      </c>
    </row>
    <row r="24" spans="1:20">
      <c r="A24" s="13" t="s">
        <v>0</v>
      </c>
      <c r="B24" s="13" t="s">
        <v>4</v>
      </c>
      <c r="C24" s="13" t="s">
        <v>14</v>
      </c>
      <c r="D24" s="13">
        <f t="shared" ref="D24:K24" si="2">SUMIF($C$3:$C$8,$B24,G$3:G$8)-D25</f>
        <v>1.2915874000000001</v>
      </c>
      <c r="E24" s="13">
        <f t="shared" si="2"/>
        <v>1.4451990739999998</v>
      </c>
      <c r="F24" s="13">
        <f t="shared" si="2"/>
        <v>1.39589078572</v>
      </c>
      <c r="G24" s="13">
        <f t="shared" si="2"/>
        <v>1.1909056192799898</v>
      </c>
      <c r="H24" s="13">
        <f t="shared" si="2"/>
        <v>0.918466996949999</v>
      </c>
      <c r="I24" s="13">
        <f t="shared" si="2"/>
        <v>0.6642484260599989</v>
      </c>
      <c r="J24" s="13">
        <f t="shared" si="2"/>
        <v>0.476673590169999</v>
      </c>
      <c r="K24" s="13">
        <f t="shared" si="2"/>
        <v>0.33268106014999999</v>
      </c>
      <c r="Q24" s="13" t="s">
        <v>14</v>
      </c>
    </row>
    <row r="25" spans="1:20">
      <c r="A25" s="13" t="s">
        <v>26</v>
      </c>
      <c r="B25" s="13" t="s">
        <v>4</v>
      </c>
      <c r="C25" s="13" t="s">
        <v>30</v>
      </c>
      <c r="D25" s="13">
        <f t="shared" ref="D25:K25" si="3">SUMIF($D$13:$D$16,$B25,H$13:H$16)</f>
        <v>2.3106700000000001E-2</v>
      </c>
      <c r="E25" s="13">
        <f t="shared" si="3"/>
        <v>2.3049E-2</v>
      </c>
      <c r="F25" s="13">
        <f t="shared" si="3"/>
        <v>1.03725E-3</v>
      </c>
      <c r="G25" s="13">
        <f t="shared" si="3"/>
        <v>2.0528500000000001E-4</v>
      </c>
      <c r="H25" s="13">
        <f t="shared" si="3"/>
        <v>8.3303899999999994E-5</v>
      </c>
      <c r="I25" s="13">
        <f t="shared" si="3"/>
        <v>3.9326499999999997E-5</v>
      </c>
      <c r="J25" s="13">
        <f t="shared" si="3"/>
        <v>2.6235299999999999E-5</v>
      </c>
      <c r="K25" s="13">
        <f t="shared" si="3"/>
        <v>2.7254400000000001E-5</v>
      </c>
      <c r="Q25" s="13" t="s">
        <v>30</v>
      </c>
    </row>
    <row r="26" spans="1:20">
      <c r="A26" s="13" t="s">
        <v>27</v>
      </c>
      <c r="B26" s="13" t="s">
        <v>6</v>
      </c>
      <c r="C26" s="13" t="s">
        <v>16</v>
      </c>
      <c r="D26" s="13">
        <f t="shared" ref="D26:K26" si="4">SUMIF($C$3:$C$8,$B26,G$3:G$8)-D27</f>
        <v>0.27855717000000002</v>
      </c>
      <c r="E26" s="13">
        <f t="shared" si="4"/>
        <v>0.28038513489999994</v>
      </c>
      <c r="F26" s="13">
        <f t="shared" si="4"/>
        <v>0.280906876325</v>
      </c>
      <c r="G26" s="13">
        <f t="shared" si="4"/>
        <v>0.28491253176099018</v>
      </c>
      <c r="H26" s="13">
        <f t="shared" si="4"/>
        <v>0.30638667163099975</v>
      </c>
      <c r="I26" s="13">
        <f t="shared" si="4"/>
        <v>0.33257195630029979</v>
      </c>
      <c r="J26" s="13">
        <f t="shared" si="4"/>
        <v>0.33593938110299981</v>
      </c>
      <c r="K26" s="13">
        <f t="shared" si="4"/>
        <v>0.32848805235899992</v>
      </c>
      <c r="Q26" s="13" t="s">
        <v>16</v>
      </c>
    </row>
    <row r="27" spans="1:20">
      <c r="A27" s="13" t="s">
        <v>28</v>
      </c>
      <c r="B27" s="13" t="s">
        <v>25</v>
      </c>
      <c r="C27" s="13" t="s">
        <v>31</v>
      </c>
      <c r="D27" s="13">
        <f t="shared" ref="D27:K27" si="5">SUMIF($D$13:$D$16,$B27,H$13:H$16)</f>
        <v>1.9580449999999998</v>
      </c>
      <c r="E27" s="13">
        <f t="shared" si="5"/>
        <v>1.9830828</v>
      </c>
      <c r="F27" s="13">
        <f t="shared" si="5"/>
        <v>1.9933611</v>
      </c>
      <c r="G27" s="13">
        <f t="shared" si="5"/>
        <v>1.9800293</v>
      </c>
      <c r="H27" s="13">
        <f t="shared" si="5"/>
        <v>1.9479880000000003</v>
      </c>
      <c r="I27" s="13">
        <f t="shared" si="5"/>
        <v>1.8928182</v>
      </c>
      <c r="J27" s="13">
        <f t="shared" si="5"/>
        <v>1.8322423000000001</v>
      </c>
      <c r="K27" s="13">
        <f t="shared" si="5"/>
        <v>1.7613514000000001</v>
      </c>
      <c r="Q27" s="13" t="s">
        <v>31</v>
      </c>
    </row>
    <row r="28" spans="1:20">
      <c r="A28" s="115" t="s">
        <v>29</v>
      </c>
      <c r="B28" s="115"/>
      <c r="C28" s="115"/>
      <c r="D28" s="13">
        <f t="shared" ref="D28:K28" si="6">SUM(D20:D27)</f>
        <v>5.0467370789999997</v>
      </c>
      <c r="E28" s="13">
        <f t="shared" si="6"/>
        <v>5.3165835099899974</v>
      </c>
      <c r="F28" s="13">
        <f t="shared" si="6"/>
        <v>5.3165866276628302</v>
      </c>
      <c r="G28" s="13">
        <f t="shared" si="6"/>
        <v>5.2105529773379793</v>
      </c>
      <c r="H28" s="13">
        <f t="shared" si="6"/>
        <v>5.088102095316998</v>
      </c>
      <c r="I28" s="13">
        <f t="shared" si="6"/>
        <v>4.9261125355742985</v>
      </c>
      <c r="J28" s="13">
        <f t="shared" si="6"/>
        <v>4.8370753229804473</v>
      </c>
      <c r="K28" s="13">
        <f t="shared" si="6"/>
        <v>4.9017335052089601</v>
      </c>
    </row>
  </sheetData>
  <mergeCells count="2">
    <mergeCell ref="A9:C9"/>
    <mergeCell ref="A28:C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9ED84-4437-4AB2-BD6A-CBFEA97AF4A0}">
  <dimension ref="A3:O54"/>
  <sheetViews>
    <sheetView zoomScale="85" zoomScaleNormal="85" workbookViewId="0">
      <selection activeCell="C34" sqref="C34:O44"/>
    </sheetView>
  </sheetViews>
  <sheetFormatPr defaultRowHeight="17.399999999999999"/>
  <cols>
    <col min="3" max="3" width="13" bestFit="1" customWidth="1"/>
    <col min="4" max="4" width="23.296875" bestFit="1" customWidth="1"/>
  </cols>
  <sheetData>
    <row r="3" spans="1:15" s="13" customFormat="1"/>
    <row r="7" spans="1:15" s="13" customFormat="1"/>
    <row r="15" spans="1:15">
      <c r="A15" s="1" t="s">
        <v>165</v>
      </c>
      <c r="E15" s="13">
        <v>1990</v>
      </c>
      <c r="F15" s="13">
        <v>2005</v>
      </c>
      <c r="G15" s="13">
        <v>2010</v>
      </c>
      <c r="H15" s="13">
        <v>2015</v>
      </c>
      <c r="I15" s="13">
        <v>2020</v>
      </c>
      <c r="J15" s="13">
        <v>2025</v>
      </c>
      <c r="K15" s="13">
        <v>2030</v>
      </c>
      <c r="L15" s="13">
        <v>2035</v>
      </c>
      <c r="M15" s="13">
        <v>2040</v>
      </c>
      <c r="N15" s="13">
        <v>2045</v>
      </c>
      <c r="O15" s="13">
        <v>2050</v>
      </c>
    </row>
    <row r="16" spans="1:15">
      <c r="A16" t="s">
        <v>259</v>
      </c>
      <c r="B16" t="s">
        <v>1</v>
      </c>
      <c r="C16" t="s">
        <v>32</v>
      </c>
      <c r="D16" t="s">
        <v>33</v>
      </c>
      <c r="E16">
        <v>1</v>
      </c>
      <c r="F16">
        <v>1</v>
      </c>
      <c r="G16">
        <v>1</v>
      </c>
      <c r="H16">
        <v>1</v>
      </c>
      <c r="I16">
        <v>0.87142900000000001</v>
      </c>
      <c r="J16">
        <v>0.74285699999999999</v>
      </c>
      <c r="K16">
        <v>0.614286</v>
      </c>
      <c r="L16">
        <v>0.48571399999999998</v>
      </c>
      <c r="M16">
        <v>0.35714299999999999</v>
      </c>
      <c r="N16">
        <v>0.228571</v>
      </c>
      <c r="O16">
        <v>0.1</v>
      </c>
    </row>
    <row r="17" spans="1:15">
      <c r="A17" t="s">
        <v>259</v>
      </c>
      <c r="B17" t="s">
        <v>1</v>
      </c>
      <c r="C17" t="s">
        <v>32</v>
      </c>
      <c r="D17" t="s">
        <v>36</v>
      </c>
      <c r="E17">
        <v>5.9408700000000003</v>
      </c>
      <c r="F17">
        <v>9.8492200000000008</v>
      </c>
      <c r="G17">
        <v>10.1349</v>
      </c>
      <c r="H17">
        <v>2.7159</v>
      </c>
      <c r="I17">
        <v>2.7159</v>
      </c>
      <c r="J17">
        <v>2.7159</v>
      </c>
      <c r="K17">
        <v>2.7159</v>
      </c>
      <c r="L17">
        <v>2.7159</v>
      </c>
      <c r="M17">
        <v>2.7159</v>
      </c>
      <c r="N17">
        <v>2.7159</v>
      </c>
      <c r="O17">
        <v>2.7159</v>
      </c>
    </row>
    <row r="18" spans="1:15">
      <c r="A18" t="s">
        <v>259</v>
      </c>
      <c r="B18" t="s">
        <v>1</v>
      </c>
      <c r="C18" t="s">
        <v>32</v>
      </c>
      <c r="D18" t="s">
        <v>38</v>
      </c>
      <c r="E18">
        <v>0.28204600000000002</v>
      </c>
      <c r="F18">
        <v>0.70394800000000002</v>
      </c>
      <c r="G18">
        <v>0.71184899999999995</v>
      </c>
      <c r="H18">
        <v>0.20197499999999999</v>
      </c>
      <c r="I18">
        <v>0.176481</v>
      </c>
      <c r="J18">
        <v>0.15098800000000001</v>
      </c>
      <c r="K18">
        <v>0.12549399999999999</v>
      </c>
      <c r="L18">
        <v>0.1</v>
      </c>
      <c r="M18">
        <v>0.1</v>
      </c>
      <c r="N18">
        <v>0.1</v>
      </c>
      <c r="O18">
        <v>0.1</v>
      </c>
    </row>
    <row r="34" spans="3:15">
      <c r="C34" t="s">
        <v>40</v>
      </c>
      <c r="D34" t="s">
        <v>42</v>
      </c>
      <c r="E34">
        <v>1990</v>
      </c>
      <c r="F34">
        <v>2005</v>
      </c>
      <c r="G34">
        <v>2010</v>
      </c>
      <c r="H34">
        <v>2015</v>
      </c>
      <c r="I34" s="13">
        <v>2020</v>
      </c>
      <c r="J34" s="13">
        <v>2025</v>
      </c>
      <c r="K34" s="13">
        <v>2030</v>
      </c>
      <c r="L34" s="13">
        <v>2035</v>
      </c>
      <c r="M34" s="13">
        <v>2040</v>
      </c>
      <c r="N34" s="13">
        <v>2045</v>
      </c>
      <c r="O34" s="13">
        <v>2050</v>
      </c>
    </row>
    <row r="35" spans="3:15">
      <c r="C35" s="13" t="s">
        <v>33</v>
      </c>
      <c r="D35" s="13"/>
      <c r="E35" s="13">
        <f>E16</f>
        <v>1</v>
      </c>
      <c r="F35" s="13">
        <f t="shared" ref="F35:O35" si="0">F16</f>
        <v>1</v>
      </c>
      <c r="G35" s="13">
        <f t="shared" si="0"/>
        <v>1</v>
      </c>
      <c r="H35" s="13">
        <f t="shared" si="0"/>
        <v>1</v>
      </c>
      <c r="I35" s="13">
        <f t="shared" si="0"/>
        <v>0.87142900000000001</v>
      </c>
      <c r="J35" s="13">
        <f t="shared" si="0"/>
        <v>0.74285699999999999</v>
      </c>
      <c r="K35" s="13">
        <f t="shared" si="0"/>
        <v>0.614286</v>
      </c>
      <c r="L35" s="13">
        <f t="shared" si="0"/>
        <v>0.48571399999999998</v>
      </c>
      <c r="M35" s="13">
        <f t="shared" si="0"/>
        <v>0.35714299999999999</v>
      </c>
      <c r="N35" s="13">
        <f t="shared" si="0"/>
        <v>0.228571</v>
      </c>
      <c r="O35" s="13">
        <f t="shared" si="0"/>
        <v>0.1</v>
      </c>
    </row>
    <row r="36" spans="3:15">
      <c r="C36" s="13"/>
      <c r="D36" s="13" t="s">
        <v>33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</row>
    <row r="37" spans="3:15">
      <c r="D37" s="13" t="s">
        <v>79</v>
      </c>
      <c r="E37">
        <v>0</v>
      </c>
      <c r="F37">
        <v>0</v>
      </c>
      <c r="G37">
        <v>0</v>
      </c>
      <c r="H37" s="13">
        <v>0</v>
      </c>
      <c r="I37" s="13">
        <v>0</v>
      </c>
      <c r="J37" s="13">
        <v>4.9999999999999989E-2</v>
      </c>
      <c r="K37" s="13">
        <v>0.1</v>
      </c>
      <c r="L37" s="13">
        <v>0.15</v>
      </c>
      <c r="M37" s="13">
        <v>0.19999999999999998</v>
      </c>
      <c r="N37" s="13">
        <v>0.25</v>
      </c>
      <c r="O37" s="13">
        <v>0.30000000000000004</v>
      </c>
    </row>
    <row r="38" spans="3:15">
      <c r="D38" s="13" t="s">
        <v>34</v>
      </c>
      <c r="E38">
        <v>0</v>
      </c>
      <c r="F38">
        <v>0</v>
      </c>
      <c r="G38">
        <v>0</v>
      </c>
      <c r="H38" s="13">
        <v>0</v>
      </c>
      <c r="I38" s="13">
        <v>0</v>
      </c>
      <c r="J38" s="13">
        <v>0.01</v>
      </c>
      <c r="K38" s="13">
        <v>0.04</v>
      </c>
      <c r="L38" s="13">
        <v>0.125</v>
      </c>
      <c r="M38" s="13">
        <v>0.33329999999999999</v>
      </c>
      <c r="N38" s="13">
        <v>0.41666700000000001</v>
      </c>
      <c r="O38" s="13">
        <v>0.5</v>
      </c>
    </row>
    <row r="39" spans="3:15">
      <c r="C39" s="13" t="s">
        <v>47</v>
      </c>
      <c r="D39" s="13"/>
      <c r="E39" s="13">
        <f>E17</f>
        <v>5.9408700000000003</v>
      </c>
      <c r="F39" s="13">
        <f t="shared" ref="F39:O39" si="1">F17</f>
        <v>9.8492200000000008</v>
      </c>
      <c r="G39" s="13">
        <f t="shared" si="1"/>
        <v>10.1349</v>
      </c>
      <c r="H39" s="13">
        <f t="shared" si="1"/>
        <v>2.7159</v>
      </c>
      <c r="I39" s="13">
        <f t="shared" si="1"/>
        <v>2.7159</v>
      </c>
      <c r="J39" s="13">
        <f t="shared" si="1"/>
        <v>2.7159</v>
      </c>
      <c r="K39" s="13">
        <f t="shared" si="1"/>
        <v>2.7159</v>
      </c>
      <c r="L39" s="13">
        <f t="shared" si="1"/>
        <v>2.7159</v>
      </c>
      <c r="M39" s="13">
        <f t="shared" si="1"/>
        <v>2.7159</v>
      </c>
      <c r="N39" s="13">
        <f t="shared" si="1"/>
        <v>2.7159</v>
      </c>
      <c r="O39" s="13">
        <f t="shared" si="1"/>
        <v>2.7159</v>
      </c>
    </row>
    <row r="40" spans="3:15">
      <c r="D40" s="13" t="s">
        <v>36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</row>
    <row r="41" spans="3:15">
      <c r="D41" s="13" t="s">
        <v>80</v>
      </c>
      <c r="E41">
        <v>0</v>
      </c>
      <c r="F41">
        <v>0</v>
      </c>
      <c r="G41">
        <v>0</v>
      </c>
      <c r="H41">
        <v>0</v>
      </c>
      <c r="I41" s="13">
        <v>0</v>
      </c>
      <c r="J41" s="13">
        <v>4.9999999999999989E-2</v>
      </c>
      <c r="K41" s="13">
        <v>0.1</v>
      </c>
      <c r="L41" s="13">
        <v>0.15</v>
      </c>
      <c r="M41" s="13">
        <v>0.19999999999999998</v>
      </c>
      <c r="N41" s="13">
        <v>0.25</v>
      </c>
      <c r="O41" s="13">
        <v>0.30000000000000004</v>
      </c>
    </row>
    <row r="42" spans="3:15">
      <c r="D42" s="13" t="s">
        <v>37</v>
      </c>
      <c r="E42">
        <v>0</v>
      </c>
      <c r="F42">
        <v>0</v>
      </c>
      <c r="G42">
        <v>0</v>
      </c>
      <c r="H42">
        <v>0</v>
      </c>
      <c r="I42">
        <v>0</v>
      </c>
      <c r="J42">
        <v>2.5</v>
      </c>
      <c r="K42">
        <v>5</v>
      </c>
      <c r="L42">
        <v>5</v>
      </c>
      <c r="M42">
        <v>5</v>
      </c>
      <c r="N42">
        <v>5</v>
      </c>
      <c r="O42">
        <v>5</v>
      </c>
    </row>
    <row r="43" spans="3:15">
      <c r="C43" s="13" t="s">
        <v>38</v>
      </c>
      <c r="E43" s="13">
        <f>E18</f>
        <v>0.28204600000000002</v>
      </c>
      <c r="F43" s="13">
        <f t="shared" ref="F43:O43" si="2">F18</f>
        <v>0.70394800000000002</v>
      </c>
      <c r="G43" s="13">
        <f t="shared" si="2"/>
        <v>0.71184899999999995</v>
      </c>
      <c r="H43" s="13">
        <f t="shared" si="2"/>
        <v>0.20197499999999999</v>
      </c>
      <c r="I43" s="13">
        <f t="shared" si="2"/>
        <v>0.176481</v>
      </c>
      <c r="J43" s="13">
        <f t="shared" si="2"/>
        <v>0.15098800000000001</v>
      </c>
      <c r="K43" s="13">
        <f t="shared" si="2"/>
        <v>0.12549399999999999</v>
      </c>
      <c r="L43" s="13">
        <f t="shared" si="2"/>
        <v>0.1</v>
      </c>
      <c r="M43" s="13">
        <f t="shared" si="2"/>
        <v>0.1</v>
      </c>
      <c r="N43" s="13">
        <f t="shared" si="2"/>
        <v>0.1</v>
      </c>
      <c r="O43" s="13">
        <f t="shared" si="2"/>
        <v>0.1</v>
      </c>
    </row>
    <row r="44" spans="3:15">
      <c r="D44" s="13" t="s">
        <v>38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</row>
    <row r="47" spans="3:15">
      <c r="C47">
        <v>1</v>
      </c>
      <c r="D47" s="13" t="s">
        <v>79</v>
      </c>
      <c r="E47">
        <v>0</v>
      </c>
      <c r="F47">
        <v>0</v>
      </c>
      <c r="G47">
        <v>0</v>
      </c>
      <c r="H47" s="13">
        <v>0</v>
      </c>
      <c r="I47" s="13">
        <v>0</v>
      </c>
      <c r="J47" s="13">
        <v>8.3333333333333301E-2</v>
      </c>
      <c r="K47" s="13">
        <v>0.16666666666666699</v>
      </c>
      <c r="L47" s="13">
        <v>0.25</v>
      </c>
      <c r="M47" s="13">
        <v>0.33333333333333298</v>
      </c>
      <c r="N47" s="13">
        <v>0.41666666666666702</v>
      </c>
      <c r="O47" s="13">
        <v>0.5</v>
      </c>
    </row>
    <row r="50" spans="3:15">
      <c r="I50" s="13"/>
      <c r="J50" s="13"/>
      <c r="K50" s="13"/>
      <c r="L50" s="13"/>
      <c r="M50" s="13"/>
      <c r="N50" s="13"/>
      <c r="O50" s="13"/>
    </row>
    <row r="54" spans="3:15">
      <c r="C54" t="s">
        <v>170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39765-85FE-40AC-BB05-BB47C36DA008}">
  <dimension ref="A1:AK67"/>
  <sheetViews>
    <sheetView topLeftCell="A18" zoomScale="70" zoomScaleNormal="70" workbookViewId="0">
      <selection activeCell="W28" sqref="W28"/>
    </sheetView>
  </sheetViews>
  <sheetFormatPr defaultColWidth="8.69921875" defaultRowHeight="17.399999999999999"/>
  <cols>
    <col min="1" max="2" width="8.69921875" style="13"/>
    <col min="3" max="3" width="13" style="13" bestFit="1" customWidth="1"/>
    <col min="4" max="4" width="14.8984375" style="13" customWidth="1"/>
    <col min="5" max="5" width="21.5" style="13" customWidth="1"/>
    <col min="6" max="6" width="16.296875" style="13" customWidth="1"/>
    <col min="7" max="16384" width="8.69921875" style="13"/>
  </cols>
  <sheetData>
    <row r="1" spans="1:34">
      <c r="A1" s="1" t="s">
        <v>166</v>
      </c>
      <c r="F1" s="13">
        <v>1990</v>
      </c>
      <c r="G1" s="13">
        <v>2005</v>
      </c>
      <c r="H1" s="13">
        <v>2010</v>
      </c>
      <c r="I1" s="13">
        <v>2015</v>
      </c>
      <c r="J1" s="13">
        <v>2020</v>
      </c>
      <c r="K1" s="13">
        <v>2025</v>
      </c>
      <c r="L1" s="13">
        <v>2030</v>
      </c>
      <c r="M1" s="13">
        <v>2035</v>
      </c>
      <c r="N1" s="13">
        <v>2040</v>
      </c>
      <c r="O1" s="13">
        <v>2045</v>
      </c>
      <c r="P1" s="13">
        <v>2050</v>
      </c>
      <c r="X1" s="13">
        <v>1990</v>
      </c>
      <c r="Y1" s="13">
        <v>2005</v>
      </c>
      <c r="Z1" s="13">
        <v>2010</v>
      </c>
      <c r="AA1" s="13">
        <v>2015</v>
      </c>
      <c r="AB1" s="13">
        <v>2020</v>
      </c>
      <c r="AC1" s="13">
        <v>2025</v>
      </c>
      <c r="AD1" s="13">
        <v>2030</v>
      </c>
      <c r="AE1" s="13">
        <v>2035</v>
      </c>
      <c r="AF1" s="13">
        <v>2040</v>
      </c>
      <c r="AG1" s="13">
        <v>2045</v>
      </c>
      <c r="AH1" s="13">
        <v>2050</v>
      </c>
    </row>
    <row r="2" spans="1:34">
      <c r="A2" s="13" t="s">
        <v>169</v>
      </c>
      <c r="B2" s="13" t="s">
        <v>1</v>
      </c>
      <c r="C2" s="13" t="s">
        <v>32</v>
      </c>
      <c r="D2" s="13" t="s">
        <v>33</v>
      </c>
      <c r="E2" s="13" t="s">
        <v>33</v>
      </c>
      <c r="F2" s="13">
        <v>4.6700899999999997E-2</v>
      </c>
      <c r="G2" s="13">
        <v>4.37793E-2</v>
      </c>
      <c r="H2" s="13">
        <v>4.4930499999999998E-2</v>
      </c>
      <c r="I2" s="13">
        <v>5.9596000000000003E-2</v>
      </c>
      <c r="J2" s="13">
        <v>5.9766100000000003E-2</v>
      </c>
      <c r="K2" s="13">
        <v>0.11892900000000001</v>
      </c>
      <c r="L2" s="13">
        <v>0.14513100000000001</v>
      </c>
      <c r="M2" s="13">
        <v>0.16248299999999999</v>
      </c>
      <c r="N2" s="13">
        <v>0.182282</v>
      </c>
      <c r="O2" s="13">
        <v>0.194991</v>
      </c>
      <c r="P2" s="13">
        <v>0.190053</v>
      </c>
      <c r="T2" s="13" t="s">
        <v>259</v>
      </c>
      <c r="U2" s="13" t="s">
        <v>1</v>
      </c>
      <c r="V2" s="13" t="s">
        <v>64</v>
      </c>
      <c r="W2" s="13" t="s">
        <v>57</v>
      </c>
      <c r="X2" s="13">
        <v>0</v>
      </c>
      <c r="Y2" s="13">
        <v>0</v>
      </c>
      <c r="Z2" s="13">
        <v>0</v>
      </c>
      <c r="AA2" s="13">
        <v>2.7628000000000002E-3</v>
      </c>
      <c r="AB2" s="13">
        <v>2.9455479999999901E-3</v>
      </c>
      <c r="AC2" s="13">
        <v>3.9701979999999899E-3</v>
      </c>
      <c r="AD2" s="13">
        <v>5.9417460000000004E-3</v>
      </c>
      <c r="AE2" s="13">
        <v>7.6038140000000004E-3</v>
      </c>
      <c r="AF2" s="13">
        <v>7.3868559999999903E-3</v>
      </c>
      <c r="AG2" s="13">
        <v>6.5233039999999997E-3</v>
      </c>
      <c r="AH2" s="13">
        <v>5.8264659999999998E-3</v>
      </c>
    </row>
    <row r="3" spans="1:34">
      <c r="A3" s="13" t="s">
        <v>169</v>
      </c>
      <c r="B3" s="13" t="s">
        <v>1</v>
      </c>
      <c r="C3" s="13" t="s">
        <v>32</v>
      </c>
      <c r="D3" s="13" t="s">
        <v>33</v>
      </c>
      <c r="E3" s="13" t="s">
        <v>79</v>
      </c>
      <c r="F3" s="13">
        <v>4.78009E-2</v>
      </c>
      <c r="G3" s="13">
        <v>4.4879299999999997E-2</v>
      </c>
      <c r="H3" s="13">
        <v>4.6030500000000002E-2</v>
      </c>
      <c r="I3" s="13">
        <v>6.0696E-2</v>
      </c>
      <c r="J3" s="13">
        <v>189.80799999999999</v>
      </c>
      <c r="K3" s="13">
        <v>0.110611</v>
      </c>
      <c r="L3" s="13">
        <v>0.115011</v>
      </c>
      <c r="M3" s="13">
        <v>0.116898</v>
      </c>
      <c r="N3" s="13">
        <v>0.118006</v>
      </c>
      <c r="O3" s="13">
        <v>0.119516</v>
      </c>
      <c r="P3" s="13">
        <v>0.11895699999999999</v>
      </c>
      <c r="T3" s="13" t="s">
        <v>259</v>
      </c>
      <c r="U3" s="13" t="s">
        <v>1</v>
      </c>
      <c r="V3" s="13" t="s">
        <v>56</v>
      </c>
      <c r="W3" s="13" t="s">
        <v>57</v>
      </c>
      <c r="X3" s="13">
        <v>2.5953E-3</v>
      </c>
      <c r="Y3" s="13">
        <v>5.4836900000000003E-3</v>
      </c>
      <c r="Z3" s="13">
        <v>3.5999999999999999E-3</v>
      </c>
      <c r="AA3" s="13">
        <v>1.1344099999999999E-2</v>
      </c>
      <c r="AB3" s="13">
        <v>1.1616072E-2</v>
      </c>
      <c r="AC3" s="13">
        <v>1.20372506E-2</v>
      </c>
      <c r="AD3" s="13">
        <v>1.5204924200000001E-2</v>
      </c>
      <c r="AE3" s="13">
        <v>3.0558382099999899E-2</v>
      </c>
      <c r="AF3" s="13">
        <v>5.3170755899999998E-2</v>
      </c>
      <c r="AG3" s="13">
        <v>6.2814354899999994E-2</v>
      </c>
      <c r="AH3" s="13">
        <v>6.5310791610000002E-2</v>
      </c>
    </row>
    <row r="4" spans="1:34">
      <c r="A4" s="13" t="s">
        <v>169</v>
      </c>
      <c r="B4" s="13" t="s">
        <v>1</v>
      </c>
      <c r="C4" s="13" t="s">
        <v>32</v>
      </c>
      <c r="D4" s="13" t="s">
        <v>33</v>
      </c>
      <c r="E4" s="13" t="s">
        <v>34</v>
      </c>
      <c r="F4" s="13">
        <v>4.9068399999999998E-2</v>
      </c>
      <c r="G4" s="13">
        <v>4.6045599999999999E-2</v>
      </c>
      <c r="H4" s="13">
        <v>4.8171600000000002E-2</v>
      </c>
      <c r="I4" s="13">
        <v>4.8434699999999997E-2</v>
      </c>
      <c r="J4" s="13">
        <v>7.0795399999999994E-2</v>
      </c>
      <c r="K4" s="13">
        <v>0.122521</v>
      </c>
      <c r="L4" s="13">
        <v>0.14322799999999999</v>
      </c>
      <c r="M4" s="13">
        <v>0.15459800000000001</v>
      </c>
      <c r="N4" s="13">
        <v>0.169872</v>
      </c>
      <c r="O4" s="13">
        <v>0.179871</v>
      </c>
      <c r="P4" s="13">
        <v>0.176787</v>
      </c>
      <c r="T4" s="13" t="s">
        <v>259</v>
      </c>
      <c r="U4" s="13" t="s">
        <v>1</v>
      </c>
      <c r="V4" s="13" t="s">
        <v>144</v>
      </c>
      <c r="W4" s="13" t="s">
        <v>57</v>
      </c>
      <c r="X4" s="13">
        <v>1.7707000000000001E-3</v>
      </c>
      <c r="Y4" s="13">
        <v>9.7255999999999992E-3</v>
      </c>
      <c r="Z4" s="13">
        <v>1.88148E-2</v>
      </c>
      <c r="AA4" s="13">
        <v>5.3065500000000002E-2</v>
      </c>
      <c r="AB4" s="13">
        <v>5.09808E-2</v>
      </c>
      <c r="AC4" s="13">
        <v>5.8519700000000001E-2</v>
      </c>
      <c r="AD4" s="13">
        <v>5.2101000000000001E-2</v>
      </c>
      <c r="AE4" s="13">
        <v>4.3325000000000002E-2</v>
      </c>
      <c r="AF4" s="13">
        <v>2.5529199999999998E-2</v>
      </c>
      <c r="AG4" s="13">
        <v>1.60836E-2</v>
      </c>
      <c r="AH4" s="13">
        <v>1.4418200000000001E-2</v>
      </c>
    </row>
    <row r="5" spans="1:34">
      <c r="A5" s="13" t="s">
        <v>169</v>
      </c>
      <c r="B5" s="13" t="s">
        <v>1</v>
      </c>
      <c r="C5" s="13" t="s">
        <v>32</v>
      </c>
      <c r="D5" s="13" t="s">
        <v>33</v>
      </c>
      <c r="E5" s="13" t="s">
        <v>35</v>
      </c>
      <c r="F5" s="13">
        <v>7.2400900000000004E-2</v>
      </c>
      <c r="G5" s="13">
        <v>7.8434799999999999E-2</v>
      </c>
      <c r="H5" s="13">
        <v>8.0760399999999996E-2</v>
      </c>
      <c r="I5" s="13">
        <v>8.2232799999999995E-2</v>
      </c>
      <c r="J5" s="13">
        <v>7.3050500000000004E-2</v>
      </c>
      <c r="K5" s="13">
        <v>8.22021E-2</v>
      </c>
      <c r="L5" s="13">
        <v>8.9921200000000007E-2</v>
      </c>
      <c r="M5" s="13">
        <v>9.6862599999999993E-2</v>
      </c>
      <c r="N5" s="13">
        <v>0.113383</v>
      </c>
      <c r="O5" s="13">
        <v>0.12413100000000001</v>
      </c>
      <c r="P5" s="13">
        <v>0.12414799999999999</v>
      </c>
      <c r="T5" s="13" t="s">
        <v>259</v>
      </c>
      <c r="U5" s="13" t="s">
        <v>1</v>
      </c>
      <c r="V5" s="13" t="s">
        <v>145</v>
      </c>
      <c r="W5" s="13" t="s">
        <v>57</v>
      </c>
      <c r="X5" s="14">
        <v>1.9670000000000001E-4</v>
      </c>
      <c r="Y5" s="13">
        <v>1.0805999999999999E-3</v>
      </c>
      <c r="Z5" s="13">
        <v>2.0904999999999999E-3</v>
      </c>
      <c r="AA5" s="13">
        <v>5.8961999999999999E-3</v>
      </c>
      <c r="AB5" s="13">
        <v>6.8139000000000003E-3</v>
      </c>
      <c r="AC5" s="13">
        <v>7.9830300000000003E-3</v>
      </c>
      <c r="AD5" s="13">
        <v>7.2585200000000001E-3</v>
      </c>
      <c r="AE5" s="13">
        <v>5.9497300000000003E-3</v>
      </c>
      <c r="AF5" s="13">
        <v>3.2698200000000001E-3</v>
      </c>
      <c r="AG5" s="13">
        <v>1.9383200000000001E-3</v>
      </c>
      <c r="AH5" s="13">
        <v>1.7042100000000001E-3</v>
      </c>
    </row>
    <row r="6" spans="1:34">
      <c r="A6" s="13" t="s">
        <v>169</v>
      </c>
      <c r="B6" s="13" t="s">
        <v>1</v>
      </c>
      <c r="C6" s="13" t="s">
        <v>32</v>
      </c>
      <c r="D6" s="13" t="s">
        <v>36</v>
      </c>
      <c r="E6" s="13" t="s">
        <v>36</v>
      </c>
      <c r="F6" s="13">
        <v>0.117372</v>
      </c>
      <c r="G6" s="13">
        <v>0.12808800000000001</v>
      </c>
      <c r="H6" s="13">
        <v>0.13622600000000001</v>
      </c>
      <c r="I6" s="13">
        <v>0.138039</v>
      </c>
      <c r="J6" s="13">
        <v>0.138103</v>
      </c>
      <c r="K6" s="13">
        <v>0.17775099999999999</v>
      </c>
      <c r="L6" s="13">
        <v>0.189196</v>
      </c>
      <c r="M6" s="13">
        <v>0.195299</v>
      </c>
      <c r="N6" s="13">
        <v>0.20255500000000001</v>
      </c>
      <c r="O6" s="13">
        <v>0.20364699999999999</v>
      </c>
      <c r="P6" s="13">
        <v>0.19797699999999999</v>
      </c>
      <c r="T6" s="13" t="s">
        <v>259</v>
      </c>
      <c r="U6" s="13" t="s">
        <v>1</v>
      </c>
      <c r="V6" s="13" t="s">
        <v>67</v>
      </c>
      <c r="W6" s="13" t="s">
        <v>57</v>
      </c>
      <c r="X6" s="13">
        <v>0</v>
      </c>
      <c r="Y6" s="13">
        <v>0</v>
      </c>
      <c r="Z6" s="13">
        <v>0</v>
      </c>
      <c r="AA6" s="13">
        <v>1.0884E-3</v>
      </c>
      <c r="AB6" s="13">
        <v>1.413388E-3</v>
      </c>
      <c r="AC6" s="13">
        <v>2.6849739999999902E-3</v>
      </c>
      <c r="AD6" s="13">
        <v>5.0541529999999996E-3</v>
      </c>
      <c r="AE6" s="13">
        <v>7.2000288999999997E-3</v>
      </c>
      <c r="AF6" s="13">
        <v>7.4881749999999997E-3</v>
      </c>
      <c r="AG6" s="13">
        <v>7.1141959999999997E-3</v>
      </c>
      <c r="AH6" s="13">
        <v>6.6640549999999899E-3</v>
      </c>
    </row>
    <row r="7" spans="1:34">
      <c r="A7" s="13" t="s">
        <v>169</v>
      </c>
      <c r="B7" s="13" t="s">
        <v>1</v>
      </c>
      <c r="C7" s="13" t="s">
        <v>32</v>
      </c>
      <c r="D7" s="13" t="s">
        <v>36</v>
      </c>
      <c r="E7" s="13" t="s">
        <v>80</v>
      </c>
      <c r="F7" s="13">
        <v>0.122172</v>
      </c>
      <c r="G7" s="13">
        <v>0.13288800000000001</v>
      </c>
      <c r="H7" s="13">
        <v>0.14102600000000001</v>
      </c>
      <c r="I7" s="13">
        <v>0.142739</v>
      </c>
      <c r="J7" s="13">
        <v>63.894599999999997</v>
      </c>
      <c r="K7" s="13">
        <v>0.17912</v>
      </c>
      <c r="L7" s="13">
        <v>0.18323999999999999</v>
      </c>
      <c r="M7" s="13">
        <v>0.183947</v>
      </c>
      <c r="N7" s="13">
        <v>0.184923</v>
      </c>
      <c r="O7" s="13">
        <v>0.182086</v>
      </c>
      <c r="P7" s="13">
        <v>0.17785400000000001</v>
      </c>
      <c r="T7" s="13" t="s">
        <v>259</v>
      </c>
      <c r="U7" s="13" t="s">
        <v>1</v>
      </c>
      <c r="V7" s="13" t="s">
        <v>68</v>
      </c>
      <c r="W7" s="13" t="s">
        <v>57</v>
      </c>
      <c r="X7" s="13">
        <v>7.4416999999999999E-3</v>
      </c>
      <c r="Y7" s="13">
        <v>6.2898999999999997E-2</v>
      </c>
      <c r="Z7" s="13">
        <v>8.7590000000000001E-2</v>
      </c>
      <c r="AA7" s="13">
        <v>0.109571</v>
      </c>
      <c r="AB7" s="13">
        <v>0.12024254099999999</v>
      </c>
      <c r="AC7" s="13">
        <v>0.122937211</v>
      </c>
      <c r="AD7" s="13">
        <v>0.13859076400000001</v>
      </c>
      <c r="AE7" s="13">
        <v>0.17387649099999999</v>
      </c>
      <c r="AF7" s="13">
        <v>0.18665179100000001</v>
      </c>
      <c r="AG7" s="13">
        <v>0.182071393999999</v>
      </c>
      <c r="AH7" s="13">
        <v>0.169986542799999</v>
      </c>
    </row>
    <row r="8" spans="1:34">
      <c r="A8" s="13" t="s">
        <v>169</v>
      </c>
      <c r="B8" s="13" t="s">
        <v>1</v>
      </c>
      <c r="C8" s="13" t="s">
        <v>32</v>
      </c>
      <c r="D8" s="13" t="s">
        <v>36</v>
      </c>
      <c r="E8" s="13" t="s">
        <v>37</v>
      </c>
      <c r="F8" s="13">
        <v>0.107576</v>
      </c>
      <c r="G8" s="13">
        <v>0.11736000000000001</v>
      </c>
      <c r="H8" s="13">
        <v>0.12012</v>
      </c>
      <c r="I8" s="13">
        <v>0.118519</v>
      </c>
      <c r="J8" s="13">
        <v>0.21282699999999999</v>
      </c>
      <c r="K8" s="13">
        <v>0.27346799999999999</v>
      </c>
      <c r="L8" s="13">
        <v>0.27897899999999998</v>
      </c>
      <c r="M8" s="13">
        <v>0.26877899999999999</v>
      </c>
      <c r="N8" s="13">
        <v>0.264434</v>
      </c>
      <c r="O8" s="13">
        <v>0.256936</v>
      </c>
      <c r="P8" s="13">
        <v>0.25150899999999998</v>
      </c>
      <c r="T8" s="13" t="s">
        <v>259</v>
      </c>
      <c r="U8" s="13" t="s">
        <v>1</v>
      </c>
      <c r="V8" s="13" t="s">
        <v>62</v>
      </c>
      <c r="W8" s="13" t="s">
        <v>57</v>
      </c>
      <c r="X8" s="13">
        <v>3.6571800000000002E-2</v>
      </c>
      <c r="Y8" s="13">
        <v>3.9287299999999997E-2</v>
      </c>
      <c r="Z8" s="13">
        <v>4.2373099999999997E-2</v>
      </c>
      <c r="AA8" s="13">
        <v>3.9861500000000001E-2</v>
      </c>
      <c r="AB8" s="13">
        <v>3.9839110999999899E-2</v>
      </c>
      <c r="AC8" s="13">
        <v>2.9653903999999998E-2</v>
      </c>
      <c r="AD8" s="13">
        <v>2.5763930000000001E-2</v>
      </c>
      <c r="AE8" s="13">
        <v>3.1686526E-2</v>
      </c>
      <c r="AF8" s="13">
        <v>5.0012047999999899E-2</v>
      </c>
      <c r="AG8" s="13">
        <v>5.5166781999999998E-2</v>
      </c>
      <c r="AH8" s="13">
        <v>5.4794965799999998E-2</v>
      </c>
    </row>
    <row r="9" spans="1:34">
      <c r="A9" s="13" t="s">
        <v>169</v>
      </c>
      <c r="B9" s="13" t="s">
        <v>1</v>
      </c>
      <c r="C9" s="13" t="s">
        <v>32</v>
      </c>
      <c r="D9" s="13" t="s">
        <v>38</v>
      </c>
      <c r="E9" s="13" t="s">
        <v>38</v>
      </c>
      <c r="F9" s="13">
        <v>4.2500000000000003E-2</v>
      </c>
      <c r="G9" s="13">
        <v>5.3156500000000002E-2</v>
      </c>
      <c r="H9" s="13">
        <v>5.6205999999999999E-2</v>
      </c>
      <c r="I9" s="13">
        <v>5.8049499999999997E-2</v>
      </c>
      <c r="J9" s="13">
        <v>5.9371699999999999E-2</v>
      </c>
      <c r="K9" s="13">
        <v>8.6494100000000004E-2</v>
      </c>
      <c r="L9" s="13">
        <v>9.2249200000000003E-2</v>
      </c>
      <c r="M9" s="13">
        <v>9.4425899999999993E-2</v>
      </c>
      <c r="N9" s="13">
        <v>9.4920699999999997E-2</v>
      </c>
      <c r="O9" s="13">
        <v>9.2456200000000002E-2</v>
      </c>
      <c r="P9" s="13">
        <v>8.8435100000000003E-2</v>
      </c>
      <c r="T9" s="13" t="s">
        <v>259</v>
      </c>
      <c r="U9" s="13" t="s">
        <v>1</v>
      </c>
      <c r="V9" s="13" t="s">
        <v>152</v>
      </c>
      <c r="W9" s="13" t="s">
        <v>57</v>
      </c>
      <c r="X9" s="13">
        <v>1.47682E-2</v>
      </c>
      <c r="Y9" s="13">
        <v>4.0486999999999997E-3</v>
      </c>
      <c r="Z9" s="13">
        <v>8.4463000000000003E-3</v>
      </c>
      <c r="AA9" s="13">
        <v>1.01321E-2</v>
      </c>
      <c r="AB9" s="13">
        <v>9.8548899999999998E-3</v>
      </c>
      <c r="AC9" s="13">
        <v>1.2249100000000001E-2</v>
      </c>
      <c r="AD9" s="13">
        <v>1.1229100000000001E-2</v>
      </c>
      <c r="AE9" s="13">
        <v>9.4830599999999998E-3</v>
      </c>
      <c r="AF9" s="13">
        <v>5.6625800000000004E-3</v>
      </c>
      <c r="AG9" s="13">
        <v>3.5727100000000002E-3</v>
      </c>
      <c r="AH9" s="13">
        <v>3.2075200000000002E-3</v>
      </c>
    </row>
    <row r="10" spans="1:34">
      <c r="A10" s="13" t="s">
        <v>169</v>
      </c>
      <c r="B10" s="13" t="s">
        <v>1</v>
      </c>
      <c r="C10" s="13" t="s">
        <v>32</v>
      </c>
      <c r="D10" s="13" t="s">
        <v>38</v>
      </c>
      <c r="E10" s="13" t="s">
        <v>81</v>
      </c>
      <c r="F10" s="13">
        <v>4.2500000000000003E-2</v>
      </c>
      <c r="G10" s="13">
        <v>5.3156500000000002E-2</v>
      </c>
      <c r="H10" s="13">
        <v>5.6205999999999999E-2</v>
      </c>
      <c r="I10" s="13">
        <v>5.8049499999999997E-2</v>
      </c>
      <c r="J10" s="13">
        <v>0.62397899999999995</v>
      </c>
      <c r="K10" s="13">
        <v>8.6466299999999996E-2</v>
      </c>
      <c r="L10" s="13">
        <v>9.2156600000000005E-2</v>
      </c>
      <c r="M10" s="13">
        <v>9.4287300000000004E-2</v>
      </c>
      <c r="N10" s="13">
        <v>9.4726400000000002E-2</v>
      </c>
      <c r="O10" s="13">
        <v>9.2228900000000003E-2</v>
      </c>
      <c r="P10" s="13">
        <v>8.8220499999999993E-2</v>
      </c>
      <c r="T10" s="13" t="s">
        <v>259</v>
      </c>
      <c r="U10" s="13" t="s">
        <v>1</v>
      </c>
      <c r="V10" s="13" t="s">
        <v>153</v>
      </c>
      <c r="W10" s="13" t="s">
        <v>57</v>
      </c>
      <c r="X10" s="13">
        <v>1.6409E-3</v>
      </c>
      <c r="Y10" s="14">
        <v>4.4989999999999999E-4</v>
      </c>
      <c r="Z10" s="14">
        <v>9.3849999999999999E-4</v>
      </c>
      <c r="AA10" s="13">
        <v>1.1257999999999999E-3</v>
      </c>
      <c r="AB10" s="13">
        <v>1.3075999999999999E-3</v>
      </c>
      <c r="AC10" s="13">
        <v>1.6332600000000001E-3</v>
      </c>
      <c r="AD10" s="13">
        <v>1.5497E-3</v>
      </c>
      <c r="AE10" s="13">
        <v>1.3266700000000001E-3</v>
      </c>
      <c r="AF10" s="14">
        <v>7.77536E-4</v>
      </c>
      <c r="AG10" s="14">
        <v>4.8373999999999997E-4</v>
      </c>
      <c r="AH10" s="14">
        <v>4.3898400000000001E-4</v>
      </c>
    </row>
    <row r="13" spans="1:34">
      <c r="S13" s="13">
        <v>29.821999999999999</v>
      </c>
    </row>
    <row r="14" spans="1:34">
      <c r="S14" s="13">
        <v>104.69</v>
      </c>
    </row>
    <row r="22" spans="1:37">
      <c r="A22" s="1" t="s">
        <v>167</v>
      </c>
      <c r="G22" s="13">
        <v>1990</v>
      </c>
      <c r="H22" s="13">
        <v>2005</v>
      </c>
      <c r="I22" s="13">
        <v>2010</v>
      </c>
      <c r="J22" s="13">
        <v>2015</v>
      </c>
      <c r="K22" s="13">
        <v>2020</v>
      </c>
      <c r="L22" s="13">
        <v>2025</v>
      </c>
      <c r="M22" s="13">
        <v>2030</v>
      </c>
      <c r="N22" s="13">
        <v>2035</v>
      </c>
      <c r="O22" s="13">
        <v>2040</v>
      </c>
      <c r="P22" s="13">
        <v>2045</v>
      </c>
      <c r="Q22" s="13">
        <v>2050</v>
      </c>
    </row>
    <row r="23" spans="1:37">
      <c r="A23" s="13" t="s">
        <v>336</v>
      </c>
      <c r="B23" s="13" t="s">
        <v>1</v>
      </c>
      <c r="C23" s="13" t="s">
        <v>32</v>
      </c>
      <c r="D23" s="13" t="s">
        <v>33</v>
      </c>
      <c r="E23" s="13" t="s">
        <v>168</v>
      </c>
      <c r="F23" s="12" t="s">
        <v>353</v>
      </c>
      <c r="G23" s="13">
        <f>AA23*$S$14/$S$13*1000</f>
        <v>119.70790020790021</v>
      </c>
      <c r="H23" s="13">
        <f t="shared" ref="H23:Q23" si="0">AB23*$S$14/$S$13*1000</f>
        <v>119.70790020790021</v>
      </c>
      <c r="I23" s="13">
        <f t="shared" si="0"/>
        <v>119.70790020790021</v>
      </c>
      <c r="J23" s="13">
        <f t="shared" si="0"/>
        <v>117.60160284353833</v>
      </c>
      <c r="K23" s="13">
        <f t="shared" si="0"/>
        <v>115.49530547917644</v>
      </c>
      <c r="L23" s="13">
        <f t="shared" si="0"/>
        <v>113.0379585540876</v>
      </c>
      <c r="M23" s="13">
        <f t="shared" si="0"/>
        <v>110.93166118972572</v>
      </c>
      <c r="N23" s="13">
        <f t="shared" si="0"/>
        <v>108.47431426463685</v>
      </c>
      <c r="O23" s="13">
        <f t="shared" si="0"/>
        <v>106.36801690027497</v>
      </c>
      <c r="P23" s="13">
        <f t="shared" si="0"/>
        <v>104.26171953591309</v>
      </c>
      <c r="Q23" s="13">
        <f t="shared" si="0"/>
        <v>101.80437261082423</v>
      </c>
      <c r="U23" s="13" t="s">
        <v>336</v>
      </c>
      <c r="V23" s="13" t="s">
        <v>1</v>
      </c>
      <c r="W23" s="13" t="s">
        <v>32</v>
      </c>
      <c r="X23" s="13" t="s">
        <v>33</v>
      </c>
      <c r="Y23" s="13" t="s">
        <v>168</v>
      </c>
      <c r="Z23" s="13" t="s">
        <v>33</v>
      </c>
      <c r="AA23" s="13">
        <v>3.4099999999999998E-2</v>
      </c>
      <c r="AB23" s="13">
        <v>3.4099999999999998E-2</v>
      </c>
      <c r="AC23" s="13">
        <v>3.4099999999999998E-2</v>
      </c>
      <c r="AD23" s="13">
        <v>3.3500000000000002E-2</v>
      </c>
      <c r="AE23" s="13">
        <v>3.2899999999999999E-2</v>
      </c>
      <c r="AF23" s="13">
        <v>3.2199999999999999E-2</v>
      </c>
      <c r="AG23" s="13">
        <v>3.1600000000000003E-2</v>
      </c>
      <c r="AH23" s="13">
        <v>3.09E-2</v>
      </c>
      <c r="AI23" s="13">
        <v>3.0300000000000001E-2</v>
      </c>
      <c r="AJ23" s="13">
        <v>2.9700000000000001E-2</v>
      </c>
      <c r="AK23" s="13">
        <v>2.9000000000000001E-2</v>
      </c>
    </row>
    <row r="24" spans="1:37">
      <c r="A24" s="13" t="s">
        <v>336</v>
      </c>
      <c r="B24" s="13" t="s">
        <v>1</v>
      </c>
      <c r="C24" s="13" t="s">
        <v>32</v>
      </c>
      <c r="D24" s="13" t="s">
        <v>33</v>
      </c>
      <c r="E24" s="13" t="s">
        <v>168</v>
      </c>
      <c r="F24" s="12" t="s">
        <v>354</v>
      </c>
      <c r="G24" s="13">
        <f t="shared" ref="G24:G31" si="1">AA24*$S$14/$S$13*1000</f>
        <v>123.569445375897</v>
      </c>
      <c r="H24" s="13">
        <f t="shared" ref="H24:H31" si="2">AB24*$S$14/$S$13*1000</f>
        <v>123.569445375897</v>
      </c>
      <c r="L24" s="13">
        <f t="shared" ref="L24:L31" si="3">AF24*$S$14/$S$13*1000</f>
        <v>116.5484541613574</v>
      </c>
      <c r="M24" s="13">
        <f t="shared" ref="M24:M31" si="4">AG24*$S$14/$S$13*1000</f>
        <v>114.4421567969955</v>
      </c>
      <c r="N24" s="13">
        <f t="shared" ref="N24:N31" si="5">AH24*$S$14/$S$13*1000</f>
        <v>111.98480987190663</v>
      </c>
      <c r="O24" s="13">
        <f t="shared" ref="O24:O31" si="6">AI24*$S$14/$S$13*1000</f>
        <v>109.87851250754478</v>
      </c>
      <c r="P24" s="13">
        <f t="shared" ref="P24:P31" si="7">AJ24*$S$14/$S$13*1000</f>
        <v>107.4211655824559</v>
      </c>
      <c r="Q24" s="13">
        <f t="shared" ref="Q24:Q31" si="8">AK24*$S$14/$S$13*1000</f>
        <v>105.31486821809402</v>
      </c>
      <c r="U24" s="13" t="s">
        <v>336</v>
      </c>
      <c r="V24" s="13" t="s">
        <v>1</v>
      </c>
      <c r="W24" s="13" t="s">
        <v>32</v>
      </c>
      <c r="X24" s="13" t="s">
        <v>33</v>
      </c>
      <c r="Y24" s="13" t="s">
        <v>168</v>
      </c>
      <c r="Z24" s="13" t="s">
        <v>79</v>
      </c>
      <c r="AA24" s="13">
        <v>3.5200000000000002E-2</v>
      </c>
      <c r="AB24" s="13">
        <v>3.5200000000000002E-2</v>
      </c>
      <c r="AC24" s="13">
        <v>3.5200000000000002E-2</v>
      </c>
      <c r="AD24" s="13">
        <v>3.4599999999999999E-2</v>
      </c>
      <c r="AE24" s="13">
        <v>3.39E-2</v>
      </c>
      <c r="AF24" s="13">
        <v>3.32E-2</v>
      </c>
      <c r="AG24" s="13">
        <v>3.2599999999999997E-2</v>
      </c>
      <c r="AH24" s="13">
        <v>3.1899999999999998E-2</v>
      </c>
      <c r="AI24" s="13">
        <v>3.1300000000000001E-2</v>
      </c>
      <c r="AJ24" s="13">
        <v>3.0599999999999999E-2</v>
      </c>
      <c r="AK24" s="13">
        <v>0.03</v>
      </c>
    </row>
    <row r="25" spans="1:37">
      <c r="A25" s="13" t="s">
        <v>336</v>
      </c>
      <c r="B25" s="13" t="s">
        <v>1</v>
      </c>
      <c r="C25" s="13" t="s">
        <v>32</v>
      </c>
      <c r="D25" s="13" t="s">
        <v>33</v>
      </c>
      <c r="E25" s="13" t="s">
        <v>168</v>
      </c>
      <c r="F25" s="13" t="s">
        <v>355</v>
      </c>
      <c r="G25" s="13">
        <f t="shared" si="1"/>
        <v>119.70790020790021</v>
      </c>
      <c r="H25" s="13">
        <f t="shared" si="2"/>
        <v>119.70790020790021</v>
      </c>
      <c r="I25" s="13">
        <f t="shared" ref="I25:I31" si="9">AC25*$S$14/$S$13*1000</f>
        <v>119.70790020790021</v>
      </c>
      <c r="J25" s="13">
        <f t="shared" ref="J25:J31" si="10">AD25*$S$14/$S$13*1000</f>
        <v>117.60160284353833</v>
      </c>
      <c r="K25" s="13">
        <f t="shared" ref="K25:K31" si="11">AE25*$S$14/$S$13*1000</f>
        <v>115.49530547917644</v>
      </c>
      <c r="L25" s="13">
        <f t="shared" si="3"/>
        <v>113.0379585540876</v>
      </c>
      <c r="M25" s="13">
        <f t="shared" si="4"/>
        <v>110.93166118972572</v>
      </c>
      <c r="N25" s="13">
        <f t="shared" si="5"/>
        <v>108.47431426463685</v>
      </c>
      <c r="O25" s="13">
        <f t="shared" si="6"/>
        <v>106.36801690027497</v>
      </c>
      <c r="P25" s="13">
        <f t="shared" si="7"/>
        <v>104.26171953591309</v>
      </c>
      <c r="Q25" s="13">
        <f t="shared" si="8"/>
        <v>101.80437261082423</v>
      </c>
      <c r="U25" s="13" t="s">
        <v>336</v>
      </c>
      <c r="V25" s="13" t="s">
        <v>1</v>
      </c>
      <c r="W25" s="13" t="s">
        <v>32</v>
      </c>
      <c r="X25" s="13" t="s">
        <v>33</v>
      </c>
      <c r="Y25" s="13" t="s">
        <v>168</v>
      </c>
      <c r="Z25" s="13" t="s">
        <v>34</v>
      </c>
      <c r="AA25" s="13">
        <v>3.4099999999999998E-2</v>
      </c>
      <c r="AB25" s="13">
        <v>3.4099999999999998E-2</v>
      </c>
      <c r="AC25" s="13">
        <v>3.4099999999999998E-2</v>
      </c>
      <c r="AD25" s="13">
        <v>3.3500000000000002E-2</v>
      </c>
      <c r="AE25" s="13">
        <v>3.2899999999999999E-2</v>
      </c>
      <c r="AF25" s="13">
        <v>3.2199999999999999E-2</v>
      </c>
      <c r="AG25" s="13">
        <v>3.1600000000000003E-2</v>
      </c>
      <c r="AH25" s="13">
        <v>3.09E-2</v>
      </c>
      <c r="AI25" s="13">
        <v>3.0300000000000001E-2</v>
      </c>
      <c r="AJ25" s="13">
        <v>2.9700000000000001E-2</v>
      </c>
      <c r="AK25" s="13">
        <v>2.9000000000000001E-2</v>
      </c>
    </row>
    <row r="26" spans="1:37">
      <c r="A26" s="13" t="s">
        <v>336</v>
      </c>
      <c r="B26" s="13" t="s">
        <v>1</v>
      </c>
      <c r="C26" s="13" t="s">
        <v>32</v>
      </c>
      <c r="D26" s="13" t="s">
        <v>33</v>
      </c>
      <c r="E26" s="13" t="s">
        <v>168</v>
      </c>
      <c r="G26" s="13">
        <f t="shared" si="1"/>
        <v>119.70790020790021</v>
      </c>
      <c r="H26" s="13">
        <f t="shared" si="2"/>
        <v>119.70790020790021</v>
      </c>
      <c r="I26" s="13">
        <f t="shared" si="9"/>
        <v>119.70790020790021</v>
      </c>
      <c r="J26" s="13">
        <f t="shared" si="10"/>
        <v>117.60160284353833</v>
      </c>
      <c r="K26" s="13">
        <f t="shared" si="11"/>
        <v>115.49530547917644</v>
      </c>
      <c r="L26" s="13">
        <f t="shared" si="3"/>
        <v>113.0379585540876</v>
      </c>
      <c r="M26" s="13">
        <f t="shared" si="4"/>
        <v>110.93166118972572</v>
      </c>
      <c r="N26" s="13">
        <f t="shared" si="5"/>
        <v>108.47431426463685</v>
      </c>
      <c r="O26" s="13">
        <f t="shared" si="6"/>
        <v>106.36801690027497</v>
      </c>
      <c r="P26" s="13">
        <f t="shared" si="7"/>
        <v>104.26171953591309</v>
      </c>
      <c r="Q26" s="13">
        <f t="shared" si="8"/>
        <v>101.80437261082423</v>
      </c>
      <c r="U26" s="13" t="s">
        <v>336</v>
      </c>
      <c r="V26" s="13" t="s">
        <v>1</v>
      </c>
      <c r="W26" s="13" t="s">
        <v>32</v>
      </c>
      <c r="X26" s="13" t="s">
        <v>33</v>
      </c>
      <c r="Y26" s="13" t="s">
        <v>168</v>
      </c>
      <c r="Z26" s="13" t="s">
        <v>35</v>
      </c>
      <c r="AA26" s="13">
        <v>3.4099999999999998E-2</v>
      </c>
      <c r="AB26" s="13">
        <v>3.4099999999999998E-2</v>
      </c>
      <c r="AC26" s="13">
        <v>3.4099999999999998E-2</v>
      </c>
      <c r="AD26" s="13">
        <v>3.3500000000000002E-2</v>
      </c>
      <c r="AE26" s="13">
        <v>3.2899999999999999E-2</v>
      </c>
      <c r="AF26" s="13">
        <v>3.2199999999999999E-2</v>
      </c>
      <c r="AG26" s="13">
        <v>3.1600000000000003E-2</v>
      </c>
      <c r="AH26" s="13">
        <v>3.09E-2</v>
      </c>
      <c r="AI26" s="13">
        <v>3.0300000000000001E-2</v>
      </c>
      <c r="AJ26" s="13">
        <v>2.9700000000000001E-2</v>
      </c>
      <c r="AK26" s="13">
        <v>2.9000000000000001E-2</v>
      </c>
    </row>
    <row r="27" spans="1:37">
      <c r="A27" s="13" t="s">
        <v>336</v>
      </c>
      <c r="B27" s="13" t="s">
        <v>1</v>
      </c>
      <c r="C27" s="13" t="s">
        <v>32</v>
      </c>
      <c r="D27" s="13" t="s">
        <v>36</v>
      </c>
      <c r="E27" s="13" t="s">
        <v>168</v>
      </c>
      <c r="F27" s="13" t="s">
        <v>356</v>
      </c>
      <c r="G27" s="13">
        <f t="shared" si="1"/>
        <v>330.68868620481521</v>
      </c>
      <c r="H27" s="13">
        <f t="shared" si="2"/>
        <v>330.68868620481521</v>
      </c>
      <c r="I27" s="13">
        <f t="shared" si="9"/>
        <v>330.68868620481521</v>
      </c>
      <c r="J27" s="13">
        <f t="shared" si="10"/>
        <v>324.36979411172962</v>
      </c>
      <c r="K27" s="13">
        <f t="shared" si="11"/>
        <v>318.05090201864397</v>
      </c>
      <c r="L27" s="13">
        <f t="shared" si="3"/>
        <v>312.08305948628526</v>
      </c>
      <c r="M27" s="13">
        <f t="shared" si="4"/>
        <v>305.76416739319967</v>
      </c>
      <c r="N27" s="13">
        <f t="shared" si="5"/>
        <v>299.79632486084103</v>
      </c>
      <c r="O27" s="13">
        <f t="shared" si="6"/>
        <v>293.47743276775532</v>
      </c>
      <c r="P27" s="13">
        <f t="shared" si="7"/>
        <v>287.50959023539667</v>
      </c>
      <c r="Q27" s="13">
        <f t="shared" si="8"/>
        <v>281.19069814231108</v>
      </c>
      <c r="U27" s="13" t="s">
        <v>336</v>
      </c>
      <c r="V27" s="13" t="s">
        <v>1</v>
      </c>
      <c r="W27" s="13" t="s">
        <v>32</v>
      </c>
      <c r="X27" s="13" t="s">
        <v>36</v>
      </c>
      <c r="Y27" s="13" t="s">
        <v>168</v>
      </c>
      <c r="Z27" s="13" t="s">
        <v>36</v>
      </c>
      <c r="AA27" s="13">
        <v>9.4200000000000006E-2</v>
      </c>
      <c r="AB27" s="13">
        <v>9.4200000000000006E-2</v>
      </c>
      <c r="AC27" s="13">
        <v>9.4200000000000006E-2</v>
      </c>
      <c r="AD27" s="13">
        <v>9.2399999999999996E-2</v>
      </c>
      <c r="AE27" s="13">
        <v>9.06E-2</v>
      </c>
      <c r="AF27" s="13">
        <v>8.8900000000000007E-2</v>
      </c>
      <c r="AG27" s="13">
        <v>8.7099999999999997E-2</v>
      </c>
      <c r="AH27" s="13">
        <v>8.5400000000000004E-2</v>
      </c>
      <c r="AI27" s="13">
        <v>8.3599999999999994E-2</v>
      </c>
      <c r="AJ27" s="13">
        <v>8.1900000000000001E-2</v>
      </c>
      <c r="AK27" s="13">
        <v>8.0100000000000005E-2</v>
      </c>
    </row>
    <row r="28" spans="1:37">
      <c r="A28" s="13" t="s">
        <v>336</v>
      </c>
      <c r="B28" s="13" t="s">
        <v>1</v>
      </c>
      <c r="C28" s="13" t="s">
        <v>32</v>
      </c>
      <c r="D28" s="13" t="s">
        <v>36</v>
      </c>
      <c r="E28" s="13" t="s">
        <v>168</v>
      </c>
      <c r="F28" s="13" t="s">
        <v>357</v>
      </c>
      <c r="G28" s="13">
        <f t="shared" si="1"/>
        <v>347.5390651197103</v>
      </c>
      <c r="H28" s="13">
        <f t="shared" si="2"/>
        <v>347.5390651197103</v>
      </c>
      <c r="L28" s="13">
        <f t="shared" si="3"/>
        <v>327.88028971899939</v>
      </c>
      <c r="M28" s="13">
        <f t="shared" si="4"/>
        <v>321.56139762591374</v>
      </c>
      <c r="N28" s="13">
        <f t="shared" si="5"/>
        <v>314.89145597210114</v>
      </c>
      <c r="O28" s="13">
        <f t="shared" si="6"/>
        <v>308.57256387901549</v>
      </c>
      <c r="P28" s="13">
        <f t="shared" si="7"/>
        <v>301.90262222520289</v>
      </c>
      <c r="Q28" s="13">
        <f t="shared" si="8"/>
        <v>295.58373013211718</v>
      </c>
      <c r="U28" s="13" t="s">
        <v>336</v>
      </c>
      <c r="V28" s="13" t="s">
        <v>1</v>
      </c>
      <c r="W28" s="13" t="s">
        <v>32</v>
      </c>
      <c r="X28" s="13" t="s">
        <v>36</v>
      </c>
      <c r="Y28" s="13" t="s">
        <v>168</v>
      </c>
      <c r="Z28" s="13" t="s">
        <v>80</v>
      </c>
      <c r="AA28" s="13">
        <v>9.9000000000000005E-2</v>
      </c>
      <c r="AB28" s="13">
        <v>9.9000000000000005E-2</v>
      </c>
      <c r="AC28" s="13">
        <v>9.9000000000000005E-2</v>
      </c>
      <c r="AD28" s="13">
        <v>9.7100000000000006E-2</v>
      </c>
      <c r="AE28" s="13">
        <v>9.5299999999999996E-2</v>
      </c>
      <c r="AF28" s="13">
        <v>9.3399999999999997E-2</v>
      </c>
      <c r="AG28" s="13">
        <v>9.1600000000000001E-2</v>
      </c>
      <c r="AH28" s="13">
        <v>8.9700000000000002E-2</v>
      </c>
      <c r="AI28" s="13">
        <v>8.7900000000000006E-2</v>
      </c>
      <c r="AJ28" s="13">
        <v>8.5999999999999993E-2</v>
      </c>
      <c r="AK28" s="13">
        <v>8.4199999999999997E-2</v>
      </c>
    </row>
    <row r="29" spans="1:37">
      <c r="A29" s="13" t="s">
        <v>336</v>
      </c>
      <c r="B29" s="13" t="s">
        <v>1</v>
      </c>
      <c r="C29" s="13" t="s">
        <v>32</v>
      </c>
      <c r="D29" s="13" t="s">
        <v>36</v>
      </c>
      <c r="E29" s="13" t="s">
        <v>168</v>
      </c>
      <c r="F29" s="12" t="s">
        <v>358</v>
      </c>
      <c r="G29" s="13">
        <f t="shared" si="1"/>
        <v>330.68868620481521</v>
      </c>
      <c r="H29" s="13">
        <f t="shared" si="2"/>
        <v>330.68868620481521</v>
      </c>
      <c r="L29" s="13">
        <f t="shared" si="3"/>
        <v>288.91378847830464</v>
      </c>
      <c r="M29" s="13">
        <f t="shared" si="4"/>
        <v>274.87180604922537</v>
      </c>
      <c r="N29" s="13">
        <f t="shared" si="5"/>
        <v>260.82982362014621</v>
      </c>
      <c r="O29" s="13">
        <f t="shared" si="6"/>
        <v>247.13889075179401</v>
      </c>
      <c r="P29" s="13">
        <f t="shared" si="7"/>
        <v>233.0969083227148</v>
      </c>
      <c r="Q29" s="13">
        <f t="shared" si="8"/>
        <v>219.40597545436256</v>
      </c>
      <c r="U29" s="13" t="s">
        <v>336</v>
      </c>
      <c r="V29" s="13" t="s">
        <v>1</v>
      </c>
      <c r="W29" s="13" t="s">
        <v>32</v>
      </c>
      <c r="X29" s="13" t="s">
        <v>36</v>
      </c>
      <c r="Y29" s="13" t="s">
        <v>168</v>
      </c>
      <c r="Z29" s="13" t="s">
        <v>37</v>
      </c>
      <c r="AA29" s="13">
        <v>9.4200000000000006E-2</v>
      </c>
      <c r="AB29" s="13">
        <v>9.4200000000000006E-2</v>
      </c>
      <c r="AC29" s="13">
        <v>9.4200000000000006E-2</v>
      </c>
      <c r="AD29" s="13">
        <v>9.0200000000000002E-2</v>
      </c>
      <c r="AE29" s="13">
        <v>8.6199999999999999E-2</v>
      </c>
      <c r="AF29" s="13">
        <v>8.2299999999999998E-2</v>
      </c>
      <c r="AG29" s="13">
        <v>7.8299999999999995E-2</v>
      </c>
      <c r="AH29" s="13">
        <v>7.4300000000000005E-2</v>
      </c>
      <c r="AI29" s="13">
        <v>7.0400000000000004E-2</v>
      </c>
      <c r="AJ29" s="13">
        <v>6.6400000000000001E-2</v>
      </c>
      <c r="AK29" s="13">
        <v>6.25E-2</v>
      </c>
    </row>
    <row r="30" spans="1:37">
      <c r="A30" s="13" t="s">
        <v>336</v>
      </c>
      <c r="B30" s="13" t="s">
        <v>1</v>
      </c>
      <c r="C30" s="13" t="s">
        <v>32</v>
      </c>
      <c r="D30" s="13" t="s">
        <v>38</v>
      </c>
      <c r="E30" s="13" t="s">
        <v>168</v>
      </c>
      <c r="F30" s="13" t="s">
        <v>359</v>
      </c>
      <c r="G30" s="13">
        <f t="shared" si="1"/>
        <v>87.06029106029105</v>
      </c>
      <c r="H30" s="13">
        <f t="shared" si="2"/>
        <v>87.06029106029105</v>
      </c>
      <c r="I30" s="13">
        <f t="shared" si="9"/>
        <v>87.06029106029105</v>
      </c>
      <c r="J30" s="13">
        <f t="shared" si="10"/>
        <v>85.305043256656148</v>
      </c>
      <c r="K30" s="13">
        <f t="shared" si="11"/>
        <v>83.900845013748238</v>
      </c>
      <c r="L30" s="13">
        <f t="shared" si="3"/>
        <v>82.145597210113351</v>
      </c>
      <c r="M30" s="13">
        <f t="shared" si="4"/>
        <v>80.390349406478435</v>
      </c>
      <c r="N30" s="13">
        <f t="shared" si="5"/>
        <v>78.986151163570511</v>
      </c>
      <c r="O30" s="13">
        <f t="shared" si="6"/>
        <v>77.23090335993561</v>
      </c>
      <c r="P30" s="13">
        <f t="shared" si="7"/>
        <v>75.475655556300723</v>
      </c>
      <c r="Q30" s="13">
        <f t="shared" si="8"/>
        <v>74.071457313392798</v>
      </c>
      <c r="U30" s="13" t="s">
        <v>336</v>
      </c>
      <c r="V30" s="13" t="s">
        <v>1</v>
      </c>
      <c r="W30" s="13" t="s">
        <v>32</v>
      </c>
      <c r="X30" s="13" t="s">
        <v>38</v>
      </c>
      <c r="Y30" s="13" t="s">
        <v>168</v>
      </c>
      <c r="Z30" s="13" t="s">
        <v>38</v>
      </c>
      <c r="AA30" s="13">
        <v>2.4799999999999999E-2</v>
      </c>
      <c r="AB30" s="13">
        <v>2.4799999999999999E-2</v>
      </c>
      <c r="AC30" s="13">
        <v>2.4799999999999999E-2</v>
      </c>
      <c r="AD30" s="13">
        <v>2.4299999999999999E-2</v>
      </c>
      <c r="AE30" s="13">
        <v>2.3900000000000001E-2</v>
      </c>
      <c r="AF30" s="13">
        <v>2.3400000000000001E-2</v>
      </c>
      <c r="AG30" s="13">
        <v>2.29E-2</v>
      </c>
      <c r="AH30" s="13">
        <v>2.2499999999999999E-2</v>
      </c>
      <c r="AI30" s="13">
        <v>2.1999999999999999E-2</v>
      </c>
      <c r="AJ30" s="13">
        <v>2.1499999999999998E-2</v>
      </c>
      <c r="AK30" s="13">
        <v>2.1100000000000001E-2</v>
      </c>
    </row>
    <row r="31" spans="1:37">
      <c r="A31" s="13" t="s">
        <v>336</v>
      </c>
      <c r="B31" s="13" t="s">
        <v>1</v>
      </c>
      <c r="C31" s="13" t="s">
        <v>32</v>
      </c>
      <c r="D31" s="13" t="s">
        <v>38</v>
      </c>
      <c r="E31" s="13" t="s">
        <v>168</v>
      </c>
      <c r="F31" s="13" t="s">
        <v>81</v>
      </c>
      <c r="G31" s="13">
        <f t="shared" si="1"/>
        <v>87.06029106029105</v>
      </c>
      <c r="H31" s="13">
        <f t="shared" si="2"/>
        <v>87.06029106029105</v>
      </c>
      <c r="I31" s="13">
        <f t="shared" si="9"/>
        <v>87.06029106029105</v>
      </c>
      <c r="J31" s="13">
        <f t="shared" si="10"/>
        <v>85.305043256656148</v>
      </c>
      <c r="K31" s="13">
        <f t="shared" si="11"/>
        <v>83.900845013748238</v>
      </c>
      <c r="L31" s="13">
        <f t="shared" si="3"/>
        <v>82.145597210113351</v>
      </c>
      <c r="M31" s="13">
        <f t="shared" si="4"/>
        <v>80.390349406478435</v>
      </c>
      <c r="N31" s="13">
        <f t="shared" si="5"/>
        <v>78.986151163570511</v>
      </c>
      <c r="O31" s="13">
        <f t="shared" si="6"/>
        <v>77.23090335993561</v>
      </c>
      <c r="P31" s="13">
        <f t="shared" si="7"/>
        <v>75.475655556300723</v>
      </c>
      <c r="Q31" s="13">
        <f t="shared" si="8"/>
        <v>74.071457313392798</v>
      </c>
      <c r="U31" s="13" t="s">
        <v>336</v>
      </c>
      <c r="V31" s="13" t="s">
        <v>1</v>
      </c>
      <c r="W31" s="13" t="s">
        <v>32</v>
      </c>
      <c r="X31" s="13" t="s">
        <v>38</v>
      </c>
      <c r="Y31" s="13" t="s">
        <v>168</v>
      </c>
      <c r="Z31" s="13" t="s">
        <v>81</v>
      </c>
      <c r="AA31" s="13">
        <v>2.4799999999999999E-2</v>
      </c>
      <c r="AB31" s="13">
        <v>2.4799999999999999E-2</v>
      </c>
      <c r="AC31" s="13">
        <v>2.4799999999999999E-2</v>
      </c>
      <c r="AD31" s="13">
        <v>2.4299999999999999E-2</v>
      </c>
      <c r="AE31" s="13">
        <v>2.3900000000000001E-2</v>
      </c>
      <c r="AF31" s="13">
        <v>2.3400000000000001E-2</v>
      </c>
      <c r="AG31" s="13">
        <v>2.29E-2</v>
      </c>
      <c r="AH31" s="13">
        <v>2.2499999999999999E-2</v>
      </c>
      <c r="AI31" s="13">
        <v>2.1999999999999999E-2</v>
      </c>
      <c r="AJ31" s="13">
        <v>2.1499999999999998E-2</v>
      </c>
      <c r="AK31" s="13">
        <v>2.1100000000000001E-2</v>
      </c>
    </row>
    <row r="54" spans="3:15">
      <c r="C54" s="13" t="s">
        <v>40</v>
      </c>
      <c r="D54" s="13" t="s">
        <v>42</v>
      </c>
      <c r="E54" s="13">
        <v>1990</v>
      </c>
      <c r="F54" s="13">
        <v>2005</v>
      </c>
      <c r="G54" s="13">
        <v>2010</v>
      </c>
      <c r="H54" s="13">
        <v>2015</v>
      </c>
      <c r="I54" s="13">
        <v>2020</v>
      </c>
      <c r="J54" s="13">
        <v>2025</v>
      </c>
      <c r="K54" s="13">
        <v>2030</v>
      </c>
      <c r="L54" s="13">
        <v>2035</v>
      </c>
      <c r="M54" s="13">
        <v>2040</v>
      </c>
      <c r="N54" s="13">
        <v>2045</v>
      </c>
      <c r="O54" s="13">
        <v>2050</v>
      </c>
    </row>
    <row r="55" spans="3:15">
      <c r="C55" s="13" t="s">
        <v>33</v>
      </c>
    </row>
    <row r="56" spans="3:15">
      <c r="D56" s="12" t="s">
        <v>33</v>
      </c>
      <c r="E56" s="12">
        <f>F2</f>
        <v>4.6700899999999997E-2</v>
      </c>
      <c r="F56" s="12">
        <f t="shared" ref="F56:O56" si="12">G2</f>
        <v>4.37793E-2</v>
      </c>
      <c r="G56" s="12">
        <f t="shared" si="12"/>
        <v>4.4930499999999998E-2</v>
      </c>
      <c r="H56" s="12">
        <f t="shared" si="12"/>
        <v>5.9596000000000003E-2</v>
      </c>
      <c r="I56" s="12">
        <f t="shared" si="12"/>
        <v>5.9766100000000003E-2</v>
      </c>
      <c r="J56" s="12">
        <f t="shared" si="12"/>
        <v>0.11892900000000001</v>
      </c>
      <c r="K56" s="12">
        <f t="shared" si="12"/>
        <v>0.14513100000000001</v>
      </c>
      <c r="L56" s="12">
        <f t="shared" si="12"/>
        <v>0.16248299999999999</v>
      </c>
      <c r="M56" s="12">
        <f t="shared" si="12"/>
        <v>0.182282</v>
      </c>
      <c r="N56" s="12">
        <f t="shared" si="12"/>
        <v>0.194991</v>
      </c>
      <c r="O56" s="12">
        <f t="shared" si="12"/>
        <v>0.190053</v>
      </c>
    </row>
    <row r="57" spans="3:15">
      <c r="D57" s="13" t="s">
        <v>79</v>
      </c>
      <c r="E57" s="13">
        <f t="shared" ref="E57:O57" si="13">F3</f>
        <v>4.78009E-2</v>
      </c>
      <c r="F57" s="13">
        <f t="shared" si="13"/>
        <v>4.4879299999999997E-2</v>
      </c>
      <c r="G57" s="13">
        <f t="shared" si="13"/>
        <v>4.6030500000000002E-2</v>
      </c>
      <c r="H57" s="13">
        <f t="shared" si="13"/>
        <v>6.0696E-2</v>
      </c>
      <c r="I57" s="13">
        <f t="shared" si="13"/>
        <v>189.80799999999999</v>
      </c>
      <c r="J57" s="13">
        <f t="shared" si="13"/>
        <v>0.110611</v>
      </c>
      <c r="K57" s="13">
        <f t="shared" si="13"/>
        <v>0.115011</v>
      </c>
      <c r="L57" s="13">
        <f t="shared" si="13"/>
        <v>0.116898</v>
      </c>
      <c r="M57" s="13">
        <f t="shared" si="13"/>
        <v>0.118006</v>
      </c>
      <c r="N57" s="13">
        <f t="shared" si="13"/>
        <v>0.119516</v>
      </c>
      <c r="O57" s="13">
        <f t="shared" si="13"/>
        <v>0.11895699999999999</v>
      </c>
    </row>
    <row r="58" spans="3:15">
      <c r="D58" s="13" t="s">
        <v>34</v>
      </c>
      <c r="E58" s="13">
        <f t="shared" ref="E58:O58" si="14">F4</f>
        <v>4.9068399999999998E-2</v>
      </c>
      <c r="F58" s="13">
        <f t="shared" si="14"/>
        <v>4.6045599999999999E-2</v>
      </c>
      <c r="G58" s="13">
        <f t="shared" si="14"/>
        <v>4.8171600000000002E-2</v>
      </c>
      <c r="H58" s="13">
        <f t="shared" si="14"/>
        <v>4.8434699999999997E-2</v>
      </c>
      <c r="I58" s="13">
        <f t="shared" si="14"/>
        <v>7.0795399999999994E-2</v>
      </c>
      <c r="J58" s="13">
        <f t="shared" si="14"/>
        <v>0.122521</v>
      </c>
      <c r="K58" s="13">
        <f t="shared" si="14"/>
        <v>0.14322799999999999</v>
      </c>
      <c r="L58" s="13">
        <f t="shared" si="14"/>
        <v>0.15459800000000001</v>
      </c>
      <c r="M58" s="13">
        <f t="shared" si="14"/>
        <v>0.169872</v>
      </c>
      <c r="N58" s="13">
        <f t="shared" si="14"/>
        <v>0.179871</v>
      </c>
      <c r="O58" s="13">
        <f t="shared" si="14"/>
        <v>0.176787</v>
      </c>
    </row>
    <row r="59" spans="3:15">
      <c r="C59" s="13" t="s">
        <v>47</v>
      </c>
    </row>
    <row r="60" spans="3:15">
      <c r="D60" s="13" t="s">
        <v>36</v>
      </c>
      <c r="E60" s="13">
        <f>F6</f>
        <v>0.117372</v>
      </c>
      <c r="F60" s="13">
        <f t="shared" ref="F60:N60" si="15">G6</f>
        <v>0.12808800000000001</v>
      </c>
      <c r="G60" s="13">
        <f t="shared" si="15"/>
        <v>0.13622600000000001</v>
      </c>
      <c r="H60" s="13">
        <f t="shared" si="15"/>
        <v>0.138039</v>
      </c>
      <c r="I60" s="13">
        <f t="shared" si="15"/>
        <v>0.138103</v>
      </c>
      <c r="J60" s="13">
        <f t="shared" si="15"/>
        <v>0.17775099999999999</v>
      </c>
      <c r="K60" s="13">
        <f t="shared" si="15"/>
        <v>0.189196</v>
      </c>
      <c r="L60" s="13">
        <f t="shared" si="15"/>
        <v>0.195299</v>
      </c>
      <c r="M60" s="13">
        <f t="shared" si="15"/>
        <v>0.20255500000000001</v>
      </c>
      <c r="N60" s="13">
        <f t="shared" si="15"/>
        <v>0.20364699999999999</v>
      </c>
      <c r="O60" s="13">
        <f>P6</f>
        <v>0.19797699999999999</v>
      </c>
    </row>
    <row r="61" spans="3:15">
      <c r="D61" s="13" t="s">
        <v>80</v>
      </c>
      <c r="E61" s="13">
        <f t="shared" ref="E61:O61" si="16">F7</f>
        <v>0.122172</v>
      </c>
      <c r="F61" s="13">
        <f t="shared" si="16"/>
        <v>0.13288800000000001</v>
      </c>
      <c r="G61" s="13">
        <f t="shared" si="16"/>
        <v>0.14102600000000001</v>
      </c>
      <c r="H61" s="13">
        <f t="shared" si="16"/>
        <v>0.142739</v>
      </c>
      <c r="I61" s="13">
        <f t="shared" si="16"/>
        <v>63.894599999999997</v>
      </c>
      <c r="J61" s="13">
        <f t="shared" si="16"/>
        <v>0.17912</v>
      </c>
      <c r="K61" s="13">
        <f t="shared" si="16"/>
        <v>0.18323999999999999</v>
      </c>
      <c r="L61" s="13">
        <f t="shared" si="16"/>
        <v>0.183947</v>
      </c>
      <c r="M61" s="13">
        <f t="shared" si="16"/>
        <v>0.184923</v>
      </c>
      <c r="N61" s="13">
        <f t="shared" si="16"/>
        <v>0.182086</v>
      </c>
      <c r="O61" s="13">
        <f t="shared" si="16"/>
        <v>0.17785400000000001</v>
      </c>
    </row>
    <row r="62" spans="3:15">
      <c r="D62" s="12" t="s">
        <v>37</v>
      </c>
      <c r="E62" s="12">
        <f t="shared" ref="E62:O62" si="17">F8</f>
        <v>0.107576</v>
      </c>
      <c r="F62" s="12">
        <f t="shared" si="17"/>
        <v>0.11736000000000001</v>
      </c>
      <c r="G62" s="12">
        <f t="shared" si="17"/>
        <v>0.12012</v>
      </c>
      <c r="H62" s="12">
        <f t="shared" si="17"/>
        <v>0.118519</v>
      </c>
      <c r="I62" s="12">
        <f t="shared" si="17"/>
        <v>0.21282699999999999</v>
      </c>
      <c r="J62" s="12">
        <f t="shared" si="17"/>
        <v>0.27346799999999999</v>
      </c>
      <c r="K62" s="12">
        <f t="shared" si="17"/>
        <v>0.27897899999999998</v>
      </c>
      <c r="L62" s="12">
        <f t="shared" si="17"/>
        <v>0.26877899999999999</v>
      </c>
      <c r="M62" s="12">
        <f t="shared" si="17"/>
        <v>0.264434</v>
      </c>
      <c r="N62" s="12">
        <f t="shared" si="17"/>
        <v>0.256936</v>
      </c>
      <c r="O62" s="12">
        <f t="shared" si="17"/>
        <v>0.25150899999999998</v>
      </c>
    </row>
    <row r="63" spans="3:15">
      <c r="C63" s="13" t="s">
        <v>38</v>
      </c>
    </row>
    <row r="64" spans="3:15">
      <c r="D64" s="13" t="s">
        <v>38</v>
      </c>
      <c r="E64" s="13">
        <f>F9</f>
        <v>4.2500000000000003E-2</v>
      </c>
      <c r="F64" s="13">
        <f t="shared" ref="F64:O64" si="18">G9</f>
        <v>5.3156500000000002E-2</v>
      </c>
      <c r="G64" s="13">
        <f t="shared" si="18"/>
        <v>5.6205999999999999E-2</v>
      </c>
      <c r="H64" s="13">
        <f t="shared" si="18"/>
        <v>5.8049499999999997E-2</v>
      </c>
      <c r="I64" s="13">
        <f t="shared" si="18"/>
        <v>5.9371699999999999E-2</v>
      </c>
      <c r="J64" s="13">
        <f t="shared" si="18"/>
        <v>8.6494100000000004E-2</v>
      </c>
      <c r="K64" s="13">
        <f t="shared" si="18"/>
        <v>9.2249200000000003E-2</v>
      </c>
      <c r="L64" s="13">
        <f t="shared" si="18"/>
        <v>9.4425899999999993E-2</v>
      </c>
      <c r="M64" s="13">
        <f t="shared" si="18"/>
        <v>9.4920699999999997E-2</v>
      </c>
      <c r="N64" s="13">
        <f t="shared" si="18"/>
        <v>9.2456200000000002E-2</v>
      </c>
      <c r="O64" s="13">
        <f t="shared" si="18"/>
        <v>8.8435100000000003E-2</v>
      </c>
    </row>
    <row r="67" spans="3:15">
      <c r="C67" s="13">
        <v>1</v>
      </c>
      <c r="D67" s="13" t="s">
        <v>79</v>
      </c>
      <c r="E67" s="13">
        <v>0</v>
      </c>
      <c r="F67" s="13">
        <v>0</v>
      </c>
      <c r="G67" s="13">
        <v>0</v>
      </c>
      <c r="H67" s="13">
        <v>0</v>
      </c>
      <c r="I67" s="13">
        <v>0</v>
      </c>
      <c r="J67" s="13">
        <v>8.3333333333333301E-2</v>
      </c>
      <c r="K67" s="13">
        <v>0.16666666666666699</v>
      </c>
      <c r="L67" s="13">
        <v>0.25</v>
      </c>
      <c r="M67" s="13">
        <v>0.33333333333333298</v>
      </c>
      <c r="N67" s="13">
        <v>0.41666666666666702</v>
      </c>
      <c r="O67" s="13">
        <v>0.5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1917A-E711-48A8-A26B-F4FE9B001110}">
  <sheetPr codeName="Sheet16"/>
  <dimension ref="A1:V28"/>
  <sheetViews>
    <sheetView zoomScale="55" zoomScaleNormal="55" workbookViewId="0">
      <selection activeCell="A3" sqref="A3:Q9"/>
    </sheetView>
  </sheetViews>
  <sheetFormatPr defaultRowHeight="17.399999999999999"/>
  <cols>
    <col min="2" max="2" width="24.5" bestFit="1" customWidth="1"/>
    <col min="3" max="3" width="27.5" bestFit="1" customWidth="1"/>
    <col min="19" max="19" width="23.296875" style="13" bestFit="1" customWidth="1"/>
    <col min="20" max="20" width="12.296875" bestFit="1" customWidth="1"/>
  </cols>
  <sheetData>
    <row r="1" spans="1:22">
      <c r="A1" s="1" t="s">
        <v>43</v>
      </c>
    </row>
    <row r="2" spans="1:22">
      <c r="A2" t="s">
        <v>8</v>
      </c>
      <c r="B2" t="s">
        <v>9</v>
      </c>
      <c r="C2" t="s">
        <v>39</v>
      </c>
      <c r="D2" t="s">
        <v>40</v>
      </c>
      <c r="E2" t="s">
        <v>41</v>
      </c>
      <c r="F2" t="s">
        <v>42</v>
      </c>
      <c r="G2">
        <v>1990</v>
      </c>
      <c r="H2">
        <v>2005</v>
      </c>
      <c r="I2">
        <v>2010</v>
      </c>
      <c r="J2">
        <v>2015</v>
      </c>
      <c r="K2">
        <v>2020</v>
      </c>
      <c r="L2">
        <v>2025</v>
      </c>
      <c r="M2">
        <v>2030</v>
      </c>
      <c r="N2">
        <v>2035</v>
      </c>
      <c r="O2">
        <v>2040</v>
      </c>
      <c r="P2">
        <v>2045</v>
      </c>
      <c r="Q2">
        <v>2050</v>
      </c>
      <c r="R2" s="11" t="s">
        <v>76</v>
      </c>
      <c r="S2" s="13" t="s">
        <v>42</v>
      </c>
      <c r="T2" s="28" t="s">
        <v>139</v>
      </c>
      <c r="U2" s="28" t="s">
        <v>138</v>
      </c>
      <c r="V2" s="28"/>
    </row>
    <row r="3" spans="1:22">
      <c r="A3" t="s">
        <v>364</v>
      </c>
      <c r="B3" t="s">
        <v>1</v>
      </c>
      <c r="C3" t="s">
        <v>32</v>
      </c>
      <c r="D3" t="s">
        <v>33</v>
      </c>
      <c r="E3" t="s">
        <v>32</v>
      </c>
      <c r="F3" t="s">
        <v>33</v>
      </c>
      <c r="G3">
        <v>22.5</v>
      </c>
      <c r="H3">
        <v>26.7</v>
      </c>
      <c r="I3">
        <v>34.1</v>
      </c>
      <c r="J3">
        <v>48.5</v>
      </c>
      <c r="K3">
        <v>54.215699999999998</v>
      </c>
      <c r="L3">
        <v>52.266800000000003</v>
      </c>
      <c r="M3">
        <v>41.821979999999897</v>
      </c>
      <c r="N3">
        <v>27.175550000000001</v>
      </c>
      <c r="O3">
        <v>15.94389</v>
      </c>
      <c r="P3">
        <v>6.9156180000000003</v>
      </c>
      <c r="Q3">
        <v>1.9714286999999999</v>
      </c>
      <c r="R3" s="11" t="s">
        <v>77</v>
      </c>
      <c r="S3" s="13" t="s">
        <v>33</v>
      </c>
      <c r="T3" s="13">
        <f t="shared" ref="T3:T8" si="0">Q3/$Q$10</f>
        <v>2.4004144471821563E-2</v>
      </c>
      <c r="U3" s="13">
        <v>0.3</v>
      </c>
      <c r="V3" s="13"/>
    </row>
    <row r="4" spans="1:22">
      <c r="A4" t="s">
        <v>364</v>
      </c>
      <c r="B4" t="s">
        <v>1</v>
      </c>
      <c r="C4" t="s">
        <v>32</v>
      </c>
      <c r="D4" t="s">
        <v>33</v>
      </c>
      <c r="E4" t="s">
        <v>32</v>
      </c>
      <c r="F4" t="s">
        <v>79</v>
      </c>
      <c r="G4">
        <v>0</v>
      </c>
      <c r="H4">
        <v>0</v>
      </c>
      <c r="I4">
        <v>0</v>
      </c>
      <c r="J4">
        <v>0</v>
      </c>
      <c r="K4">
        <v>0</v>
      </c>
      <c r="L4">
        <v>7.2221199999999999E-2</v>
      </c>
      <c r="M4">
        <v>0.67008699999999999</v>
      </c>
      <c r="N4">
        <v>2.4764809999999899</v>
      </c>
      <c r="O4">
        <v>4.7760791999999999</v>
      </c>
      <c r="P4">
        <v>6.9654049999999996</v>
      </c>
      <c r="Q4">
        <v>6.5008080000000001</v>
      </c>
      <c r="R4" s="11" t="s">
        <v>77</v>
      </c>
      <c r="S4" s="13" t="s">
        <v>79</v>
      </c>
      <c r="T4" s="13">
        <f t="shared" si="0"/>
        <v>7.9153932584816997E-2</v>
      </c>
      <c r="U4" s="13">
        <v>0.13</v>
      </c>
      <c r="V4" s="13"/>
    </row>
    <row r="5" spans="1:22">
      <c r="A5" t="s">
        <v>364</v>
      </c>
      <c r="B5" t="s">
        <v>1</v>
      </c>
      <c r="C5" t="s">
        <v>32</v>
      </c>
      <c r="D5" t="s">
        <v>33</v>
      </c>
      <c r="E5" t="s">
        <v>32</v>
      </c>
      <c r="F5" t="s">
        <v>34</v>
      </c>
      <c r="G5">
        <v>0</v>
      </c>
      <c r="H5">
        <v>0</v>
      </c>
      <c r="I5">
        <v>0</v>
      </c>
      <c r="J5">
        <v>0</v>
      </c>
      <c r="K5">
        <v>0</v>
      </c>
      <c r="L5">
        <v>0.109558</v>
      </c>
      <c r="M5">
        <v>0.55454550000000002</v>
      </c>
      <c r="N5">
        <v>1.3739452000000001</v>
      </c>
      <c r="O5">
        <v>1.9481085999999901</v>
      </c>
      <c r="P5">
        <v>1.6554374000000001</v>
      </c>
      <c r="Q5">
        <v>0.93248430000000004</v>
      </c>
      <c r="R5" s="11" t="s">
        <v>77</v>
      </c>
      <c r="S5" s="13" t="s">
        <v>36</v>
      </c>
      <c r="T5" s="13">
        <f t="shared" si="0"/>
        <v>1.1353942374332586E-2</v>
      </c>
      <c r="U5" s="13">
        <v>0.09</v>
      </c>
      <c r="V5" s="13"/>
    </row>
    <row r="6" spans="1:22">
      <c r="A6" t="s">
        <v>364</v>
      </c>
      <c r="B6" t="s">
        <v>1</v>
      </c>
      <c r="C6" t="s">
        <v>32</v>
      </c>
      <c r="D6" t="s">
        <v>36</v>
      </c>
      <c r="E6" t="s">
        <v>32</v>
      </c>
      <c r="F6" t="s">
        <v>36</v>
      </c>
      <c r="G6">
        <v>8.42</v>
      </c>
      <c r="H6">
        <v>10.5</v>
      </c>
      <c r="I6">
        <v>12.4</v>
      </c>
      <c r="J6">
        <v>10.6</v>
      </c>
      <c r="K6">
        <v>12.31157</v>
      </c>
      <c r="L6">
        <v>16.49502</v>
      </c>
      <c r="M6">
        <v>21.820529999999899</v>
      </c>
      <c r="N6">
        <v>27.380091999999902</v>
      </c>
      <c r="O6">
        <v>27.120059999999999</v>
      </c>
      <c r="P6">
        <v>22.315199999999901</v>
      </c>
      <c r="Q6">
        <v>15.63565</v>
      </c>
      <c r="R6" s="11" t="s">
        <v>77</v>
      </c>
      <c r="S6" s="13" t="s">
        <v>80</v>
      </c>
      <c r="T6" s="13">
        <f t="shared" si="0"/>
        <v>0.19037990139376426</v>
      </c>
      <c r="U6" s="13">
        <v>0.02</v>
      </c>
      <c r="V6" s="13"/>
    </row>
    <row r="7" spans="1:22">
      <c r="A7" t="s">
        <v>364</v>
      </c>
      <c r="B7" t="s">
        <v>1</v>
      </c>
      <c r="C7" t="s">
        <v>32</v>
      </c>
      <c r="D7" t="s">
        <v>36</v>
      </c>
      <c r="E7" t="s">
        <v>32</v>
      </c>
      <c r="F7" t="s">
        <v>80</v>
      </c>
      <c r="G7">
        <v>0</v>
      </c>
      <c r="H7">
        <v>0</v>
      </c>
      <c r="I7">
        <v>0</v>
      </c>
      <c r="J7">
        <v>0</v>
      </c>
      <c r="K7">
        <v>0</v>
      </c>
      <c r="L7">
        <v>0.203345</v>
      </c>
      <c r="M7">
        <v>0.99235600000000002</v>
      </c>
      <c r="N7">
        <v>2.9587119999999998</v>
      </c>
      <c r="O7">
        <v>5.3354479000000001</v>
      </c>
      <c r="P7">
        <v>8.3867519999999995</v>
      </c>
      <c r="Q7">
        <v>11.099288999999899</v>
      </c>
      <c r="R7" s="11" t="s">
        <v>77</v>
      </c>
      <c r="S7" s="13" t="s">
        <v>37</v>
      </c>
      <c r="T7" s="1">
        <f t="shared" si="0"/>
        <v>0.13514510400020935</v>
      </c>
      <c r="U7" s="1">
        <v>0.08</v>
      </c>
      <c r="V7" s="13"/>
    </row>
    <row r="8" spans="1:22">
      <c r="A8" t="s">
        <v>364</v>
      </c>
      <c r="B8" t="s">
        <v>1</v>
      </c>
      <c r="C8" t="s">
        <v>32</v>
      </c>
      <c r="D8" t="s">
        <v>36</v>
      </c>
      <c r="E8" t="s">
        <v>32</v>
      </c>
      <c r="F8" t="s">
        <v>37</v>
      </c>
      <c r="G8">
        <v>0</v>
      </c>
      <c r="H8">
        <v>0</v>
      </c>
      <c r="I8">
        <v>0</v>
      </c>
      <c r="J8">
        <v>0</v>
      </c>
      <c r="K8">
        <v>0</v>
      </c>
      <c r="L8">
        <v>1.4922</v>
      </c>
      <c r="M8">
        <v>5.5658099999999999</v>
      </c>
      <c r="N8">
        <v>10.873927999999999</v>
      </c>
      <c r="O8">
        <v>15.9733179999999</v>
      </c>
      <c r="P8">
        <v>22.071542000000001</v>
      </c>
      <c r="Q8">
        <v>27.913399999999999</v>
      </c>
      <c r="R8" s="11" t="s">
        <v>77</v>
      </c>
      <c r="S8" s="13" t="s">
        <v>38</v>
      </c>
      <c r="T8" s="13">
        <f t="shared" si="0"/>
        <v>0.33987396363852473</v>
      </c>
      <c r="U8" s="13">
        <v>0.38</v>
      </c>
      <c r="V8" s="13"/>
    </row>
    <row r="9" spans="1:22">
      <c r="A9" t="s">
        <v>364</v>
      </c>
      <c r="B9" t="s">
        <v>1</v>
      </c>
      <c r="C9" t="s">
        <v>32</v>
      </c>
      <c r="D9" t="s">
        <v>38</v>
      </c>
      <c r="E9" t="s">
        <v>32</v>
      </c>
      <c r="F9" t="s">
        <v>38</v>
      </c>
      <c r="G9">
        <v>8.42</v>
      </c>
      <c r="H9">
        <v>10.5</v>
      </c>
      <c r="I9">
        <v>12.4</v>
      </c>
      <c r="J9">
        <v>10.6</v>
      </c>
      <c r="K9">
        <v>10.9221</v>
      </c>
      <c r="L9">
        <v>12.58053</v>
      </c>
      <c r="M9">
        <v>14.64537</v>
      </c>
      <c r="N9">
        <v>14.591652</v>
      </c>
      <c r="O9">
        <v>15.087057999999899</v>
      </c>
      <c r="P9">
        <v>16.32508</v>
      </c>
      <c r="Q9">
        <v>18.075620000000001</v>
      </c>
      <c r="T9" s="13"/>
      <c r="U9" s="13"/>
      <c r="V9" s="13"/>
    </row>
    <row r="10" spans="1:22">
      <c r="G10" s="13">
        <f>SUM(G3:G9)</f>
        <v>39.340000000000003</v>
      </c>
      <c r="H10" s="13">
        <f t="shared" ref="H10:Q10" si="1">SUM(H3:H9)</f>
        <v>47.7</v>
      </c>
      <c r="I10" s="13">
        <f t="shared" si="1"/>
        <v>58.9</v>
      </c>
      <c r="J10" s="13">
        <f t="shared" si="1"/>
        <v>69.7</v>
      </c>
      <c r="K10" s="13">
        <f t="shared" si="1"/>
        <v>77.449370000000002</v>
      </c>
      <c r="L10" s="13">
        <f t="shared" si="1"/>
        <v>83.2196742</v>
      </c>
      <c r="M10" s="13">
        <f t="shared" si="1"/>
        <v>86.070678499999801</v>
      </c>
      <c r="N10" s="13">
        <f t="shared" si="1"/>
        <v>86.830360199999888</v>
      </c>
      <c r="O10" s="13">
        <f t="shared" si="1"/>
        <v>86.183961699999784</v>
      </c>
      <c r="P10" s="13">
        <f t="shared" si="1"/>
        <v>84.635034399999896</v>
      </c>
      <c r="Q10" s="13">
        <f t="shared" si="1"/>
        <v>82.128679999999903</v>
      </c>
      <c r="T10" s="13">
        <f>SUM(T3:T9)</f>
        <v>0.7799109884634694</v>
      </c>
      <c r="U10" s="13">
        <f>SUM(U3:U9)</f>
        <v>1</v>
      </c>
    </row>
    <row r="11" spans="1:22"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</row>
    <row r="18" spans="1:11">
      <c r="A18" s="1" t="s">
        <v>11</v>
      </c>
    </row>
    <row r="19" spans="1:11">
      <c r="A19" t="s">
        <v>8</v>
      </c>
      <c r="B19" t="s">
        <v>9</v>
      </c>
      <c r="C19" t="s">
        <v>10</v>
      </c>
      <c r="D19">
        <v>2015</v>
      </c>
      <c r="E19">
        <v>2020</v>
      </c>
      <c r="F19">
        <v>2025</v>
      </c>
      <c r="G19">
        <v>2030</v>
      </c>
      <c r="H19">
        <v>2035</v>
      </c>
      <c r="I19">
        <v>2040</v>
      </c>
      <c r="J19">
        <v>2045</v>
      </c>
      <c r="K19">
        <v>2050</v>
      </c>
    </row>
    <row r="20" spans="1:11">
      <c r="A20" t="s">
        <v>0</v>
      </c>
      <c r="B20" t="s">
        <v>37</v>
      </c>
      <c r="C20" t="s">
        <v>352</v>
      </c>
      <c r="D20">
        <f t="shared" ref="D20:D28" si="2">SUMIF($F$3:$F$10,$B20,J$3:J$10)</f>
        <v>0</v>
      </c>
      <c r="E20">
        <f t="shared" ref="E20:E28" si="3">SUMIF($F$3:$F$10,$B20,K$3:K$10)</f>
        <v>0</v>
      </c>
      <c r="F20">
        <f t="shared" ref="F20:F28" si="4">SUMIF($F$3:$F$10,$B20,L$3:L$10)</f>
        <v>1.4922</v>
      </c>
      <c r="G20">
        <f t="shared" ref="G20:G28" si="5">SUMIF($F$3:$F$10,$B20,M$3:M$10)</f>
        <v>5.5658099999999999</v>
      </c>
      <c r="H20">
        <f t="shared" ref="H20:H28" si="6">SUMIF($F$3:$F$10,$B20,N$3:N$10)</f>
        <v>10.873927999999999</v>
      </c>
      <c r="I20">
        <f t="shared" ref="I20:I28" si="7">SUMIF($F$3:$F$10,$B20,O$3:O$10)</f>
        <v>15.9733179999999</v>
      </c>
      <c r="J20">
        <f t="shared" ref="J20:J28" si="8">SUMIF($F$3:$F$10,$B20,P$3:P$10)</f>
        <v>22.071542000000001</v>
      </c>
      <c r="K20">
        <f t="shared" ref="K20:K28" si="9">SUMIF($F$3:$F$10,$B20,Q$3:Q$10)</f>
        <v>27.913399999999999</v>
      </c>
    </row>
    <row r="21" spans="1:11">
      <c r="A21" t="s">
        <v>0</v>
      </c>
      <c r="C21" t="s">
        <v>45</v>
      </c>
      <c r="D21">
        <f>SUMIF($F$3:$F$10,$B21,J$3:J$10)</f>
        <v>0</v>
      </c>
      <c r="E21">
        <f t="shared" si="3"/>
        <v>0</v>
      </c>
      <c r="F21">
        <f t="shared" si="4"/>
        <v>0</v>
      </c>
      <c r="G21">
        <f t="shared" si="5"/>
        <v>0</v>
      </c>
      <c r="H21">
        <f t="shared" si="6"/>
        <v>0</v>
      </c>
      <c r="I21">
        <f t="shared" si="7"/>
        <v>0</v>
      </c>
      <c r="J21">
        <f t="shared" si="8"/>
        <v>0</v>
      </c>
      <c r="K21">
        <f t="shared" si="9"/>
        <v>0</v>
      </c>
    </row>
    <row r="22" spans="1:11">
      <c r="A22" t="s">
        <v>0</v>
      </c>
      <c r="B22" t="s">
        <v>38</v>
      </c>
      <c r="C22" t="s">
        <v>351</v>
      </c>
      <c r="D22">
        <f t="shared" si="2"/>
        <v>10.6</v>
      </c>
      <c r="E22">
        <f t="shared" si="3"/>
        <v>10.9221</v>
      </c>
      <c r="F22">
        <f t="shared" si="4"/>
        <v>12.58053</v>
      </c>
      <c r="G22">
        <f t="shared" si="5"/>
        <v>14.64537</v>
      </c>
      <c r="H22">
        <f t="shared" si="6"/>
        <v>14.591652</v>
      </c>
      <c r="I22">
        <f t="shared" si="7"/>
        <v>15.087057999999899</v>
      </c>
      <c r="J22">
        <f t="shared" si="8"/>
        <v>16.32508</v>
      </c>
      <c r="K22">
        <f t="shared" si="9"/>
        <v>18.075620000000001</v>
      </c>
    </row>
    <row r="23" spans="1:11">
      <c r="A23" t="s">
        <v>0</v>
      </c>
      <c r="B23" t="s">
        <v>80</v>
      </c>
      <c r="C23" t="s">
        <v>350</v>
      </c>
      <c r="D23">
        <f t="shared" si="2"/>
        <v>0</v>
      </c>
      <c r="E23">
        <f t="shared" si="3"/>
        <v>0</v>
      </c>
      <c r="F23">
        <f t="shared" si="4"/>
        <v>0.203345</v>
      </c>
      <c r="G23">
        <f t="shared" si="5"/>
        <v>0.99235600000000002</v>
      </c>
      <c r="H23">
        <f t="shared" si="6"/>
        <v>2.9587119999999998</v>
      </c>
      <c r="I23">
        <f t="shared" si="7"/>
        <v>5.3354479000000001</v>
      </c>
      <c r="J23">
        <f t="shared" si="8"/>
        <v>8.3867519999999995</v>
      </c>
      <c r="K23">
        <f t="shared" si="9"/>
        <v>11.099288999999899</v>
      </c>
    </row>
    <row r="24" spans="1:11">
      <c r="A24" t="s">
        <v>0</v>
      </c>
      <c r="B24" t="s">
        <v>36</v>
      </c>
      <c r="C24" t="s">
        <v>349</v>
      </c>
      <c r="D24">
        <f t="shared" si="2"/>
        <v>10.6</v>
      </c>
      <c r="E24">
        <f t="shared" si="3"/>
        <v>12.31157</v>
      </c>
      <c r="F24">
        <f t="shared" si="4"/>
        <v>16.49502</v>
      </c>
      <c r="G24">
        <f t="shared" si="5"/>
        <v>21.820529999999899</v>
      </c>
      <c r="H24">
        <f t="shared" si="6"/>
        <v>27.380091999999902</v>
      </c>
      <c r="I24">
        <f t="shared" si="7"/>
        <v>27.120059999999999</v>
      </c>
      <c r="J24">
        <f t="shared" si="8"/>
        <v>22.315199999999901</v>
      </c>
      <c r="K24">
        <f t="shared" si="9"/>
        <v>15.63565</v>
      </c>
    </row>
    <row r="25" spans="1:11">
      <c r="A25" t="s">
        <v>26</v>
      </c>
      <c r="B25" t="s">
        <v>34</v>
      </c>
      <c r="C25" t="s">
        <v>348</v>
      </c>
      <c r="D25">
        <f t="shared" si="2"/>
        <v>0</v>
      </c>
      <c r="E25">
        <f t="shared" si="3"/>
        <v>0</v>
      </c>
      <c r="F25">
        <f t="shared" si="4"/>
        <v>0.109558</v>
      </c>
      <c r="G25">
        <f t="shared" si="5"/>
        <v>0.55454550000000002</v>
      </c>
      <c r="H25">
        <f t="shared" si="6"/>
        <v>1.3739452000000001</v>
      </c>
      <c r="I25">
        <f t="shared" si="7"/>
        <v>1.9481085999999901</v>
      </c>
      <c r="J25">
        <f t="shared" si="8"/>
        <v>1.6554374000000001</v>
      </c>
      <c r="K25">
        <f t="shared" si="9"/>
        <v>0.93248430000000004</v>
      </c>
    </row>
    <row r="26" spans="1:11">
      <c r="A26" t="s">
        <v>27</v>
      </c>
      <c r="B26" t="s">
        <v>79</v>
      </c>
      <c r="C26" t="s">
        <v>347</v>
      </c>
      <c r="D26">
        <f t="shared" si="2"/>
        <v>0</v>
      </c>
      <c r="E26">
        <f t="shared" si="3"/>
        <v>0</v>
      </c>
      <c r="F26">
        <f t="shared" si="4"/>
        <v>7.2221199999999999E-2</v>
      </c>
      <c r="G26">
        <f t="shared" si="5"/>
        <v>0.67008699999999999</v>
      </c>
      <c r="H26">
        <f t="shared" si="6"/>
        <v>2.4764809999999899</v>
      </c>
      <c r="I26">
        <f t="shared" si="7"/>
        <v>4.7760791999999999</v>
      </c>
      <c r="J26">
        <f t="shared" si="8"/>
        <v>6.9654049999999996</v>
      </c>
      <c r="K26">
        <f t="shared" si="9"/>
        <v>6.5008080000000001</v>
      </c>
    </row>
    <row r="27" spans="1:11">
      <c r="A27" t="s">
        <v>27</v>
      </c>
      <c r="B27" t="s">
        <v>52</v>
      </c>
      <c r="C27" t="s">
        <v>346</v>
      </c>
      <c r="D27">
        <f t="shared" si="2"/>
        <v>48.5</v>
      </c>
      <c r="E27">
        <f t="shared" si="3"/>
        <v>54.215699999999998</v>
      </c>
      <c r="F27">
        <f t="shared" si="4"/>
        <v>52.266800000000003</v>
      </c>
      <c r="G27">
        <f t="shared" si="5"/>
        <v>41.821979999999897</v>
      </c>
      <c r="H27">
        <f t="shared" si="6"/>
        <v>27.175550000000001</v>
      </c>
      <c r="I27">
        <f t="shared" si="7"/>
        <v>15.94389</v>
      </c>
      <c r="J27">
        <f t="shared" si="8"/>
        <v>6.9156180000000003</v>
      </c>
      <c r="K27">
        <f t="shared" si="9"/>
        <v>1.9714286999999999</v>
      </c>
    </row>
    <row r="28" spans="1:11">
      <c r="A28" t="s">
        <v>28</v>
      </c>
      <c r="B28" t="s">
        <v>35</v>
      </c>
      <c r="C28" t="s">
        <v>51</v>
      </c>
      <c r="D28">
        <f t="shared" si="2"/>
        <v>0</v>
      </c>
      <c r="E28">
        <f t="shared" si="3"/>
        <v>0</v>
      </c>
      <c r="F28">
        <f t="shared" si="4"/>
        <v>0</v>
      </c>
      <c r="G28">
        <f t="shared" si="5"/>
        <v>0</v>
      </c>
      <c r="H28">
        <f t="shared" si="6"/>
        <v>0</v>
      </c>
      <c r="I28">
        <f t="shared" si="7"/>
        <v>0</v>
      </c>
      <c r="J28">
        <f t="shared" si="8"/>
        <v>0</v>
      </c>
      <c r="K28">
        <f t="shared" si="9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2E8A-6569-4441-B74C-D6044683B323}">
  <sheetPr codeName="Sheet20"/>
  <dimension ref="A1:W67"/>
  <sheetViews>
    <sheetView zoomScale="55" zoomScaleNormal="55" workbookViewId="0">
      <selection activeCell="A3" sqref="A3:Q27"/>
    </sheetView>
  </sheetViews>
  <sheetFormatPr defaultRowHeight="17.399999999999999"/>
  <cols>
    <col min="4" max="4" width="14.19921875" bestFit="1" customWidth="1"/>
    <col min="5" max="5" width="23.59765625" bestFit="1" customWidth="1"/>
    <col min="6" max="6" width="24.5" bestFit="1" customWidth="1"/>
  </cols>
  <sheetData>
    <row r="1" spans="1:18">
      <c r="A1" s="1" t="s">
        <v>54</v>
      </c>
    </row>
    <row r="2" spans="1:18">
      <c r="A2" t="s">
        <v>8</v>
      </c>
      <c r="B2" t="s">
        <v>9</v>
      </c>
      <c r="C2" t="s">
        <v>39</v>
      </c>
      <c r="D2" t="s">
        <v>40</v>
      </c>
      <c r="E2" t="s">
        <v>10</v>
      </c>
      <c r="F2" t="s">
        <v>42</v>
      </c>
      <c r="G2">
        <v>1990</v>
      </c>
      <c r="H2">
        <v>2005</v>
      </c>
      <c r="I2">
        <v>2010</v>
      </c>
      <c r="J2">
        <v>2015</v>
      </c>
      <c r="K2">
        <v>2020</v>
      </c>
      <c r="L2">
        <v>2025</v>
      </c>
      <c r="M2">
        <v>2030</v>
      </c>
      <c r="N2">
        <v>2035</v>
      </c>
      <c r="O2">
        <v>2040</v>
      </c>
      <c r="P2">
        <v>2045</v>
      </c>
      <c r="Q2">
        <v>2050</v>
      </c>
      <c r="R2" s="11" t="s">
        <v>76</v>
      </c>
    </row>
    <row r="3" spans="1:18">
      <c r="A3" s="13" t="s">
        <v>364</v>
      </c>
      <c r="B3" s="13" t="s">
        <v>1</v>
      </c>
      <c r="C3" s="13" t="s">
        <v>32</v>
      </c>
      <c r="D3" s="13" t="s">
        <v>33</v>
      </c>
      <c r="E3" s="13" t="s">
        <v>2</v>
      </c>
      <c r="F3" s="13" t="s">
        <v>34</v>
      </c>
      <c r="G3" s="13">
        <v>0</v>
      </c>
      <c r="H3" s="13">
        <v>0</v>
      </c>
      <c r="I3" s="13">
        <v>0</v>
      </c>
      <c r="J3" s="13">
        <v>0</v>
      </c>
      <c r="K3" s="14">
        <v>0</v>
      </c>
      <c r="L3" s="14">
        <v>3.6142100000000001E-4</v>
      </c>
      <c r="M3" s="13">
        <v>1.8293910000000001E-3</v>
      </c>
      <c r="N3" s="13">
        <v>4.5325060000000004E-3</v>
      </c>
      <c r="O3" s="13">
        <v>6.4266085000000001E-3</v>
      </c>
      <c r="P3" s="14">
        <v>5.4611260000000002E-3</v>
      </c>
      <c r="Q3" s="14">
        <v>3.0761729999999902E-3</v>
      </c>
      <c r="R3" s="11" t="s">
        <v>78</v>
      </c>
    </row>
    <row r="4" spans="1:18">
      <c r="A4" s="13" t="s">
        <v>364</v>
      </c>
      <c r="B4" s="13" t="s">
        <v>1</v>
      </c>
      <c r="C4" s="13" t="s">
        <v>32</v>
      </c>
      <c r="D4" s="13" t="s">
        <v>33</v>
      </c>
      <c r="E4" s="13" t="s">
        <v>4</v>
      </c>
      <c r="F4" s="13" t="s">
        <v>33</v>
      </c>
      <c r="G4" s="13">
        <v>0.230465</v>
      </c>
      <c r="H4" s="13">
        <v>0</v>
      </c>
      <c r="I4" s="13">
        <v>0</v>
      </c>
      <c r="J4" s="13">
        <v>0.82835599999999998</v>
      </c>
      <c r="K4" s="14">
        <v>0.92597700000000005</v>
      </c>
      <c r="L4" s="13">
        <v>0.89268899999999995</v>
      </c>
      <c r="M4" s="13">
        <v>0.71429799999999999</v>
      </c>
      <c r="N4" s="13">
        <v>0.46414420000000001</v>
      </c>
      <c r="O4" s="13">
        <v>0.272314</v>
      </c>
      <c r="P4" s="13">
        <v>0.11811523</v>
      </c>
      <c r="Q4" s="13">
        <v>3.3670970000000001E-2</v>
      </c>
      <c r="R4" s="11" t="s">
        <v>78</v>
      </c>
    </row>
    <row r="5" spans="1:18">
      <c r="A5" s="13" t="s">
        <v>364</v>
      </c>
      <c r="B5" s="13" t="s">
        <v>1</v>
      </c>
      <c r="C5" s="13" t="s">
        <v>32</v>
      </c>
      <c r="D5" s="13" t="s">
        <v>33</v>
      </c>
      <c r="E5" s="13" t="s">
        <v>4</v>
      </c>
      <c r="F5" s="13" t="s">
        <v>79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1.2335E-3</v>
      </c>
      <c r="M5" s="13">
        <v>1.144472E-2</v>
      </c>
      <c r="N5" s="13">
        <v>4.2297059999999997E-2</v>
      </c>
      <c r="O5" s="13">
        <v>8.1572993999999996E-2</v>
      </c>
      <c r="P5" s="13">
        <v>0.11896569999999999</v>
      </c>
      <c r="Q5" s="13">
        <v>0.11103046999999901</v>
      </c>
      <c r="R5" s="11" t="s">
        <v>78</v>
      </c>
    </row>
    <row r="6" spans="1:18">
      <c r="A6" s="13" t="s">
        <v>364</v>
      </c>
      <c r="B6" s="13" t="s">
        <v>1</v>
      </c>
      <c r="C6" s="13" t="s">
        <v>32</v>
      </c>
      <c r="D6" s="13" t="s">
        <v>33</v>
      </c>
      <c r="E6" s="13" t="s">
        <v>4</v>
      </c>
      <c r="F6" s="13" t="s">
        <v>34</v>
      </c>
      <c r="G6" s="13">
        <v>0</v>
      </c>
      <c r="H6" s="13">
        <v>0</v>
      </c>
      <c r="I6" s="13">
        <v>0</v>
      </c>
      <c r="J6" s="13">
        <v>0</v>
      </c>
      <c r="K6" s="14">
        <v>0</v>
      </c>
      <c r="L6" s="13">
        <v>1.4963299999999999E-3</v>
      </c>
      <c r="M6" s="13">
        <v>7.57392999999999E-3</v>
      </c>
      <c r="N6" s="13">
        <v>1.8765177000000001E-2</v>
      </c>
      <c r="O6" s="13">
        <v>2.6607036000000001E-2</v>
      </c>
      <c r="P6" s="13">
        <v>2.2609839999999999E-2</v>
      </c>
      <c r="Q6" s="13">
        <v>1.273578E-2</v>
      </c>
      <c r="R6" s="11" t="s">
        <v>78</v>
      </c>
    </row>
    <row r="7" spans="1:18">
      <c r="A7" s="13" t="s">
        <v>364</v>
      </c>
      <c r="B7" s="13" t="s">
        <v>1</v>
      </c>
      <c r="C7" s="13" t="s">
        <v>32</v>
      </c>
      <c r="D7" s="13" t="s">
        <v>33</v>
      </c>
      <c r="E7" s="13" t="s">
        <v>5</v>
      </c>
      <c r="F7" s="13" t="s">
        <v>33</v>
      </c>
      <c r="G7" s="13">
        <v>1.2258E-2</v>
      </c>
      <c r="H7" s="13">
        <v>5.09463E-2</v>
      </c>
      <c r="I7" s="13">
        <v>6.1189E-2</v>
      </c>
      <c r="J7" s="13">
        <v>9.1281799999999996E-2</v>
      </c>
      <c r="K7" s="14">
        <v>0.1020393</v>
      </c>
      <c r="L7" s="13">
        <v>9.8371299999999995E-2</v>
      </c>
      <c r="M7" s="13">
        <v>7.8713099999999994E-2</v>
      </c>
      <c r="N7" s="13">
        <v>5.1147089999999999E-2</v>
      </c>
      <c r="O7" s="13">
        <v>3.000796E-2</v>
      </c>
      <c r="P7" s="13">
        <v>1.3015868E-2</v>
      </c>
      <c r="Q7" s="14">
        <v>3.7104199999999999E-3</v>
      </c>
      <c r="R7" s="11" t="s">
        <v>78</v>
      </c>
    </row>
    <row r="8" spans="1:18">
      <c r="A8" s="13" t="s">
        <v>364</v>
      </c>
      <c r="B8" s="13" t="s">
        <v>1</v>
      </c>
      <c r="C8" s="13" t="s">
        <v>32</v>
      </c>
      <c r="D8" s="13" t="s">
        <v>33</v>
      </c>
      <c r="E8" s="13" t="s">
        <v>5</v>
      </c>
      <c r="F8" s="13" t="s">
        <v>79</v>
      </c>
      <c r="G8" s="13">
        <v>0</v>
      </c>
      <c r="H8" s="13">
        <v>0</v>
      </c>
      <c r="I8" s="13">
        <v>0</v>
      </c>
      <c r="J8" s="13">
        <v>0</v>
      </c>
      <c r="K8" s="14">
        <v>0</v>
      </c>
      <c r="L8" s="14">
        <v>1.3592699999999999E-4</v>
      </c>
      <c r="M8" s="14">
        <v>1.261166E-3</v>
      </c>
      <c r="N8" s="14">
        <v>4.6609813999999999E-3</v>
      </c>
      <c r="O8" s="14">
        <v>8.9890504999999999E-3</v>
      </c>
      <c r="P8" s="14">
        <v>1.3109592999999999E-2</v>
      </c>
      <c r="Q8" s="14">
        <v>1.2235157999999999E-2</v>
      </c>
      <c r="R8" s="11" t="s">
        <v>78</v>
      </c>
    </row>
    <row r="9" spans="1:18">
      <c r="A9" s="13" t="s">
        <v>364</v>
      </c>
      <c r="B9" s="13" t="s">
        <v>1</v>
      </c>
      <c r="C9" s="13" t="s">
        <v>32</v>
      </c>
      <c r="D9" s="13" t="s">
        <v>33</v>
      </c>
      <c r="E9" s="13" t="s">
        <v>5</v>
      </c>
      <c r="F9" s="13" t="s">
        <v>34</v>
      </c>
      <c r="G9" s="13">
        <v>0</v>
      </c>
      <c r="H9" s="13">
        <v>0</v>
      </c>
      <c r="I9" s="13">
        <v>0</v>
      </c>
      <c r="J9" s="13">
        <v>0</v>
      </c>
      <c r="K9" s="14">
        <v>0</v>
      </c>
      <c r="L9" s="14">
        <v>6.0059599999999997E-5</v>
      </c>
      <c r="M9" s="14">
        <v>3.0400189999999898E-4</v>
      </c>
      <c r="N9" s="14">
        <v>7.5319729999999896E-4</v>
      </c>
      <c r="O9" s="14">
        <v>1.0679527999999899E-3</v>
      </c>
      <c r="P9" s="14">
        <v>9.0751130000000005E-4</v>
      </c>
      <c r="Q9" s="14">
        <v>5.1118820000000005E-4</v>
      </c>
      <c r="R9" s="11" t="s">
        <v>78</v>
      </c>
    </row>
    <row r="10" spans="1:18">
      <c r="A10" s="13" t="s">
        <v>364</v>
      </c>
      <c r="B10" s="13" t="s">
        <v>1</v>
      </c>
      <c r="C10" s="13" t="s">
        <v>32</v>
      </c>
      <c r="D10" s="13" t="s">
        <v>33</v>
      </c>
      <c r="E10" s="13" t="s">
        <v>6</v>
      </c>
      <c r="F10" s="13" t="s">
        <v>33</v>
      </c>
      <c r="G10" s="14">
        <v>3.2850000000000002E-4</v>
      </c>
      <c r="H10" s="14">
        <v>2.0024999999999999E-4</v>
      </c>
      <c r="I10" s="14">
        <v>1.0230000000000001E-4</v>
      </c>
      <c r="J10" s="14">
        <v>6.3050000000000001E-5</v>
      </c>
      <c r="K10" s="14">
        <v>7.0480399999999895E-5</v>
      </c>
      <c r="L10" s="14">
        <v>6.7946799999999896E-5</v>
      </c>
      <c r="M10" s="14">
        <v>5.43686299999999E-5</v>
      </c>
      <c r="N10" s="14">
        <v>3.5328169999999901E-5</v>
      </c>
      <c r="O10" s="14">
        <v>2.0727060000000001E-5</v>
      </c>
      <c r="P10" s="14">
        <v>8.9902840000000005E-6</v>
      </c>
      <c r="Q10" s="14">
        <v>2.5628590999999999E-6</v>
      </c>
      <c r="R10" s="11" t="s">
        <v>78</v>
      </c>
    </row>
    <row r="11" spans="1:18">
      <c r="A11" s="13" t="s">
        <v>364</v>
      </c>
      <c r="B11" s="13" t="s">
        <v>1</v>
      </c>
      <c r="C11" s="13" t="s">
        <v>32</v>
      </c>
      <c r="D11" s="13" t="s">
        <v>33</v>
      </c>
      <c r="E11" s="13" t="s">
        <v>6</v>
      </c>
      <c r="F11" s="13" t="s">
        <v>79</v>
      </c>
      <c r="G11" s="13">
        <v>0</v>
      </c>
      <c r="H11" s="13">
        <v>0</v>
      </c>
      <c r="I11" s="13">
        <v>0</v>
      </c>
      <c r="J11" s="13">
        <v>0</v>
      </c>
      <c r="K11" s="14">
        <v>0</v>
      </c>
      <c r="L11" s="14">
        <v>9.3887499999999999E-8</v>
      </c>
      <c r="M11" s="14">
        <v>8.7111270000000002E-7</v>
      </c>
      <c r="N11" s="14">
        <v>3.2194217E-6</v>
      </c>
      <c r="O11" s="14">
        <v>6.2088998000000001E-6</v>
      </c>
      <c r="P11" s="14">
        <v>9.0550299999999993E-6</v>
      </c>
      <c r="Q11" s="14">
        <v>8.4510469999999995E-6</v>
      </c>
      <c r="R11" s="11" t="s">
        <v>78</v>
      </c>
    </row>
    <row r="12" spans="1:18">
      <c r="A12" s="13" t="s">
        <v>364</v>
      </c>
      <c r="B12" s="13" t="s">
        <v>1</v>
      </c>
      <c r="C12" s="13" t="s">
        <v>32</v>
      </c>
      <c r="D12" s="13" t="s">
        <v>33</v>
      </c>
      <c r="E12" s="13" t="s">
        <v>6</v>
      </c>
      <c r="F12" s="13" t="s">
        <v>34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1.09558E-6</v>
      </c>
      <c r="M12" s="14">
        <v>5.5454549999999999E-6</v>
      </c>
      <c r="N12" s="14">
        <v>1.3739452E-5</v>
      </c>
      <c r="O12" s="14">
        <v>1.9481086000000001E-5</v>
      </c>
      <c r="P12" s="14">
        <v>1.6554374000000001E-5</v>
      </c>
      <c r="Q12" s="14">
        <v>9.3248430000000002E-6</v>
      </c>
      <c r="R12" s="11" t="s">
        <v>78</v>
      </c>
    </row>
    <row r="13" spans="1:18">
      <c r="A13" s="13" t="s">
        <v>364</v>
      </c>
      <c r="B13" s="13" t="s">
        <v>1</v>
      </c>
      <c r="C13" s="13" t="s">
        <v>32</v>
      </c>
      <c r="D13" s="13" t="s">
        <v>33</v>
      </c>
      <c r="E13" s="13" t="s">
        <v>7</v>
      </c>
      <c r="F13" s="13" t="s">
        <v>33</v>
      </c>
      <c r="G13" s="13">
        <v>0</v>
      </c>
      <c r="H13" s="14">
        <v>6.6749999999999996E-5</v>
      </c>
      <c r="I13" s="14">
        <v>1.2957999999999999E-4</v>
      </c>
      <c r="J13" s="14">
        <v>2.0369999999999999E-4</v>
      </c>
      <c r="K13" s="14">
        <v>2.277057E-4</v>
      </c>
      <c r="L13" s="14">
        <v>2.195206E-4</v>
      </c>
      <c r="M13" s="14">
        <v>1.7565229999999901E-4</v>
      </c>
      <c r="N13" s="14">
        <v>1.141372E-4</v>
      </c>
      <c r="O13" s="14">
        <v>6.6964449999999995E-5</v>
      </c>
      <c r="P13" s="14">
        <v>2.9045539999999899E-5</v>
      </c>
      <c r="Q13" s="14">
        <v>8.2799959999999994E-6</v>
      </c>
      <c r="R13" s="11" t="s">
        <v>78</v>
      </c>
    </row>
    <row r="14" spans="1:18">
      <c r="A14" s="13" t="s">
        <v>364</v>
      </c>
      <c r="B14" s="13" t="s">
        <v>1</v>
      </c>
      <c r="C14" s="13" t="s">
        <v>32</v>
      </c>
      <c r="D14" s="13" t="s">
        <v>33</v>
      </c>
      <c r="E14" s="13" t="s">
        <v>7</v>
      </c>
      <c r="F14" s="13" t="s">
        <v>79</v>
      </c>
      <c r="G14" s="13">
        <v>0</v>
      </c>
      <c r="H14" s="13">
        <v>0</v>
      </c>
      <c r="I14" s="13">
        <v>0</v>
      </c>
      <c r="J14" s="13">
        <v>0</v>
      </c>
      <c r="K14" s="14">
        <v>0</v>
      </c>
      <c r="L14" s="14">
        <v>3.0332899999999998E-7</v>
      </c>
      <c r="M14" s="14">
        <v>2.8143619999999999E-6</v>
      </c>
      <c r="N14" s="14">
        <v>1.040121E-5</v>
      </c>
      <c r="O14" s="14">
        <v>2.00594811999999E-5</v>
      </c>
      <c r="P14" s="14">
        <v>2.9254738E-5</v>
      </c>
      <c r="Q14" s="14">
        <v>2.7303370000000001E-5</v>
      </c>
      <c r="R14" s="11" t="s">
        <v>78</v>
      </c>
    </row>
    <row r="15" spans="1:18">
      <c r="A15" s="13" t="s">
        <v>364</v>
      </c>
      <c r="B15" s="13" t="s">
        <v>1</v>
      </c>
      <c r="C15" s="13" t="s">
        <v>32</v>
      </c>
      <c r="D15" s="13" t="s">
        <v>33</v>
      </c>
      <c r="E15" s="13" t="s">
        <v>7</v>
      </c>
      <c r="F15" s="13" t="s">
        <v>34</v>
      </c>
      <c r="G15" s="13">
        <v>0</v>
      </c>
      <c r="H15" s="13">
        <v>0</v>
      </c>
      <c r="I15" s="13">
        <v>0</v>
      </c>
      <c r="J15" s="13">
        <v>0</v>
      </c>
      <c r="K15" s="14">
        <v>0</v>
      </c>
      <c r="L15" s="14">
        <v>1.09558E-6</v>
      </c>
      <c r="M15" s="14">
        <v>5.5454549999999999E-6</v>
      </c>
      <c r="N15" s="14">
        <v>1.3739452E-5</v>
      </c>
      <c r="O15" s="14">
        <v>1.9481086000000001E-5</v>
      </c>
      <c r="P15" s="14">
        <v>1.6554374000000001E-5</v>
      </c>
      <c r="Q15" s="14">
        <v>9.3248430000000002E-6</v>
      </c>
      <c r="R15" s="11" t="s">
        <v>78</v>
      </c>
    </row>
    <row r="16" spans="1:18">
      <c r="A16" s="13" t="s">
        <v>364</v>
      </c>
      <c r="B16" s="13" t="s">
        <v>1</v>
      </c>
      <c r="C16" s="13" t="s">
        <v>32</v>
      </c>
      <c r="D16" s="13" t="s">
        <v>36</v>
      </c>
      <c r="E16" s="13" t="s">
        <v>2</v>
      </c>
      <c r="F16" s="13" t="s">
        <v>37</v>
      </c>
      <c r="G16" s="13">
        <v>0</v>
      </c>
      <c r="H16" s="14">
        <v>0</v>
      </c>
      <c r="I16" s="14">
        <v>0</v>
      </c>
      <c r="J16" s="14">
        <v>0</v>
      </c>
      <c r="K16" s="14">
        <v>0</v>
      </c>
      <c r="L16" s="14">
        <v>2.14419E-2</v>
      </c>
      <c r="M16" s="14">
        <v>7.9976699999999998E-2</v>
      </c>
      <c r="N16" s="14">
        <v>0.1562508</v>
      </c>
      <c r="O16" s="14">
        <v>0.22952508999999999</v>
      </c>
      <c r="P16" s="14">
        <v>0.31715280000000001</v>
      </c>
      <c r="Q16" s="14">
        <v>0.40109549999999999</v>
      </c>
      <c r="R16" s="11" t="s">
        <v>78</v>
      </c>
    </row>
    <row r="17" spans="1:18">
      <c r="A17" s="13" t="s">
        <v>364</v>
      </c>
      <c r="B17" s="13" t="s">
        <v>1</v>
      </c>
      <c r="C17" s="13" t="s">
        <v>32</v>
      </c>
      <c r="D17" s="13" t="s">
        <v>36</v>
      </c>
      <c r="E17" s="13" t="s">
        <v>4</v>
      </c>
      <c r="F17" s="13" t="s">
        <v>36</v>
      </c>
      <c r="G17" s="13">
        <v>1.2028799999999999E-2</v>
      </c>
      <c r="H17" s="13">
        <v>0</v>
      </c>
      <c r="I17" s="13">
        <v>0</v>
      </c>
      <c r="J17" s="13">
        <v>2.5251300000000001E-2</v>
      </c>
      <c r="K17" s="13">
        <v>2.9328569999999901E-2</v>
      </c>
      <c r="L17" s="14">
        <v>3.9294519999999999E-2</v>
      </c>
      <c r="M17" s="14">
        <v>5.1980909999999998E-2</v>
      </c>
      <c r="N17" s="14">
        <v>6.5224779999999996E-2</v>
      </c>
      <c r="O17" s="14">
        <v>6.4605449999999995E-2</v>
      </c>
      <c r="P17" s="14">
        <v>5.3159280000000003E-2</v>
      </c>
      <c r="Q17" s="14">
        <v>3.7247240000000001E-2</v>
      </c>
      <c r="R17" s="11" t="s">
        <v>78</v>
      </c>
    </row>
    <row r="18" spans="1:18">
      <c r="A18" s="13" t="s">
        <v>364</v>
      </c>
      <c r="B18" s="13" t="s">
        <v>1</v>
      </c>
      <c r="C18" s="13" t="s">
        <v>32</v>
      </c>
      <c r="D18" s="13" t="s">
        <v>36</v>
      </c>
      <c r="E18" s="13" t="s">
        <v>4</v>
      </c>
      <c r="F18" s="13" t="s">
        <v>80</v>
      </c>
      <c r="G18" s="13">
        <v>0</v>
      </c>
      <c r="H18" s="13">
        <v>0</v>
      </c>
      <c r="I18" s="13">
        <v>0</v>
      </c>
      <c r="J18" s="13">
        <v>0</v>
      </c>
      <c r="K18" s="14">
        <v>0</v>
      </c>
      <c r="L18" s="14">
        <v>4.8440700000000001E-4</v>
      </c>
      <c r="M18" s="14">
        <v>2.3639889999999999E-3</v>
      </c>
      <c r="N18" s="14">
        <v>7.0482469999999997E-3</v>
      </c>
      <c r="O18" s="14">
        <v>1.27101147E-2</v>
      </c>
      <c r="P18" s="14">
        <v>1.9978922E-2</v>
      </c>
      <c r="Q18" s="14">
        <v>2.6440775999999999E-2</v>
      </c>
      <c r="R18" s="11" t="s">
        <v>78</v>
      </c>
    </row>
    <row r="19" spans="1:18">
      <c r="A19" s="13" t="s">
        <v>364</v>
      </c>
      <c r="B19" s="13" t="s">
        <v>1</v>
      </c>
      <c r="C19" s="13" t="s">
        <v>32</v>
      </c>
      <c r="D19" s="13" t="s">
        <v>36</v>
      </c>
      <c r="E19" s="13" t="s">
        <v>5</v>
      </c>
      <c r="F19" s="13" t="s">
        <v>36</v>
      </c>
      <c r="G19" s="13">
        <v>1.1003300000000001E-2</v>
      </c>
      <c r="H19" s="13">
        <v>4.8056399999999999E-2</v>
      </c>
      <c r="I19" s="13">
        <v>5.3370800000000003E-2</v>
      </c>
      <c r="J19" s="13">
        <v>4.7853699999999999E-2</v>
      </c>
      <c r="K19" s="14">
        <v>5.5580599999999897E-2</v>
      </c>
      <c r="L19" s="14">
        <v>7.4466900000000003E-2</v>
      </c>
      <c r="M19" s="14">
        <v>9.8508849999999995E-2</v>
      </c>
      <c r="N19" s="14">
        <v>0.12360731999999899</v>
      </c>
      <c r="O19" s="14">
        <v>0.12243366</v>
      </c>
      <c r="P19" s="14">
        <v>0.10074202</v>
      </c>
      <c r="Q19" s="14">
        <v>7.05871E-2</v>
      </c>
      <c r="R19" s="11" t="s">
        <v>78</v>
      </c>
    </row>
    <row r="20" spans="1:18">
      <c r="A20" s="13" t="s">
        <v>364</v>
      </c>
      <c r="B20" s="13" t="s">
        <v>1</v>
      </c>
      <c r="C20" s="13" t="s">
        <v>32</v>
      </c>
      <c r="D20" s="13" t="s">
        <v>36</v>
      </c>
      <c r="E20" s="13" t="s">
        <v>5</v>
      </c>
      <c r="F20" s="13" t="s">
        <v>80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4">
        <v>9.1799899999999996E-4</v>
      </c>
      <c r="M20" s="13">
        <v>4.479986E-3</v>
      </c>
      <c r="N20" s="13">
        <v>1.3357109000000001E-2</v>
      </c>
      <c r="O20" s="13">
        <v>2.4086847000000002E-2</v>
      </c>
      <c r="P20" s="13">
        <v>3.7861909999999999E-2</v>
      </c>
      <c r="Q20" s="13">
        <v>5.0107810000000003E-2</v>
      </c>
      <c r="R20" s="11" t="s">
        <v>78</v>
      </c>
    </row>
    <row r="21" spans="1:18">
      <c r="A21" s="13" t="s">
        <v>364</v>
      </c>
      <c r="B21" s="13" t="s">
        <v>1</v>
      </c>
      <c r="C21" s="13" t="s">
        <v>32</v>
      </c>
      <c r="D21" s="13" t="s">
        <v>36</v>
      </c>
      <c r="E21" s="13" t="s">
        <v>5</v>
      </c>
      <c r="F21" s="13" t="s">
        <v>37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6.73655E-3</v>
      </c>
      <c r="M21" s="13">
        <v>2.5126800000000001E-2</v>
      </c>
      <c r="N21" s="13">
        <v>4.9090429999999997E-2</v>
      </c>
      <c r="O21" s="13">
        <v>7.2111460000000002E-2</v>
      </c>
      <c r="P21" s="13">
        <v>9.9641969999999996E-2</v>
      </c>
      <c r="Q21" s="13">
        <v>0.12601500999999901</v>
      </c>
      <c r="R21" s="11" t="s">
        <v>78</v>
      </c>
    </row>
    <row r="22" spans="1:18">
      <c r="A22" s="13" t="s">
        <v>364</v>
      </c>
      <c r="B22" s="13" t="s">
        <v>1</v>
      </c>
      <c r="C22" s="13" t="s">
        <v>32</v>
      </c>
      <c r="D22" s="13" t="s">
        <v>36</v>
      </c>
      <c r="E22" s="13" t="s">
        <v>6</v>
      </c>
      <c r="F22" s="13" t="s">
        <v>36</v>
      </c>
      <c r="G22" s="13">
        <v>3.1203700000000001E-2</v>
      </c>
      <c r="H22" s="13">
        <v>1.9871300000000001E-2</v>
      </c>
      <c r="I22" s="13">
        <v>9.5727999999999994E-3</v>
      </c>
      <c r="J22" s="13">
        <v>3.3750400000000002E-3</v>
      </c>
      <c r="K22" s="13">
        <v>3.9199999999999999E-3</v>
      </c>
      <c r="L22" s="13">
        <v>5.2520169999999899E-3</v>
      </c>
      <c r="M22" s="13">
        <v>6.9476570000000003E-3</v>
      </c>
      <c r="N22" s="13">
        <v>8.7178069999999993E-3</v>
      </c>
      <c r="O22" s="13">
        <v>8.6350339999999998E-3</v>
      </c>
      <c r="P22" s="13">
        <v>7.1051569999999904E-3</v>
      </c>
      <c r="Q22" s="13">
        <v>4.9783809999999996E-3</v>
      </c>
      <c r="R22" s="11" t="s">
        <v>78</v>
      </c>
    </row>
    <row r="23" spans="1:18">
      <c r="A23" s="13" t="s">
        <v>364</v>
      </c>
      <c r="B23" s="13" t="s">
        <v>1</v>
      </c>
      <c r="C23" s="13" t="s">
        <v>32</v>
      </c>
      <c r="D23" s="13" t="s">
        <v>36</v>
      </c>
      <c r="E23" s="13" t="s">
        <v>6</v>
      </c>
      <c r="F23" s="13" t="s">
        <v>80</v>
      </c>
      <c r="G23" s="13">
        <v>0</v>
      </c>
      <c r="H23" s="13">
        <v>0</v>
      </c>
      <c r="I23" s="13">
        <v>0</v>
      </c>
      <c r="J23" s="14">
        <v>0</v>
      </c>
      <c r="K23" s="14">
        <v>0</v>
      </c>
      <c r="L23" s="14">
        <v>6.4744899999999997E-5</v>
      </c>
      <c r="M23" s="14">
        <v>3.1596599999999999E-4</v>
      </c>
      <c r="N23" s="14">
        <v>9.4205389999999997E-4</v>
      </c>
      <c r="O23" s="13">
        <v>1.6988081999999901E-3</v>
      </c>
      <c r="P23" s="13">
        <v>2.6703411000000002E-3</v>
      </c>
      <c r="Q23" s="13">
        <v>3.5340089999999998E-3</v>
      </c>
      <c r="R23" s="11" t="s">
        <v>78</v>
      </c>
    </row>
    <row r="24" spans="1:18">
      <c r="A24" s="13" t="s">
        <v>364</v>
      </c>
      <c r="B24" s="13" t="s">
        <v>1</v>
      </c>
      <c r="C24" s="13" t="s">
        <v>32</v>
      </c>
      <c r="D24" s="13" t="s">
        <v>36</v>
      </c>
      <c r="E24" s="13" t="s">
        <v>7</v>
      </c>
      <c r="F24" s="13" t="s">
        <v>36</v>
      </c>
      <c r="G24" s="13">
        <v>0</v>
      </c>
      <c r="H24" s="13">
        <v>3.8401699999999997E-2</v>
      </c>
      <c r="I24" s="13">
        <v>6.6848400000000002E-2</v>
      </c>
      <c r="J24" s="13">
        <v>6.3758999999999996E-2</v>
      </c>
      <c r="K24" s="13">
        <v>7.4053999999999995E-2</v>
      </c>
      <c r="L24" s="13">
        <v>9.9217600000000003E-2</v>
      </c>
      <c r="M24" s="13">
        <v>0.13125049999999999</v>
      </c>
      <c r="N24" s="13">
        <v>0.164690999999999</v>
      </c>
      <c r="O24" s="13">
        <v>0.16312729000000001</v>
      </c>
      <c r="P24" s="13">
        <v>0.13422590000000001</v>
      </c>
      <c r="Q24" s="13">
        <v>9.4048399999999893E-2</v>
      </c>
    </row>
    <row r="25" spans="1:18">
      <c r="A25" s="13" t="s">
        <v>364</v>
      </c>
      <c r="B25" s="13" t="s">
        <v>1</v>
      </c>
      <c r="C25" s="13" t="s">
        <v>32</v>
      </c>
      <c r="D25" s="13" t="s">
        <v>36</v>
      </c>
      <c r="E25" s="13" t="s">
        <v>7</v>
      </c>
      <c r="F25" s="13" t="s">
        <v>80</v>
      </c>
      <c r="G25" s="13">
        <v>0</v>
      </c>
      <c r="H25" s="13">
        <v>0</v>
      </c>
      <c r="I25" s="13">
        <v>0</v>
      </c>
      <c r="J25" s="13">
        <v>0</v>
      </c>
      <c r="K25" s="14">
        <v>0</v>
      </c>
      <c r="L25" s="13">
        <v>1.2231200000000001E-3</v>
      </c>
      <c r="M25" s="13">
        <v>5.9690250000000002E-3</v>
      </c>
      <c r="N25" s="13">
        <v>1.7796614999999998E-2</v>
      </c>
      <c r="O25" s="13">
        <v>3.2092835E-2</v>
      </c>
      <c r="P25" s="13">
        <v>5.0446364E-2</v>
      </c>
      <c r="Q25" s="13">
        <v>6.6762230000000006E-2</v>
      </c>
    </row>
    <row r="26" spans="1:18">
      <c r="A26" s="13" t="s">
        <v>364</v>
      </c>
      <c r="B26" s="13" t="s">
        <v>1</v>
      </c>
      <c r="C26" s="13" t="s">
        <v>32</v>
      </c>
      <c r="D26" s="13" t="s">
        <v>38</v>
      </c>
      <c r="E26" s="13" t="s">
        <v>5</v>
      </c>
      <c r="F26" s="13" t="s">
        <v>38</v>
      </c>
      <c r="G26" s="13">
        <v>1.29474E-2</v>
      </c>
      <c r="H26" s="13">
        <v>5.6549799999999997E-2</v>
      </c>
      <c r="I26" s="13">
        <v>6.2802300000000005E-2</v>
      </c>
      <c r="J26" s="13">
        <v>5.6310399999999997E-2</v>
      </c>
      <c r="K26" s="13">
        <v>5.8021499999999997E-2</v>
      </c>
      <c r="L26" s="13">
        <v>6.6831589999999996E-2</v>
      </c>
      <c r="M26" s="13">
        <v>7.7800709999999995E-2</v>
      </c>
      <c r="N26" s="13">
        <v>7.7515199999999895E-2</v>
      </c>
      <c r="O26" s="13">
        <v>8.014694E-2</v>
      </c>
      <c r="P26" s="13">
        <v>8.6723700000000001E-2</v>
      </c>
      <c r="Q26" s="13">
        <v>9.6023059999999993E-2</v>
      </c>
    </row>
    <row r="27" spans="1:18">
      <c r="A27" s="13" t="s">
        <v>364</v>
      </c>
      <c r="B27" s="13" t="s">
        <v>1</v>
      </c>
      <c r="C27" s="13" t="s">
        <v>32</v>
      </c>
      <c r="D27" s="13" t="s">
        <v>38</v>
      </c>
      <c r="E27" s="13" t="s">
        <v>6</v>
      </c>
      <c r="F27" s="13" t="s">
        <v>38</v>
      </c>
      <c r="G27" s="13">
        <v>6.9363999999999997E-3</v>
      </c>
      <c r="H27" s="13">
        <v>4.4173499999999996E-3</v>
      </c>
      <c r="I27" s="13">
        <v>2.1278400000000002E-3</v>
      </c>
      <c r="J27" s="14">
        <v>7.5047999999999998E-4</v>
      </c>
      <c r="K27" s="14">
        <v>7.7328599999999998E-4</v>
      </c>
      <c r="L27" s="14">
        <v>8.9070199999999897E-4</v>
      </c>
      <c r="M27" s="14">
        <v>1.0368928E-3</v>
      </c>
      <c r="N27" s="13">
        <v>1.0330883999999901E-3</v>
      </c>
      <c r="O27" s="13">
        <v>1.0681629E-3</v>
      </c>
      <c r="P27" s="13">
        <v>1.1558164E-3</v>
      </c>
      <c r="Q27" s="13">
        <v>1.279753E-3</v>
      </c>
    </row>
    <row r="28" spans="1:1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4">
        <f>SUM(Q3:Q27)</f>
        <v>1.1551546751580979</v>
      </c>
    </row>
    <row r="29" spans="1:18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</row>
    <row r="30" spans="1:18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</row>
    <row r="31" spans="1:18">
      <c r="A31" s="13"/>
      <c r="B31" s="13"/>
      <c r="C31" s="13"/>
      <c r="D31" s="13"/>
      <c r="E31" s="13"/>
      <c r="F31" s="13"/>
      <c r="G31" s="13"/>
      <c r="H31" s="13"/>
      <c r="I31" s="13"/>
      <c r="J31" s="14"/>
      <c r="K31" s="14"/>
      <c r="L31" s="14"/>
      <c r="M31" s="13"/>
      <c r="N31" s="13"/>
      <c r="O31" s="13"/>
      <c r="P31" s="13"/>
      <c r="Q31" s="13"/>
    </row>
    <row r="37" spans="1:23">
      <c r="A37" s="1" t="s">
        <v>55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T37" s="1" t="s">
        <v>74</v>
      </c>
    </row>
    <row r="38" spans="1:23">
      <c r="A38" s="13" t="s">
        <v>8</v>
      </c>
      <c r="B38" s="13" t="s">
        <v>9</v>
      </c>
      <c r="C38" s="13"/>
      <c r="D38" s="13"/>
      <c r="E38" s="13"/>
      <c r="F38" s="13" t="s">
        <v>10</v>
      </c>
      <c r="G38" s="7">
        <v>2015</v>
      </c>
      <c r="H38" s="13">
        <v>2020</v>
      </c>
      <c r="I38" s="13">
        <v>2025</v>
      </c>
      <c r="J38" s="13">
        <v>2030</v>
      </c>
      <c r="K38" s="13">
        <v>2035</v>
      </c>
      <c r="L38" s="13">
        <v>2040</v>
      </c>
      <c r="M38" s="13">
        <v>2045</v>
      </c>
      <c r="N38" s="13">
        <v>2050</v>
      </c>
      <c r="O38" s="13"/>
      <c r="P38" s="13"/>
      <c r="Q38" s="13"/>
      <c r="U38">
        <v>2005</v>
      </c>
      <c r="V38">
        <v>2010</v>
      </c>
      <c r="W38">
        <v>2015</v>
      </c>
    </row>
    <row r="39" spans="1:23">
      <c r="A39" s="13" t="s">
        <v>0</v>
      </c>
      <c r="B39" s="13" t="s">
        <v>2</v>
      </c>
      <c r="C39" s="13"/>
      <c r="D39" s="13"/>
      <c r="E39" s="13" t="s">
        <v>2</v>
      </c>
      <c r="F39" s="13" t="s">
        <v>12</v>
      </c>
      <c r="G39" s="8">
        <f>SUMIF($E$3:$E$31,$E39,J$3:J$31)</f>
        <v>0</v>
      </c>
      <c r="H39" s="8">
        <f t="shared" ref="G39:N48" si="0">SUMIF($E$3:$E$31,$E39,K$3:K$31)</f>
        <v>0</v>
      </c>
      <c r="I39" s="8">
        <f t="shared" si="0"/>
        <v>2.1803321000000001E-2</v>
      </c>
      <c r="J39" s="8">
        <f t="shared" si="0"/>
        <v>8.1806090999999997E-2</v>
      </c>
      <c r="K39" s="8">
        <f t="shared" si="0"/>
        <v>0.16078330599999999</v>
      </c>
      <c r="L39" s="8">
        <f t="shared" si="0"/>
        <v>0.23595169849999997</v>
      </c>
      <c r="M39" s="8">
        <f t="shared" si="0"/>
        <v>0.322613926</v>
      </c>
      <c r="N39" s="8">
        <f t="shared" si="0"/>
        <v>0.40417167300000001</v>
      </c>
      <c r="O39" s="13"/>
      <c r="P39" s="13"/>
      <c r="Q39" s="13"/>
      <c r="T39" t="s">
        <v>12</v>
      </c>
      <c r="V39">
        <v>0</v>
      </c>
      <c r="W39">
        <v>0</v>
      </c>
    </row>
    <row r="40" spans="1:23">
      <c r="A40" s="13" t="s">
        <v>0</v>
      </c>
      <c r="B40" s="13" t="s">
        <v>5</v>
      </c>
      <c r="C40" s="13"/>
      <c r="D40" s="13"/>
      <c r="E40" s="13" t="s">
        <v>5</v>
      </c>
      <c r="F40" s="13" t="s">
        <v>17</v>
      </c>
      <c r="G40" s="8">
        <f t="shared" si="0"/>
        <v>0.19544590000000001</v>
      </c>
      <c r="H40" s="8">
        <f t="shared" si="0"/>
        <v>0.2156413999999999</v>
      </c>
      <c r="I40" s="8">
        <f t="shared" si="0"/>
        <v>0.24752032559999998</v>
      </c>
      <c r="J40" s="8">
        <f t="shared" si="0"/>
        <v>0.28619461390000001</v>
      </c>
      <c r="K40" s="8">
        <f t="shared" si="0"/>
        <v>0.32013132769999886</v>
      </c>
      <c r="L40" s="8">
        <f t="shared" si="0"/>
        <v>0.33884387029999996</v>
      </c>
      <c r="M40" s="8">
        <f t="shared" si="0"/>
        <v>0.35200257230000004</v>
      </c>
      <c r="N40" s="8">
        <f t="shared" si="0"/>
        <v>0.35918974619999905</v>
      </c>
      <c r="O40" s="13"/>
      <c r="P40" s="13"/>
      <c r="Q40" s="13"/>
      <c r="T40" t="s">
        <v>17</v>
      </c>
      <c r="V40">
        <v>0.10709373852000001</v>
      </c>
      <c r="W40">
        <v>0.1308375</v>
      </c>
    </row>
    <row r="41" spans="1:23">
      <c r="A41" s="13" t="s">
        <v>0</v>
      </c>
      <c r="B41" s="13" t="s">
        <v>3</v>
      </c>
      <c r="C41" s="13"/>
      <c r="D41" s="13"/>
      <c r="E41" s="13" t="s">
        <v>3</v>
      </c>
      <c r="F41" s="13" t="s">
        <v>13</v>
      </c>
      <c r="G41" s="8">
        <f t="shared" si="0"/>
        <v>0</v>
      </c>
      <c r="H41" s="8">
        <f t="shared" si="0"/>
        <v>0</v>
      </c>
      <c r="I41" s="8">
        <f t="shared" si="0"/>
        <v>0</v>
      </c>
      <c r="J41" s="8">
        <f t="shared" si="0"/>
        <v>0</v>
      </c>
      <c r="K41" s="8">
        <f t="shared" si="0"/>
        <v>0</v>
      </c>
      <c r="L41" s="8">
        <f t="shared" si="0"/>
        <v>0</v>
      </c>
      <c r="M41" s="8">
        <f t="shared" si="0"/>
        <v>0</v>
      </c>
      <c r="N41" s="8">
        <f t="shared" si="0"/>
        <v>0</v>
      </c>
      <c r="O41" s="13"/>
      <c r="P41" s="13"/>
      <c r="Q41" s="13"/>
      <c r="T41" t="s">
        <v>13</v>
      </c>
      <c r="V41">
        <v>0</v>
      </c>
      <c r="W41">
        <v>0</v>
      </c>
    </row>
    <row r="42" spans="1:23" s="13" customFormat="1">
      <c r="F42" s="13" t="s">
        <v>263</v>
      </c>
      <c r="G42" s="8">
        <f>J14+J25</f>
        <v>0</v>
      </c>
      <c r="H42" s="8">
        <f t="shared" ref="H42:N42" si="1">K14+K25</f>
        <v>0</v>
      </c>
      <c r="I42" s="8">
        <f t="shared" si="1"/>
        <v>1.2234233290000002E-3</v>
      </c>
      <c r="J42" s="8">
        <f t="shared" si="1"/>
        <v>5.9718393619999999E-3</v>
      </c>
      <c r="K42" s="8">
        <f t="shared" si="1"/>
        <v>1.7807016209999998E-2</v>
      </c>
      <c r="L42" s="8">
        <f t="shared" si="1"/>
        <v>3.2112894481199999E-2</v>
      </c>
      <c r="M42" s="8">
        <f t="shared" si="1"/>
        <v>5.0475618738000001E-2</v>
      </c>
      <c r="N42" s="8">
        <f t="shared" si="1"/>
        <v>6.6789533370000001E-2</v>
      </c>
    </row>
    <row r="43" spans="1:23">
      <c r="A43" s="13" t="s">
        <v>0</v>
      </c>
      <c r="B43" s="13" t="s">
        <v>7</v>
      </c>
      <c r="C43" s="13"/>
      <c r="D43" s="13"/>
      <c r="E43" s="13" t="s">
        <v>7</v>
      </c>
      <c r="F43" s="13" t="s">
        <v>15</v>
      </c>
      <c r="G43" s="8">
        <f>SUMIF($E$3:$E$31,$E43,J$3:J$31)-G42</f>
        <v>6.3962699999999997E-2</v>
      </c>
      <c r="H43" s="8">
        <f t="shared" ref="H43:N43" si="2">SUMIF($E$3:$E$31,$E43,K$3:K$31)-H42</f>
        <v>7.4281705699999992E-2</v>
      </c>
      <c r="I43" s="8">
        <f t="shared" si="2"/>
        <v>9.9438216179999997E-2</v>
      </c>
      <c r="J43" s="8">
        <f t="shared" si="2"/>
        <v>0.13143169775499999</v>
      </c>
      <c r="K43" s="8">
        <f t="shared" si="2"/>
        <v>0.16481887665199899</v>
      </c>
      <c r="L43" s="8">
        <f t="shared" si="2"/>
        <v>0.16321373553600002</v>
      </c>
      <c r="M43" s="8">
        <f t="shared" si="2"/>
        <v>0.134271499914</v>
      </c>
      <c r="N43" s="8">
        <f t="shared" si="2"/>
        <v>9.4066004838999892E-2</v>
      </c>
      <c r="O43" s="13"/>
      <c r="P43" s="13"/>
      <c r="Q43" s="13"/>
      <c r="T43" t="s">
        <v>15</v>
      </c>
      <c r="V43">
        <v>8.6740447679999999E-2</v>
      </c>
      <c r="W43">
        <v>9.1896073199999997E-2</v>
      </c>
    </row>
    <row r="44" spans="1:23" s="13" customFormat="1">
      <c r="F44" s="13" t="s">
        <v>262</v>
      </c>
      <c r="G44" s="8">
        <f>J5+J18</f>
        <v>0</v>
      </c>
      <c r="H44" s="8">
        <f t="shared" ref="H44:N44" si="3">K5+K18</f>
        <v>0</v>
      </c>
      <c r="I44" s="8">
        <f t="shared" si="3"/>
        <v>1.7179070000000001E-3</v>
      </c>
      <c r="J44" s="8">
        <f t="shared" si="3"/>
        <v>1.3808709000000001E-2</v>
      </c>
      <c r="K44" s="8">
        <f t="shared" si="3"/>
        <v>4.9345306999999998E-2</v>
      </c>
      <c r="L44" s="8">
        <f t="shared" si="3"/>
        <v>9.4283108699999993E-2</v>
      </c>
      <c r="M44" s="8">
        <f t="shared" si="3"/>
        <v>0.13894462199999999</v>
      </c>
      <c r="N44" s="8">
        <f t="shared" si="3"/>
        <v>0.13747124599999899</v>
      </c>
    </row>
    <row r="45" spans="1:23">
      <c r="A45" s="13" t="s">
        <v>0</v>
      </c>
      <c r="B45" s="13" t="s">
        <v>4</v>
      </c>
      <c r="C45" s="13"/>
      <c r="D45" s="13"/>
      <c r="E45" s="13" t="s">
        <v>4</v>
      </c>
      <c r="F45" s="13" t="s">
        <v>14</v>
      </c>
      <c r="G45" s="8">
        <f>SUMIF($E$3:$E$31,$E45,J$3:J$31)-G44</f>
        <v>0.85360729999999996</v>
      </c>
      <c r="H45" s="8">
        <f t="shared" ref="H45:N45" si="4">SUMIF($E$3:$E$31,$E45,K$3:K$31)-H44</f>
        <v>0.95530556999999994</v>
      </c>
      <c r="I45" s="8">
        <f t="shared" si="4"/>
        <v>0.93347985</v>
      </c>
      <c r="J45" s="8">
        <f t="shared" si="4"/>
        <v>0.77385283999999999</v>
      </c>
      <c r="K45" s="8">
        <f t="shared" si="4"/>
        <v>0.54813415700000001</v>
      </c>
      <c r="L45" s="8">
        <f t="shared" si="4"/>
        <v>0.36352648600000004</v>
      </c>
      <c r="M45" s="8">
        <f t="shared" si="4"/>
        <v>0.19388435000000001</v>
      </c>
      <c r="N45" s="8">
        <f t="shared" si="4"/>
        <v>8.3653990000000011E-2</v>
      </c>
      <c r="O45" s="13"/>
      <c r="P45" s="13"/>
      <c r="Q45" s="13"/>
      <c r="T45" t="s">
        <v>14</v>
      </c>
      <c r="V45">
        <v>3.7206416880000003E-2</v>
      </c>
      <c r="W45">
        <v>2.5623216000000001E-2</v>
      </c>
    </row>
    <row r="46" spans="1:23">
      <c r="A46" s="13" t="s">
        <v>26</v>
      </c>
      <c r="B46" s="13"/>
      <c r="C46" s="13"/>
      <c r="D46" s="13"/>
      <c r="E46" s="13"/>
      <c r="F46" s="13" t="s">
        <v>30</v>
      </c>
      <c r="G46" s="8">
        <f>SUMIF($E$3:$E$31,$E46,J$3:J$31)</f>
        <v>0</v>
      </c>
      <c r="H46" s="8">
        <f t="shared" si="0"/>
        <v>0</v>
      </c>
      <c r="I46" s="8">
        <f t="shared" si="0"/>
        <v>0</v>
      </c>
      <c r="J46" s="8">
        <f t="shared" si="0"/>
        <v>0</v>
      </c>
      <c r="K46" s="8">
        <f t="shared" si="0"/>
        <v>0</v>
      </c>
      <c r="L46" s="8">
        <f t="shared" si="0"/>
        <v>0</v>
      </c>
      <c r="M46" s="8">
        <f t="shared" si="0"/>
        <v>0</v>
      </c>
      <c r="N46" s="8">
        <f t="shared" si="0"/>
        <v>0</v>
      </c>
      <c r="O46" s="13"/>
      <c r="P46" s="13"/>
      <c r="Q46" s="13"/>
      <c r="T46" t="s">
        <v>30</v>
      </c>
      <c r="V46">
        <v>0.68788077300000006</v>
      </c>
      <c r="W46">
        <v>0.98157851280000008</v>
      </c>
    </row>
    <row r="47" spans="1:23">
      <c r="A47" s="13" t="s">
        <v>27</v>
      </c>
      <c r="B47" s="13" t="s">
        <v>6</v>
      </c>
      <c r="C47" s="13"/>
      <c r="D47" s="13"/>
      <c r="E47" s="13" t="s">
        <v>6</v>
      </c>
      <c r="F47" s="13" t="s">
        <v>305</v>
      </c>
      <c r="G47" s="8">
        <f>SUMIF($E$3:$E$31,$E47,J$3:J$31)</f>
        <v>4.18857E-3</v>
      </c>
      <c r="H47" s="8">
        <f t="shared" si="0"/>
        <v>4.7637663999999993E-3</v>
      </c>
      <c r="I47" s="8">
        <f t="shared" si="0"/>
        <v>6.2766001674999889E-3</v>
      </c>
      <c r="J47" s="8">
        <f t="shared" si="0"/>
        <v>8.3613009977000011E-3</v>
      </c>
      <c r="K47" s="8">
        <f t="shared" si="0"/>
        <v>1.0745236343699989E-2</v>
      </c>
      <c r="L47" s="8">
        <f t="shared" si="0"/>
        <v>1.144842214579999E-2</v>
      </c>
      <c r="M47" s="8">
        <f t="shared" si="0"/>
        <v>1.0965914187999991E-2</v>
      </c>
      <c r="N47" s="8">
        <f t="shared" si="0"/>
        <v>9.8124817490999987E-3</v>
      </c>
      <c r="O47" s="13"/>
      <c r="P47" s="13"/>
      <c r="Q47" s="13"/>
      <c r="T47" t="s">
        <v>16</v>
      </c>
      <c r="V47">
        <v>8.2701860400000004E-3</v>
      </c>
      <c r="W47">
        <v>1.6579728E-3</v>
      </c>
    </row>
    <row r="48" spans="1:23">
      <c r="A48" s="13" t="s">
        <v>28</v>
      </c>
      <c r="B48" s="13"/>
      <c r="C48" s="13"/>
      <c r="D48" s="13"/>
      <c r="E48" s="13"/>
      <c r="F48" s="13" t="s">
        <v>31</v>
      </c>
      <c r="G48" s="8">
        <f>SUMIF($E$3:$E$31,$E48,J$3:J$31)</f>
        <v>0</v>
      </c>
      <c r="H48" s="8">
        <f t="shared" si="0"/>
        <v>0</v>
      </c>
      <c r="I48" s="8">
        <f t="shared" si="0"/>
        <v>0</v>
      </c>
      <c r="J48" s="8">
        <f t="shared" si="0"/>
        <v>0</v>
      </c>
      <c r="K48" s="8">
        <f t="shared" si="0"/>
        <v>0</v>
      </c>
      <c r="L48" s="8">
        <f t="shared" si="0"/>
        <v>0</v>
      </c>
      <c r="M48" s="8">
        <f t="shared" si="0"/>
        <v>0</v>
      </c>
      <c r="N48" s="8">
        <f t="shared" si="0"/>
        <v>0</v>
      </c>
      <c r="O48" s="13"/>
      <c r="P48" s="13"/>
      <c r="Q48" s="13"/>
      <c r="T48" t="s">
        <v>31</v>
      </c>
      <c r="V48">
        <v>4.6599084000000006E-4</v>
      </c>
      <c r="W48">
        <v>4.8985559999999997E-4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SUM(G39:G48)</f>
        <v>1.1172044699999999</v>
      </c>
      <c r="H49" s="13">
        <f t="shared" si="5"/>
        <v>1.2499924420999999</v>
      </c>
      <c r="I49" s="13">
        <f t="shared" si="5"/>
        <v>1.3114596432765</v>
      </c>
      <c r="J49" s="13">
        <f t="shared" si="5"/>
        <v>1.3014270920147</v>
      </c>
      <c r="K49" s="13">
        <f t="shared" si="5"/>
        <v>1.2717652269056978</v>
      </c>
      <c r="L49" s="13">
        <f t="shared" si="5"/>
        <v>1.2393802156630001</v>
      </c>
      <c r="M49" s="13">
        <f t="shared" si="5"/>
        <v>1.2031585031400001</v>
      </c>
      <c r="N49" s="13">
        <f t="shared" si="5"/>
        <v>1.1551546751580981</v>
      </c>
      <c r="O49" s="13"/>
      <c r="P49" s="13"/>
      <c r="Q49" s="13"/>
    </row>
    <row r="50" spans="1:2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T50" t="s">
        <v>75</v>
      </c>
    </row>
    <row r="57" spans="1:20">
      <c r="A57" s="1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</row>
    <row r="67" spans="1:3">
      <c r="A67" s="3"/>
      <c r="B67" s="3"/>
      <c r="C67" s="3"/>
    </row>
  </sheetData>
  <mergeCells count="1">
    <mergeCell ref="A49:F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1CABF-DEF6-4EFA-88F8-9D51150E08BF}">
  <sheetPr codeName="Sheet23"/>
  <dimension ref="A1:W53"/>
  <sheetViews>
    <sheetView zoomScale="55" zoomScaleNormal="55" workbookViewId="0">
      <selection activeCell="A3" sqref="A3:Q12"/>
    </sheetView>
  </sheetViews>
  <sheetFormatPr defaultRowHeight="17.399999999999999"/>
  <cols>
    <col min="4" max="4" width="14.19921875" bestFit="1" customWidth="1"/>
    <col min="5" max="5" width="23.59765625" bestFit="1" customWidth="1"/>
    <col min="6" max="6" width="24.5" bestFit="1" customWidth="1"/>
  </cols>
  <sheetData>
    <row r="1" spans="1:18">
      <c r="A1" s="1" t="s">
        <v>54</v>
      </c>
    </row>
    <row r="2" spans="1:18">
      <c r="A2" t="s">
        <v>8</v>
      </c>
      <c r="B2" t="s">
        <v>9</v>
      </c>
      <c r="C2" t="s">
        <v>39</v>
      </c>
      <c r="D2" t="s">
        <v>40</v>
      </c>
      <c r="E2" t="s">
        <v>10</v>
      </c>
      <c r="F2" t="s">
        <v>42</v>
      </c>
      <c r="G2">
        <v>1990</v>
      </c>
      <c r="H2">
        <v>2005</v>
      </c>
      <c r="I2">
        <v>2010</v>
      </c>
      <c r="J2">
        <v>2015</v>
      </c>
      <c r="K2">
        <v>2020</v>
      </c>
      <c r="L2">
        <v>2025</v>
      </c>
      <c r="M2">
        <v>2030</v>
      </c>
      <c r="N2">
        <v>2035</v>
      </c>
      <c r="O2">
        <v>2040</v>
      </c>
      <c r="P2">
        <v>2045</v>
      </c>
      <c r="Q2">
        <v>2050</v>
      </c>
      <c r="R2" s="11" t="s">
        <v>76</v>
      </c>
    </row>
    <row r="3" spans="1:18">
      <c r="A3" t="s">
        <v>405</v>
      </c>
      <c r="B3" t="s">
        <v>1</v>
      </c>
      <c r="C3" t="s">
        <v>32</v>
      </c>
      <c r="D3" t="s">
        <v>33</v>
      </c>
      <c r="E3" t="s">
        <v>4</v>
      </c>
      <c r="F3" t="s">
        <v>33</v>
      </c>
      <c r="G3">
        <v>0.230465</v>
      </c>
      <c r="H3">
        <v>0</v>
      </c>
      <c r="I3">
        <v>0</v>
      </c>
      <c r="J3">
        <v>0.82835599999999998</v>
      </c>
      <c r="K3" s="2">
        <v>0.92529499999999998</v>
      </c>
      <c r="L3" s="2">
        <v>0.99471500000000002</v>
      </c>
      <c r="M3">
        <v>1.010964</v>
      </c>
      <c r="N3">
        <v>0.9855315</v>
      </c>
      <c r="O3">
        <v>0.92200039999999905</v>
      </c>
      <c r="P3">
        <v>0.79741689999999998</v>
      </c>
      <c r="Q3">
        <v>0.59476039999999997</v>
      </c>
      <c r="R3" s="11" t="s">
        <v>78</v>
      </c>
    </row>
    <row r="4" spans="1:18">
      <c r="A4" t="s">
        <v>405</v>
      </c>
      <c r="B4" t="s">
        <v>1</v>
      </c>
      <c r="C4" t="s">
        <v>32</v>
      </c>
      <c r="D4" t="s">
        <v>33</v>
      </c>
      <c r="E4" t="s">
        <v>5</v>
      </c>
      <c r="F4" t="s">
        <v>33</v>
      </c>
      <c r="G4">
        <v>1.2258E-2</v>
      </c>
      <c r="H4">
        <v>5.09463E-2</v>
      </c>
      <c r="I4">
        <v>6.1189E-2</v>
      </c>
      <c r="J4">
        <v>9.1281799999999996E-2</v>
      </c>
      <c r="K4" s="2">
        <v>0.1019642</v>
      </c>
      <c r="L4">
        <v>0.109614</v>
      </c>
      <c r="M4">
        <v>0.1114047</v>
      </c>
      <c r="N4">
        <v>0.10860209</v>
      </c>
      <c r="O4">
        <v>0.10160105</v>
      </c>
      <c r="P4">
        <v>8.7872539999999999E-2</v>
      </c>
      <c r="Q4">
        <v>6.5540580000000001E-2</v>
      </c>
      <c r="R4" s="11" t="s">
        <v>78</v>
      </c>
    </row>
    <row r="5" spans="1:18">
      <c r="A5" t="s">
        <v>405</v>
      </c>
      <c r="B5" t="s">
        <v>1</v>
      </c>
      <c r="C5" t="s">
        <v>32</v>
      </c>
      <c r="D5" t="s">
        <v>33</v>
      </c>
      <c r="E5" t="s">
        <v>6</v>
      </c>
      <c r="F5" t="s">
        <v>33</v>
      </c>
      <c r="G5" s="14">
        <v>3.2850000000000002E-4</v>
      </c>
      <c r="H5" s="14">
        <v>2.0024999999999999E-4</v>
      </c>
      <c r="I5" s="14">
        <v>1.0230000000000001E-4</v>
      </c>
      <c r="J5" s="14">
        <v>6.3050000000000001E-5</v>
      </c>
      <c r="K5" s="14">
        <v>7.0428500000000005E-5</v>
      </c>
      <c r="L5" s="14">
        <v>7.5712300000000004E-5</v>
      </c>
      <c r="M5" s="14">
        <v>7.6949149999999995E-5</v>
      </c>
      <c r="N5" s="14">
        <v>7.5013399999999996E-5</v>
      </c>
      <c r="O5" s="14">
        <v>7.0177760000000001E-5</v>
      </c>
      <c r="P5" s="14">
        <v>6.0695139999999997E-5</v>
      </c>
      <c r="Q5" s="14">
        <v>4.52700399999999E-5</v>
      </c>
      <c r="R5" s="11" t="s">
        <v>78</v>
      </c>
    </row>
    <row r="6" spans="1:18">
      <c r="A6" t="s">
        <v>405</v>
      </c>
      <c r="B6" t="s">
        <v>1</v>
      </c>
      <c r="C6" t="s">
        <v>32</v>
      </c>
      <c r="D6" t="s">
        <v>33</v>
      </c>
      <c r="E6" t="s">
        <v>7</v>
      </c>
      <c r="F6" t="s">
        <v>33</v>
      </c>
      <c r="G6">
        <v>0</v>
      </c>
      <c r="H6" s="14">
        <v>6.6749999999999996E-5</v>
      </c>
      <c r="I6" s="14">
        <v>1.2957999999999999E-4</v>
      </c>
      <c r="J6" s="14">
        <v>2.0369999999999999E-4</v>
      </c>
      <c r="K6" s="2">
        <v>2.275383E-4</v>
      </c>
      <c r="L6" s="14">
        <v>2.4460919999999998E-4</v>
      </c>
      <c r="M6" s="14">
        <v>2.4860509999999998E-4</v>
      </c>
      <c r="N6" s="14">
        <v>2.4235099999999899E-4</v>
      </c>
      <c r="O6" s="14">
        <v>2.2672790000000001E-4</v>
      </c>
      <c r="P6" s="14">
        <v>1.960919E-4</v>
      </c>
      <c r="Q6" s="14">
        <v>1.4625700000000001E-4</v>
      </c>
      <c r="R6" s="11" t="s">
        <v>78</v>
      </c>
    </row>
    <row r="7" spans="1:18">
      <c r="A7" t="s">
        <v>405</v>
      </c>
      <c r="B7" t="s">
        <v>1</v>
      </c>
      <c r="C7" t="s">
        <v>32</v>
      </c>
      <c r="D7" t="s">
        <v>36</v>
      </c>
      <c r="E7" t="s">
        <v>4</v>
      </c>
      <c r="F7" t="s">
        <v>36</v>
      </c>
      <c r="G7">
        <v>1.2028799999999999E-2</v>
      </c>
      <c r="H7">
        <v>0</v>
      </c>
      <c r="I7">
        <v>0</v>
      </c>
      <c r="J7">
        <v>2.5251300000000001E-2</v>
      </c>
      <c r="K7">
        <v>2.9401409999999999E-2</v>
      </c>
      <c r="L7" s="14">
        <v>3.568926E-2</v>
      </c>
      <c r="M7" s="14">
        <v>4.4424619999999998E-2</v>
      </c>
      <c r="N7" s="14">
        <v>5.4896390000000003E-2</v>
      </c>
      <c r="O7">
        <v>6.3822500000000004E-2</v>
      </c>
      <c r="P7">
        <v>7.7186740000000004E-2</v>
      </c>
      <c r="Q7">
        <v>9.6941339999999904E-2</v>
      </c>
      <c r="R7" s="11" t="s">
        <v>78</v>
      </c>
    </row>
    <row r="8" spans="1:18">
      <c r="A8" t="s">
        <v>405</v>
      </c>
      <c r="B8" t="s">
        <v>1</v>
      </c>
      <c r="C8" t="s">
        <v>32</v>
      </c>
      <c r="D8" t="s">
        <v>36</v>
      </c>
      <c r="E8" t="s">
        <v>5</v>
      </c>
      <c r="F8" t="s">
        <v>36</v>
      </c>
      <c r="G8" s="14">
        <v>1.1003300000000001E-2</v>
      </c>
      <c r="H8" s="14">
        <v>4.8056399999999999E-2</v>
      </c>
      <c r="I8" s="14">
        <v>5.3370800000000003E-2</v>
      </c>
      <c r="J8" s="14">
        <v>4.7853699999999999E-2</v>
      </c>
      <c r="K8" s="2">
        <v>5.5718400000000001E-2</v>
      </c>
      <c r="L8" s="2">
        <v>6.7634600000000003E-2</v>
      </c>
      <c r="M8" s="2">
        <v>8.4189070000000005E-2</v>
      </c>
      <c r="N8" s="2">
        <v>0.10403405</v>
      </c>
      <c r="O8" s="2">
        <v>0.12095002000000001</v>
      </c>
      <c r="P8" s="2">
        <v>0.14627638000000001</v>
      </c>
      <c r="Q8" s="2">
        <v>0.18371334</v>
      </c>
      <c r="R8" s="11" t="s">
        <v>78</v>
      </c>
    </row>
    <row r="9" spans="1:18">
      <c r="A9" t="s">
        <v>405</v>
      </c>
      <c r="B9" t="s">
        <v>1</v>
      </c>
      <c r="C9" t="s">
        <v>32</v>
      </c>
      <c r="D9" t="s">
        <v>36</v>
      </c>
      <c r="E9" t="s">
        <v>6</v>
      </c>
      <c r="F9" t="s">
        <v>36</v>
      </c>
      <c r="G9">
        <v>3.1203700000000001E-2</v>
      </c>
      <c r="H9">
        <v>1.9871300000000001E-2</v>
      </c>
      <c r="I9">
        <v>9.5727999999999994E-3</v>
      </c>
      <c r="J9">
        <v>3.3750400000000002E-3</v>
      </c>
      <c r="K9" s="2">
        <v>3.9297300000000002E-3</v>
      </c>
      <c r="L9" s="2">
        <v>4.7701530000000001E-3</v>
      </c>
      <c r="M9" s="2">
        <v>5.9376999999999997E-3</v>
      </c>
      <c r="N9" s="2">
        <v>7.3373450000000003E-3</v>
      </c>
      <c r="O9" s="2">
        <v>8.5303840000000002E-3</v>
      </c>
      <c r="P9" s="2">
        <v>1.0316624E-2</v>
      </c>
      <c r="Q9" s="2">
        <v>1.2956990999999999E-2</v>
      </c>
      <c r="R9" s="11" t="s">
        <v>78</v>
      </c>
    </row>
    <row r="10" spans="1:18">
      <c r="A10" t="s">
        <v>405</v>
      </c>
      <c r="B10" t="s">
        <v>1</v>
      </c>
      <c r="C10" t="s">
        <v>32</v>
      </c>
      <c r="D10" t="s">
        <v>36</v>
      </c>
      <c r="E10" t="s">
        <v>7</v>
      </c>
      <c r="F10" t="s">
        <v>36</v>
      </c>
      <c r="G10" s="2">
        <v>0</v>
      </c>
      <c r="H10" s="2">
        <v>3.8401699999999997E-2</v>
      </c>
      <c r="I10" s="2">
        <v>6.6848400000000002E-2</v>
      </c>
      <c r="J10" s="2">
        <v>6.3758999999999996E-2</v>
      </c>
      <c r="K10" s="2">
        <v>7.4237799999999896E-2</v>
      </c>
      <c r="L10" s="2">
        <v>9.0114499999999903E-2</v>
      </c>
      <c r="M10" s="2">
        <v>0.1121712</v>
      </c>
      <c r="N10" s="2">
        <v>0.13861229</v>
      </c>
      <c r="O10" s="2">
        <v>0.16115051999999999</v>
      </c>
      <c r="P10" s="2">
        <v>0.19489480000000001</v>
      </c>
      <c r="Q10" s="2">
        <v>0.2447744</v>
      </c>
      <c r="R10" s="11" t="s">
        <v>78</v>
      </c>
    </row>
    <row r="11" spans="1:18">
      <c r="A11" t="s">
        <v>405</v>
      </c>
      <c r="B11" t="s">
        <v>1</v>
      </c>
      <c r="C11" t="s">
        <v>32</v>
      </c>
      <c r="D11" t="s">
        <v>38</v>
      </c>
      <c r="E11" t="s">
        <v>5</v>
      </c>
      <c r="F11" t="s">
        <v>38</v>
      </c>
      <c r="G11">
        <v>1.29474E-2</v>
      </c>
      <c r="H11">
        <v>5.6549799999999997E-2</v>
      </c>
      <c r="I11">
        <v>6.2802300000000005E-2</v>
      </c>
      <c r="J11">
        <v>5.6310399999999997E-2</v>
      </c>
      <c r="K11" s="2">
        <v>5.8071299999999999E-2</v>
      </c>
      <c r="L11" s="2">
        <v>5.311109E-2</v>
      </c>
      <c r="M11" s="2">
        <v>4.3722379999999998E-2</v>
      </c>
      <c r="N11" s="2">
        <v>3.2316150000000002E-2</v>
      </c>
      <c r="O11" s="2">
        <v>2.8738079999999999E-2</v>
      </c>
      <c r="P11" s="2">
        <v>2.945683E-2</v>
      </c>
      <c r="Q11" s="2">
        <v>3.5122089999999898E-2</v>
      </c>
      <c r="R11" s="11" t="s">
        <v>78</v>
      </c>
    </row>
    <row r="12" spans="1:18">
      <c r="A12" t="s">
        <v>405</v>
      </c>
      <c r="B12" t="s">
        <v>1</v>
      </c>
      <c r="C12" t="s">
        <v>32</v>
      </c>
      <c r="D12" t="s">
        <v>38</v>
      </c>
      <c r="E12" t="s">
        <v>6</v>
      </c>
      <c r="F12" t="s">
        <v>38</v>
      </c>
      <c r="G12">
        <v>6.9363999999999997E-3</v>
      </c>
      <c r="H12">
        <v>4.4173499999999996E-3</v>
      </c>
      <c r="I12">
        <v>2.1278400000000002E-3</v>
      </c>
      <c r="J12" s="14">
        <v>7.5047999999999998E-4</v>
      </c>
      <c r="K12" s="2">
        <v>7.73948E-4</v>
      </c>
      <c r="L12" s="2">
        <v>7.0784199999999998E-4</v>
      </c>
      <c r="M12" s="2">
        <v>5.8271289999999997E-4</v>
      </c>
      <c r="N12" s="2">
        <v>4.3069499999999998E-4</v>
      </c>
      <c r="O12" s="2">
        <v>3.8300769999999898E-4</v>
      </c>
      <c r="P12" s="2">
        <v>3.9258709999999999E-4</v>
      </c>
      <c r="Q12" s="2">
        <v>4.6809230000000002E-4</v>
      </c>
      <c r="R12" s="11" t="s">
        <v>78</v>
      </c>
    </row>
    <row r="13" spans="1:18">
      <c r="H13" s="2"/>
      <c r="I13" s="2"/>
      <c r="J13" s="2"/>
      <c r="K13" s="2"/>
      <c r="L13" s="2"/>
      <c r="M13" s="2"/>
      <c r="N13" s="2"/>
      <c r="O13" s="2"/>
      <c r="P13" s="2"/>
      <c r="Q13" s="2"/>
      <c r="R13" s="11"/>
    </row>
    <row r="14" spans="1:18">
      <c r="K14" s="2"/>
      <c r="L14" s="2"/>
      <c r="M14" s="2"/>
      <c r="N14" s="2"/>
      <c r="O14" s="2"/>
      <c r="P14" s="2"/>
      <c r="Q14" s="2"/>
      <c r="R14" s="11"/>
    </row>
    <row r="15" spans="1:18">
      <c r="K15" s="2"/>
      <c r="L15" s="2"/>
      <c r="M15" s="2"/>
      <c r="N15" s="2"/>
      <c r="O15" s="2"/>
      <c r="P15" s="2"/>
      <c r="Q15" s="2"/>
      <c r="R15" s="11"/>
    </row>
    <row r="16" spans="1:18">
      <c r="R16" s="11"/>
    </row>
    <row r="17" spans="1:23">
      <c r="R17" s="11"/>
    </row>
    <row r="18" spans="1:23">
      <c r="R18" s="11"/>
    </row>
    <row r="19" spans="1:23">
      <c r="J19" s="14"/>
      <c r="K19" s="14"/>
      <c r="L19" s="14"/>
      <c r="M19" s="14"/>
      <c r="N19" s="14"/>
      <c r="O19" s="14"/>
      <c r="P19" s="14"/>
      <c r="R19" s="11"/>
    </row>
    <row r="20" spans="1:23">
      <c r="R20" s="11"/>
    </row>
    <row r="21" spans="1:23">
      <c r="R21" s="11"/>
    </row>
    <row r="22" spans="1:23">
      <c r="R22" s="11"/>
    </row>
    <row r="23" spans="1:23">
      <c r="J23" s="2"/>
      <c r="K23" s="2"/>
      <c r="L23" s="2"/>
      <c r="M23" s="2"/>
      <c r="R23" s="11"/>
    </row>
    <row r="25" spans="1:23">
      <c r="A25" s="1" t="s">
        <v>55</v>
      </c>
      <c r="T25" s="1" t="s">
        <v>74</v>
      </c>
    </row>
    <row r="26" spans="1:23">
      <c r="A26" t="s">
        <v>8</v>
      </c>
      <c r="B26" t="s">
        <v>9</v>
      </c>
      <c r="F26" t="s">
        <v>10</v>
      </c>
      <c r="G26" s="7">
        <v>2015</v>
      </c>
      <c r="H26">
        <v>2020</v>
      </c>
      <c r="I26">
        <v>2025</v>
      </c>
      <c r="J26">
        <v>2030</v>
      </c>
      <c r="K26">
        <v>2035</v>
      </c>
      <c r="L26">
        <v>2040</v>
      </c>
      <c r="M26">
        <v>2045</v>
      </c>
      <c r="N26">
        <v>2050</v>
      </c>
      <c r="U26">
        <v>2005</v>
      </c>
      <c r="V26">
        <v>2010</v>
      </c>
      <c r="W26">
        <v>2015</v>
      </c>
    </row>
    <row r="27" spans="1:23">
      <c r="A27" t="s">
        <v>0</v>
      </c>
      <c r="B27" t="s">
        <v>2</v>
      </c>
      <c r="E27" t="s">
        <v>37</v>
      </c>
      <c r="F27" t="s">
        <v>44</v>
      </c>
      <c r="G27" s="8">
        <f t="shared" ref="G27:G35" si="0">SUMIF($F$3:$F$23,$E27,J$3:J$23)</f>
        <v>0</v>
      </c>
      <c r="H27" s="8">
        <f t="shared" ref="H27:H35" si="1">SUMIF($F$3:$F$23,$E27,K$3:K$23)</f>
        <v>0</v>
      </c>
      <c r="I27" s="8">
        <f t="shared" ref="I27:I35" si="2">SUMIF($F$3:$F$23,$E27,L$3:L$23)</f>
        <v>0</v>
      </c>
      <c r="J27" s="8">
        <f t="shared" ref="J27:J35" si="3">SUMIF($F$3:$F$23,$E27,M$3:M$23)</f>
        <v>0</v>
      </c>
      <c r="K27" s="8">
        <f t="shared" ref="K27:K35" si="4">SUMIF($F$3:$F$23,$E27,N$3:N$23)</f>
        <v>0</v>
      </c>
      <c r="L27" s="8">
        <f t="shared" ref="L27:L35" si="5">SUMIF($F$3:$F$23,$E27,O$3:O$23)</f>
        <v>0</v>
      </c>
      <c r="M27" s="8">
        <f t="shared" ref="M27:M35" si="6">SUMIF($F$3:$F$23,$E27,P$3:P$23)</f>
        <v>0</v>
      </c>
      <c r="N27" s="8">
        <f t="shared" ref="N27:N35" si="7">SUMIF($F$3:$F$23,$E27,Q$3:Q$23)</f>
        <v>0</v>
      </c>
      <c r="T27" t="s">
        <v>12</v>
      </c>
      <c r="V27">
        <v>0</v>
      </c>
      <c r="W27">
        <v>0</v>
      </c>
    </row>
    <row r="28" spans="1:23">
      <c r="A28" t="s">
        <v>0</v>
      </c>
      <c r="B28" t="s">
        <v>5</v>
      </c>
      <c r="F28" t="s">
        <v>45</v>
      </c>
      <c r="G28" s="8">
        <f t="shared" si="0"/>
        <v>0</v>
      </c>
      <c r="H28" s="8">
        <f t="shared" si="1"/>
        <v>0</v>
      </c>
      <c r="I28" s="8">
        <f t="shared" si="2"/>
        <v>0</v>
      </c>
      <c r="J28" s="8">
        <f t="shared" si="3"/>
        <v>0</v>
      </c>
      <c r="K28" s="8">
        <f t="shared" si="4"/>
        <v>0</v>
      </c>
      <c r="L28" s="8">
        <f t="shared" si="5"/>
        <v>0</v>
      </c>
      <c r="M28" s="8">
        <f t="shared" si="6"/>
        <v>0</v>
      </c>
      <c r="N28" s="8">
        <f t="shared" si="7"/>
        <v>0</v>
      </c>
      <c r="T28" t="s">
        <v>17</v>
      </c>
      <c r="V28">
        <v>0.10709373852000001</v>
      </c>
      <c r="W28">
        <v>0.1308375</v>
      </c>
    </row>
    <row r="29" spans="1:23">
      <c r="A29" t="s">
        <v>0</v>
      </c>
      <c r="B29" t="s">
        <v>3</v>
      </c>
      <c r="E29" t="s">
        <v>38</v>
      </c>
      <c r="F29" t="s">
        <v>48</v>
      </c>
      <c r="G29" s="8">
        <f>SUMIF($F$3:$F$23,$E29,J$3:J$23)</f>
        <v>5.7060879999999994E-2</v>
      </c>
      <c r="H29" s="8">
        <f t="shared" si="1"/>
        <v>5.8845248000000003E-2</v>
      </c>
      <c r="I29" s="8">
        <f t="shared" si="2"/>
        <v>5.3818932E-2</v>
      </c>
      <c r="J29" s="8">
        <f t="shared" si="3"/>
        <v>4.4305092899999995E-2</v>
      </c>
      <c r="K29" s="8">
        <f t="shared" si="4"/>
        <v>3.2746845000000004E-2</v>
      </c>
      <c r="L29" s="8">
        <f t="shared" si="5"/>
        <v>2.9121087699999999E-2</v>
      </c>
      <c r="M29" s="8">
        <f t="shared" si="6"/>
        <v>2.9849417100000001E-2</v>
      </c>
      <c r="N29" s="8">
        <f t="shared" si="7"/>
        <v>3.5590182299999898E-2</v>
      </c>
      <c r="T29" t="s">
        <v>13</v>
      </c>
      <c r="V29">
        <v>0</v>
      </c>
      <c r="W29">
        <v>0</v>
      </c>
    </row>
    <row r="30" spans="1:23">
      <c r="A30" t="s">
        <v>0</v>
      </c>
      <c r="B30" t="s">
        <v>7</v>
      </c>
      <c r="F30" t="s">
        <v>46</v>
      </c>
      <c r="G30" s="8">
        <f t="shared" si="0"/>
        <v>0</v>
      </c>
      <c r="H30" s="8">
        <f t="shared" si="1"/>
        <v>0</v>
      </c>
      <c r="I30" s="8">
        <f t="shared" si="2"/>
        <v>0</v>
      </c>
      <c r="J30" s="8">
        <f t="shared" si="3"/>
        <v>0</v>
      </c>
      <c r="K30" s="8">
        <f t="shared" si="4"/>
        <v>0</v>
      </c>
      <c r="L30" s="8">
        <f t="shared" si="5"/>
        <v>0</v>
      </c>
      <c r="M30" s="8">
        <f t="shared" si="6"/>
        <v>0</v>
      </c>
      <c r="N30" s="8">
        <f t="shared" si="7"/>
        <v>0</v>
      </c>
      <c r="T30" t="s">
        <v>15</v>
      </c>
      <c r="V30">
        <v>8.6740447679999999E-2</v>
      </c>
      <c r="W30">
        <v>9.1896073199999997E-2</v>
      </c>
    </row>
    <row r="31" spans="1:23">
      <c r="A31" t="s">
        <v>0</v>
      </c>
      <c r="B31" t="s">
        <v>4</v>
      </c>
      <c r="E31" t="s">
        <v>36</v>
      </c>
      <c r="F31" t="s">
        <v>47</v>
      </c>
      <c r="G31" s="8">
        <f>SUMIF($F$3:$F$23,$E31,J$3:J$23)</f>
        <v>0.14023903999999998</v>
      </c>
      <c r="H31" s="8">
        <f t="shared" si="1"/>
        <v>0.16328733999999989</v>
      </c>
      <c r="I31" s="8">
        <f t="shared" si="2"/>
        <v>0.19820851299999992</v>
      </c>
      <c r="J31" s="8">
        <f t="shared" si="3"/>
        <v>0.24672258999999999</v>
      </c>
      <c r="K31" s="8">
        <f t="shared" si="4"/>
        <v>0.30488007500000003</v>
      </c>
      <c r="L31" s="8">
        <f t="shared" si="5"/>
        <v>0.35445342400000002</v>
      </c>
      <c r="M31" s="8">
        <f t="shared" si="6"/>
        <v>0.42867454400000005</v>
      </c>
      <c r="N31" s="8">
        <f t="shared" si="7"/>
        <v>0.53838607099999991</v>
      </c>
      <c r="T31" t="s">
        <v>14</v>
      </c>
      <c r="V31">
        <v>3.7206416880000003E-2</v>
      </c>
      <c r="W31">
        <v>2.5623216000000001E-2</v>
      </c>
    </row>
    <row r="32" spans="1:23">
      <c r="A32" t="s">
        <v>26</v>
      </c>
      <c r="E32" t="s">
        <v>34</v>
      </c>
      <c r="F32" t="s">
        <v>53</v>
      </c>
      <c r="G32" s="8">
        <f t="shared" si="0"/>
        <v>0</v>
      </c>
      <c r="H32" s="8">
        <f t="shared" si="1"/>
        <v>0</v>
      </c>
      <c r="I32" s="8">
        <f t="shared" si="2"/>
        <v>0</v>
      </c>
      <c r="J32" s="8">
        <f t="shared" si="3"/>
        <v>0</v>
      </c>
      <c r="K32" s="8">
        <f t="shared" si="4"/>
        <v>0</v>
      </c>
      <c r="L32" s="8">
        <f t="shared" si="5"/>
        <v>0</v>
      </c>
      <c r="M32" s="8">
        <f t="shared" si="6"/>
        <v>0</v>
      </c>
      <c r="N32" s="8">
        <f t="shared" si="7"/>
        <v>0</v>
      </c>
      <c r="T32" t="s">
        <v>30</v>
      </c>
      <c r="V32">
        <v>0.68788077300000006</v>
      </c>
      <c r="W32">
        <v>0.98157851280000008</v>
      </c>
    </row>
    <row r="33" spans="1:23">
      <c r="A33" t="s">
        <v>27</v>
      </c>
      <c r="B33" t="s">
        <v>6</v>
      </c>
      <c r="F33" t="s">
        <v>49</v>
      </c>
      <c r="G33" s="8">
        <f t="shared" si="0"/>
        <v>0</v>
      </c>
      <c r="H33" s="8">
        <f t="shared" si="1"/>
        <v>0</v>
      </c>
      <c r="I33" s="8">
        <f t="shared" si="2"/>
        <v>0</v>
      </c>
      <c r="J33" s="8">
        <f t="shared" si="3"/>
        <v>0</v>
      </c>
      <c r="K33" s="8">
        <f t="shared" si="4"/>
        <v>0</v>
      </c>
      <c r="L33" s="8">
        <f t="shared" si="5"/>
        <v>0</v>
      </c>
      <c r="M33" s="8">
        <f t="shared" si="6"/>
        <v>0</v>
      </c>
      <c r="N33" s="8">
        <f t="shared" si="7"/>
        <v>0</v>
      </c>
      <c r="T33" t="s">
        <v>16</v>
      </c>
      <c r="V33">
        <v>8.2701860400000004E-3</v>
      </c>
      <c r="W33">
        <v>1.6579728E-3</v>
      </c>
    </row>
    <row r="34" spans="1:23">
      <c r="A34" t="s">
        <v>28</v>
      </c>
      <c r="E34" t="s">
        <v>33</v>
      </c>
      <c r="F34" t="s">
        <v>50</v>
      </c>
      <c r="G34" s="8">
        <f>SUMIF($F$3:$F$23,$E34,J$3:J$23)</f>
        <v>0.91990454999999993</v>
      </c>
      <c r="H34" s="8">
        <f t="shared" si="1"/>
        <v>1.0275571668000001</v>
      </c>
      <c r="I34" s="8">
        <f t="shared" si="2"/>
        <v>1.1046493214999999</v>
      </c>
      <c r="J34" s="8">
        <f t="shared" si="3"/>
        <v>1.1226942542499998</v>
      </c>
      <c r="K34" s="8">
        <f t="shared" si="4"/>
        <v>1.0944509544000001</v>
      </c>
      <c r="L34" s="8">
        <f t="shared" si="5"/>
        <v>1.023898355659999</v>
      </c>
      <c r="M34" s="8">
        <f t="shared" si="6"/>
        <v>0.88554622703999997</v>
      </c>
      <c r="N34" s="8">
        <f t="shared" si="7"/>
        <v>0.66049250703999995</v>
      </c>
      <c r="T34" t="s">
        <v>31</v>
      </c>
      <c r="V34">
        <v>4.6599084000000006E-4</v>
      </c>
      <c r="W34">
        <v>4.8985559999999997E-4</v>
      </c>
    </row>
    <row r="35" spans="1:23">
      <c r="A35" s="3" t="s">
        <v>29</v>
      </c>
      <c r="B35" s="3"/>
      <c r="C35" s="3"/>
      <c r="D35" s="3"/>
      <c r="E35" t="s">
        <v>35</v>
      </c>
      <c r="F35" t="s">
        <v>51</v>
      </c>
      <c r="G35" s="8">
        <f t="shared" si="0"/>
        <v>0</v>
      </c>
      <c r="H35" s="8">
        <f t="shared" si="1"/>
        <v>0</v>
      </c>
      <c r="I35" s="8">
        <f t="shared" si="2"/>
        <v>0</v>
      </c>
      <c r="J35" s="8">
        <f t="shared" si="3"/>
        <v>0</v>
      </c>
      <c r="K35" s="8">
        <f t="shared" si="4"/>
        <v>0</v>
      </c>
      <c r="L35" s="8">
        <f t="shared" si="5"/>
        <v>0</v>
      </c>
      <c r="M35" s="8">
        <f t="shared" si="6"/>
        <v>0</v>
      </c>
      <c r="N35" s="8">
        <f t="shared" si="7"/>
        <v>0</v>
      </c>
    </row>
    <row r="36" spans="1:23">
      <c r="T36" t="s">
        <v>75</v>
      </c>
    </row>
    <row r="43" spans="1:23">
      <c r="A43" s="1"/>
    </row>
    <row r="53" spans="1:3">
      <c r="A53" s="3"/>
      <c r="B53" s="3"/>
      <c r="C53" s="3"/>
    </row>
  </sheetData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938D-8776-47D8-B6A6-A6AC9F1E72EE}">
  <sheetPr codeName="Sheet24"/>
  <dimension ref="A1:W61"/>
  <sheetViews>
    <sheetView zoomScale="55" zoomScaleNormal="55" workbookViewId="0">
      <selection activeCell="A3" sqref="A3:Q27"/>
    </sheetView>
  </sheetViews>
  <sheetFormatPr defaultRowHeight="17.399999999999999"/>
  <cols>
    <col min="4" max="4" width="14.19921875" bestFit="1" customWidth="1"/>
    <col min="5" max="5" width="23.59765625" bestFit="1" customWidth="1"/>
    <col min="6" max="6" width="24.5" bestFit="1" customWidth="1"/>
  </cols>
  <sheetData>
    <row r="1" spans="1:18">
      <c r="A1" s="1" t="s">
        <v>54</v>
      </c>
    </row>
    <row r="2" spans="1:18">
      <c r="A2" t="s">
        <v>8</v>
      </c>
      <c r="B2" t="s">
        <v>9</v>
      </c>
      <c r="C2" t="s">
        <v>39</v>
      </c>
      <c r="D2" t="s">
        <v>40</v>
      </c>
      <c r="E2" t="s">
        <v>10</v>
      </c>
      <c r="F2" t="s">
        <v>42</v>
      </c>
      <c r="G2">
        <v>1990</v>
      </c>
      <c r="H2">
        <v>2005</v>
      </c>
      <c r="I2">
        <v>2010</v>
      </c>
      <c r="J2">
        <v>2015</v>
      </c>
      <c r="K2">
        <v>2020</v>
      </c>
      <c r="L2">
        <v>2025</v>
      </c>
      <c r="M2">
        <v>2030</v>
      </c>
      <c r="N2">
        <v>2035</v>
      </c>
      <c r="O2">
        <v>2040</v>
      </c>
      <c r="P2">
        <v>2045</v>
      </c>
      <c r="Q2">
        <v>2050</v>
      </c>
      <c r="R2" s="11" t="s">
        <v>76</v>
      </c>
    </row>
    <row r="3" spans="1:18">
      <c r="A3" s="13" t="s">
        <v>364</v>
      </c>
      <c r="B3" s="13" t="s">
        <v>1</v>
      </c>
      <c r="C3" s="13" t="s">
        <v>32</v>
      </c>
      <c r="D3" s="13" t="s">
        <v>33</v>
      </c>
      <c r="E3" s="13" t="s">
        <v>2</v>
      </c>
      <c r="F3" s="13" t="s">
        <v>34</v>
      </c>
      <c r="G3" s="13">
        <v>0</v>
      </c>
      <c r="H3" s="13">
        <v>0</v>
      </c>
      <c r="I3" s="13">
        <v>0</v>
      </c>
      <c r="J3" s="13">
        <v>0</v>
      </c>
      <c r="K3" s="14">
        <v>0</v>
      </c>
      <c r="L3" s="14">
        <v>3.6142100000000001E-4</v>
      </c>
      <c r="M3" s="13">
        <v>1.8293910000000001E-3</v>
      </c>
      <c r="N3" s="13">
        <v>4.5325060000000004E-3</v>
      </c>
      <c r="O3" s="13">
        <v>6.4266085000000001E-3</v>
      </c>
      <c r="P3" s="14">
        <v>5.4611260000000002E-3</v>
      </c>
      <c r="Q3" s="14">
        <v>3.0761729999999902E-3</v>
      </c>
      <c r="R3" s="11" t="s">
        <v>78</v>
      </c>
    </row>
    <row r="4" spans="1:18">
      <c r="A4" s="13" t="s">
        <v>364</v>
      </c>
      <c r="B4" s="13" t="s">
        <v>1</v>
      </c>
      <c r="C4" s="13" t="s">
        <v>32</v>
      </c>
      <c r="D4" s="13" t="s">
        <v>33</v>
      </c>
      <c r="E4" s="13" t="s">
        <v>4</v>
      </c>
      <c r="F4" s="13" t="s">
        <v>33</v>
      </c>
      <c r="G4" s="13">
        <v>0.230465</v>
      </c>
      <c r="H4" s="13">
        <v>0</v>
      </c>
      <c r="I4" s="13">
        <v>0</v>
      </c>
      <c r="J4" s="13">
        <v>0.82835599999999998</v>
      </c>
      <c r="K4" s="14">
        <v>0.92597700000000005</v>
      </c>
      <c r="L4" s="13">
        <v>0.89268899999999995</v>
      </c>
      <c r="M4" s="13">
        <v>0.71429799999999999</v>
      </c>
      <c r="N4" s="13">
        <v>0.46414420000000001</v>
      </c>
      <c r="O4" s="13">
        <v>0.272314</v>
      </c>
      <c r="P4" s="13">
        <v>0.11811523</v>
      </c>
      <c r="Q4" s="13">
        <v>3.3670970000000001E-2</v>
      </c>
      <c r="R4" s="11" t="s">
        <v>78</v>
      </c>
    </row>
    <row r="5" spans="1:18">
      <c r="A5" s="13" t="s">
        <v>364</v>
      </c>
      <c r="B5" s="13" t="s">
        <v>1</v>
      </c>
      <c r="C5" s="13" t="s">
        <v>32</v>
      </c>
      <c r="D5" s="13" t="s">
        <v>33</v>
      </c>
      <c r="E5" s="13" t="s">
        <v>4</v>
      </c>
      <c r="F5" s="13" t="s">
        <v>79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1.2335E-3</v>
      </c>
      <c r="M5" s="13">
        <v>1.144472E-2</v>
      </c>
      <c r="N5" s="13">
        <v>4.2297059999999997E-2</v>
      </c>
      <c r="O5" s="13">
        <v>8.1572993999999996E-2</v>
      </c>
      <c r="P5" s="13">
        <v>0.11896569999999999</v>
      </c>
      <c r="Q5" s="13">
        <v>0.11103046999999901</v>
      </c>
      <c r="R5" s="11" t="s">
        <v>78</v>
      </c>
    </row>
    <row r="6" spans="1:18">
      <c r="A6" s="13" t="s">
        <v>364</v>
      </c>
      <c r="B6" s="13" t="s">
        <v>1</v>
      </c>
      <c r="C6" s="13" t="s">
        <v>32</v>
      </c>
      <c r="D6" s="13" t="s">
        <v>33</v>
      </c>
      <c r="E6" s="13" t="s">
        <v>4</v>
      </c>
      <c r="F6" s="13" t="s">
        <v>34</v>
      </c>
      <c r="G6" s="13">
        <v>0</v>
      </c>
      <c r="H6" s="13">
        <v>0</v>
      </c>
      <c r="I6" s="13">
        <v>0</v>
      </c>
      <c r="J6" s="13">
        <v>0</v>
      </c>
      <c r="K6" s="14">
        <v>0</v>
      </c>
      <c r="L6" s="13">
        <v>1.4963299999999999E-3</v>
      </c>
      <c r="M6" s="13">
        <v>7.57392999999999E-3</v>
      </c>
      <c r="N6" s="13">
        <v>1.8765177000000001E-2</v>
      </c>
      <c r="O6" s="13">
        <v>2.6607036000000001E-2</v>
      </c>
      <c r="P6" s="13">
        <v>2.2609839999999999E-2</v>
      </c>
      <c r="Q6" s="13">
        <v>1.273578E-2</v>
      </c>
      <c r="R6" s="11" t="s">
        <v>78</v>
      </c>
    </row>
    <row r="7" spans="1:18">
      <c r="A7" s="13" t="s">
        <v>364</v>
      </c>
      <c r="B7" s="13" t="s">
        <v>1</v>
      </c>
      <c r="C7" s="13" t="s">
        <v>32</v>
      </c>
      <c r="D7" s="13" t="s">
        <v>33</v>
      </c>
      <c r="E7" s="13" t="s">
        <v>5</v>
      </c>
      <c r="F7" s="13" t="s">
        <v>33</v>
      </c>
      <c r="G7" s="13">
        <v>1.2258E-2</v>
      </c>
      <c r="H7" s="13">
        <v>5.09463E-2</v>
      </c>
      <c r="I7" s="13">
        <v>6.1189E-2</v>
      </c>
      <c r="J7" s="13">
        <v>9.1281799999999996E-2</v>
      </c>
      <c r="K7" s="14">
        <v>0.1020393</v>
      </c>
      <c r="L7" s="13">
        <v>9.8371299999999995E-2</v>
      </c>
      <c r="M7" s="13">
        <v>7.8713099999999994E-2</v>
      </c>
      <c r="N7" s="13">
        <v>5.1147089999999999E-2</v>
      </c>
      <c r="O7" s="13">
        <v>3.000796E-2</v>
      </c>
      <c r="P7" s="13">
        <v>1.3015868E-2</v>
      </c>
      <c r="Q7" s="14">
        <v>3.7104199999999999E-3</v>
      </c>
      <c r="R7" s="11" t="s">
        <v>78</v>
      </c>
    </row>
    <row r="8" spans="1:18">
      <c r="A8" s="13" t="s">
        <v>364</v>
      </c>
      <c r="B8" s="13" t="s">
        <v>1</v>
      </c>
      <c r="C8" s="13" t="s">
        <v>32</v>
      </c>
      <c r="D8" s="13" t="s">
        <v>33</v>
      </c>
      <c r="E8" s="13" t="s">
        <v>5</v>
      </c>
      <c r="F8" s="13" t="s">
        <v>79</v>
      </c>
      <c r="G8" s="13">
        <v>0</v>
      </c>
      <c r="H8" s="13">
        <v>0</v>
      </c>
      <c r="I8" s="13">
        <v>0</v>
      </c>
      <c r="J8" s="13">
        <v>0</v>
      </c>
      <c r="K8" s="14">
        <v>0</v>
      </c>
      <c r="L8" s="14">
        <v>1.3592699999999999E-4</v>
      </c>
      <c r="M8" s="14">
        <v>1.261166E-3</v>
      </c>
      <c r="N8" s="14">
        <v>4.6609813999999999E-3</v>
      </c>
      <c r="O8" s="14">
        <v>8.9890504999999999E-3</v>
      </c>
      <c r="P8" s="14">
        <v>1.3109592999999999E-2</v>
      </c>
      <c r="Q8" s="14">
        <v>1.2235157999999999E-2</v>
      </c>
      <c r="R8" s="11" t="s">
        <v>78</v>
      </c>
    </row>
    <row r="9" spans="1:18">
      <c r="A9" s="13" t="s">
        <v>364</v>
      </c>
      <c r="B9" s="13" t="s">
        <v>1</v>
      </c>
      <c r="C9" s="13" t="s">
        <v>32</v>
      </c>
      <c r="D9" s="13" t="s">
        <v>33</v>
      </c>
      <c r="E9" s="13" t="s">
        <v>5</v>
      </c>
      <c r="F9" s="13" t="s">
        <v>34</v>
      </c>
      <c r="G9" s="13">
        <v>0</v>
      </c>
      <c r="H9" s="13">
        <v>0</v>
      </c>
      <c r="I9" s="13">
        <v>0</v>
      </c>
      <c r="J9" s="13">
        <v>0</v>
      </c>
      <c r="K9" s="14">
        <v>0</v>
      </c>
      <c r="L9" s="14">
        <v>6.0059599999999997E-5</v>
      </c>
      <c r="M9" s="14">
        <v>3.0400189999999898E-4</v>
      </c>
      <c r="N9" s="14">
        <v>7.5319729999999896E-4</v>
      </c>
      <c r="O9" s="14">
        <v>1.0679527999999899E-3</v>
      </c>
      <c r="P9" s="14">
        <v>9.0751130000000005E-4</v>
      </c>
      <c r="Q9" s="14">
        <v>5.1118820000000005E-4</v>
      </c>
      <c r="R9" s="11" t="s">
        <v>78</v>
      </c>
    </row>
    <row r="10" spans="1:18">
      <c r="A10" s="13" t="s">
        <v>364</v>
      </c>
      <c r="B10" s="13" t="s">
        <v>1</v>
      </c>
      <c r="C10" s="13" t="s">
        <v>32</v>
      </c>
      <c r="D10" s="13" t="s">
        <v>33</v>
      </c>
      <c r="E10" s="13" t="s">
        <v>6</v>
      </c>
      <c r="F10" s="13" t="s">
        <v>33</v>
      </c>
      <c r="G10" s="14">
        <v>3.2850000000000002E-4</v>
      </c>
      <c r="H10" s="14">
        <v>2.0024999999999999E-4</v>
      </c>
      <c r="I10" s="14">
        <v>1.0230000000000001E-4</v>
      </c>
      <c r="J10" s="14">
        <v>6.3050000000000001E-5</v>
      </c>
      <c r="K10" s="14">
        <v>7.0480399999999895E-5</v>
      </c>
      <c r="L10" s="14">
        <v>6.7946799999999896E-5</v>
      </c>
      <c r="M10" s="14">
        <v>5.43686299999999E-5</v>
      </c>
      <c r="N10" s="14">
        <v>3.5328169999999901E-5</v>
      </c>
      <c r="O10" s="14">
        <v>2.0727060000000001E-5</v>
      </c>
      <c r="P10" s="14">
        <v>8.9902840000000005E-6</v>
      </c>
      <c r="Q10" s="14">
        <v>2.5628590999999999E-6</v>
      </c>
      <c r="R10" s="11" t="s">
        <v>78</v>
      </c>
    </row>
    <row r="11" spans="1:18">
      <c r="A11" s="13" t="s">
        <v>364</v>
      </c>
      <c r="B11" s="13" t="s">
        <v>1</v>
      </c>
      <c r="C11" s="13" t="s">
        <v>32</v>
      </c>
      <c r="D11" s="13" t="s">
        <v>33</v>
      </c>
      <c r="E11" s="13" t="s">
        <v>6</v>
      </c>
      <c r="F11" s="13" t="s">
        <v>79</v>
      </c>
      <c r="G11" s="13">
        <v>0</v>
      </c>
      <c r="H11" s="13">
        <v>0</v>
      </c>
      <c r="I11" s="13">
        <v>0</v>
      </c>
      <c r="J11" s="13">
        <v>0</v>
      </c>
      <c r="K11" s="14">
        <v>0</v>
      </c>
      <c r="L11" s="14">
        <v>9.3887499999999999E-8</v>
      </c>
      <c r="M11" s="14">
        <v>8.7111270000000002E-7</v>
      </c>
      <c r="N11" s="14">
        <v>3.2194217E-6</v>
      </c>
      <c r="O11" s="14">
        <v>6.2088998000000001E-6</v>
      </c>
      <c r="P11" s="14">
        <v>9.0550299999999993E-6</v>
      </c>
      <c r="Q11" s="14">
        <v>8.4510469999999995E-6</v>
      </c>
      <c r="R11" s="11" t="s">
        <v>78</v>
      </c>
    </row>
    <row r="12" spans="1:18">
      <c r="A12" s="13" t="s">
        <v>364</v>
      </c>
      <c r="B12" s="13" t="s">
        <v>1</v>
      </c>
      <c r="C12" s="13" t="s">
        <v>32</v>
      </c>
      <c r="D12" s="13" t="s">
        <v>33</v>
      </c>
      <c r="E12" s="13" t="s">
        <v>6</v>
      </c>
      <c r="F12" s="13" t="s">
        <v>34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1.09558E-6</v>
      </c>
      <c r="M12" s="14">
        <v>5.5454549999999999E-6</v>
      </c>
      <c r="N12" s="14">
        <v>1.3739452E-5</v>
      </c>
      <c r="O12" s="14">
        <v>1.9481086000000001E-5</v>
      </c>
      <c r="P12" s="14">
        <v>1.6554374000000001E-5</v>
      </c>
      <c r="Q12" s="14">
        <v>9.3248430000000002E-6</v>
      </c>
      <c r="R12" s="11" t="s">
        <v>78</v>
      </c>
    </row>
    <row r="13" spans="1:18">
      <c r="A13" s="13" t="s">
        <v>364</v>
      </c>
      <c r="B13" s="13" t="s">
        <v>1</v>
      </c>
      <c r="C13" s="13" t="s">
        <v>32</v>
      </c>
      <c r="D13" s="13" t="s">
        <v>33</v>
      </c>
      <c r="E13" s="13" t="s">
        <v>7</v>
      </c>
      <c r="F13" s="13" t="s">
        <v>33</v>
      </c>
      <c r="G13" s="13">
        <v>0</v>
      </c>
      <c r="H13" s="14">
        <v>6.6749999999999996E-5</v>
      </c>
      <c r="I13" s="14">
        <v>1.2957999999999999E-4</v>
      </c>
      <c r="J13" s="14">
        <v>2.0369999999999999E-4</v>
      </c>
      <c r="K13" s="14">
        <v>2.277057E-4</v>
      </c>
      <c r="L13" s="14">
        <v>2.195206E-4</v>
      </c>
      <c r="M13" s="14">
        <v>1.7565229999999901E-4</v>
      </c>
      <c r="N13" s="14">
        <v>1.141372E-4</v>
      </c>
      <c r="O13" s="14">
        <v>6.6964449999999995E-5</v>
      </c>
      <c r="P13" s="14">
        <v>2.9045539999999899E-5</v>
      </c>
      <c r="Q13" s="14">
        <v>8.2799959999999994E-6</v>
      </c>
      <c r="R13" s="11" t="s">
        <v>78</v>
      </c>
    </row>
    <row r="14" spans="1:18">
      <c r="A14" s="13" t="s">
        <v>364</v>
      </c>
      <c r="B14" s="13" t="s">
        <v>1</v>
      </c>
      <c r="C14" s="13" t="s">
        <v>32</v>
      </c>
      <c r="D14" s="13" t="s">
        <v>33</v>
      </c>
      <c r="E14" s="13" t="s">
        <v>7</v>
      </c>
      <c r="F14" s="13" t="s">
        <v>79</v>
      </c>
      <c r="G14" s="13">
        <v>0</v>
      </c>
      <c r="H14" s="13">
        <v>0</v>
      </c>
      <c r="I14" s="13">
        <v>0</v>
      </c>
      <c r="J14" s="13">
        <v>0</v>
      </c>
      <c r="K14" s="14">
        <v>0</v>
      </c>
      <c r="L14" s="14">
        <v>3.0332899999999998E-7</v>
      </c>
      <c r="M14" s="14">
        <v>2.8143619999999999E-6</v>
      </c>
      <c r="N14" s="14">
        <v>1.040121E-5</v>
      </c>
      <c r="O14" s="14">
        <v>2.00594811999999E-5</v>
      </c>
      <c r="P14" s="14">
        <v>2.9254738E-5</v>
      </c>
      <c r="Q14" s="14">
        <v>2.7303370000000001E-5</v>
      </c>
      <c r="R14" s="11" t="s">
        <v>78</v>
      </c>
    </row>
    <row r="15" spans="1:18">
      <c r="A15" s="13" t="s">
        <v>364</v>
      </c>
      <c r="B15" s="13" t="s">
        <v>1</v>
      </c>
      <c r="C15" s="13" t="s">
        <v>32</v>
      </c>
      <c r="D15" s="13" t="s">
        <v>33</v>
      </c>
      <c r="E15" s="13" t="s">
        <v>7</v>
      </c>
      <c r="F15" s="13" t="s">
        <v>34</v>
      </c>
      <c r="G15" s="13">
        <v>0</v>
      </c>
      <c r="H15" s="13">
        <v>0</v>
      </c>
      <c r="I15" s="13">
        <v>0</v>
      </c>
      <c r="J15" s="13">
        <v>0</v>
      </c>
      <c r="K15" s="14">
        <v>0</v>
      </c>
      <c r="L15" s="14">
        <v>1.09558E-6</v>
      </c>
      <c r="M15" s="14">
        <v>5.5454549999999999E-6</v>
      </c>
      <c r="N15" s="14">
        <v>1.3739452E-5</v>
      </c>
      <c r="O15" s="14">
        <v>1.9481086000000001E-5</v>
      </c>
      <c r="P15" s="14">
        <v>1.6554374000000001E-5</v>
      </c>
      <c r="Q15" s="14">
        <v>9.3248430000000002E-6</v>
      </c>
      <c r="R15" s="11" t="s">
        <v>78</v>
      </c>
    </row>
    <row r="16" spans="1:18">
      <c r="A16" s="13" t="s">
        <v>364</v>
      </c>
      <c r="B16" s="13" t="s">
        <v>1</v>
      </c>
      <c r="C16" s="13" t="s">
        <v>32</v>
      </c>
      <c r="D16" s="13" t="s">
        <v>36</v>
      </c>
      <c r="E16" s="13" t="s">
        <v>2</v>
      </c>
      <c r="F16" s="13" t="s">
        <v>37</v>
      </c>
      <c r="G16" s="13">
        <v>0</v>
      </c>
      <c r="H16" s="14">
        <v>0</v>
      </c>
      <c r="I16" s="14">
        <v>0</v>
      </c>
      <c r="J16" s="14">
        <v>0</v>
      </c>
      <c r="K16" s="14">
        <v>0</v>
      </c>
      <c r="L16" s="14">
        <v>2.14419E-2</v>
      </c>
      <c r="M16" s="14">
        <v>7.9976699999999998E-2</v>
      </c>
      <c r="N16" s="14">
        <v>0.1562508</v>
      </c>
      <c r="O16" s="14">
        <v>0.22952508999999999</v>
      </c>
      <c r="P16" s="14">
        <v>0.31715280000000001</v>
      </c>
      <c r="Q16" s="14">
        <v>0.40109549999999999</v>
      </c>
      <c r="R16" s="11" t="s">
        <v>78</v>
      </c>
    </row>
    <row r="17" spans="1:18">
      <c r="A17" s="13" t="s">
        <v>364</v>
      </c>
      <c r="B17" s="13" t="s">
        <v>1</v>
      </c>
      <c r="C17" s="13" t="s">
        <v>32</v>
      </c>
      <c r="D17" s="13" t="s">
        <v>36</v>
      </c>
      <c r="E17" s="13" t="s">
        <v>4</v>
      </c>
      <c r="F17" s="13" t="s">
        <v>36</v>
      </c>
      <c r="G17" s="13">
        <v>1.2028799999999999E-2</v>
      </c>
      <c r="H17" s="13">
        <v>0</v>
      </c>
      <c r="I17" s="13">
        <v>0</v>
      </c>
      <c r="J17" s="13">
        <v>2.5251300000000001E-2</v>
      </c>
      <c r="K17" s="13">
        <v>2.9328569999999901E-2</v>
      </c>
      <c r="L17" s="14">
        <v>3.9294519999999999E-2</v>
      </c>
      <c r="M17" s="14">
        <v>5.1980909999999998E-2</v>
      </c>
      <c r="N17" s="14">
        <v>6.5224779999999996E-2</v>
      </c>
      <c r="O17" s="14">
        <v>6.4605449999999995E-2</v>
      </c>
      <c r="P17" s="14">
        <v>5.3159280000000003E-2</v>
      </c>
      <c r="Q17" s="14">
        <v>3.7247240000000001E-2</v>
      </c>
      <c r="R17" s="11" t="s">
        <v>78</v>
      </c>
    </row>
    <row r="18" spans="1:18">
      <c r="A18" s="13" t="s">
        <v>364</v>
      </c>
      <c r="B18" s="13" t="s">
        <v>1</v>
      </c>
      <c r="C18" s="13" t="s">
        <v>32</v>
      </c>
      <c r="D18" s="13" t="s">
        <v>36</v>
      </c>
      <c r="E18" s="13" t="s">
        <v>4</v>
      </c>
      <c r="F18" s="13" t="s">
        <v>80</v>
      </c>
      <c r="G18" s="13">
        <v>0</v>
      </c>
      <c r="H18" s="13">
        <v>0</v>
      </c>
      <c r="I18" s="13">
        <v>0</v>
      </c>
      <c r="J18" s="13">
        <v>0</v>
      </c>
      <c r="K18" s="14">
        <v>0</v>
      </c>
      <c r="L18" s="14">
        <v>4.8440700000000001E-4</v>
      </c>
      <c r="M18" s="14">
        <v>2.3639889999999999E-3</v>
      </c>
      <c r="N18" s="14">
        <v>7.0482469999999997E-3</v>
      </c>
      <c r="O18" s="14">
        <v>1.27101147E-2</v>
      </c>
      <c r="P18" s="14">
        <v>1.9978922E-2</v>
      </c>
      <c r="Q18" s="14">
        <v>2.6440775999999999E-2</v>
      </c>
      <c r="R18" s="11" t="s">
        <v>78</v>
      </c>
    </row>
    <row r="19" spans="1:18">
      <c r="A19" s="13" t="s">
        <v>364</v>
      </c>
      <c r="B19" s="13" t="s">
        <v>1</v>
      </c>
      <c r="C19" s="13" t="s">
        <v>32</v>
      </c>
      <c r="D19" s="13" t="s">
        <v>36</v>
      </c>
      <c r="E19" s="13" t="s">
        <v>5</v>
      </c>
      <c r="F19" s="13" t="s">
        <v>36</v>
      </c>
      <c r="G19" s="13">
        <v>1.1003300000000001E-2</v>
      </c>
      <c r="H19" s="13">
        <v>4.8056399999999999E-2</v>
      </c>
      <c r="I19" s="13">
        <v>5.3370800000000003E-2</v>
      </c>
      <c r="J19" s="13">
        <v>4.7853699999999999E-2</v>
      </c>
      <c r="K19" s="14">
        <v>5.5580599999999897E-2</v>
      </c>
      <c r="L19" s="14">
        <v>7.4466900000000003E-2</v>
      </c>
      <c r="M19" s="14">
        <v>9.8508849999999995E-2</v>
      </c>
      <c r="N19" s="14">
        <v>0.12360731999999899</v>
      </c>
      <c r="O19" s="14">
        <v>0.12243366</v>
      </c>
      <c r="P19" s="14">
        <v>0.10074202</v>
      </c>
      <c r="Q19" s="14">
        <v>7.05871E-2</v>
      </c>
      <c r="R19" s="11" t="s">
        <v>78</v>
      </c>
    </row>
    <row r="20" spans="1:18">
      <c r="A20" s="13" t="s">
        <v>364</v>
      </c>
      <c r="B20" s="13" t="s">
        <v>1</v>
      </c>
      <c r="C20" s="13" t="s">
        <v>32</v>
      </c>
      <c r="D20" s="13" t="s">
        <v>36</v>
      </c>
      <c r="E20" s="13" t="s">
        <v>5</v>
      </c>
      <c r="F20" s="13" t="s">
        <v>80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4">
        <v>9.1799899999999996E-4</v>
      </c>
      <c r="M20" s="13">
        <v>4.479986E-3</v>
      </c>
      <c r="N20" s="13">
        <v>1.3357109000000001E-2</v>
      </c>
      <c r="O20" s="13">
        <v>2.4086847000000002E-2</v>
      </c>
      <c r="P20" s="13">
        <v>3.7861909999999999E-2</v>
      </c>
      <c r="Q20" s="13">
        <v>5.0107810000000003E-2</v>
      </c>
      <c r="R20" s="11" t="s">
        <v>78</v>
      </c>
    </row>
    <row r="21" spans="1:18">
      <c r="A21" s="13" t="s">
        <v>364</v>
      </c>
      <c r="B21" s="13" t="s">
        <v>1</v>
      </c>
      <c r="C21" s="13" t="s">
        <v>32</v>
      </c>
      <c r="D21" s="13" t="s">
        <v>36</v>
      </c>
      <c r="E21" s="13" t="s">
        <v>5</v>
      </c>
      <c r="F21" s="13" t="s">
        <v>37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6.73655E-3</v>
      </c>
      <c r="M21" s="13">
        <v>2.5126800000000001E-2</v>
      </c>
      <c r="N21" s="13">
        <v>4.9090429999999997E-2</v>
      </c>
      <c r="O21" s="13">
        <v>7.2111460000000002E-2</v>
      </c>
      <c r="P21" s="13">
        <v>9.9641969999999996E-2</v>
      </c>
      <c r="Q21" s="13">
        <v>0.12601500999999901</v>
      </c>
      <c r="R21" s="11" t="s">
        <v>78</v>
      </c>
    </row>
    <row r="22" spans="1:18">
      <c r="A22" s="13" t="s">
        <v>364</v>
      </c>
      <c r="B22" s="13" t="s">
        <v>1</v>
      </c>
      <c r="C22" s="13" t="s">
        <v>32</v>
      </c>
      <c r="D22" s="13" t="s">
        <v>36</v>
      </c>
      <c r="E22" s="13" t="s">
        <v>6</v>
      </c>
      <c r="F22" s="13" t="s">
        <v>36</v>
      </c>
      <c r="G22" s="13">
        <v>3.1203700000000001E-2</v>
      </c>
      <c r="H22" s="13">
        <v>1.9871300000000001E-2</v>
      </c>
      <c r="I22" s="13">
        <v>9.5727999999999994E-3</v>
      </c>
      <c r="J22" s="13">
        <v>3.3750400000000002E-3</v>
      </c>
      <c r="K22" s="13">
        <v>3.9199999999999999E-3</v>
      </c>
      <c r="L22" s="13">
        <v>5.2520169999999899E-3</v>
      </c>
      <c r="M22" s="13">
        <v>6.9476570000000003E-3</v>
      </c>
      <c r="N22" s="13">
        <v>8.7178069999999993E-3</v>
      </c>
      <c r="O22" s="13">
        <v>8.6350339999999998E-3</v>
      </c>
      <c r="P22" s="13">
        <v>7.1051569999999904E-3</v>
      </c>
      <c r="Q22" s="13">
        <v>4.9783809999999996E-3</v>
      </c>
      <c r="R22" s="11" t="s">
        <v>78</v>
      </c>
    </row>
    <row r="23" spans="1:18">
      <c r="A23" s="13" t="s">
        <v>364</v>
      </c>
      <c r="B23" s="13" t="s">
        <v>1</v>
      </c>
      <c r="C23" s="13" t="s">
        <v>32</v>
      </c>
      <c r="D23" s="13" t="s">
        <v>36</v>
      </c>
      <c r="E23" s="13" t="s">
        <v>6</v>
      </c>
      <c r="F23" s="13" t="s">
        <v>80</v>
      </c>
      <c r="G23" s="13">
        <v>0</v>
      </c>
      <c r="H23" s="13">
        <v>0</v>
      </c>
      <c r="I23" s="13">
        <v>0</v>
      </c>
      <c r="J23" s="14">
        <v>0</v>
      </c>
      <c r="K23" s="14">
        <v>0</v>
      </c>
      <c r="L23" s="14">
        <v>6.4744899999999997E-5</v>
      </c>
      <c r="M23" s="14">
        <v>3.1596599999999999E-4</v>
      </c>
      <c r="N23" s="14">
        <v>9.4205389999999997E-4</v>
      </c>
      <c r="O23" s="13">
        <v>1.6988081999999901E-3</v>
      </c>
      <c r="P23" s="13">
        <v>2.6703411000000002E-3</v>
      </c>
      <c r="Q23" s="13">
        <v>3.5340089999999998E-3</v>
      </c>
      <c r="R23" s="11" t="s">
        <v>78</v>
      </c>
    </row>
    <row r="24" spans="1:18">
      <c r="A24" s="13" t="s">
        <v>364</v>
      </c>
      <c r="B24" s="13" t="s">
        <v>1</v>
      </c>
      <c r="C24" s="13" t="s">
        <v>32</v>
      </c>
      <c r="D24" s="13" t="s">
        <v>36</v>
      </c>
      <c r="E24" s="13" t="s">
        <v>7</v>
      </c>
      <c r="F24" s="13" t="s">
        <v>36</v>
      </c>
      <c r="G24" s="13">
        <v>0</v>
      </c>
      <c r="H24" s="13">
        <v>3.8401699999999997E-2</v>
      </c>
      <c r="I24" s="13">
        <v>6.6848400000000002E-2</v>
      </c>
      <c r="J24" s="13">
        <v>6.3758999999999996E-2</v>
      </c>
      <c r="K24" s="13">
        <v>7.4053999999999995E-2</v>
      </c>
      <c r="L24" s="13">
        <v>9.9217600000000003E-2</v>
      </c>
      <c r="M24" s="13">
        <v>0.13125049999999999</v>
      </c>
      <c r="N24" s="13">
        <v>0.164690999999999</v>
      </c>
      <c r="O24" s="13">
        <v>0.16312729000000001</v>
      </c>
      <c r="P24" s="13">
        <v>0.13422590000000001</v>
      </c>
      <c r="Q24" s="13">
        <v>9.4048399999999893E-2</v>
      </c>
      <c r="R24" s="11" t="s">
        <v>78</v>
      </c>
    </row>
    <row r="25" spans="1:18">
      <c r="A25" s="13" t="s">
        <v>364</v>
      </c>
      <c r="B25" s="13" t="s">
        <v>1</v>
      </c>
      <c r="C25" s="13" t="s">
        <v>32</v>
      </c>
      <c r="D25" s="13" t="s">
        <v>36</v>
      </c>
      <c r="E25" s="13" t="s">
        <v>7</v>
      </c>
      <c r="F25" s="13" t="s">
        <v>80</v>
      </c>
      <c r="G25" s="13">
        <v>0</v>
      </c>
      <c r="H25" s="13">
        <v>0</v>
      </c>
      <c r="I25" s="13">
        <v>0</v>
      </c>
      <c r="J25" s="13">
        <v>0</v>
      </c>
      <c r="K25" s="14">
        <v>0</v>
      </c>
      <c r="L25" s="13">
        <v>1.2231200000000001E-3</v>
      </c>
      <c r="M25" s="13">
        <v>5.9690250000000002E-3</v>
      </c>
      <c r="N25" s="13">
        <v>1.7796614999999998E-2</v>
      </c>
      <c r="O25" s="13">
        <v>3.2092835E-2</v>
      </c>
      <c r="P25" s="13">
        <v>5.0446364E-2</v>
      </c>
      <c r="Q25" s="13">
        <v>6.6762230000000006E-2</v>
      </c>
      <c r="R25" s="11" t="s">
        <v>78</v>
      </c>
    </row>
    <row r="26" spans="1:18">
      <c r="A26" s="13" t="s">
        <v>364</v>
      </c>
      <c r="B26" s="13" t="s">
        <v>1</v>
      </c>
      <c r="C26" s="13" t="s">
        <v>32</v>
      </c>
      <c r="D26" s="13" t="s">
        <v>38</v>
      </c>
      <c r="E26" s="13" t="s">
        <v>5</v>
      </c>
      <c r="F26" s="13" t="s">
        <v>38</v>
      </c>
      <c r="G26" s="13">
        <v>1.29474E-2</v>
      </c>
      <c r="H26" s="13">
        <v>5.6549799999999997E-2</v>
      </c>
      <c r="I26" s="13">
        <v>6.2802300000000005E-2</v>
      </c>
      <c r="J26" s="13">
        <v>5.6310399999999997E-2</v>
      </c>
      <c r="K26" s="13">
        <v>5.8021499999999997E-2</v>
      </c>
      <c r="L26" s="13">
        <v>6.6831589999999996E-2</v>
      </c>
      <c r="M26" s="13">
        <v>7.7800709999999995E-2</v>
      </c>
      <c r="N26" s="13">
        <v>7.7515199999999895E-2</v>
      </c>
      <c r="O26" s="13">
        <v>8.014694E-2</v>
      </c>
      <c r="P26" s="13">
        <v>8.6723700000000001E-2</v>
      </c>
      <c r="Q26" s="13">
        <v>9.6023059999999993E-2</v>
      </c>
      <c r="R26" s="11" t="s">
        <v>78</v>
      </c>
    </row>
    <row r="27" spans="1:18">
      <c r="A27" s="13" t="s">
        <v>364</v>
      </c>
      <c r="B27" s="13" t="s">
        <v>1</v>
      </c>
      <c r="C27" s="13" t="s">
        <v>32</v>
      </c>
      <c r="D27" s="13" t="s">
        <v>38</v>
      </c>
      <c r="E27" s="13" t="s">
        <v>6</v>
      </c>
      <c r="F27" s="13" t="s">
        <v>38</v>
      </c>
      <c r="G27" s="13">
        <v>6.9363999999999997E-3</v>
      </c>
      <c r="H27" s="13">
        <v>4.4173499999999996E-3</v>
      </c>
      <c r="I27" s="13">
        <v>2.1278400000000002E-3</v>
      </c>
      <c r="J27" s="14">
        <v>7.5047999999999998E-4</v>
      </c>
      <c r="K27" s="14">
        <v>7.7328599999999998E-4</v>
      </c>
      <c r="L27" s="14">
        <v>8.9070199999999897E-4</v>
      </c>
      <c r="M27" s="14">
        <v>1.0368928E-3</v>
      </c>
      <c r="N27" s="13">
        <v>1.0330883999999901E-3</v>
      </c>
      <c r="O27" s="13">
        <v>1.0681629E-3</v>
      </c>
      <c r="P27" s="13">
        <v>1.1558164E-3</v>
      </c>
      <c r="Q27" s="13">
        <v>1.279753E-3</v>
      </c>
      <c r="R27" s="11" t="s">
        <v>78</v>
      </c>
    </row>
    <row r="28" spans="1:18">
      <c r="R28" s="11"/>
    </row>
    <row r="29" spans="1:18">
      <c r="K29" s="2"/>
      <c r="R29" s="11"/>
    </row>
    <row r="30" spans="1:18">
      <c r="R30" s="11"/>
    </row>
    <row r="31" spans="1:18">
      <c r="J31" s="2"/>
      <c r="K31" s="2"/>
      <c r="L31" s="2"/>
      <c r="R31" s="11"/>
    </row>
    <row r="33" spans="1:23">
      <c r="A33" s="1" t="s">
        <v>55</v>
      </c>
      <c r="T33" s="1" t="s">
        <v>74</v>
      </c>
    </row>
    <row r="34" spans="1:23">
      <c r="A34" t="s">
        <v>8</v>
      </c>
      <c r="B34" t="s">
        <v>9</v>
      </c>
      <c r="F34" t="s">
        <v>10</v>
      </c>
      <c r="G34" s="7">
        <v>2015</v>
      </c>
      <c r="H34">
        <v>2020</v>
      </c>
      <c r="I34">
        <v>2025</v>
      </c>
      <c r="J34">
        <v>2030</v>
      </c>
      <c r="K34">
        <v>2035</v>
      </c>
      <c r="L34">
        <v>2040</v>
      </c>
      <c r="M34">
        <v>2045</v>
      </c>
      <c r="N34">
        <v>2050</v>
      </c>
      <c r="U34">
        <v>2005</v>
      </c>
      <c r="V34">
        <v>2010</v>
      </c>
      <c r="W34">
        <v>2015</v>
      </c>
    </row>
    <row r="35" spans="1:23">
      <c r="A35" t="s">
        <v>0</v>
      </c>
      <c r="B35" t="s">
        <v>2</v>
      </c>
      <c r="E35" t="s">
        <v>37</v>
      </c>
      <c r="F35" t="s">
        <v>44</v>
      </c>
      <c r="G35" s="8">
        <f t="shared" ref="G35:G43" si="0">SUMIF($F$3:$F$31,$E35,J$3:J$31)</f>
        <v>0</v>
      </c>
      <c r="H35" s="8">
        <f t="shared" ref="H35:H43" si="1">SUMIF($F$3:$F$31,$E35,K$3:K$31)</f>
        <v>0</v>
      </c>
      <c r="I35" s="8">
        <f t="shared" ref="I35:I43" si="2">SUMIF($F$3:$F$31,$E35,L$3:L$31)</f>
        <v>2.8178450000000001E-2</v>
      </c>
      <c r="J35" s="8">
        <f t="shared" ref="J35:J43" si="3">SUMIF($F$3:$F$31,$E35,M$3:M$31)</f>
        <v>0.1051035</v>
      </c>
      <c r="K35" s="8">
        <f t="shared" ref="K35:K43" si="4">SUMIF($F$3:$F$31,$E35,N$3:N$31)</f>
        <v>0.20534122999999999</v>
      </c>
      <c r="L35" s="8">
        <f t="shared" ref="L35:L43" si="5">SUMIF($F$3:$F$31,$E35,O$3:O$31)</f>
        <v>0.30163655</v>
      </c>
      <c r="M35" s="8">
        <f t="shared" ref="M35:M43" si="6">SUMIF($F$3:$F$31,$E35,P$3:P$31)</f>
        <v>0.41679476999999998</v>
      </c>
      <c r="N35" s="8">
        <f t="shared" ref="N35:N43" si="7">SUMIF($F$3:$F$31,$E35,Q$3:Q$31)</f>
        <v>0.52711050999999898</v>
      </c>
      <c r="T35" t="s">
        <v>12</v>
      </c>
      <c r="V35">
        <v>0</v>
      </c>
      <c r="W35">
        <v>0</v>
      </c>
    </row>
    <row r="36" spans="1:23">
      <c r="A36" t="s">
        <v>0</v>
      </c>
      <c r="B36" t="s">
        <v>5</v>
      </c>
      <c r="E36" t="s">
        <v>45</v>
      </c>
      <c r="F36" t="s">
        <v>45</v>
      </c>
      <c r="G36" s="8">
        <f t="shared" si="0"/>
        <v>0</v>
      </c>
      <c r="H36" s="8">
        <f t="shared" si="1"/>
        <v>0</v>
      </c>
      <c r="I36" s="8">
        <f t="shared" si="2"/>
        <v>0</v>
      </c>
      <c r="J36" s="8">
        <f t="shared" si="3"/>
        <v>0</v>
      </c>
      <c r="K36" s="8">
        <f t="shared" si="4"/>
        <v>0</v>
      </c>
      <c r="L36" s="8">
        <f t="shared" si="5"/>
        <v>0</v>
      </c>
      <c r="M36" s="8">
        <f t="shared" si="6"/>
        <v>0</v>
      </c>
      <c r="N36" s="8">
        <f t="shared" si="7"/>
        <v>0</v>
      </c>
      <c r="T36" t="s">
        <v>17</v>
      </c>
      <c r="V36">
        <v>0.10709373852000001</v>
      </c>
      <c r="W36">
        <v>0.1308375</v>
      </c>
    </row>
    <row r="37" spans="1:23">
      <c r="A37" t="s">
        <v>0</v>
      </c>
      <c r="B37" t="s">
        <v>3</v>
      </c>
      <c r="E37" t="s">
        <v>38</v>
      </c>
      <c r="F37" t="s">
        <v>48</v>
      </c>
      <c r="G37" s="8">
        <f t="shared" si="0"/>
        <v>5.7060879999999994E-2</v>
      </c>
      <c r="H37" s="8">
        <f t="shared" si="1"/>
        <v>5.8794785999999995E-2</v>
      </c>
      <c r="I37" s="8">
        <f t="shared" si="2"/>
        <v>6.7722291999999989E-2</v>
      </c>
      <c r="J37" s="8">
        <f t="shared" si="3"/>
        <v>7.883760279999999E-2</v>
      </c>
      <c r="K37" s="8">
        <f t="shared" si="4"/>
        <v>7.8548288399999888E-2</v>
      </c>
      <c r="L37" s="8">
        <f t="shared" si="5"/>
        <v>8.1215102900000002E-2</v>
      </c>
      <c r="M37" s="8">
        <f t="shared" si="6"/>
        <v>8.7879516399999996E-2</v>
      </c>
      <c r="N37" s="8">
        <f t="shared" si="7"/>
        <v>9.7302812999999988E-2</v>
      </c>
      <c r="T37" t="s">
        <v>13</v>
      </c>
      <c r="V37">
        <v>0</v>
      </c>
      <c r="W37">
        <v>0</v>
      </c>
    </row>
    <row r="38" spans="1:23">
      <c r="A38" t="s">
        <v>0</v>
      </c>
      <c r="B38" t="s">
        <v>7</v>
      </c>
      <c r="E38" t="s">
        <v>80</v>
      </c>
      <c r="F38" t="s">
        <v>46</v>
      </c>
      <c r="G38" s="8">
        <f t="shared" si="0"/>
        <v>0</v>
      </c>
      <c r="H38" s="8">
        <f t="shared" si="1"/>
        <v>0</v>
      </c>
      <c r="I38" s="8">
        <f t="shared" si="2"/>
        <v>2.6902708999999997E-3</v>
      </c>
      <c r="J38" s="8">
        <f t="shared" si="3"/>
        <v>1.3128966000000001E-2</v>
      </c>
      <c r="K38" s="8">
        <f t="shared" si="4"/>
        <v>3.9144024899999998E-2</v>
      </c>
      <c r="L38" s="8">
        <f t="shared" si="5"/>
        <v>7.058860489999999E-2</v>
      </c>
      <c r="M38" s="8">
        <f t="shared" si="6"/>
        <v>0.1109575371</v>
      </c>
      <c r="N38" s="8">
        <f t="shared" si="7"/>
        <v>0.14684482500000001</v>
      </c>
      <c r="T38" t="s">
        <v>15</v>
      </c>
      <c r="V38">
        <v>8.6740447679999999E-2</v>
      </c>
      <c r="W38">
        <v>9.1896073199999997E-2</v>
      </c>
    </row>
    <row r="39" spans="1:23">
      <c r="A39" t="s">
        <v>0</v>
      </c>
      <c r="B39" t="s">
        <v>4</v>
      </c>
      <c r="E39" t="s">
        <v>36</v>
      </c>
      <c r="F39" t="s">
        <v>47</v>
      </c>
      <c r="G39" s="8">
        <f t="shared" si="0"/>
        <v>0.14023903999999998</v>
      </c>
      <c r="H39" s="8">
        <f t="shared" si="1"/>
        <v>0.1628831699999998</v>
      </c>
      <c r="I39" s="8">
        <f t="shared" si="2"/>
        <v>0.21823103699999999</v>
      </c>
      <c r="J39" s="8">
        <f t="shared" si="3"/>
        <v>0.28868791699999996</v>
      </c>
      <c r="K39" s="8">
        <f t="shared" si="4"/>
        <v>0.362240906999998</v>
      </c>
      <c r="L39" s="8">
        <f t="shared" si="5"/>
        <v>0.35880143399999997</v>
      </c>
      <c r="M39" s="8">
        <f t="shared" si="6"/>
        <v>0.29523235700000006</v>
      </c>
      <c r="N39" s="8">
        <f t="shared" si="7"/>
        <v>0.2068611209999999</v>
      </c>
      <c r="T39" t="s">
        <v>14</v>
      </c>
      <c r="V39">
        <v>3.7206416880000003E-2</v>
      </c>
      <c r="W39">
        <v>2.5623216000000001E-2</v>
      </c>
    </row>
    <row r="40" spans="1:23">
      <c r="A40" t="s">
        <v>26</v>
      </c>
      <c r="E40" t="s">
        <v>34</v>
      </c>
      <c r="F40" t="s">
        <v>53</v>
      </c>
      <c r="G40" s="8">
        <f t="shared" si="0"/>
        <v>0</v>
      </c>
      <c r="H40" s="8">
        <f t="shared" si="1"/>
        <v>0</v>
      </c>
      <c r="I40" s="8">
        <f t="shared" si="2"/>
        <v>1.9200017600000002E-3</v>
      </c>
      <c r="J40" s="8">
        <f t="shared" si="3"/>
        <v>9.7184138099999911E-3</v>
      </c>
      <c r="K40" s="8">
        <f t="shared" si="4"/>
        <v>2.4078359203999995E-2</v>
      </c>
      <c r="L40" s="8">
        <f t="shared" si="5"/>
        <v>3.4140559471999989E-2</v>
      </c>
      <c r="M40" s="8">
        <f t="shared" si="6"/>
        <v>2.9011586047999999E-2</v>
      </c>
      <c r="N40" s="8">
        <f t="shared" si="7"/>
        <v>1.6341790885999991E-2</v>
      </c>
      <c r="T40" t="s">
        <v>30</v>
      </c>
      <c r="V40">
        <v>0.68788077300000006</v>
      </c>
      <c r="W40">
        <v>0.98157851280000008</v>
      </c>
    </row>
    <row r="41" spans="1:23">
      <c r="A41" t="s">
        <v>27</v>
      </c>
      <c r="B41" t="s">
        <v>6</v>
      </c>
      <c r="E41" t="s">
        <v>79</v>
      </c>
      <c r="F41" t="s">
        <v>49</v>
      </c>
      <c r="G41" s="8">
        <f t="shared" si="0"/>
        <v>0</v>
      </c>
      <c r="H41" s="8">
        <f t="shared" si="1"/>
        <v>0</v>
      </c>
      <c r="I41" s="8">
        <f t="shared" si="2"/>
        <v>1.3698242165E-3</v>
      </c>
      <c r="J41" s="8">
        <f t="shared" si="3"/>
        <v>1.2709571474699999E-2</v>
      </c>
      <c r="K41" s="8">
        <f t="shared" si="4"/>
        <v>4.6971662031699994E-2</v>
      </c>
      <c r="L41" s="8">
        <f t="shared" si="5"/>
        <v>9.0588312880999999E-2</v>
      </c>
      <c r="M41" s="8">
        <f t="shared" si="6"/>
        <v>0.13211360276799999</v>
      </c>
      <c r="N41" s="8">
        <f t="shared" si="7"/>
        <v>0.12330138241699899</v>
      </c>
      <c r="T41" t="s">
        <v>16</v>
      </c>
      <c r="V41">
        <v>8.2701860400000004E-3</v>
      </c>
      <c r="W41">
        <v>1.6579728E-3</v>
      </c>
    </row>
    <row r="42" spans="1:23">
      <c r="A42" t="s">
        <v>28</v>
      </c>
      <c r="E42" t="s">
        <v>33</v>
      </c>
      <c r="F42" t="s">
        <v>50</v>
      </c>
      <c r="G42" s="8">
        <f t="shared" si="0"/>
        <v>0.91990454999999993</v>
      </c>
      <c r="H42" s="8">
        <f t="shared" si="1"/>
        <v>1.0283144861</v>
      </c>
      <c r="I42" s="8">
        <f t="shared" si="2"/>
        <v>0.99134776739999997</v>
      </c>
      <c r="J42" s="8">
        <f t="shared" si="3"/>
        <v>0.79324112092999999</v>
      </c>
      <c r="K42" s="8">
        <f t="shared" si="4"/>
        <v>0.51544075536999989</v>
      </c>
      <c r="L42" s="8">
        <f t="shared" si="5"/>
        <v>0.30240965150999999</v>
      </c>
      <c r="M42" s="8">
        <f t="shared" si="6"/>
        <v>0.131169133824</v>
      </c>
      <c r="N42" s="8">
        <f t="shared" si="7"/>
        <v>3.7392232855099995E-2</v>
      </c>
      <c r="T42" t="s">
        <v>31</v>
      </c>
      <c r="V42">
        <v>4.6599084000000006E-4</v>
      </c>
      <c r="W42">
        <v>4.8985559999999997E-4</v>
      </c>
    </row>
    <row r="43" spans="1:23">
      <c r="A43" s="3" t="s">
        <v>29</v>
      </c>
      <c r="B43" s="3"/>
      <c r="C43" s="3"/>
      <c r="D43" s="3"/>
      <c r="E43" t="s">
        <v>35</v>
      </c>
      <c r="F43" t="s">
        <v>51</v>
      </c>
      <c r="G43" s="8">
        <f t="shared" si="0"/>
        <v>0</v>
      </c>
      <c r="H43" s="8">
        <f t="shared" si="1"/>
        <v>0</v>
      </c>
      <c r="I43" s="8">
        <f t="shared" si="2"/>
        <v>0</v>
      </c>
      <c r="J43" s="8">
        <f t="shared" si="3"/>
        <v>0</v>
      </c>
      <c r="K43" s="8">
        <f t="shared" si="4"/>
        <v>0</v>
      </c>
      <c r="L43" s="8">
        <f t="shared" si="5"/>
        <v>0</v>
      </c>
      <c r="M43" s="8">
        <f t="shared" si="6"/>
        <v>0</v>
      </c>
      <c r="N43" s="8">
        <f t="shared" si="7"/>
        <v>0</v>
      </c>
    </row>
    <row r="44" spans="1:23">
      <c r="T44" t="s">
        <v>75</v>
      </c>
    </row>
    <row r="51" spans="1:3">
      <c r="A51" s="1"/>
    </row>
    <row r="61" spans="1:3">
      <c r="A61" s="3"/>
      <c r="B61" s="3"/>
      <c r="C61" s="3"/>
    </row>
  </sheetData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28A1-B718-4A0A-8035-BE01D7E5D896}">
  <sheetPr codeName="Sheet26"/>
  <dimension ref="A1:W61"/>
  <sheetViews>
    <sheetView zoomScale="55" zoomScaleNormal="55" workbookViewId="0">
      <selection activeCell="A3" sqref="A3:Q27"/>
    </sheetView>
  </sheetViews>
  <sheetFormatPr defaultColWidth="8.69921875" defaultRowHeight="17.399999999999999"/>
  <cols>
    <col min="1" max="3" width="8.69921875" style="13"/>
    <col min="4" max="4" width="14.19921875" style="13" bestFit="1" customWidth="1"/>
    <col min="5" max="5" width="23.59765625" style="13" bestFit="1" customWidth="1"/>
    <col min="6" max="6" width="24.5" style="13" bestFit="1" customWidth="1"/>
    <col min="7" max="16384" width="8.69921875" style="13"/>
  </cols>
  <sheetData>
    <row r="1" spans="1:18">
      <c r="A1" s="1" t="s">
        <v>54</v>
      </c>
    </row>
    <row r="2" spans="1:18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  <c r="R2" s="23" t="s">
        <v>76</v>
      </c>
    </row>
    <row r="3" spans="1:18">
      <c r="A3" s="13" t="s">
        <v>363</v>
      </c>
      <c r="B3" s="13" t="s">
        <v>1</v>
      </c>
      <c r="C3" s="13" t="s">
        <v>32</v>
      </c>
      <c r="D3" s="13" t="s">
        <v>33</v>
      </c>
      <c r="E3" s="13" t="s">
        <v>2</v>
      </c>
      <c r="F3" s="13" t="s">
        <v>34</v>
      </c>
      <c r="G3" s="13">
        <v>0</v>
      </c>
      <c r="H3" s="13">
        <v>0</v>
      </c>
      <c r="I3" s="13">
        <v>0</v>
      </c>
      <c r="J3" s="13">
        <v>0</v>
      </c>
      <c r="K3" s="14">
        <v>0</v>
      </c>
      <c r="L3" s="14">
        <v>3.6154500000000001E-4</v>
      </c>
      <c r="M3" s="13">
        <v>1.6756049999999999E-3</v>
      </c>
      <c r="N3" s="13">
        <v>4.0908109999999998E-3</v>
      </c>
      <c r="O3" s="13">
        <v>5.63464309999999E-3</v>
      </c>
      <c r="P3" s="14">
        <v>4.7174840000000001E-3</v>
      </c>
      <c r="Q3" s="14">
        <v>2.596302E-3</v>
      </c>
      <c r="R3" s="23" t="s">
        <v>78</v>
      </c>
    </row>
    <row r="4" spans="1:18">
      <c r="A4" s="13" t="s">
        <v>363</v>
      </c>
      <c r="B4" s="13" t="s">
        <v>1</v>
      </c>
      <c r="C4" s="13" t="s">
        <v>32</v>
      </c>
      <c r="D4" s="13" t="s">
        <v>33</v>
      </c>
      <c r="E4" s="13" t="s">
        <v>4</v>
      </c>
      <c r="F4" s="13" t="s">
        <v>33</v>
      </c>
      <c r="G4" s="13">
        <v>0.230465</v>
      </c>
      <c r="H4" s="13">
        <v>0</v>
      </c>
      <c r="I4" s="13">
        <v>0</v>
      </c>
      <c r="J4" s="13">
        <v>0.82835599999999998</v>
      </c>
      <c r="K4" s="14">
        <v>0.92597700000000005</v>
      </c>
      <c r="L4" s="13">
        <v>0.89325399999999999</v>
      </c>
      <c r="M4" s="13">
        <v>0.69538999999999995</v>
      </c>
      <c r="N4" s="13">
        <v>0.43975129999999901</v>
      </c>
      <c r="O4" s="13">
        <v>0.25185839999999998</v>
      </c>
      <c r="P4" s="13">
        <v>0.10693824</v>
      </c>
      <c r="Q4" s="13">
        <v>2.9708443000000001E-2</v>
      </c>
      <c r="R4" s="23" t="s">
        <v>78</v>
      </c>
    </row>
    <row r="5" spans="1:18">
      <c r="A5" s="13" t="s">
        <v>363</v>
      </c>
      <c r="B5" s="13" t="s">
        <v>1</v>
      </c>
      <c r="C5" s="13" t="s">
        <v>32</v>
      </c>
      <c r="D5" s="13" t="s">
        <v>33</v>
      </c>
      <c r="E5" s="13" t="s">
        <v>4</v>
      </c>
      <c r="F5" s="13" t="s">
        <v>79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1.2234699999999999E-3</v>
      </c>
      <c r="M5" s="13">
        <v>9.9307479999999997E-3</v>
      </c>
      <c r="N5" s="13">
        <v>3.4963916999999997E-2</v>
      </c>
      <c r="O5" s="13">
        <v>6.4702424999999994E-2</v>
      </c>
      <c r="P5" s="13">
        <v>9.2168589999999995E-2</v>
      </c>
      <c r="Q5" s="13">
        <v>8.4531339999999996E-2</v>
      </c>
      <c r="R5" s="23" t="s">
        <v>78</v>
      </c>
    </row>
    <row r="6" spans="1:18">
      <c r="A6" s="13" t="s">
        <v>363</v>
      </c>
      <c r="B6" s="13" t="s">
        <v>1</v>
      </c>
      <c r="C6" s="13" t="s">
        <v>32</v>
      </c>
      <c r="D6" s="13" t="s">
        <v>33</v>
      </c>
      <c r="E6" s="13" t="s">
        <v>4</v>
      </c>
      <c r="F6" s="13" t="s">
        <v>34</v>
      </c>
      <c r="G6" s="13">
        <v>0</v>
      </c>
      <c r="H6" s="13">
        <v>0</v>
      </c>
      <c r="I6" s="13">
        <v>0</v>
      </c>
      <c r="J6" s="13">
        <v>0</v>
      </c>
      <c r="K6" s="14">
        <v>0</v>
      </c>
      <c r="L6" s="13">
        <v>1.4968500000000001E-3</v>
      </c>
      <c r="M6" s="13">
        <v>6.9372099999999897E-3</v>
      </c>
      <c r="N6" s="13">
        <v>1.6936501999999999E-2</v>
      </c>
      <c r="O6" s="13">
        <v>2.33281539999999E-2</v>
      </c>
      <c r="P6" s="13">
        <v>1.9531030000000001E-2</v>
      </c>
      <c r="Q6" s="13">
        <v>1.07490419999999E-2</v>
      </c>
      <c r="R6" s="23" t="s">
        <v>78</v>
      </c>
    </row>
    <row r="7" spans="1:18">
      <c r="A7" s="13" t="s">
        <v>363</v>
      </c>
      <c r="B7" s="13" t="s">
        <v>1</v>
      </c>
      <c r="C7" s="13" t="s">
        <v>32</v>
      </c>
      <c r="D7" s="13" t="s">
        <v>33</v>
      </c>
      <c r="E7" s="13" t="s">
        <v>5</v>
      </c>
      <c r="F7" s="13" t="s">
        <v>33</v>
      </c>
      <c r="G7" s="13">
        <v>1.2258E-2</v>
      </c>
      <c r="H7" s="13">
        <v>5.09463E-2</v>
      </c>
      <c r="I7" s="13">
        <v>6.1189E-2</v>
      </c>
      <c r="J7" s="13">
        <v>9.1281799999999996E-2</v>
      </c>
      <c r="K7" s="14">
        <v>0.1020393</v>
      </c>
      <c r="L7" s="13">
        <v>9.8433300000000001E-2</v>
      </c>
      <c r="M7" s="13">
        <v>7.6629500000000003E-2</v>
      </c>
      <c r="N7" s="13">
        <v>4.8459040000000002E-2</v>
      </c>
      <c r="O7" s="13">
        <v>2.775393E-2</v>
      </c>
      <c r="P7" s="13">
        <v>1.1784203E-2</v>
      </c>
      <c r="Q7" s="14">
        <v>3.273766E-3</v>
      </c>
      <c r="R7" s="23" t="s">
        <v>78</v>
      </c>
    </row>
    <row r="8" spans="1:18">
      <c r="A8" s="13" t="s">
        <v>363</v>
      </c>
      <c r="B8" s="13" t="s">
        <v>1</v>
      </c>
      <c r="C8" s="13" t="s">
        <v>32</v>
      </c>
      <c r="D8" s="13" t="s">
        <v>33</v>
      </c>
      <c r="E8" s="13" t="s">
        <v>5</v>
      </c>
      <c r="F8" s="13" t="s">
        <v>79</v>
      </c>
      <c r="G8" s="13">
        <v>0</v>
      </c>
      <c r="H8" s="13">
        <v>0</v>
      </c>
      <c r="I8" s="13">
        <v>0</v>
      </c>
      <c r="J8" s="13">
        <v>0</v>
      </c>
      <c r="K8" s="14">
        <v>0</v>
      </c>
      <c r="L8" s="14">
        <v>1.3482199999999999E-4</v>
      </c>
      <c r="M8" s="14">
        <v>1.0943330000000001E-3</v>
      </c>
      <c r="N8" s="14">
        <v>3.8528948000000002E-3</v>
      </c>
      <c r="O8" s="14">
        <v>7.1299761000000001E-3</v>
      </c>
      <c r="P8" s="14">
        <v>1.01566449999999E-2</v>
      </c>
      <c r="Q8" s="14">
        <v>9.3150630000000002E-3</v>
      </c>
      <c r="R8" s="23" t="s">
        <v>78</v>
      </c>
    </row>
    <row r="9" spans="1:18">
      <c r="A9" s="13" t="s">
        <v>363</v>
      </c>
      <c r="B9" s="13" t="s">
        <v>1</v>
      </c>
      <c r="C9" s="13" t="s">
        <v>32</v>
      </c>
      <c r="D9" s="13" t="s">
        <v>33</v>
      </c>
      <c r="E9" s="13" t="s">
        <v>5</v>
      </c>
      <c r="F9" s="13" t="s">
        <v>34</v>
      </c>
      <c r="G9" s="13">
        <v>0</v>
      </c>
      <c r="H9" s="13">
        <v>0</v>
      </c>
      <c r="I9" s="13">
        <v>0</v>
      </c>
      <c r="J9" s="13">
        <v>0</v>
      </c>
      <c r="K9" s="14">
        <v>0</v>
      </c>
      <c r="L9" s="14">
        <v>6.0080400000000002E-5</v>
      </c>
      <c r="M9" s="14">
        <v>2.784458E-4</v>
      </c>
      <c r="N9" s="14">
        <v>6.7979809999999896E-4</v>
      </c>
      <c r="O9" s="14">
        <v>9.3634540000000002E-4</v>
      </c>
      <c r="P9" s="14">
        <v>7.839349E-4</v>
      </c>
      <c r="Q9" s="14">
        <v>4.314446E-4</v>
      </c>
      <c r="R9" s="23" t="s">
        <v>78</v>
      </c>
    </row>
    <row r="10" spans="1:18">
      <c r="A10" s="13" t="s">
        <v>363</v>
      </c>
      <c r="B10" s="13" t="s">
        <v>1</v>
      </c>
      <c r="C10" s="13" t="s">
        <v>32</v>
      </c>
      <c r="D10" s="13" t="s">
        <v>33</v>
      </c>
      <c r="E10" s="13" t="s">
        <v>6</v>
      </c>
      <c r="F10" s="13" t="s">
        <v>33</v>
      </c>
      <c r="G10" s="14">
        <v>3.2850000000000002E-4</v>
      </c>
      <c r="H10" s="14">
        <v>2.0024999999999999E-4</v>
      </c>
      <c r="I10" s="14">
        <v>1.0230000000000001E-4</v>
      </c>
      <c r="J10" s="14">
        <v>6.3050000000000001E-5</v>
      </c>
      <c r="K10" s="14">
        <v>7.0480399999999895E-5</v>
      </c>
      <c r="L10" s="14">
        <v>6.7989699999999997E-5</v>
      </c>
      <c r="M10" s="14">
        <v>5.2929319999999901E-5</v>
      </c>
      <c r="N10" s="14">
        <v>3.3471420000000001E-5</v>
      </c>
      <c r="O10" s="14">
        <v>1.9170109999999999E-5</v>
      </c>
      <c r="P10" s="14">
        <v>8.1395739999999997E-6</v>
      </c>
      <c r="Q10" s="14">
        <v>2.2612453000000001E-6</v>
      </c>
      <c r="R10" s="23" t="s">
        <v>78</v>
      </c>
    </row>
    <row r="11" spans="1:18">
      <c r="A11" s="13" t="s">
        <v>363</v>
      </c>
      <c r="B11" s="13" t="s">
        <v>1</v>
      </c>
      <c r="C11" s="13" t="s">
        <v>32</v>
      </c>
      <c r="D11" s="13" t="s">
        <v>33</v>
      </c>
      <c r="E11" s="13" t="s">
        <v>6</v>
      </c>
      <c r="F11" s="13" t="s">
        <v>79</v>
      </c>
      <c r="G11" s="13">
        <v>0</v>
      </c>
      <c r="H11" s="13">
        <v>0</v>
      </c>
      <c r="I11" s="13">
        <v>0</v>
      </c>
      <c r="J11" s="13">
        <v>0</v>
      </c>
      <c r="K11" s="14">
        <v>0</v>
      </c>
      <c r="L11" s="14">
        <v>9.3124200000000005E-8</v>
      </c>
      <c r="M11" s="14">
        <v>7.5587580000000003E-7</v>
      </c>
      <c r="N11" s="14">
        <v>2.6612635999999999E-6</v>
      </c>
      <c r="O11" s="14">
        <v>4.9247916999999998E-6</v>
      </c>
      <c r="P11" s="14">
        <v>7.0153709999999996E-6</v>
      </c>
      <c r="Q11" s="14">
        <v>6.4340779999999998E-6</v>
      </c>
      <c r="R11" s="23" t="s">
        <v>78</v>
      </c>
    </row>
    <row r="12" spans="1:18">
      <c r="A12" s="13" t="s">
        <v>363</v>
      </c>
      <c r="B12" s="13" t="s">
        <v>1</v>
      </c>
      <c r="C12" s="13" t="s">
        <v>32</v>
      </c>
      <c r="D12" s="13" t="s">
        <v>33</v>
      </c>
      <c r="E12" s="13" t="s">
        <v>6</v>
      </c>
      <c r="F12" s="13" t="s">
        <v>34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1.0959599999999999E-6</v>
      </c>
      <c r="M12" s="14">
        <v>5.079269E-6</v>
      </c>
      <c r="N12" s="14">
        <v>1.2400541E-5</v>
      </c>
      <c r="O12" s="14">
        <v>1.7080357999999998E-5</v>
      </c>
      <c r="P12" s="14">
        <v>1.43001699999999E-5</v>
      </c>
      <c r="Q12" s="14">
        <v>7.8702010000000007E-6</v>
      </c>
      <c r="R12" s="23" t="s">
        <v>78</v>
      </c>
    </row>
    <row r="13" spans="1:18">
      <c r="A13" s="13" t="s">
        <v>363</v>
      </c>
      <c r="B13" s="13" t="s">
        <v>1</v>
      </c>
      <c r="C13" s="13" t="s">
        <v>32</v>
      </c>
      <c r="D13" s="13" t="s">
        <v>33</v>
      </c>
      <c r="E13" s="13" t="s">
        <v>7</v>
      </c>
      <c r="F13" s="13" t="s">
        <v>33</v>
      </c>
      <c r="G13" s="13">
        <v>0</v>
      </c>
      <c r="H13" s="14">
        <v>6.6749999999999996E-5</v>
      </c>
      <c r="I13" s="14">
        <v>1.2957999999999999E-4</v>
      </c>
      <c r="J13" s="14">
        <v>2.0369999999999999E-4</v>
      </c>
      <c r="K13" s="14">
        <v>2.277057E-4</v>
      </c>
      <c r="L13" s="14">
        <v>2.1965879999999999E-4</v>
      </c>
      <c r="M13" s="14">
        <v>1.7100239999999999E-4</v>
      </c>
      <c r="N13" s="14">
        <v>1.081387E-4</v>
      </c>
      <c r="O13" s="14">
        <v>6.1934209999999995E-5</v>
      </c>
      <c r="P13" s="14">
        <v>2.629706E-5</v>
      </c>
      <c r="Q13" s="14">
        <v>7.3055499999999999E-6</v>
      </c>
      <c r="R13" s="23" t="s">
        <v>78</v>
      </c>
    </row>
    <row r="14" spans="1:18">
      <c r="A14" s="13" t="s">
        <v>363</v>
      </c>
      <c r="B14" s="13" t="s">
        <v>1</v>
      </c>
      <c r="C14" s="13" t="s">
        <v>32</v>
      </c>
      <c r="D14" s="13" t="s">
        <v>33</v>
      </c>
      <c r="E14" s="13" t="s">
        <v>7</v>
      </c>
      <c r="F14" s="13" t="s">
        <v>79</v>
      </c>
      <c r="G14" s="13">
        <v>0</v>
      </c>
      <c r="H14" s="13">
        <v>0</v>
      </c>
      <c r="I14" s="13">
        <v>0</v>
      </c>
      <c r="J14" s="13">
        <v>0</v>
      </c>
      <c r="K14" s="14">
        <v>0</v>
      </c>
      <c r="L14" s="14">
        <v>3.0086299999999999E-7</v>
      </c>
      <c r="M14" s="14">
        <v>2.44205699999999E-6</v>
      </c>
      <c r="N14" s="14">
        <v>8.5979320000000003E-6</v>
      </c>
      <c r="O14" s="14">
        <v>1.5910881600000001E-5</v>
      </c>
      <c r="P14" s="14">
        <v>2.2665083000000001E-5</v>
      </c>
      <c r="Q14" s="14">
        <v>2.0787020000000001E-5</v>
      </c>
      <c r="R14" s="23" t="s">
        <v>78</v>
      </c>
    </row>
    <row r="15" spans="1:18">
      <c r="A15" s="13" t="s">
        <v>363</v>
      </c>
      <c r="B15" s="13" t="s">
        <v>1</v>
      </c>
      <c r="C15" s="13" t="s">
        <v>32</v>
      </c>
      <c r="D15" s="13" t="s">
        <v>33</v>
      </c>
      <c r="E15" s="13" t="s">
        <v>7</v>
      </c>
      <c r="F15" s="13" t="s">
        <v>34</v>
      </c>
      <c r="G15" s="13">
        <v>0</v>
      </c>
      <c r="H15" s="13">
        <v>0</v>
      </c>
      <c r="I15" s="13">
        <v>0</v>
      </c>
      <c r="J15" s="13">
        <v>0</v>
      </c>
      <c r="K15" s="14">
        <v>0</v>
      </c>
      <c r="L15" s="14">
        <v>1.0959599999999999E-6</v>
      </c>
      <c r="M15" s="14">
        <v>5.079269E-6</v>
      </c>
      <c r="N15" s="14">
        <v>1.2400541E-5</v>
      </c>
      <c r="O15" s="14">
        <v>1.7080357999999998E-5</v>
      </c>
      <c r="P15" s="14">
        <v>1.43001699999999E-5</v>
      </c>
      <c r="Q15" s="14">
        <v>7.8702010000000007E-6</v>
      </c>
      <c r="R15" s="23" t="s">
        <v>78</v>
      </c>
    </row>
    <row r="16" spans="1:18">
      <c r="A16" s="13" t="s">
        <v>363</v>
      </c>
      <c r="B16" s="13" t="s">
        <v>1</v>
      </c>
      <c r="C16" s="13" t="s">
        <v>32</v>
      </c>
      <c r="D16" s="13" t="s">
        <v>36</v>
      </c>
      <c r="E16" s="13" t="s">
        <v>2</v>
      </c>
      <c r="F16" s="13" t="s">
        <v>37</v>
      </c>
      <c r="G16" s="13">
        <v>0</v>
      </c>
      <c r="H16" s="14">
        <v>0</v>
      </c>
      <c r="I16" s="14">
        <v>0</v>
      </c>
      <c r="J16" s="14">
        <v>0</v>
      </c>
      <c r="K16" s="14">
        <v>0</v>
      </c>
      <c r="L16" s="14">
        <v>2.1402399999999999E-2</v>
      </c>
      <c r="M16" s="14">
        <v>7.2678400000000004E-2</v>
      </c>
      <c r="N16" s="14">
        <v>0.13700309999999999</v>
      </c>
      <c r="O16" s="14">
        <v>0.19191406999999999</v>
      </c>
      <c r="P16" s="14">
        <v>0.25417020000000001</v>
      </c>
      <c r="Q16" s="14">
        <v>0.3080717</v>
      </c>
      <c r="R16" s="23" t="s">
        <v>78</v>
      </c>
    </row>
    <row r="17" spans="1:18">
      <c r="A17" s="13" t="s">
        <v>363</v>
      </c>
      <c r="B17" s="13" t="s">
        <v>1</v>
      </c>
      <c r="C17" s="13" t="s">
        <v>32</v>
      </c>
      <c r="D17" s="13" t="s">
        <v>36</v>
      </c>
      <c r="E17" s="13" t="s">
        <v>4</v>
      </c>
      <c r="F17" s="13" t="s">
        <v>36</v>
      </c>
      <c r="G17" s="13">
        <v>1.2028799999999999E-2</v>
      </c>
      <c r="H17" s="13">
        <v>0</v>
      </c>
      <c r="I17" s="13">
        <v>0</v>
      </c>
      <c r="J17" s="13">
        <v>2.5251300000000001E-2</v>
      </c>
      <c r="K17" s="14">
        <v>2.9328569999999901E-2</v>
      </c>
      <c r="L17" s="14">
        <v>3.9253610000000001E-2</v>
      </c>
      <c r="M17" s="14">
        <v>4.8952250000000003E-2</v>
      </c>
      <c r="N17" s="14">
        <v>5.8903419999999998E-2</v>
      </c>
      <c r="O17" s="14">
        <v>5.6436350000000003E-2</v>
      </c>
      <c r="P17" s="14">
        <v>4.5038969999999998E-2</v>
      </c>
      <c r="Q17" s="14">
        <v>3.0260510000000001E-2</v>
      </c>
      <c r="R17" s="23" t="s">
        <v>78</v>
      </c>
    </row>
    <row r="18" spans="1:18">
      <c r="A18" s="13" t="s">
        <v>363</v>
      </c>
      <c r="B18" s="13" t="s">
        <v>1</v>
      </c>
      <c r="C18" s="13" t="s">
        <v>32</v>
      </c>
      <c r="D18" s="13" t="s">
        <v>36</v>
      </c>
      <c r="E18" s="13" t="s">
        <v>4</v>
      </c>
      <c r="F18" s="13" t="s">
        <v>80</v>
      </c>
      <c r="G18" s="13">
        <v>0</v>
      </c>
      <c r="H18" s="13">
        <v>0</v>
      </c>
      <c r="I18" s="13">
        <v>0</v>
      </c>
      <c r="J18" s="13">
        <v>0</v>
      </c>
      <c r="K18" s="14">
        <v>0</v>
      </c>
      <c r="L18" s="14">
        <v>4.8239000000000002E-4</v>
      </c>
      <c r="M18" s="14">
        <v>2.1174520000000001E-3</v>
      </c>
      <c r="N18" s="14">
        <v>6.0606059999999996E-3</v>
      </c>
      <c r="O18" s="14">
        <v>1.04886415E-2</v>
      </c>
      <c r="P18" s="14">
        <v>1.5895726999999998E-2</v>
      </c>
      <c r="Q18" s="14">
        <v>2.0190546E-2</v>
      </c>
      <c r="R18" s="23" t="s">
        <v>78</v>
      </c>
    </row>
    <row r="19" spans="1:18">
      <c r="A19" s="13" t="s">
        <v>363</v>
      </c>
      <c r="B19" s="13" t="s">
        <v>1</v>
      </c>
      <c r="C19" s="13" t="s">
        <v>32</v>
      </c>
      <c r="D19" s="13" t="s">
        <v>36</v>
      </c>
      <c r="E19" s="13" t="s">
        <v>5</v>
      </c>
      <c r="F19" s="13" t="s">
        <v>36</v>
      </c>
      <c r="G19" s="13">
        <v>1.1003300000000001E-2</v>
      </c>
      <c r="H19" s="13">
        <v>4.8056399999999999E-2</v>
      </c>
      <c r="I19" s="13">
        <v>5.3370800000000003E-2</v>
      </c>
      <c r="J19" s="13">
        <v>4.7853699999999999E-2</v>
      </c>
      <c r="K19" s="14">
        <v>5.5580599999999897E-2</v>
      </c>
      <c r="L19" s="14">
        <v>7.4389299999999894E-2</v>
      </c>
      <c r="M19" s="14">
        <v>9.2769229999999994E-2</v>
      </c>
      <c r="N19" s="14">
        <v>0.11162758</v>
      </c>
      <c r="O19" s="14">
        <v>0.10695230999999999</v>
      </c>
      <c r="P19" s="14">
        <v>8.5353079999999998E-2</v>
      </c>
      <c r="Q19" s="14">
        <v>5.7346649999999999E-2</v>
      </c>
      <c r="R19" s="23" t="s">
        <v>78</v>
      </c>
    </row>
    <row r="20" spans="1:18">
      <c r="A20" s="13" t="s">
        <v>363</v>
      </c>
      <c r="B20" s="13" t="s">
        <v>1</v>
      </c>
      <c r="C20" s="13" t="s">
        <v>32</v>
      </c>
      <c r="D20" s="13" t="s">
        <v>36</v>
      </c>
      <c r="E20" s="13" t="s">
        <v>5</v>
      </c>
      <c r="F20" s="13" t="s">
        <v>80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4">
        <v>9.1417699999999996E-4</v>
      </c>
      <c r="M20" s="13">
        <v>4.012776E-3</v>
      </c>
      <c r="N20" s="13">
        <v>1.1485442E-2</v>
      </c>
      <c r="O20" s="13">
        <v>1.9877009000000001E-2</v>
      </c>
      <c r="P20" s="13">
        <v>3.0123976E-2</v>
      </c>
      <c r="Q20" s="13">
        <v>3.8263069999999899E-2</v>
      </c>
      <c r="R20" s="23" t="s">
        <v>78</v>
      </c>
    </row>
    <row r="21" spans="1:18">
      <c r="A21" s="13" t="s">
        <v>363</v>
      </c>
      <c r="B21" s="13" t="s">
        <v>1</v>
      </c>
      <c r="C21" s="13" t="s">
        <v>32</v>
      </c>
      <c r="D21" s="13" t="s">
        <v>36</v>
      </c>
      <c r="E21" s="13" t="s">
        <v>5</v>
      </c>
      <c r="F21" s="13" t="s">
        <v>37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6.7241499999999999E-3</v>
      </c>
      <c r="M21" s="13">
        <v>2.2833900000000001E-2</v>
      </c>
      <c r="N21" s="13">
        <v>4.304322E-2</v>
      </c>
      <c r="O21" s="13">
        <v>6.0295009999999899E-2</v>
      </c>
      <c r="P21" s="13">
        <v>7.9854449999999993E-2</v>
      </c>
      <c r="Q21" s="13">
        <v>9.6788920000000001E-2</v>
      </c>
      <c r="R21" s="23" t="s">
        <v>78</v>
      </c>
    </row>
    <row r="22" spans="1:18">
      <c r="A22" s="13" t="s">
        <v>363</v>
      </c>
      <c r="B22" s="13" t="s">
        <v>1</v>
      </c>
      <c r="C22" s="13" t="s">
        <v>32</v>
      </c>
      <c r="D22" s="13" t="s">
        <v>36</v>
      </c>
      <c r="E22" s="13" t="s">
        <v>6</v>
      </c>
      <c r="F22" s="13" t="s">
        <v>36</v>
      </c>
      <c r="G22" s="13">
        <v>3.1203700000000001E-2</v>
      </c>
      <c r="H22" s="13">
        <v>1.9871300000000001E-2</v>
      </c>
      <c r="I22" s="13">
        <v>9.5727999999999994E-3</v>
      </c>
      <c r="J22" s="13">
        <v>3.3750400000000002E-3</v>
      </c>
      <c r="K22" s="14">
        <v>3.9199999999999999E-3</v>
      </c>
      <c r="L22" s="13">
        <v>5.2465560000000003E-3</v>
      </c>
      <c r="M22" s="13">
        <v>6.542862E-3</v>
      </c>
      <c r="N22" s="13">
        <v>7.8729009999999999E-3</v>
      </c>
      <c r="O22" s="13">
        <v>7.5431609999999996E-3</v>
      </c>
      <c r="P22" s="13">
        <v>6.0198129999999997E-3</v>
      </c>
      <c r="Q22" s="13">
        <v>4.0445580000000002E-3</v>
      </c>
      <c r="R22" s="23" t="s">
        <v>78</v>
      </c>
    </row>
    <row r="23" spans="1:18">
      <c r="A23" s="13" t="s">
        <v>363</v>
      </c>
      <c r="B23" s="13" t="s">
        <v>1</v>
      </c>
      <c r="C23" s="13" t="s">
        <v>32</v>
      </c>
      <c r="D23" s="13" t="s">
        <v>36</v>
      </c>
      <c r="E23" s="13" t="s">
        <v>6</v>
      </c>
      <c r="F23" s="13" t="s">
        <v>80</v>
      </c>
      <c r="G23" s="13">
        <v>0</v>
      </c>
      <c r="H23" s="13">
        <v>0</v>
      </c>
      <c r="I23" s="13">
        <v>0</v>
      </c>
      <c r="J23" s="14">
        <v>0</v>
      </c>
      <c r="K23" s="14">
        <v>0</v>
      </c>
      <c r="L23" s="14">
        <v>6.4475300000000003E-5</v>
      </c>
      <c r="M23" s="14">
        <v>2.8301349999999999E-4</v>
      </c>
      <c r="N23" s="14">
        <v>8.1004869999999997E-4</v>
      </c>
      <c r="O23" s="13">
        <v>1.40189E-3</v>
      </c>
      <c r="P23" s="13">
        <v>2.1245906000000002E-3</v>
      </c>
      <c r="Q23" s="13">
        <v>2.6986240000000002E-3</v>
      </c>
      <c r="R23" s="23" t="s">
        <v>78</v>
      </c>
    </row>
    <row r="24" spans="1:18">
      <c r="A24" s="13" t="s">
        <v>363</v>
      </c>
      <c r="B24" s="13" t="s">
        <v>1</v>
      </c>
      <c r="C24" s="13" t="s">
        <v>32</v>
      </c>
      <c r="D24" s="13" t="s">
        <v>36</v>
      </c>
      <c r="E24" s="13" t="s">
        <v>7</v>
      </c>
      <c r="F24" s="13" t="s">
        <v>36</v>
      </c>
      <c r="G24" s="13">
        <v>0</v>
      </c>
      <c r="H24" s="13">
        <v>3.8401699999999997E-2</v>
      </c>
      <c r="I24" s="13">
        <v>6.6848400000000002E-2</v>
      </c>
      <c r="J24" s="13">
        <v>6.3758999999999996E-2</v>
      </c>
      <c r="K24" s="14">
        <v>7.4053999999999995E-2</v>
      </c>
      <c r="L24" s="13">
        <v>9.9114399999999894E-2</v>
      </c>
      <c r="M24" s="13">
        <v>0.1236032</v>
      </c>
      <c r="N24" s="13">
        <v>0.14872948</v>
      </c>
      <c r="O24" s="13">
        <v>0.14250040999999999</v>
      </c>
      <c r="P24" s="13">
        <v>0.113722399999999</v>
      </c>
      <c r="Q24" s="13">
        <v>7.6407000000000003E-2</v>
      </c>
      <c r="R24" s="23" t="s">
        <v>78</v>
      </c>
    </row>
    <row r="25" spans="1:18">
      <c r="A25" s="13" t="s">
        <v>363</v>
      </c>
      <c r="B25" s="13" t="s">
        <v>1</v>
      </c>
      <c r="C25" s="13" t="s">
        <v>32</v>
      </c>
      <c r="D25" s="13" t="s">
        <v>36</v>
      </c>
      <c r="E25" s="13" t="s">
        <v>7</v>
      </c>
      <c r="F25" s="13" t="s">
        <v>80</v>
      </c>
      <c r="G25" s="13">
        <v>0</v>
      </c>
      <c r="H25" s="13">
        <v>0</v>
      </c>
      <c r="I25" s="13">
        <v>0</v>
      </c>
      <c r="J25" s="13">
        <v>0</v>
      </c>
      <c r="K25" s="14">
        <v>0</v>
      </c>
      <c r="L25" s="13">
        <v>1.21802E-3</v>
      </c>
      <c r="M25" s="13">
        <v>5.346511E-3</v>
      </c>
      <c r="N25" s="13">
        <v>1.5302921000000001E-2</v>
      </c>
      <c r="O25" s="13">
        <v>2.6483566E-2</v>
      </c>
      <c r="P25" s="13">
        <v>4.0136293000000003E-2</v>
      </c>
      <c r="Q25" s="13">
        <v>5.0980629999999999E-2</v>
      </c>
      <c r="R25" s="23" t="s">
        <v>78</v>
      </c>
    </row>
    <row r="26" spans="1:18">
      <c r="A26" s="13" t="s">
        <v>363</v>
      </c>
      <c r="B26" s="13" t="s">
        <v>1</v>
      </c>
      <c r="C26" s="13" t="s">
        <v>32</v>
      </c>
      <c r="D26" s="13" t="s">
        <v>38</v>
      </c>
      <c r="E26" s="13" t="s">
        <v>5</v>
      </c>
      <c r="F26" s="13" t="s">
        <v>38</v>
      </c>
      <c r="G26" s="13">
        <v>1.29474E-2</v>
      </c>
      <c r="H26" s="13">
        <v>5.6549799999999997E-2</v>
      </c>
      <c r="I26" s="13">
        <v>6.2802300000000005E-2</v>
      </c>
      <c r="J26" s="13">
        <v>5.6310399999999997E-2</v>
      </c>
      <c r="K26" s="13">
        <v>5.8021499999999997E-2</v>
      </c>
      <c r="L26" s="13">
        <v>6.676928E-2</v>
      </c>
      <c r="M26" s="13">
        <v>7.3520600000000005E-2</v>
      </c>
      <c r="N26" s="13">
        <v>6.9987499999999994E-2</v>
      </c>
      <c r="O26" s="13">
        <v>6.8753579999999995E-2</v>
      </c>
      <c r="P26" s="13">
        <v>7.0499740000000005E-2</v>
      </c>
      <c r="Q26" s="13">
        <v>7.4195230000000001E-2</v>
      </c>
      <c r="R26" s="23" t="s">
        <v>78</v>
      </c>
    </row>
    <row r="27" spans="1:18">
      <c r="A27" s="13" t="s">
        <v>363</v>
      </c>
      <c r="B27" s="13" t="s">
        <v>1</v>
      </c>
      <c r="C27" s="13" t="s">
        <v>32</v>
      </c>
      <c r="D27" s="13" t="s">
        <v>38</v>
      </c>
      <c r="E27" s="13" t="s">
        <v>6</v>
      </c>
      <c r="F27" s="13" t="s">
        <v>38</v>
      </c>
      <c r="G27" s="13">
        <v>6.9363999999999997E-3</v>
      </c>
      <c r="H27" s="13">
        <v>4.4173499999999996E-3</v>
      </c>
      <c r="I27" s="13">
        <v>2.1278400000000002E-3</v>
      </c>
      <c r="J27" s="14">
        <v>7.5047999999999998E-4</v>
      </c>
      <c r="K27" s="14">
        <v>7.7328599999999998E-4</v>
      </c>
      <c r="L27" s="14">
        <v>8.8987199999999999E-4</v>
      </c>
      <c r="M27" s="14">
        <v>9.7985070000000001E-4</v>
      </c>
      <c r="N27" s="14">
        <v>9.3276139999999997E-4</v>
      </c>
      <c r="O27" s="14">
        <v>9.1631639999999995E-4</v>
      </c>
      <c r="P27" s="14">
        <v>9.3958869999999904E-4</v>
      </c>
      <c r="Q27" s="14">
        <v>9.888408E-4</v>
      </c>
      <c r="R27" s="23" t="s">
        <v>78</v>
      </c>
    </row>
    <row r="28" spans="1:18">
      <c r="R28" s="23"/>
    </row>
    <row r="29" spans="1:18">
      <c r="K29" s="14"/>
      <c r="R29" s="23"/>
    </row>
    <row r="30" spans="1:18">
      <c r="R30" s="23"/>
    </row>
    <row r="31" spans="1:18">
      <c r="J31" s="14"/>
      <c r="K31" s="14"/>
      <c r="L31" s="14"/>
      <c r="R31" s="23"/>
    </row>
    <row r="33" spans="1:23">
      <c r="A33" s="1" t="s">
        <v>55</v>
      </c>
      <c r="T33" s="1" t="s">
        <v>74</v>
      </c>
    </row>
    <row r="34" spans="1:23">
      <c r="A34" s="13" t="s">
        <v>8</v>
      </c>
      <c r="B34" s="13" t="s">
        <v>9</v>
      </c>
      <c r="F34" s="13" t="s">
        <v>10</v>
      </c>
      <c r="G34" s="7">
        <v>2015</v>
      </c>
      <c r="H34" s="13">
        <v>2020</v>
      </c>
      <c r="I34" s="13">
        <v>2025</v>
      </c>
      <c r="J34" s="13">
        <v>2030</v>
      </c>
      <c r="K34" s="13">
        <v>2035</v>
      </c>
      <c r="L34" s="13">
        <v>2040</v>
      </c>
      <c r="M34" s="13">
        <v>2045</v>
      </c>
      <c r="N34" s="13">
        <v>2050</v>
      </c>
      <c r="U34" s="13">
        <v>2005</v>
      </c>
      <c r="V34" s="13">
        <v>2010</v>
      </c>
      <c r="W34" s="13">
        <v>2015</v>
      </c>
    </row>
    <row r="35" spans="1:23">
      <c r="A35" s="13" t="s">
        <v>0</v>
      </c>
      <c r="B35" s="13" t="s">
        <v>2</v>
      </c>
      <c r="E35" s="13" t="s">
        <v>37</v>
      </c>
      <c r="F35" s="13" t="s">
        <v>44</v>
      </c>
      <c r="G35" s="8">
        <f t="shared" ref="G35:G43" si="0">SUMIF($F$3:$F$31,$E35,J$3:J$31)</f>
        <v>0</v>
      </c>
      <c r="H35" s="8">
        <f t="shared" ref="H35:H43" si="1">SUMIF($F$3:$F$31,$E35,K$3:K$31)</f>
        <v>0</v>
      </c>
      <c r="I35" s="8">
        <f t="shared" ref="I35:I43" si="2">SUMIF($F$3:$F$31,$E35,L$3:L$31)</f>
        <v>2.812655E-2</v>
      </c>
      <c r="J35" s="8">
        <f t="shared" ref="J35:J43" si="3">SUMIF($F$3:$F$31,$E35,M$3:M$31)</f>
        <v>9.5512300000000008E-2</v>
      </c>
      <c r="K35" s="8">
        <f t="shared" ref="K35:K43" si="4">SUMIF($F$3:$F$31,$E35,N$3:N$31)</f>
        <v>0.18004631999999998</v>
      </c>
      <c r="L35" s="8">
        <f t="shared" ref="L35:L43" si="5">SUMIF($F$3:$F$31,$E35,O$3:O$31)</f>
        <v>0.25220907999999986</v>
      </c>
      <c r="M35" s="8">
        <f t="shared" ref="M35:M43" si="6">SUMIF($F$3:$F$31,$E35,P$3:P$31)</f>
        <v>0.33402465000000003</v>
      </c>
      <c r="N35" s="8">
        <f t="shared" ref="N35:N43" si="7">SUMIF($F$3:$F$31,$E35,Q$3:Q$31)</f>
        <v>0.40486062</v>
      </c>
      <c r="T35" s="13" t="s">
        <v>12</v>
      </c>
      <c r="V35" s="13">
        <v>0</v>
      </c>
      <c r="W35" s="13">
        <v>0</v>
      </c>
    </row>
    <row r="36" spans="1:23">
      <c r="A36" s="13" t="s">
        <v>0</v>
      </c>
      <c r="B36" s="13" t="s">
        <v>5</v>
      </c>
      <c r="E36" s="13" t="s">
        <v>45</v>
      </c>
      <c r="F36" s="13" t="s">
        <v>45</v>
      </c>
      <c r="G36" s="8">
        <f t="shared" si="0"/>
        <v>0</v>
      </c>
      <c r="H36" s="8">
        <f t="shared" si="1"/>
        <v>0</v>
      </c>
      <c r="I36" s="8">
        <f t="shared" si="2"/>
        <v>0</v>
      </c>
      <c r="J36" s="8">
        <f t="shared" si="3"/>
        <v>0</v>
      </c>
      <c r="K36" s="8">
        <f t="shared" si="4"/>
        <v>0</v>
      </c>
      <c r="L36" s="8">
        <f t="shared" si="5"/>
        <v>0</v>
      </c>
      <c r="M36" s="8">
        <f t="shared" si="6"/>
        <v>0</v>
      </c>
      <c r="N36" s="8">
        <f t="shared" si="7"/>
        <v>0</v>
      </c>
      <c r="T36" s="13" t="s">
        <v>17</v>
      </c>
      <c r="V36" s="13">
        <v>0.10709373852000001</v>
      </c>
      <c r="W36" s="13">
        <v>0.1308375</v>
      </c>
    </row>
    <row r="37" spans="1:23">
      <c r="A37" s="13" t="s">
        <v>0</v>
      </c>
      <c r="B37" s="13" t="s">
        <v>3</v>
      </c>
      <c r="E37" s="13" t="s">
        <v>38</v>
      </c>
      <c r="F37" s="13" t="s">
        <v>48</v>
      </c>
      <c r="G37" s="8">
        <f t="shared" si="0"/>
        <v>5.7060879999999994E-2</v>
      </c>
      <c r="H37" s="8">
        <f t="shared" si="1"/>
        <v>5.8794785999999995E-2</v>
      </c>
      <c r="I37" s="8">
        <f t="shared" si="2"/>
        <v>6.7659152E-2</v>
      </c>
      <c r="J37" s="8">
        <f t="shared" si="3"/>
        <v>7.4500450700000012E-2</v>
      </c>
      <c r="K37" s="8">
        <f t="shared" si="4"/>
        <v>7.092026139999999E-2</v>
      </c>
      <c r="L37" s="8">
        <f t="shared" si="5"/>
        <v>6.96698964E-2</v>
      </c>
      <c r="M37" s="8">
        <f t="shared" si="6"/>
        <v>7.1439328699999999E-2</v>
      </c>
      <c r="N37" s="8">
        <f t="shared" si="7"/>
        <v>7.5184070800000002E-2</v>
      </c>
      <c r="T37" s="13" t="s">
        <v>13</v>
      </c>
      <c r="V37" s="13">
        <v>0</v>
      </c>
      <c r="W37" s="13">
        <v>0</v>
      </c>
    </row>
    <row r="38" spans="1:23">
      <c r="A38" s="13" t="s">
        <v>0</v>
      </c>
      <c r="B38" s="13" t="s">
        <v>7</v>
      </c>
      <c r="E38" s="13" t="s">
        <v>80</v>
      </c>
      <c r="F38" s="13" t="s">
        <v>46</v>
      </c>
      <c r="G38" s="8">
        <f t="shared" si="0"/>
        <v>0</v>
      </c>
      <c r="H38" s="8">
        <f t="shared" si="1"/>
        <v>0</v>
      </c>
      <c r="I38" s="8">
        <f t="shared" si="2"/>
        <v>2.6790623E-3</v>
      </c>
      <c r="J38" s="8">
        <f t="shared" si="3"/>
        <v>1.17597525E-2</v>
      </c>
      <c r="K38" s="8">
        <f t="shared" si="4"/>
        <v>3.3659017700000002E-2</v>
      </c>
      <c r="L38" s="8">
        <f t="shared" si="5"/>
        <v>5.8251106500000004E-2</v>
      </c>
      <c r="M38" s="8">
        <f t="shared" si="6"/>
        <v>8.8280586600000002E-2</v>
      </c>
      <c r="N38" s="8">
        <f t="shared" si="7"/>
        <v>0.1121328699999999</v>
      </c>
      <c r="T38" s="13" t="s">
        <v>15</v>
      </c>
      <c r="V38" s="13">
        <v>8.6740447679999999E-2</v>
      </c>
      <c r="W38" s="13">
        <v>9.1896073199999997E-2</v>
      </c>
    </row>
    <row r="39" spans="1:23">
      <c r="A39" s="13" t="s">
        <v>0</v>
      </c>
      <c r="B39" s="13" t="s">
        <v>4</v>
      </c>
      <c r="E39" s="13" t="s">
        <v>36</v>
      </c>
      <c r="F39" s="13" t="s">
        <v>47</v>
      </c>
      <c r="G39" s="8">
        <f t="shared" si="0"/>
        <v>0.14023903999999998</v>
      </c>
      <c r="H39" s="8">
        <f t="shared" si="1"/>
        <v>0.1628831699999998</v>
      </c>
      <c r="I39" s="8">
        <f t="shared" si="2"/>
        <v>0.2180038659999998</v>
      </c>
      <c r="J39" s="8">
        <f t="shared" si="3"/>
        <v>0.27186754200000002</v>
      </c>
      <c r="K39" s="8">
        <f t="shared" si="4"/>
        <v>0.327133381</v>
      </c>
      <c r="L39" s="8">
        <f t="shared" si="5"/>
        <v>0.31343223099999995</v>
      </c>
      <c r="M39" s="8">
        <f t="shared" si="6"/>
        <v>0.25013426299999897</v>
      </c>
      <c r="N39" s="8">
        <f t="shared" si="7"/>
        <v>0.168058718</v>
      </c>
      <c r="T39" s="13" t="s">
        <v>14</v>
      </c>
      <c r="V39" s="13">
        <v>3.7206416880000003E-2</v>
      </c>
      <c r="W39" s="13">
        <v>2.5623216000000001E-2</v>
      </c>
    </row>
    <row r="40" spans="1:23">
      <c r="A40" s="13" t="s">
        <v>26</v>
      </c>
      <c r="E40" s="13" t="s">
        <v>34</v>
      </c>
      <c r="F40" s="13" t="s">
        <v>53</v>
      </c>
      <c r="G40" s="8">
        <f t="shared" si="0"/>
        <v>0</v>
      </c>
      <c r="H40" s="8">
        <f t="shared" si="1"/>
        <v>0</v>
      </c>
      <c r="I40" s="8">
        <f t="shared" si="2"/>
        <v>1.9206673200000003E-3</v>
      </c>
      <c r="J40" s="8">
        <f t="shared" si="3"/>
        <v>8.9014193379999881E-3</v>
      </c>
      <c r="K40" s="8">
        <f t="shared" si="4"/>
        <v>2.1731912182000001E-2</v>
      </c>
      <c r="L40" s="8">
        <f t="shared" si="5"/>
        <v>2.9933303215999889E-2</v>
      </c>
      <c r="M40" s="8">
        <f t="shared" si="6"/>
        <v>2.5061049240000001E-2</v>
      </c>
      <c r="N40" s="8">
        <f t="shared" si="7"/>
        <v>1.37925290019999E-2</v>
      </c>
      <c r="T40" s="13" t="s">
        <v>30</v>
      </c>
      <c r="V40" s="13">
        <v>0.68788077300000006</v>
      </c>
      <c r="W40" s="13">
        <v>0.98157851280000008</v>
      </c>
    </row>
    <row r="41" spans="1:23">
      <c r="A41" s="13" t="s">
        <v>27</v>
      </c>
      <c r="B41" s="13" t="s">
        <v>6</v>
      </c>
      <c r="E41" s="13" t="s">
        <v>79</v>
      </c>
      <c r="F41" s="13" t="s">
        <v>49</v>
      </c>
      <c r="G41" s="8">
        <f t="shared" si="0"/>
        <v>0</v>
      </c>
      <c r="H41" s="8">
        <f t="shared" si="1"/>
        <v>0</v>
      </c>
      <c r="I41" s="8">
        <f t="shared" si="2"/>
        <v>1.3586859871999998E-3</v>
      </c>
      <c r="J41" s="8">
        <f t="shared" si="3"/>
        <v>1.1028278932799999E-2</v>
      </c>
      <c r="K41" s="8">
        <f t="shared" si="4"/>
        <v>3.8828070995599991E-2</v>
      </c>
      <c r="L41" s="8">
        <f t="shared" si="5"/>
        <v>7.1853236773299994E-2</v>
      </c>
      <c r="M41" s="8">
        <f t="shared" si="6"/>
        <v>0.10235491545399988</v>
      </c>
      <c r="N41" s="8">
        <f t="shared" si="7"/>
        <v>9.3873624097999986E-2</v>
      </c>
      <c r="T41" s="13" t="s">
        <v>16</v>
      </c>
      <c r="V41" s="13">
        <v>8.2701860400000004E-3</v>
      </c>
      <c r="W41" s="13">
        <v>1.6579728E-3</v>
      </c>
    </row>
    <row r="42" spans="1:23">
      <c r="A42" s="13" t="s">
        <v>28</v>
      </c>
      <c r="E42" s="13" t="s">
        <v>33</v>
      </c>
      <c r="F42" s="13" t="s">
        <v>50</v>
      </c>
      <c r="G42" s="8">
        <f t="shared" si="0"/>
        <v>0.91990454999999993</v>
      </c>
      <c r="H42" s="8">
        <f t="shared" si="1"/>
        <v>1.0283144861</v>
      </c>
      <c r="I42" s="8">
        <f t="shared" si="2"/>
        <v>0.9919749484999999</v>
      </c>
      <c r="J42" s="8">
        <f t="shared" si="3"/>
        <v>0.77224343171999998</v>
      </c>
      <c r="K42" s="8">
        <f t="shared" si="4"/>
        <v>0.48835195011999899</v>
      </c>
      <c r="L42" s="8">
        <f t="shared" si="5"/>
        <v>0.27969343431999999</v>
      </c>
      <c r="M42" s="8">
        <f t="shared" si="6"/>
        <v>0.11875687963400001</v>
      </c>
      <c r="N42" s="8">
        <f t="shared" si="7"/>
        <v>3.29917757953E-2</v>
      </c>
      <c r="T42" s="13" t="s">
        <v>31</v>
      </c>
      <c r="V42" s="13">
        <v>4.6599084000000006E-4</v>
      </c>
      <c r="W42" s="13">
        <v>4.8985559999999997E-4</v>
      </c>
    </row>
    <row r="43" spans="1:23">
      <c r="A43" s="3" t="s">
        <v>29</v>
      </c>
      <c r="B43" s="3"/>
      <c r="C43" s="3"/>
      <c r="D43" s="3"/>
      <c r="E43" s="13" t="s">
        <v>35</v>
      </c>
      <c r="F43" s="13" t="s">
        <v>51</v>
      </c>
      <c r="G43" s="8">
        <f t="shared" si="0"/>
        <v>0</v>
      </c>
      <c r="H43" s="8">
        <f t="shared" si="1"/>
        <v>0</v>
      </c>
      <c r="I43" s="8">
        <f t="shared" si="2"/>
        <v>0</v>
      </c>
      <c r="J43" s="8">
        <f t="shared" si="3"/>
        <v>0</v>
      </c>
      <c r="K43" s="8">
        <f t="shared" si="4"/>
        <v>0</v>
      </c>
      <c r="L43" s="8">
        <f t="shared" si="5"/>
        <v>0</v>
      </c>
      <c r="M43" s="8">
        <f t="shared" si="6"/>
        <v>0</v>
      </c>
      <c r="N43" s="8">
        <f t="shared" si="7"/>
        <v>0</v>
      </c>
    </row>
    <row r="44" spans="1:23">
      <c r="T44" s="13" t="s">
        <v>75</v>
      </c>
    </row>
    <row r="51" spans="1:3">
      <c r="A51" s="1"/>
    </row>
    <row r="61" spans="1:3">
      <c r="A61" s="3"/>
      <c r="B61" s="3"/>
      <c r="C61" s="3"/>
    </row>
  </sheetData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185EC-1383-437F-9F99-C522C3209B2D}">
  <dimension ref="A1:AD49"/>
  <sheetViews>
    <sheetView zoomScale="70" zoomScaleNormal="70" workbookViewId="0">
      <selection activeCell="Q3" sqref="Q3"/>
    </sheetView>
  </sheetViews>
  <sheetFormatPr defaultColWidth="8.69921875" defaultRowHeight="17.399999999999999"/>
  <cols>
    <col min="1" max="16384" width="8.69921875" style="13"/>
  </cols>
  <sheetData>
    <row r="1" spans="1:30">
      <c r="A1" s="1" t="s">
        <v>54</v>
      </c>
    </row>
    <row r="2" spans="1:30">
      <c r="A2" s="13" t="s">
        <v>8</v>
      </c>
      <c r="B2" s="13" t="s">
        <v>9</v>
      </c>
      <c r="C2" s="13" t="s">
        <v>39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Q2" s="13" t="s">
        <v>8</v>
      </c>
      <c r="R2" s="13" t="s">
        <v>9</v>
      </c>
      <c r="S2" s="13" t="s">
        <v>39</v>
      </c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</row>
    <row r="3" spans="1:30">
      <c r="A3" s="4" t="s">
        <v>365</v>
      </c>
      <c r="B3" s="4" t="s">
        <v>1</v>
      </c>
      <c r="C3" s="4" t="s">
        <v>56</v>
      </c>
      <c r="D3" s="4">
        <f>T3*ghg_sort!$B$6</f>
        <v>7.4138310414595976</v>
      </c>
      <c r="E3" s="4">
        <f>U3*ghg_sort!$B$6</f>
        <v>10.152036367263863</v>
      </c>
      <c r="F3" s="4">
        <f>V3*ghg_sort!$B$6</f>
        <v>16.084990245271509</v>
      </c>
      <c r="G3" s="4">
        <f>W3*ghg_sort!$B$6</f>
        <v>19.946891238359743</v>
      </c>
      <c r="H3" s="4">
        <f>X3*ghg_sort!$B$6</f>
        <v>18.895635357853372</v>
      </c>
      <c r="I3" s="4">
        <f>Y3*ghg_sort!$B$6</f>
        <v>18.887655592638559</v>
      </c>
      <c r="J3" s="4">
        <f>Z3*ghg_sort!$B$6</f>
        <v>19.175247783568778</v>
      </c>
      <c r="K3" s="4">
        <f>AA3*ghg_sort!$B$6</f>
        <v>19.903094241560733</v>
      </c>
      <c r="L3" s="4">
        <f>AB3*ghg_sort!$B$6</f>
        <v>19.201735762029607</v>
      </c>
      <c r="M3" s="4">
        <f>AC3*ghg_sort!$B$6</f>
        <v>16.613742773251815</v>
      </c>
      <c r="N3" s="4">
        <f>AD3*ghg_sort!$B$6</f>
        <v>13.92741343144926</v>
      </c>
      <c r="O3" s="4"/>
      <c r="P3" s="4"/>
      <c r="Q3" s="4" t="s">
        <v>365</v>
      </c>
      <c r="R3" s="4" t="s">
        <v>1</v>
      </c>
      <c r="S3" s="4" t="s">
        <v>402</v>
      </c>
      <c r="T3" s="4">
        <v>2.0219539203980701</v>
      </c>
      <c r="U3" s="4">
        <v>2.7687371910719598</v>
      </c>
      <c r="V3" s="4">
        <v>4.3868155214376801</v>
      </c>
      <c r="W3" s="4">
        <v>5.4400612468253797</v>
      </c>
      <c r="X3" s="4">
        <v>5.1533550975963696</v>
      </c>
      <c r="Y3" s="4">
        <v>5.1511787979923298</v>
      </c>
      <c r="Z3" s="4">
        <v>5.2296130318823897</v>
      </c>
      <c r="AA3" s="4">
        <v>5.4281166113347403</v>
      </c>
      <c r="AB3" s="4">
        <v>5.2368370260080699</v>
      </c>
      <c r="AC3" s="4">
        <v>4.5310207563414</v>
      </c>
      <c r="AD3" s="4">
        <v>3.7983854813043401</v>
      </c>
    </row>
    <row r="4" spans="1:30">
      <c r="A4" s="4" t="s">
        <v>365</v>
      </c>
      <c r="B4" s="4" t="s">
        <v>1</v>
      </c>
      <c r="C4" s="4" t="s">
        <v>20</v>
      </c>
      <c r="D4" s="4">
        <f>T4*ghg_sort!$B$6</f>
        <v>0</v>
      </c>
      <c r="E4" s="4">
        <f>U4*ghg_sort!$B$6</f>
        <v>0</v>
      </c>
      <c r="F4" s="4">
        <f>V4*ghg_sort!$B$6</f>
        <v>0</v>
      </c>
      <c r="G4" s="4">
        <f>W4*ghg_sort!$B$6</f>
        <v>0</v>
      </c>
      <c r="H4" s="4">
        <f>X4*ghg_sort!$B$6</f>
        <v>0</v>
      </c>
      <c r="I4" s="4">
        <f>Y4*ghg_sort!$B$6</f>
        <v>0</v>
      </c>
      <c r="J4" s="4">
        <f>Z4*ghg_sort!$B$6</f>
        <v>0</v>
      </c>
      <c r="K4" s="4">
        <f>AA4*ghg_sort!$B$6</f>
        <v>0</v>
      </c>
      <c r="L4" s="4">
        <f>AB4*ghg_sort!$B$6</f>
        <v>0</v>
      </c>
      <c r="M4" s="4">
        <f>AC4*ghg_sort!$B$6</f>
        <v>0</v>
      </c>
      <c r="N4" s="4">
        <f>AD4*ghg_sort!$B$6</f>
        <v>0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30">
      <c r="A6" s="4"/>
      <c r="B6" s="4"/>
      <c r="C6" s="4" t="s">
        <v>401</v>
      </c>
      <c r="D6" s="4">
        <f>SUM(D3:D4)</f>
        <v>7.4138310414595976</v>
      </c>
      <c r="E6" s="4">
        <f t="shared" ref="E6:N6" si="0">SUM(E3:E4)</f>
        <v>10.152036367263863</v>
      </c>
      <c r="F6" s="4">
        <f t="shared" si="0"/>
        <v>16.084990245271509</v>
      </c>
      <c r="G6" s="4">
        <f t="shared" si="0"/>
        <v>19.946891238359743</v>
      </c>
      <c r="H6" s="4">
        <f t="shared" si="0"/>
        <v>18.895635357853372</v>
      </c>
      <c r="I6" s="4">
        <f t="shared" si="0"/>
        <v>18.887655592638559</v>
      </c>
      <c r="J6" s="4">
        <f t="shared" si="0"/>
        <v>19.175247783568778</v>
      </c>
      <c r="K6" s="4">
        <f t="shared" si="0"/>
        <v>19.903094241560733</v>
      </c>
      <c r="L6" s="4">
        <f t="shared" si="0"/>
        <v>19.201735762029607</v>
      </c>
      <c r="M6" s="4">
        <f t="shared" si="0"/>
        <v>16.613742773251815</v>
      </c>
      <c r="N6" s="4">
        <f t="shared" si="0"/>
        <v>13.92741343144926</v>
      </c>
      <c r="O6" s="4"/>
      <c r="P6" s="4"/>
      <c r="Q6" s="4"/>
    </row>
    <row r="7" spans="1:30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1:3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30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30">
      <c r="A10" s="115"/>
      <c r="B10" s="115"/>
      <c r="C10" s="115"/>
      <c r="D10" s="115"/>
      <c r="E10" s="115"/>
      <c r="F10" s="115"/>
      <c r="G10" s="115"/>
    </row>
    <row r="11" spans="1:30">
      <c r="K11" s="14"/>
      <c r="L11" s="14"/>
      <c r="M11" s="14"/>
      <c r="N11" s="14"/>
      <c r="O11" s="14"/>
      <c r="P11" s="14"/>
      <c r="Q11" s="14"/>
    </row>
    <row r="12" spans="1:30">
      <c r="K12" s="14"/>
      <c r="L12" s="14"/>
      <c r="M12" s="14"/>
      <c r="N12" s="14"/>
      <c r="O12" s="14"/>
      <c r="P12" s="14"/>
      <c r="Q12" s="14"/>
    </row>
    <row r="13" spans="1:30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30">
      <c r="K14" s="14"/>
      <c r="L14" s="14"/>
      <c r="M14" s="14"/>
      <c r="N14" s="14"/>
      <c r="O14" s="14"/>
      <c r="P14" s="14"/>
      <c r="Q14" s="14"/>
    </row>
    <row r="15" spans="1:30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/>
    </row>
    <row r="39" spans="1:23">
      <c r="A39" s="1"/>
      <c r="T39" s="1"/>
    </row>
    <row r="41" spans="1:23">
      <c r="W41" s="5"/>
    </row>
    <row r="42" spans="1:23">
      <c r="W42" s="5"/>
    </row>
    <row r="43" spans="1:23">
      <c r="W43" s="5"/>
    </row>
    <row r="44" spans="1:23">
      <c r="W44" s="5"/>
    </row>
    <row r="45" spans="1:23">
      <c r="W45" s="5"/>
    </row>
    <row r="46" spans="1:23">
      <c r="W46" s="5"/>
    </row>
    <row r="47" spans="1:23">
      <c r="W47" s="5"/>
    </row>
    <row r="48" spans="1:23">
      <c r="W48" s="5"/>
    </row>
    <row r="49" spans="1:6">
      <c r="A49" s="115"/>
      <c r="B49" s="115"/>
      <c r="C49" s="115"/>
      <c r="D49" s="115"/>
      <c r="E49" s="115"/>
      <c r="F49" s="115"/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1AFF-ED2D-492B-9A7E-49B9C2117D44}">
  <dimension ref="A1:AD50"/>
  <sheetViews>
    <sheetView zoomScale="70" zoomScaleNormal="70" workbookViewId="0">
      <selection activeCell="K48" sqref="K48"/>
    </sheetView>
  </sheetViews>
  <sheetFormatPr defaultColWidth="8.69921875" defaultRowHeight="17.399999999999999"/>
  <cols>
    <col min="1" max="16384" width="8.69921875" style="13"/>
  </cols>
  <sheetData>
    <row r="1" spans="1:30">
      <c r="A1" s="1" t="s">
        <v>54</v>
      </c>
    </row>
    <row r="2" spans="1:30">
      <c r="A2" s="13" t="s">
        <v>8</v>
      </c>
      <c r="B2" s="13" t="s">
        <v>9</v>
      </c>
      <c r="C2" s="13" t="s">
        <v>39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Q2" s="13" t="s">
        <v>8</v>
      </c>
      <c r="R2" s="13" t="s">
        <v>9</v>
      </c>
      <c r="S2" s="13" t="s">
        <v>39</v>
      </c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</row>
    <row r="3" spans="1:30">
      <c r="A3" s="4" t="s">
        <v>365</v>
      </c>
      <c r="B3" s="4" t="s">
        <v>1</v>
      </c>
      <c r="C3" s="4" t="s">
        <v>56</v>
      </c>
      <c r="D3" s="4">
        <f>T3*ghg_sort!$B$6</f>
        <v>7.4138310414595976</v>
      </c>
      <c r="E3" s="4">
        <f>U3*ghg_sort!$B$6</f>
        <v>10.152036367263863</v>
      </c>
      <c r="F3" s="4">
        <f>V3*ghg_sort!$B$6</f>
        <v>16.084990245271509</v>
      </c>
      <c r="G3" s="4">
        <f>W3*ghg_sort!$B$6</f>
        <v>19.946891238359743</v>
      </c>
      <c r="H3" s="4">
        <f>X3*ghg_sort!$B$6</f>
        <v>19.053293773805517</v>
      </c>
      <c r="I3" s="4">
        <f>Y3*ghg_sort!$B$6</f>
        <v>16.998816079521372</v>
      </c>
      <c r="J3" s="4">
        <f>Z3*ghg_sort!$B$6</f>
        <v>16.940548079246419</v>
      </c>
      <c r="K3" s="4">
        <f>AA3*ghg_sort!$B$6</f>
        <v>15.995935324013384</v>
      </c>
      <c r="L3" s="4">
        <f>AB3*ghg_sort!$B$6</f>
        <v>10.363794213675623</v>
      </c>
      <c r="M3" s="4">
        <f>AC3*ghg_sort!$B$6</f>
        <v>-6.5289818486791127</v>
      </c>
      <c r="N3" s="4">
        <f>AD3*ghg_sort!$B$6</f>
        <v>-21.833136015158619</v>
      </c>
      <c r="O3" s="4"/>
      <c r="P3" s="4"/>
      <c r="Q3" s="4" t="s">
        <v>400</v>
      </c>
      <c r="R3" s="4" t="s">
        <v>1</v>
      </c>
      <c r="S3" s="4" t="s">
        <v>402</v>
      </c>
      <c r="T3" s="4">
        <v>2.0219539203980701</v>
      </c>
      <c r="U3" s="4">
        <v>2.7687371910719598</v>
      </c>
      <c r="V3" s="4">
        <v>4.3868155214376801</v>
      </c>
      <c r="W3" s="4">
        <v>5.4400612468253797</v>
      </c>
      <c r="X3" s="4">
        <v>5.1963528474015002</v>
      </c>
      <c r="Y3" s="4">
        <v>4.6360407489603697</v>
      </c>
      <c r="Z3" s="4">
        <v>4.6201494761581099</v>
      </c>
      <c r="AA3" s="4">
        <v>4.3625278156400098</v>
      </c>
      <c r="AB3" s="4">
        <v>2.8264893310024402</v>
      </c>
      <c r="AC3" s="4">
        <v>-1.7806314132761201</v>
      </c>
      <c r="AD3" s="4">
        <v>-5.9544916404977997</v>
      </c>
    </row>
    <row r="4" spans="1:30">
      <c r="A4" s="4" t="s">
        <v>365</v>
      </c>
      <c r="B4" s="4" t="s">
        <v>1</v>
      </c>
      <c r="C4" s="4" t="s">
        <v>20</v>
      </c>
      <c r="D4" s="4">
        <f>T4*ghg_sort!$B$6</f>
        <v>0</v>
      </c>
      <c r="E4" s="4">
        <f>U4*ghg_sort!$B$6</f>
        <v>0</v>
      </c>
      <c r="F4" s="4">
        <f>V4*ghg_sort!$B$6</f>
        <v>0</v>
      </c>
      <c r="G4" s="4">
        <f>W4*ghg_sort!$B$6</f>
        <v>0</v>
      </c>
      <c r="H4" s="4">
        <f>X4*ghg_sort!$B$6</f>
        <v>0</v>
      </c>
      <c r="I4" s="4">
        <f>Y4*ghg_sort!$B$6</f>
        <v>0</v>
      </c>
      <c r="J4" s="4">
        <f>Z4*ghg_sort!$B$6</f>
        <v>0</v>
      </c>
      <c r="K4" s="4">
        <f>AA4*ghg_sort!$B$6</f>
        <v>0</v>
      </c>
      <c r="L4" s="4">
        <f>AB4*ghg_sort!$B$6</f>
        <v>0</v>
      </c>
      <c r="M4" s="4">
        <f>AC4*ghg_sort!$B$6</f>
        <v>0</v>
      </c>
      <c r="N4" s="4">
        <f>AD4*ghg_sort!$B$6</f>
        <v>0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30">
      <c r="A6" s="4"/>
      <c r="B6" s="4"/>
      <c r="C6" s="4" t="s">
        <v>401</v>
      </c>
      <c r="D6" s="4">
        <f>SUM(D3:D4)</f>
        <v>7.4138310414595976</v>
      </c>
      <c r="E6" s="4">
        <f t="shared" ref="E6:N6" si="0">SUM(E3:E4)</f>
        <v>10.152036367263863</v>
      </c>
      <c r="F6" s="4">
        <f t="shared" si="0"/>
        <v>16.084990245271509</v>
      </c>
      <c r="G6" s="4">
        <f t="shared" si="0"/>
        <v>19.946891238359743</v>
      </c>
      <c r="H6" s="4">
        <f t="shared" si="0"/>
        <v>19.053293773805517</v>
      </c>
      <c r="I6" s="4">
        <f t="shared" si="0"/>
        <v>16.998816079521372</v>
      </c>
      <c r="J6" s="4">
        <f t="shared" si="0"/>
        <v>16.940548079246419</v>
      </c>
      <c r="K6" s="4">
        <f t="shared" si="0"/>
        <v>15.995935324013384</v>
      </c>
      <c r="L6" s="4">
        <f t="shared" si="0"/>
        <v>10.363794213675623</v>
      </c>
      <c r="M6" s="4">
        <f t="shared" si="0"/>
        <v>-6.5289818486791127</v>
      </c>
      <c r="N6" s="4">
        <f t="shared" si="0"/>
        <v>-21.833136015158619</v>
      </c>
      <c r="O6" s="4"/>
      <c r="P6" s="4"/>
      <c r="Q6" s="4"/>
    </row>
    <row r="7" spans="1:30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1:3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30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30">
      <c r="A10" s="115"/>
      <c r="B10" s="115"/>
      <c r="C10" s="115"/>
      <c r="D10" s="115"/>
      <c r="E10" s="115"/>
      <c r="F10" s="115"/>
      <c r="G10" s="115"/>
    </row>
    <row r="11" spans="1:30">
      <c r="K11" s="14"/>
      <c r="L11" s="14"/>
      <c r="M11" s="14"/>
      <c r="N11" s="14"/>
      <c r="O11" s="14"/>
      <c r="P11" s="14"/>
      <c r="Q11" s="14"/>
    </row>
    <row r="12" spans="1:30">
      <c r="K12" s="14"/>
      <c r="L12" s="14"/>
      <c r="M12" s="14"/>
      <c r="N12" s="14"/>
      <c r="O12" s="14"/>
      <c r="P12" s="14"/>
      <c r="Q12" s="14"/>
    </row>
    <row r="13" spans="1:30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30">
      <c r="K14" s="14"/>
      <c r="L14" s="14"/>
      <c r="M14" s="14"/>
      <c r="N14" s="14"/>
      <c r="O14" s="14"/>
      <c r="P14" s="14"/>
      <c r="Q14" s="14"/>
    </row>
    <row r="15" spans="1:30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/>
    </row>
    <row r="39" spans="1:23">
      <c r="A39" s="1"/>
      <c r="T39" s="1" t="s">
        <v>74</v>
      </c>
    </row>
    <row r="40" spans="1:23">
      <c r="U40" s="13">
        <v>2005</v>
      </c>
      <c r="V40" s="13">
        <v>2010</v>
      </c>
      <c r="W40" s="13">
        <v>2015</v>
      </c>
    </row>
    <row r="41" spans="1:23">
      <c r="T41" s="13" t="s">
        <v>12</v>
      </c>
      <c r="V41" s="13">
        <v>0</v>
      </c>
      <c r="W41" s="5">
        <v>0</v>
      </c>
    </row>
    <row r="42" spans="1:23">
      <c r="T42" s="13" t="s">
        <v>17</v>
      </c>
      <c r="V42" s="13">
        <v>0.14132501532000002</v>
      </c>
      <c r="W42" s="5">
        <v>0.20692002960000003</v>
      </c>
    </row>
    <row r="43" spans="1:23">
      <c r="T43" s="13" t="s">
        <v>13</v>
      </c>
      <c r="V43" s="13">
        <v>0</v>
      </c>
      <c r="W43" s="5">
        <v>0</v>
      </c>
    </row>
    <row r="44" spans="1:23">
      <c r="T44" s="13" t="s">
        <v>15</v>
      </c>
      <c r="V44" s="13">
        <v>5.0651906400000002E-2</v>
      </c>
      <c r="W44" s="5">
        <v>6.2274463199999991E-2</v>
      </c>
    </row>
    <row r="45" spans="1:23">
      <c r="T45" s="13" t="s">
        <v>14</v>
      </c>
      <c r="V45" s="13">
        <v>1.5414960239999999E-2</v>
      </c>
      <c r="W45" s="5">
        <v>1.64080692E-2</v>
      </c>
    </row>
    <row r="46" spans="1:23">
      <c r="T46" s="13" t="s">
        <v>30</v>
      </c>
      <c r="V46" s="13">
        <v>0</v>
      </c>
      <c r="W46" s="5">
        <v>0</v>
      </c>
    </row>
    <row r="47" spans="1:23">
      <c r="T47" s="13" t="s">
        <v>16</v>
      </c>
      <c r="V47" s="13">
        <v>0.27588541788000009</v>
      </c>
      <c r="W47" s="5">
        <v>0.31739293440000005</v>
      </c>
    </row>
    <row r="48" spans="1:23">
      <c r="T48" s="13" t="s">
        <v>31</v>
      </c>
      <c r="V48" s="13">
        <v>0.8139352726800001</v>
      </c>
      <c r="W48" s="5">
        <v>0.95168894759999989</v>
      </c>
    </row>
    <row r="49" spans="1:20">
      <c r="A49" s="115"/>
      <c r="B49" s="115"/>
      <c r="C49" s="115"/>
      <c r="D49" s="115"/>
      <c r="E49" s="115"/>
      <c r="F49" s="115"/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4646F-C17F-4902-BBB4-660B0BB786F1}">
  <dimension ref="A1:AD49"/>
  <sheetViews>
    <sheetView zoomScale="70" zoomScaleNormal="70" workbookViewId="0">
      <selection activeCell="I22" sqref="I22"/>
    </sheetView>
  </sheetViews>
  <sheetFormatPr defaultColWidth="8.69921875" defaultRowHeight="17.399999999999999"/>
  <cols>
    <col min="1" max="16384" width="8.69921875" style="13"/>
  </cols>
  <sheetData>
    <row r="1" spans="1:30">
      <c r="A1" s="1"/>
    </row>
    <row r="2" spans="1:30">
      <c r="A2" s="13" t="s">
        <v>8</v>
      </c>
      <c r="B2" s="13" t="s">
        <v>9</v>
      </c>
      <c r="C2" s="13" t="s">
        <v>39</v>
      </c>
      <c r="D2" s="13">
        <v>1990</v>
      </c>
      <c r="E2" s="13">
        <v>2005</v>
      </c>
      <c r="F2" s="13">
        <v>2010</v>
      </c>
      <c r="G2" s="13">
        <v>2015</v>
      </c>
      <c r="H2" s="13">
        <v>2020</v>
      </c>
      <c r="I2" s="13">
        <v>2025</v>
      </c>
      <c r="J2" s="13">
        <v>2030</v>
      </c>
      <c r="K2" s="13">
        <v>2035</v>
      </c>
      <c r="L2" s="13">
        <v>2040</v>
      </c>
      <c r="M2" s="13">
        <v>2045</v>
      </c>
      <c r="N2" s="13">
        <v>2050</v>
      </c>
      <c r="Q2" s="13" t="s">
        <v>8</v>
      </c>
      <c r="R2" s="13" t="s">
        <v>9</v>
      </c>
      <c r="S2" s="13" t="s">
        <v>39</v>
      </c>
      <c r="T2" s="13">
        <v>1990</v>
      </c>
      <c r="U2" s="13">
        <v>2005</v>
      </c>
      <c r="V2" s="13">
        <v>2010</v>
      </c>
      <c r="W2" s="13">
        <v>2015</v>
      </c>
      <c r="X2" s="13">
        <v>2020</v>
      </c>
      <c r="Y2" s="13">
        <v>2025</v>
      </c>
      <c r="Z2" s="13">
        <v>2030</v>
      </c>
      <c r="AA2" s="13">
        <v>2035</v>
      </c>
      <c r="AB2" s="13">
        <v>2040</v>
      </c>
      <c r="AC2" s="13">
        <v>2045</v>
      </c>
      <c r="AD2" s="13">
        <v>2050</v>
      </c>
    </row>
    <row r="3" spans="1:30">
      <c r="A3" s="4" t="s">
        <v>365</v>
      </c>
      <c r="B3" s="4" t="s">
        <v>1</v>
      </c>
      <c r="C3" s="4" t="s">
        <v>56</v>
      </c>
      <c r="D3" s="4">
        <f>T3*ghg_sort!$B$6</f>
        <v>26.561952297017527</v>
      </c>
      <c r="E3" s="4">
        <f>U3*ghg_sort!$B$6</f>
        <v>39.089709763465571</v>
      </c>
      <c r="F3" s="4">
        <f>V3*ghg_sort!$B$6</f>
        <v>37.836780281065735</v>
      </c>
      <c r="G3" s="4">
        <f>W3*ghg_sort!$B$6</f>
        <v>38.1278938315345</v>
      </c>
      <c r="H3" s="4">
        <f>X3*ghg_sort!$B$6</f>
        <v>35.297636218350583</v>
      </c>
      <c r="I3" s="4">
        <f>Y3*ghg_sort!$B$6</f>
        <v>27.080348595568097</v>
      </c>
      <c r="J3" s="4">
        <f>Z3*ghg_sort!$B$6</f>
        <v>23.504339435358784</v>
      </c>
      <c r="K3" s="4">
        <f>AA3*ghg_sort!$B$6</f>
        <v>19.861178120903258</v>
      </c>
      <c r="L3" s="4">
        <f>AB3*ghg_sort!$B$6</f>
        <v>11.291350220851371</v>
      </c>
      <c r="M3" s="4">
        <f>AC3*ghg_sort!$B$6</f>
        <v>6.7881380414724131</v>
      </c>
      <c r="N3" s="4">
        <f>AD3*ghg_sort!$B$6</f>
        <v>4.9215796779268945</v>
      </c>
      <c r="O3" s="4"/>
      <c r="P3" s="4"/>
      <c r="Q3" s="4" t="s">
        <v>400</v>
      </c>
      <c r="R3" s="4" t="s">
        <v>1</v>
      </c>
      <c r="S3" s="4" t="s">
        <v>61</v>
      </c>
      <c r="T3" s="4">
        <v>7.2441688082775002</v>
      </c>
      <c r="U3" s="4">
        <v>10.6608299354906</v>
      </c>
      <c r="V3" s="4">
        <v>10.319121894836099</v>
      </c>
      <c r="W3" s="4">
        <v>10.3985164995094</v>
      </c>
      <c r="X3" s="4">
        <v>9.6266280595501499</v>
      </c>
      <c r="Y3" s="4">
        <v>7.3855496169731101</v>
      </c>
      <c r="Z3" s="4">
        <v>6.4102743914614804</v>
      </c>
      <c r="AA3" s="4">
        <v>5.4166849420645198</v>
      </c>
      <c r="AB3" s="4">
        <v>3.0794591511412799</v>
      </c>
      <c r="AC3" s="4">
        <v>1.8513103749470201</v>
      </c>
      <c r="AD3" s="4">
        <v>1.3422490030709699</v>
      </c>
    </row>
    <row r="4" spans="1:30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</row>
    <row r="5" spans="1:30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30">
      <c r="A6" s="4"/>
      <c r="B6" s="4"/>
      <c r="C6" s="4" t="s">
        <v>401</v>
      </c>
      <c r="D6" s="4">
        <f>SUM(D3:D4)</f>
        <v>26.561952297017527</v>
      </c>
      <c r="E6" s="4">
        <f t="shared" ref="E6:N6" si="0">SUM(E3:E4)</f>
        <v>39.089709763465571</v>
      </c>
      <c r="F6" s="4">
        <f t="shared" si="0"/>
        <v>37.836780281065735</v>
      </c>
      <c r="G6" s="4">
        <f t="shared" si="0"/>
        <v>38.1278938315345</v>
      </c>
      <c r="H6" s="4">
        <f t="shared" si="0"/>
        <v>35.297636218350583</v>
      </c>
      <c r="I6" s="4">
        <f t="shared" si="0"/>
        <v>27.080348595568097</v>
      </c>
      <c r="J6" s="4">
        <f t="shared" si="0"/>
        <v>23.504339435358784</v>
      </c>
      <c r="K6" s="4">
        <f t="shared" si="0"/>
        <v>19.861178120903258</v>
      </c>
      <c r="L6" s="4">
        <f t="shared" si="0"/>
        <v>11.291350220851371</v>
      </c>
      <c r="M6" s="4">
        <f t="shared" si="0"/>
        <v>6.7881380414724131</v>
      </c>
      <c r="N6" s="4">
        <f t="shared" si="0"/>
        <v>4.9215796779268945</v>
      </c>
      <c r="O6" s="4"/>
      <c r="P6" s="4"/>
      <c r="Q6" s="4"/>
    </row>
    <row r="7" spans="1:30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1:3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30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30">
      <c r="A10" s="115"/>
      <c r="B10" s="115"/>
      <c r="C10" s="115"/>
      <c r="D10" s="115"/>
      <c r="E10" s="115"/>
      <c r="F10" s="115"/>
      <c r="G10" s="115"/>
    </row>
    <row r="11" spans="1:30">
      <c r="K11" s="14"/>
      <c r="L11" s="14"/>
      <c r="M11" s="14"/>
      <c r="N11" s="14"/>
      <c r="O11" s="14"/>
      <c r="P11" s="14"/>
      <c r="Q11" s="14"/>
    </row>
    <row r="12" spans="1:30">
      <c r="K12" s="14"/>
      <c r="L12" s="14"/>
      <c r="M12" s="14"/>
      <c r="N12" s="14"/>
      <c r="O12" s="14"/>
      <c r="P12" s="14"/>
      <c r="Q12" s="14"/>
    </row>
    <row r="13" spans="1:30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30">
      <c r="K14" s="14"/>
      <c r="L14" s="14"/>
      <c r="M14" s="14"/>
      <c r="N14" s="14"/>
      <c r="O14" s="14"/>
      <c r="P14" s="14"/>
      <c r="Q14" s="14"/>
    </row>
    <row r="15" spans="1:30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/>
    </row>
    <row r="39" spans="1:23">
      <c r="A39" s="1"/>
      <c r="T39" s="1"/>
    </row>
    <row r="41" spans="1:23">
      <c r="W41" s="5"/>
    </row>
    <row r="42" spans="1:23">
      <c r="W42" s="5"/>
    </row>
    <row r="43" spans="1:23">
      <c r="W43" s="5"/>
    </row>
    <row r="44" spans="1:23">
      <c r="W44" s="5"/>
    </row>
    <row r="45" spans="1:23">
      <c r="W45" s="5"/>
    </row>
    <row r="46" spans="1:23">
      <c r="W46" s="5"/>
    </row>
    <row r="47" spans="1:23">
      <c r="W47" s="5"/>
    </row>
    <row r="48" spans="1:23">
      <c r="W48" s="5"/>
    </row>
    <row r="49" spans="1:6">
      <c r="A49" s="115"/>
      <c r="B49" s="115"/>
      <c r="C49" s="115"/>
      <c r="D49" s="115"/>
      <c r="E49" s="115"/>
      <c r="F49" s="115"/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DA53D-5E4F-41F7-99B8-D6A61AB64A8B}">
  <sheetPr codeName="Sheet51"/>
  <dimension ref="A1:T49"/>
  <sheetViews>
    <sheetView zoomScale="70" zoomScaleNormal="70" workbookViewId="0">
      <selection activeCell="R45" sqref="R45"/>
    </sheetView>
  </sheetViews>
  <sheetFormatPr defaultColWidth="8.69921875" defaultRowHeight="17.399999999999999"/>
  <cols>
    <col min="1" max="21" width="8.69921875" style="13"/>
    <col min="22" max="23" width="11.59765625" style="13" bestFit="1" customWidth="1"/>
    <col min="24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13" t="s">
        <v>400</v>
      </c>
      <c r="B3" s="13" t="s">
        <v>1</v>
      </c>
      <c r="C3" s="13" t="s">
        <v>62</v>
      </c>
      <c r="D3" s="13" t="s">
        <v>57</v>
      </c>
      <c r="E3" s="13" t="s">
        <v>3</v>
      </c>
      <c r="F3" s="13" t="s">
        <v>57</v>
      </c>
      <c r="G3" s="13">
        <v>3.6571800000000002E-2</v>
      </c>
      <c r="H3" s="13">
        <v>3.9287299999999997E-2</v>
      </c>
      <c r="I3" s="13">
        <v>4.2373099999999997E-2</v>
      </c>
      <c r="J3" s="13">
        <v>3.9861500000000001E-2</v>
      </c>
      <c r="K3" s="13">
        <v>3.9866477999999997E-2</v>
      </c>
      <c r="L3" s="13">
        <v>2.9405052000000001E-2</v>
      </c>
      <c r="M3" s="13">
        <v>2.5551847999999999E-2</v>
      </c>
      <c r="N3" s="13">
        <v>2.9753926E-2</v>
      </c>
      <c r="O3" s="13">
        <v>4.3879310999999997E-2</v>
      </c>
      <c r="P3" s="13">
        <v>4.4919292E-2</v>
      </c>
      <c r="Q3" s="13">
        <v>4.1515054400000001E-2</v>
      </c>
    </row>
    <row r="4" spans="1:17">
      <c r="A4" s="13" t="s">
        <v>400</v>
      </c>
      <c r="B4" s="13" t="s">
        <v>1</v>
      </c>
      <c r="C4" s="13" t="s">
        <v>62</v>
      </c>
      <c r="D4" s="13" t="s">
        <v>58</v>
      </c>
      <c r="E4" s="13" t="s">
        <v>4</v>
      </c>
      <c r="F4" s="13" t="s">
        <v>58</v>
      </c>
      <c r="G4" s="13">
        <v>8.5812200000000005E-2</v>
      </c>
      <c r="H4" s="13">
        <v>0.118297</v>
      </c>
      <c r="I4" s="13">
        <v>0.112141</v>
      </c>
      <c r="J4" s="13">
        <v>0.114653</v>
      </c>
      <c r="K4" s="13">
        <v>0.11497084</v>
      </c>
      <c r="L4" s="13">
        <v>8.4476269999999895E-2</v>
      </c>
      <c r="M4" s="13">
        <v>7.3008989999999996E-2</v>
      </c>
      <c r="N4" s="13">
        <v>5.7592184999999997E-2</v>
      </c>
      <c r="O4" s="13">
        <v>2.5222562E-2</v>
      </c>
      <c r="P4" s="13">
        <v>1.0680794999999899E-2</v>
      </c>
      <c r="Q4" s="13">
        <v>6.2023180999999997E-3</v>
      </c>
    </row>
    <row r="5" spans="1:17">
      <c r="A5" s="4" t="s">
        <v>400</v>
      </c>
      <c r="B5" s="4" t="s">
        <v>1</v>
      </c>
      <c r="C5" s="4" t="s">
        <v>61</v>
      </c>
      <c r="D5" s="4" t="s">
        <v>61</v>
      </c>
      <c r="E5" s="4" t="s">
        <v>5</v>
      </c>
      <c r="F5" s="4" t="s">
        <v>61</v>
      </c>
      <c r="G5" s="4">
        <v>1.39375E-2</v>
      </c>
      <c r="H5" s="4">
        <v>2.0152400000000001E-2</v>
      </c>
      <c r="I5" s="4">
        <v>1.9656400000000001E-2</v>
      </c>
      <c r="J5" s="4">
        <v>1.9656400000000001E-2</v>
      </c>
      <c r="K5" s="4">
        <v>1.82212E-2</v>
      </c>
      <c r="L5" s="4">
        <v>1.39743E-2</v>
      </c>
      <c r="M5" s="4">
        <v>1.2133700000000001E-2</v>
      </c>
      <c r="N5" s="4">
        <v>1.072937E-2</v>
      </c>
      <c r="O5" s="4">
        <v>5.9958880000000004E-3</v>
      </c>
      <c r="P5" s="4">
        <v>3.3418530000000001E-3</v>
      </c>
      <c r="Q5" s="4">
        <v>2.37054628E-3</v>
      </c>
    </row>
    <row r="6" spans="1:17">
      <c r="A6" s="4" t="s">
        <v>400</v>
      </c>
      <c r="B6" s="4" t="s">
        <v>1</v>
      </c>
      <c r="C6" s="4" t="s">
        <v>61</v>
      </c>
      <c r="D6" s="4" t="s">
        <v>61</v>
      </c>
      <c r="E6" s="4" t="s">
        <v>5</v>
      </c>
      <c r="F6" s="4" t="s">
        <v>116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14">
        <v>4.2907600000000002E-4</v>
      </c>
      <c r="O6" s="4">
        <v>5.5439560000000001E-3</v>
      </c>
      <c r="P6" s="4">
        <v>7.6307520000000002E-3</v>
      </c>
      <c r="Q6" s="4">
        <v>7.5775759999999904E-3</v>
      </c>
    </row>
    <row r="7" spans="1:17">
      <c r="A7" s="13" t="s">
        <v>400</v>
      </c>
      <c r="B7" s="13" t="s">
        <v>1</v>
      </c>
      <c r="C7" s="13" t="s">
        <v>62</v>
      </c>
      <c r="D7" s="13" t="s">
        <v>19</v>
      </c>
      <c r="E7" s="13" t="s">
        <v>6</v>
      </c>
      <c r="F7" s="13" t="s">
        <v>19</v>
      </c>
      <c r="G7" s="13">
        <v>1.6688700000000001E-2</v>
      </c>
      <c r="H7" s="13">
        <v>2.1488799999999999E-2</v>
      </c>
      <c r="I7" s="13">
        <v>2.1070200000000001E-2</v>
      </c>
      <c r="J7" s="13">
        <v>2.1070200000000001E-2</v>
      </c>
      <c r="K7" s="13">
        <v>7.9271370000000008E-3</v>
      </c>
      <c r="L7" s="13">
        <v>1.0946404999999999E-2</v>
      </c>
      <c r="M7" s="13">
        <v>9.8253569999999998E-3</v>
      </c>
      <c r="N7" s="13">
        <v>1.0233611E-2</v>
      </c>
      <c r="O7" s="13">
        <v>2.1307013E-2</v>
      </c>
      <c r="P7" s="13">
        <v>2.6172939100000001E-2</v>
      </c>
      <c r="Q7" s="13">
        <v>2.53633297999999E-2</v>
      </c>
    </row>
    <row r="8" spans="1:17">
      <c r="O8" s="14"/>
      <c r="P8" s="14"/>
    </row>
    <row r="9" spans="1:17">
      <c r="A9" s="4" t="s">
        <v>0</v>
      </c>
      <c r="B9" s="4" t="s">
        <v>1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3">
        <f>SUM(G3:G9)</f>
        <v>0.15301020000000001</v>
      </c>
      <c r="H10" s="13">
        <f t="shared" ref="H10:Q10" si="0">SUM(H3:H9)</f>
        <v>0.19922550000000003</v>
      </c>
      <c r="I10" s="13">
        <f t="shared" si="0"/>
        <v>0.19524069999999999</v>
      </c>
      <c r="J10" s="13">
        <f t="shared" si="0"/>
        <v>0.1952411</v>
      </c>
      <c r="K10" s="13">
        <f t="shared" si="0"/>
        <v>0.180985655</v>
      </c>
      <c r="L10" s="13">
        <f t="shared" si="0"/>
        <v>0.13880202699999988</v>
      </c>
      <c r="M10" s="13">
        <f t="shared" si="0"/>
        <v>0.12051989499999999</v>
      </c>
      <c r="N10" s="13">
        <f t="shared" si="0"/>
        <v>0.10873816800000001</v>
      </c>
      <c r="O10" s="13">
        <f t="shared" si="0"/>
        <v>0.10194873</v>
      </c>
      <c r="P10" s="13">
        <f t="shared" si="0"/>
        <v>9.2745631099999892E-2</v>
      </c>
      <c r="Q10" s="13">
        <f t="shared" si="0"/>
        <v>8.3028824579999896E-2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 spans="1:17"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6" spans="1:17">
      <c r="P16" s="14"/>
      <c r="Q16" s="14"/>
    </row>
    <row r="22" spans="1:20">
      <c r="J22" s="14"/>
      <c r="K22" s="14"/>
      <c r="L22" s="14"/>
      <c r="M22" s="14"/>
    </row>
    <row r="25" spans="1:20">
      <c r="Q25" s="1" t="s">
        <v>74</v>
      </c>
    </row>
    <row r="26" spans="1:20">
      <c r="R26" s="13">
        <v>2005</v>
      </c>
      <c r="S26" s="13">
        <v>2010</v>
      </c>
      <c r="T26" s="13">
        <v>2015</v>
      </c>
    </row>
    <row r="27" spans="1:20">
      <c r="Q27" s="13" t="s">
        <v>12</v>
      </c>
      <c r="S27" s="6">
        <v>0</v>
      </c>
      <c r="T27" s="6">
        <v>0</v>
      </c>
    </row>
    <row r="28" spans="1:20">
      <c r="Q28" s="13" t="s">
        <v>17</v>
      </c>
      <c r="S28" s="6">
        <v>1.874304756E-2</v>
      </c>
      <c r="T28" s="6">
        <v>2.1076351200000003E-2</v>
      </c>
    </row>
    <row r="29" spans="1:20">
      <c r="Q29" s="13" t="s">
        <v>13</v>
      </c>
      <c r="S29" s="6">
        <v>0</v>
      </c>
      <c r="T29" s="6">
        <v>0</v>
      </c>
    </row>
    <row r="30" spans="1:20">
      <c r="Q30" s="13" t="s">
        <v>15</v>
      </c>
      <c r="S30" s="6">
        <v>5.0660280000000006E-5</v>
      </c>
      <c r="T30" s="6">
        <v>8.2898640000000001E-4</v>
      </c>
    </row>
    <row r="31" spans="1:20">
      <c r="A31" s="1" t="s">
        <v>23</v>
      </c>
      <c r="Q31" s="13" t="s">
        <v>14</v>
      </c>
      <c r="S31" s="6">
        <v>0.11129393628000002</v>
      </c>
      <c r="T31" s="6">
        <v>0.1148690448</v>
      </c>
    </row>
    <row r="32" spans="1:20">
      <c r="A32" s="13" t="s">
        <v>8</v>
      </c>
      <c r="B32" s="13" t="s">
        <v>9</v>
      </c>
      <c r="C32" s="13" t="s">
        <v>39</v>
      </c>
      <c r="D32" s="13" t="s">
        <v>10</v>
      </c>
      <c r="E32" s="13">
        <v>1990</v>
      </c>
      <c r="F32" s="13">
        <v>2005</v>
      </c>
      <c r="G32" s="13">
        <v>2010</v>
      </c>
      <c r="H32" s="13">
        <v>2015</v>
      </c>
      <c r="I32" s="13">
        <v>2020</v>
      </c>
      <c r="J32" s="13">
        <v>2025</v>
      </c>
      <c r="K32" s="13">
        <v>2030</v>
      </c>
      <c r="L32" s="13">
        <v>2035</v>
      </c>
      <c r="M32" s="13">
        <v>2040</v>
      </c>
      <c r="N32" s="13">
        <v>2045</v>
      </c>
      <c r="O32" s="13">
        <v>2050</v>
      </c>
      <c r="Q32" s="13" t="s">
        <v>30</v>
      </c>
      <c r="S32" s="6">
        <v>0</v>
      </c>
      <c r="T32" s="6">
        <v>0</v>
      </c>
    </row>
    <row r="33" spans="1:20">
      <c r="A33" s="13" t="s">
        <v>0</v>
      </c>
      <c r="B33" s="13" t="s">
        <v>1</v>
      </c>
      <c r="Q33" s="13" t="s">
        <v>16</v>
      </c>
      <c r="S33" s="6">
        <v>1.6894575360000001E-2</v>
      </c>
      <c r="T33" s="6">
        <v>2.4953328E-2</v>
      </c>
    </row>
    <row r="34" spans="1:20">
      <c r="A34" s="13" t="s">
        <v>0</v>
      </c>
      <c r="B34" s="13" t="s">
        <v>1</v>
      </c>
      <c r="Q34" s="13" t="s">
        <v>31</v>
      </c>
      <c r="S34" s="6">
        <v>5.8615200000000003E-6</v>
      </c>
      <c r="T34" s="6">
        <v>7.9549200000000007E-5</v>
      </c>
    </row>
    <row r="35" spans="1:20">
      <c r="A35" s="13" t="s">
        <v>0</v>
      </c>
      <c r="B35" s="13" t="s">
        <v>1</v>
      </c>
    </row>
    <row r="36" spans="1:20">
      <c r="A36" s="13" t="s">
        <v>0</v>
      </c>
      <c r="B36" s="13" t="s">
        <v>1</v>
      </c>
      <c r="Q36" s="13" t="s">
        <v>75</v>
      </c>
    </row>
    <row r="38" spans="1:20">
      <c r="A38" s="1" t="s">
        <v>11</v>
      </c>
    </row>
    <row r="39" spans="1:20">
      <c r="A39" s="13" t="s">
        <v>8</v>
      </c>
      <c r="B39" s="13" t="s">
        <v>9</v>
      </c>
      <c r="E39" s="13" t="s">
        <v>39</v>
      </c>
      <c r="F39" s="13" t="s">
        <v>10</v>
      </c>
      <c r="G39" s="13">
        <v>2015</v>
      </c>
      <c r="H39" s="13">
        <v>2020</v>
      </c>
      <c r="I39" s="13">
        <v>2025</v>
      </c>
      <c r="J39" s="13">
        <v>2030</v>
      </c>
      <c r="K39" s="13">
        <v>2035</v>
      </c>
      <c r="L39" s="13">
        <v>2040</v>
      </c>
      <c r="M39" s="13">
        <v>2045</v>
      </c>
      <c r="N39" s="13">
        <v>2050</v>
      </c>
    </row>
    <row r="40" spans="1:20">
      <c r="A40" s="13" t="s">
        <v>0</v>
      </c>
      <c r="B40" s="13" t="s">
        <v>2</v>
      </c>
      <c r="E40" s="13" t="s">
        <v>2</v>
      </c>
      <c r="F40" s="13" t="s">
        <v>12</v>
      </c>
      <c r="G40" s="13">
        <f t="shared" ref="G40:N40" si="1">SUMIF($E$3:$E$22,$E40,J$3:J$22)</f>
        <v>0</v>
      </c>
      <c r="H40" s="13">
        <f t="shared" si="1"/>
        <v>0</v>
      </c>
      <c r="I40" s="13">
        <f t="shared" si="1"/>
        <v>0</v>
      </c>
      <c r="J40" s="13">
        <f t="shared" si="1"/>
        <v>0</v>
      </c>
      <c r="K40" s="13">
        <f t="shared" si="1"/>
        <v>0</v>
      </c>
      <c r="L40" s="13">
        <f t="shared" si="1"/>
        <v>0</v>
      </c>
      <c r="M40" s="13">
        <f t="shared" si="1"/>
        <v>0</v>
      </c>
      <c r="N40" s="13">
        <f t="shared" si="1"/>
        <v>0</v>
      </c>
    </row>
    <row r="41" spans="1:20">
      <c r="E41" s="4" t="s">
        <v>116</v>
      </c>
      <c r="F41" s="13" t="s">
        <v>118</v>
      </c>
      <c r="G41" s="13">
        <f>SUMIF($F$3:$F$22,$E41,J$3:J$22)</f>
        <v>0</v>
      </c>
      <c r="H41" s="13">
        <f t="shared" ref="H41:N42" si="2">SUMIF($F$3:$F$22,$E41,K$3:K$22)</f>
        <v>0</v>
      </c>
      <c r="I41" s="13">
        <f t="shared" si="2"/>
        <v>0</v>
      </c>
      <c r="J41" s="13">
        <f t="shared" si="2"/>
        <v>0</v>
      </c>
      <c r="K41" s="13">
        <f t="shared" si="2"/>
        <v>4.2907600000000002E-4</v>
      </c>
      <c r="L41" s="13">
        <f t="shared" si="2"/>
        <v>5.5439560000000001E-3</v>
      </c>
      <c r="M41" s="13">
        <f t="shared" si="2"/>
        <v>7.6307520000000002E-3</v>
      </c>
      <c r="N41" s="13">
        <f t="shared" si="2"/>
        <v>7.5775759999999904E-3</v>
      </c>
    </row>
    <row r="42" spans="1:20">
      <c r="A42" s="13" t="s">
        <v>0</v>
      </c>
      <c r="B42" s="13" t="s">
        <v>5</v>
      </c>
      <c r="E42" s="4" t="s">
        <v>61</v>
      </c>
      <c r="F42" s="4" t="s">
        <v>117</v>
      </c>
      <c r="G42" s="13">
        <f>SUMIF($F$3:$F$22,$E42,J$3:J$22)</f>
        <v>1.9656400000000001E-2</v>
      </c>
      <c r="H42" s="13">
        <f t="shared" si="2"/>
        <v>1.82212E-2</v>
      </c>
      <c r="I42" s="13">
        <f t="shared" si="2"/>
        <v>1.39743E-2</v>
      </c>
      <c r="J42" s="13">
        <f t="shared" si="2"/>
        <v>1.2133700000000001E-2</v>
      </c>
      <c r="K42" s="13">
        <f t="shared" si="2"/>
        <v>1.072937E-2</v>
      </c>
      <c r="L42" s="13">
        <f t="shared" si="2"/>
        <v>5.9958880000000004E-3</v>
      </c>
      <c r="M42" s="13">
        <f t="shared" si="2"/>
        <v>3.3418530000000001E-3</v>
      </c>
      <c r="N42" s="13">
        <f t="shared" si="2"/>
        <v>2.37054628E-3</v>
      </c>
    </row>
    <row r="43" spans="1:20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ref="G43:N45" si="3">SUMIF($E$3:$E$22,$E43,J$3:J$22)</f>
        <v>3.9861500000000001E-2</v>
      </c>
      <c r="H43" s="13">
        <f t="shared" si="3"/>
        <v>3.9866477999999997E-2</v>
      </c>
      <c r="I43" s="13">
        <f t="shared" si="3"/>
        <v>2.9405052000000001E-2</v>
      </c>
      <c r="J43" s="13">
        <f t="shared" si="3"/>
        <v>2.5551847999999999E-2</v>
      </c>
      <c r="K43" s="13">
        <f t="shared" si="3"/>
        <v>2.9753926E-2</v>
      </c>
      <c r="L43" s="13">
        <f t="shared" si="3"/>
        <v>4.3879310999999997E-2</v>
      </c>
      <c r="M43" s="13">
        <f t="shared" si="3"/>
        <v>4.4919292E-2</v>
      </c>
      <c r="N43" s="13">
        <f t="shared" si="3"/>
        <v>4.1515054400000001E-2</v>
      </c>
    </row>
    <row r="44" spans="1:20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3"/>
        <v>0</v>
      </c>
      <c r="H44" s="13">
        <f t="shared" si="3"/>
        <v>0</v>
      </c>
      <c r="I44" s="13">
        <f t="shared" si="3"/>
        <v>0</v>
      </c>
      <c r="J44" s="13">
        <f t="shared" si="3"/>
        <v>0</v>
      </c>
      <c r="K44" s="13">
        <f t="shared" si="3"/>
        <v>0</v>
      </c>
      <c r="L44" s="13">
        <f t="shared" si="3"/>
        <v>0</v>
      </c>
      <c r="M44" s="13">
        <f t="shared" si="3"/>
        <v>0</v>
      </c>
      <c r="N44" s="13">
        <f t="shared" si="3"/>
        <v>0</v>
      </c>
    </row>
    <row r="45" spans="1:20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3"/>
        <v>0.114653</v>
      </c>
      <c r="H45" s="13">
        <f t="shared" si="3"/>
        <v>0.11497084</v>
      </c>
      <c r="I45" s="13">
        <f t="shared" si="3"/>
        <v>8.4476269999999895E-2</v>
      </c>
      <c r="J45" s="13">
        <f t="shared" si="3"/>
        <v>7.3008989999999996E-2</v>
      </c>
      <c r="K45" s="13">
        <f t="shared" si="3"/>
        <v>5.7592184999999997E-2</v>
      </c>
      <c r="L45" s="13">
        <f t="shared" si="3"/>
        <v>2.5222562E-2</v>
      </c>
      <c r="M45" s="13">
        <f t="shared" si="3"/>
        <v>1.0680794999999899E-2</v>
      </c>
      <c r="N45" s="13">
        <f t="shared" si="3"/>
        <v>6.2023180999999997E-3</v>
      </c>
    </row>
    <row r="46" spans="1:20">
      <c r="A46" s="13" t="s">
        <v>26</v>
      </c>
      <c r="E46" s="13" t="s">
        <v>4</v>
      </c>
      <c r="F46" s="13" t="s">
        <v>30</v>
      </c>
    </row>
    <row r="47" spans="1:20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4">SUMIF($E$3:$E$22,$E47,J$3:J$22)</f>
        <v>2.1070200000000001E-2</v>
      </c>
      <c r="H47" s="13">
        <f t="shared" si="4"/>
        <v>7.9271370000000008E-3</v>
      </c>
      <c r="I47" s="13">
        <f t="shared" si="4"/>
        <v>1.0946404999999999E-2</v>
      </c>
      <c r="J47" s="13">
        <f t="shared" si="4"/>
        <v>9.8253569999999998E-3</v>
      </c>
      <c r="K47" s="13">
        <f t="shared" si="4"/>
        <v>1.0233611E-2</v>
      </c>
      <c r="L47" s="13">
        <f t="shared" si="4"/>
        <v>2.1307013E-2</v>
      </c>
      <c r="M47" s="13">
        <f t="shared" si="4"/>
        <v>2.6172939100000001E-2</v>
      </c>
      <c r="N47" s="13">
        <f t="shared" si="4"/>
        <v>2.53633297999999E-2</v>
      </c>
    </row>
    <row r="48" spans="1:20">
      <c r="A48" s="13" t="s">
        <v>28</v>
      </c>
      <c r="E48" s="13" t="s">
        <v>6</v>
      </c>
      <c r="F48" s="13" t="s">
        <v>31</v>
      </c>
    </row>
    <row r="49" spans="1:14">
      <c r="A49" s="115" t="s">
        <v>29</v>
      </c>
      <c r="B49" s="115"/>
      <c r="C49" s="115"/>
      <c r="D49" s="115"/>
      <c r="E49" s="115"/>
      <c r="F49" s="115"/>
      <c r="G49" s="13">
        <f t="shared" ref="G49:N49" si="5">SUM(G40:G48)</f>
        <v>0.19524110000000003</v>
      </c>
      <c r="H49" s="13">
        <f t="shared" si="5"/>
        <v>0.180985655</v>
      </c>
      <c r="I49" s="13">
        <f t="shared" si="5"/>
        <v>0.13880202699999988</v>
      </c>
      <c r="J49" s="13">
        <f t="shared" si="5"/>
        <v>0.12051989499999999</v>
      </c>
      <c r="K49" s="13">
        <f t="shared" si="5"/>
        <v>0.108738168</v>
      </c>
      <c r="L49" s="13">
        <f t="shared" si="5"/>
        <v>0.10194873</v>
      </c>
      <c r="M49" s="13">
        <f t="shared" si="5"/>
        <v>9.2745631099999892E-2</v>
      </c>
      <c r="N49" s="13">
        <f t="shared" si="5"/>
        <v>8.3028824579999896E-2</v>
      </c>
    </row>
  </sheetData>
  <mergeCells count="2">
    <mergeCell ref="A10:F10"/>
    <mergeCell ref="A49:F49"/>
  </mergeCells>
  <phoneticPr fontId="1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769A-F846-4831-A6B7-4B62737C5033}">
  <sheetPr codeName="Sheet35"/>
  <dimension ref="A1:W51"/>
  <sheetViews>
    <sheetView zoomScale="85" zoomScaleNormal="85" workbookViewId="0"/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0</v>
      </c>
      <c r="B3" s="4" t="s">
        <v>1</v>
      </c>
      <c r="C3" s="4" t="s">
        <v>56</v>
      </c>
      <c r="D3" s="4" t="s">
        <v>57</v>
      </c>
      <c r="E3" s="4" t="s">
        <v>3</v>
      </c>
      <c r="F3" s="4" t="s">
        <v>57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1:17">
      <c r="A4" s="4" t="s">
        <v>0</v>
      </c>
      <c r="B4" s="4" t="s">
        <v>1</v>
      </c>
      <c r="C4" s="4" t="s">
        <v>56</v>
      </c>
      <c r="D4" s="4" t="s">
        <v>58</v>
      </c>
      <c r="E4" s="4" t="s">
        <v>4</v>
      </c>
      <c r="F4" s="4" t="s">
        <v>58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>
      <c r="A5" s="4" t="s">
        <v>108</v>
      </c>
      <c r="B5" s="4" t="s">
        <v>1</v>
      </c>
      <c r="C5" s="4" t="s">
        <v>63</v>
      </c>
      <c r="D5" s="4" t="s">
        <v>60</v>
      </c>
      <c r="E5" s="4" t="s">
        <v>7</v>
      </c>
      <c r="F5" s="4" t="s">
        <v>111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14">
        <v>3.8185700000000003E-5</v>
      </c>
      <c r="M5" s="14">
        <v>2.7628860000000001E-4</v>
      </c>
      <c r="N5" s="4">
        <v>1.2425890999999999E-3</v>
      </c>
      <c r="O5" s="4">
        <v>2.79795889999999E-3</v>
      </c>
      <c r="P5" s="4">
        <v>3.9096440999999999E-3</v>
      </c>
      <c r="Q5" s="4">
        <v>4.5526205299999999E-3</v>
      </c>
    </row>
    <row r="6" spans="1:17">
      <c r="A6" s="13" t="s">
        <v>108</v>
      </c>
      <c r="B6" s="13" t="s">
        <v>1</v>
      </c>
      <c r="C6" s="13" t="s">
        <v>63</v>
      </c>
      <c r="D6" s="13" t="s">
        <v>60</v>
      </c>
      <c r="E6" s="13" t="s">
        <v>7</v>
      </c>
      <c r="F6" s="13" t="s">
        <v>60</v>
      </c>
      <c r="G6" s="13">
        <v>4.1860899999999999E-3</v>
      </c>
      <c r="H6" s="13">
        <v>1.55318E-2</v>
      </c>
      <c r="I6" s="13">
        <v>1.25215E-2</v>
      </c>
      <c r="J6" s="13">
        <v>6.4959199999999996E-3</v>
      </c>
      <c r="K6" s="13">
        <v>6.7932269999999998E-3</v>
      </c>
      <c r="L6" s="13">
        <v>6.9594540000000003E-3</v>
      </c>
      <c r="M6" s="13">
        <v>6.6532919999999999E-3</v>
      </c>
      <c r="N6" s="13">
        <v>5.3121440000000004E-3</v>
      </c>
      <c r="O6" s="13">
        <v>3.460622E-3</v>
      </c>
      <c r="P6" s="13">
        <v>2.2941649999999999E-3</v>
      </c>
      <c r="Q6" s="13">
        <v>1.54410294E-3</v>
      </c>
    </row>
    <row r="7" spans="1:17">
      <c r="A7" s="13" t="s">
        <v>108</v>
      </c>
      <c r="B7" s="13" t="s">
        <v>1</v>
      </c>
      <c r="C7" s="13" t="s">
        <v>63</v>
      </c>
      <c r="D7" s="13" t="s">
        <v>19</v>
      </c>
      <c r="E7" s="13" t="s">
        <v>6</v>
      </c>
      <c r="F7" s="13" t="s">
        <v>19</v>
      </c>
      <c r="G7" s="13">
        <v>2.6574E-2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</row>
    <row r="8" spans="1:17">
      <c r="A8" s="4" t="s">
        <v>0</v>
      </c>
      <c r="B8" s="4" t="s">
        <v>1</v>
      </c>
      <c r="C8" s="4" t="s">
        <v>20</v>
      </c>
      <c r="D8" s="4" t="s">
        <v>58</v>
      </c>
      <c r="E8" s="4" t="s">
        <v>4</v>
      </c>
      <c r="F8" s="4" t="s">
        <v>58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 t="s">
        <v>0</v>
      </c>
      <c r="B9" s="4" t="s">
        <v>1</v>
      </c>
      <c r="C9" s="4" t="s">
        <v>20</v>
      </c>
      <c r="D9" s="4" t="s">
        <v>19</v>
      </c>
      <c r="E9" s="4" t="s">
        <v>6</v>
      </c>
      <c r="F9" s="4" t="s">
        <v>19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1.55318E-2</v>
      </c>
      <c r="I10" s="13">
        <f t="shared" ref="I10:Q10" si="0">SUM(I3:I9)</f>
        <v>1.25215E-2</v>
      </c>
      <c r="J10" s="13">
        <f t="shared" si="0"/>
        <v>6.4959199999999996E-3</v>
      </c>
      <c r="K10" s="13">
        <f t="shared" si="0"/>
        <v>6.7932269999999998E-3</v>
      </c>
      <c r="L10" s="13">
        <f t="shared" si="0"/>
        <v>6.9976397000000006E-3</v>
      </c>
      <c r="M10" s="13">
        <f t="shared" si="0"/>
        <v>6.9295805999999996E-3</v>
      </c>
      <c r="N10" s="13">
        <f t="shared" si="0"/>
        <v>6.5547331000000006E-3</v>
      </c>
      <c r="O10" s="13">
        <f t="shared" si="0"/>
        <v>6.25858089999999E-3</v>
      </c>
      <c r="P10" s="13">
        <f t="shared" si="0"/>
        <v>6.2038090999999998E-3</v>
      </c>
      <c r="Q10" s="13">
        <f t="shared" si="0"/>
        <v>6.0967234699999999E-3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3" si="1">SUMIF($E$3:$E$23,$E41,J$3:J$23)</f>
        <v>0</v>
      </c>
      <c r="H41" s="13">
        <f t="shared" si="1"/>
        <v>0</v>
      </c>
      <c r="I41" s="13">
        <f t="shared" si="1"/>
        <v>0</v>
      </c>
      <c r="J41" s="13">
        <f t="shared" si="1"/>
        <v>0</v>
      </c>
      <c r="K41" s="13">
        <f t="shared" si="1"/>
        <v>0</v>
      </c>
      <c r="L41" s="13">
        <f t="shared" si="1"/>
        <v>0</v>
      </c>
      <c r="M41" s="13">
        <f t="shared" si="1"/>
        <v>0</v>
      </c>
      <c r="N41" s="13">
        <f t="shared" si="1"/>
        <v>0</v>
      </c>
      <c r="T41" s="13" t="s">
        <v>12</v>
      </c>
      <c r="V41" s="13">
        <v>0</v>
      </c>
      <c r="W41" s="13">
        <v>0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</v>
      </c>
      <c r="H42" s="13">
        <f t="shared" si="1"/>
        <v>0</v>
      </c>
      <c r="I42" s="13">
        <f t="shared" si="1"/>
        <v>0</v>
      </c>
      <c r="J42" s="13">
        <f t="shared" si="1"/>
        <v>0</v>
      </c>
      <c r="K42" s="13">
        <f t="shared" si="1"/>
        <v>0</v>
      </c>
      <c r="L42" s="13">
        <f t="shared" si="1"/>
        <v>0</v>
      </c>
      <c r="M42" s="13">
        <f t="shared" si="1"/>
        <v>0</v>
      </c>
      <c r="N42" s="13">
        <f t="shared" si="1"/>
        <v>0</v>
      </c>
      <c r="T42" s="13" t="s">
        <v>17</v>
      </c>
      <c r="V42" s="13">
        <v>0</v>
      </c>
      <c r="W42" s="13">
        <v>2.1227075999999999E-3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</v>
      </c>
      <c r="H43" s="13">
        <f t="shared" si="1"/>
        <v>0</v>
      </c>
      <c r="I43" s="13">
        <f t="shared" si="1"/>
        <v>0</v>
      </c>
      <c r="J43" s="13">
        <f t="shared" si="1"/>
        <v>0</v>
      </c>
      <c r="K43" s="13">
        <f t="shared" si="1"/>
        <v>0</v>
      </c>
      <c r="L43" s="13">
        <f t="shared" si="1"/>
        <v>0</v>
      </c>
      <c r="M43" s="13">
        <f t="shared" si="1"/>
        <v>0</v>
      </c>
      <c r="N43" s="13">
        <f t="shared" si="1"/>
        <v>0</v>
      </c>
      <c r="T43" s="13" t="s">
        <v>13</v>
      </c>
      <c r="V43" s="13">
        <v>0</v>
      </c>
      <c r="W43" s="13">
        <v>0</v>
      </c>
    </row>
    <row r="44" spans="1:23">
      <c r="E44" s="4" t="s">
        <v>111</v>
      </c>
      <c r="F44" s="13" t="s">
        <v>114</v>
      </c>
      <c r="G44" s="13">
        <f t="shared" ref="G44:N44" si="2">SUMIF($F$3:$F$23,$E44,J$3:J$23)</f>
        <v>0</v>
      </c>
      <c r="H44" s="13">
        <f t="shared" si="2"/>
        <v>0</v>
      </c>
      <c r="I44" s="13">
        <f t="shared" si="2"/>
        <v>3.8185700000000003E-5</v>
      </c>
      <c r="J44" s="13">
        <f t="shared" si="2"/>
        <v>2.7628860000000001E-4</v>
      </c>
      <c r="K44" s="13">
        <f t="shared" si="2"/>
        <v>1.2425890999999999E-3</v>
      </c>
      <c r="L44" s="13">
        <f t="shared" si="2"/>
        <v>2.79795889999999E-3</v>
      </c>
      <c r="M44" s="13">
        <f t="shared" si="2"/>
        <v>3.9096440999999999E-3</v>
      </c>
      <c r="N44" s="13">
        <f t="shared" si="2"/>
        <v>4.5526205299999999E-3</v>
      </c>
    </row>
    <row r="45" spans="1:23">
      <c r="A45" s="13" t="s">
        <v>0</v>
      </c>
      <c r="B45" s="13" t="s">
        <v>7</v>
      </c>
      <c r="E45" s="13" t="s">
        <v>60</v>
      </c>
      <c r="F45" s="13" t="s">
        <v>15</v>
      </c>
      <c r="G45" s="13">
        <f>SUMIF($F$3:$F$23,$E45,J$3:J$23)</f>
        <v>6.4959199999999996E-3</v>
      </c>
      <c r="H45" s="13">
        <f t="shared" ref="H45:N45" si="3">SUMIF($F$3:$F$23,$E45,K$3:K$23)</f>
        <v>6.7932269999999998E-3</v>
      </c>
      <c r="I45" s="13">
        <f t="shared" si="3"/>
        <v>6.9594540000000003E-3</v>
      </c>
      <c r="J45" s="13">
        <f t="shared" si="3"/>
        <v>6.6532919999999999E-3</v>
      </c>
      <c r="K45" s="13">
        <f t="shared" si="3"/>
        <v>5.3121440000000004E-3</v>
      </c>
      <c r="L45" s="13">
        <f t="shared" si="3"/>
        <v>3.460622E-3</v>
      </c>
      <c r="M45" s="13">
        <f t="shared" si="3"/>
        <v>2.2941649999999999E-3</v>
      </c>
      <c r="N45" s="13">
        <f t="shared" si="3"/>
        <v>1.54410294E-3</v>
      </c>
      <c r="T45" s="13" t="s">
        <v>15</v>
      </c>
      <c r="V45" s="13">
        <v>0</v>
      </c>
      <c r="W45" s="13">
        <v>1.0508867999999998E-3</v>
      </c>
    </row>
    <row r="46" spans="1:23">
      <c r="A46" s="13" t="s">
        <v>0</v>
      </c>
      <c r="B46" s="13" t="s">
        <v>4</v>
      </c>
      <c r="E46" s="13" t="s">
        <v>4</v>
      </c>
      <c r="F46" s="13" t="s">
        <v>14</v>
      </c>
      <c r="G46" s="13">
        <f t="shared" ref="G46:N46" si="4">SUMIF($E$3:$E$23,$E46,J$3:J$23)</f>
        <v>0</v>
      </c>
      <c r="H46" s="13">
        <f t="shared" si="4"/>
        <v>0</v>
      </c>
      <c r="I46" s="13">
        <f t="shared" si="4"/>
        <v>0</v>
      </c>
      <c r="J46" s="13">
        <f t="shared" si="4"/>
        <v>0</v>
      </c>
      <c r="K46" s="13">
        <f t="shared" si="4"/>
        <v>0</v>
      </c>
      <c r="L46" s="13">
        <f t="shared" si="4"/>
        <v>0</v>
      </c>
      <c r="M46" s="13">
        <f t="shared" si="4"/>
        <v>0</v>
      </c>
      <c r="N46" s="13">
        <f t="shared" si="4"/>
        <v>0</v>
      </c>
      <c r="T46" s="13" t="s">
        <v>14</v>
      </c>
      <c r="V46" s="13">
        <v>0</v>
      </c>
      <c r="W46" s="13">
        <v>0</v>
      </c>
    </row>
    <row r="47" spans="1:23">
      <c r="A47" s="13" t="s">
        <v>26</v>
      </c>
      <c r="D47" s="13" t="s">
        <v>20</v>
      </c>
      <c r="E47" s="13" t="s">
        <v>4</v>
      </c>
      <c r="F47" s="13" t="s">
        <v>30</v>
      </c>
      <c r="G47" s="13">
        <f t="shared" ref="G47:N47" si="5">SUMIFS(H$34:H$37,$C$34:$C$37,$D47,$D$34:$D$37,$E47)</f>
        <v>0</v>
      </c>
      <c r="H47" s="13">
        <f t="shared" si="5"/>
        <v>0</v>
      </c>
      <c r="I47" s="13">
        <f t="shared" si="5"/>
        <v>0</v>
      </c>
      <c r="J47" s="13">
        <f t="shared" si="5"/>
        <v>0</v>
      </c>
      <c r="K47" s="13">
        <f t="shared" si="5"/>
        <v>0</v>
      </c>
      <c r="L47" s="13">
        <f t="shared" si="5"/>
        <v>0</v>
      </c>
      <c r="M47" s="13">
        <f t="shared" si="5"/>
        <v>0</v>
      </c>
      <c r="N47" s="13">
        <f t="shared" si="5"/>
        <v>0</v>
      </c>
      <c r="T47" s="13" t="s">
        <v>30</v>
      </c>
      <c r="V47" s="13">
        <v>0</v>
      </c>
      <c r="W47" s="13">
        <v>0</v>
      </c>
    </row>
    <row r="48" spans="1:23">
      <c r="A48" s="13" t="s">
        <v>27</v>
      </c>
      <c r="B48" s="13" t="s">
        <v>6</v>
      </c>
      <c r="E48" s="13" t="s">
        <v>6</v>
      </c>
      <c r="F48" s="13" t="s">
        <v>16</v>
      </c>
      <c r="G48" s="13">
        <f t="shared" ref="G48:N48" si="6">SUMIF($E$3:$E$23,$E48,J$3:J$23)</f>
        <v>0</v>
      </c>
      <c r="H48" s="13">
        <f t="shared" si="6"/>
        <v>0</v>
      </c>
      <c r="I48" s="13">
        <f t="shared" si="6"/>
        <v>0</v>
      </c>
      <c r="J48" s="13">
        <f t="shared" si="6"/>
        <v>0</v>
      </c>
      <c r="K48" s="13">
        <f t="shared" si="6"/>
        <v>0</v>
      </c>
      <c r="L48" s="13">
        <f t="shared" si="6"/>
        <v>0</v>
      </c>
      <c r="M48" s="13">
        <f t="shared" si="6"/>
        <v>0</v>
      </c>
      <c r="N48" s="13">
        <f t="shared" si="6"/>
        <v>0</v>
      </c>
      <c r="T48" s="13" t="s">
        <v>16</v>
      </c>
      <c r="V48" s="13">
        <v>0</v>
      </c>
      <c r="W48" s="13">
        <v>5.7777840000000007E-4</v>
      </c>
    </row>
    <row r="49" spans="1:23">
      <c r="A49" s="13" t="s">
        <v>28</v>
      </c>
      <c r="D49" s="13" t="s">
        <v>20</v>
      </c>
      <c r="E49" s="13" t="s">
        <v>6</v>
      </c>
      <c r="F49" s="13" t="s">
        <v>31</v>
      </c>
      <c r="G49" s="13">
        <f t="shared" ref="G49:N49" si="7">SUMIFS(H$34:H$37,$C$34:$C$37,$D49,$D$34:$D$37,$E49)</f>
        <v>0</v>
      </c>
      <c r="H49" s="13">
        <f t="shared" si="7"/>
        <v>0</v>
      </c>
      <c r="I49" s="13">
        <f t="shared" si="7"/>
        <v>0</v>
      </c>
      <c r="J49" s="13">
        <f t="shared" si="7"/>
        <v>0</v>
      </c>
      <c r="K49" s="13">
        <f t="shared" si="7"/>
        <v>0</v>
      </c>
      <c r="L49" s="13">
        <f t="shared" si="7"/>
        <v>0</v>
      </c>
      <c r="M49" s="13">
        <f t="shared" si="7"/>
        <v>0</v>
      </c>
      <c r="N49" s="13">
        <f t="shared" si="7"/>
        <v>0</v>
      </c>
      <c r="T49" s="13" t="s">
        <v>31</v>
      </c>
      <c r="V49" s="13">
        <v>0</v>
      </c>
      <c r="W49" s="13">
        <v>8.3736000000000006E-6</v>
      </c>
    </row>
    <row r="50" spans="1:23">
      <c r="A50" s="115" t="s">
        <v>29</v>
      </c>
      <c r="B50" s="115"/>
      <c r="C50" s="115"/>
      <c r="D50" s="115"/>
      <c r="E50" s="115"/>
      <c r="F50" s="115"/>
      <c r="G50" s="13">
        <f t="shared" ref="G50:N50" si="8">SUM(G41:G49)</f>
        <v>6.4959199999999996E-3</v>
      </c>
      <c r="H50" s="13">
        <f t="shared" si="8"/>
        <v>6.7932269999999998E-3</v>
      </c>
      <c r="I50" s="13">
        <f t="shared" si="8"/>
        <v>6.9976397000000006E-3</v>
      </c>
      <c r="J50" s="13">
        <f t="shared" si="8"/>
        <v>6.9295805999999996E-3</v>
      </c>
      <c r="K50" s="13">
        <f t="shared" si="8"/>
        <v>6.5547331000000006E-3</v>
      </c>
      <c r="L50" s="13">
        <f t="shared" si="8"/>
        <v>6.25858089999999E-3</v>
      </c>
      <c r="M50" s="13">
        <f t="shared" si="8"/>
        <v>6.2038090999999998E-3</v>
      </c>
      <c r="N50" s="13">
        <f t="shared" si="8"/>
        <v>6.0967234699999999E-3</v>
      </c>
    </row>
    <row r="51" spans="1:23">
      <c r="T51" s="13" t="s">
        <v>75</v>
      </c>
    </row>
  </sheetData>
  <mergeCells count="2">
    <mergeCell ref="A10:G10"/>
    <mergeCell ref="A50:F50"/>
  </mergeCells>
  <phoneticPr fontId="1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6466A-6F2E-41E4-8630-1690FC3FC2D6}">
  <sheetPr codeName="Sheet45"/>
  <dimension ref="A1:Y51"/>
  <sheetViews>
    <sheetView topLeftCell="A19" zoomScale="55" zoomScaleNormal="55" workbookViewId="0"/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0</v>
      </c>
      <c r="B3" s="4" t="s">
        <v>1</v>
      </c>
      <c r="C3" s="4" t="s">
        <v>56</v>
      </c>
      <c r="D3" s="4" t="s">
        <v>57</v>
      </c>
      <c r="E3" s="4" t="s">
        <v>3</v>
      </c>
      <c r="F3" s="4" t="s">
        <v>57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1:17">
      <c r="A4" s="4" t="s">
        <v>0</v>
      </c>
      <c r="B4" s="4" t="s">
        <v>1</v>
      </c>
      <c r="C4" s="4" t="s">
        <v>56</v>
      </c>
      <c r="D4" s="4" t="s">
        <v>58</v>
      </c>
      <c r="E4" s="4" t="s">
        <v>4</v>
      </c>
      <c r="F4" s="4" t="s">
        <v>58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>
      <c r="A5" s="13" t="s">
        <v>120</v>
      </c>
      <c r="B5" s="13" t="s">
        <v>1</v>
      </c>
      <c r="C5" s="13" t="s">
        <v>63</v>
      </c>
      <c r="D5" s="13" t="s">
        <v>60</v>
      </c>
      <c r="E5" s="13" t="s">
        <v>7</v>
      </c>
      <c r="F5" s="13" t="s">
        <v>60</v>
      </c>
      <c r="G5" s="13">
        <v>4.1860899999999999E-3</v>
      </c>
      <c r="H5" s="13">
        <v>1.55318E-2</v>
      </c>
      <c r="I5" s="13">
        <v>1.25215E-2</v>
      </c>
      <c r="J5" s="14">
        <v>6.4959199999999996E-3</v>
      </c>
      <c r="K5" s="14">
        <v>6.7930480000000003E-3</v>
      </c>
      <c r="L5" s="14">
        <v>6.9597119999999998E-3</v>
      </c>
      <c r="M5" s="14">
        <v>6.655528E-3</v>
      </c>
      <c r="N5" s="14">
        <v>5.3329149999999997E-3</v>
      </c>
      <c r="O5" s="14">
        <v>3.4984730000000002E-3</v>
      </c>
      <c r="P5" s="14">
        <v>2.3343828000000001E-3</v>
      </c>
      <c r="Q5" s="13">
        <v>1.5812101399999899E-3</v>
      </c>
    </row>
    <row r="6" spans="1:17">
      <c r="A6" s="13" t="s">
        <v>120</v>
      </c>
      <c r="B6" s="13" t="s">
        <v>1</v>
      </c>
      <c r="C6" s="13" t="s">
        <v>63</v>
      </c>
      <c r="D6" s="13" t="s">
        <v>60</v>
      </c>
      <c r="E6" s="13" t="s">
        <v>7</v>
      </c>
      <c r="F6" s="13" t="s">
        <v>111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3.7916300000000002E-5</v>
      </c>
      <c r="M6" s="14">
        <v>2.7212710000000003E-4</v>
      </c>
      <c r="N6" s="14">
        <v>1.2190644000000001E-3</v>
      </c>
      <c r="O6" s="14">
        <v>2.7550127000000001E-3</v>
      </c>
      <c r="P6" s="14">
        <v>3.8639083999999998E-3</v>
      </c>
      <c r="Q6" s="13">
        <v>4.5104204300000002E-3</v>
      </c>
    </row>
    <row r="7" spans="1:17">
      <c r="A7" s="13" t="s">
        <v>120</v>
      </c>
      <c r="B7" s="13" t="s">
        <v>1</v>
      </c>
      <c r="C7" s="13" t="s">
        <v>63</v>
      </c>
      <c r="D7" s="13" t="s">
        <v>19</v>
      </c>
      <c r="E7" s="13" t="s">
        <v>6</v>
      </c>
      <c r="F7" s="13" t="s">
        <v>19</v>
      </c>
      <c r="G7" s="13">
        <v>2.6574E-2</v>
      </c>
      <c r="H7" s="13">
        <v>0</v>
      </c>
      <c r="I7" s="13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3">
        <v>0</v>
      </c>
    </row>
    <row r="8" spans="1:17">
      <c r="A8" s="4" t="s">
        <v>0</v>
      </c>
      <c r="B8" s="4" t="s">
        <v>1</v>
      </c>
      <c r="C8" s="4" t="s">
        <v>20</v>
      </c>
      <c r="D8" s="4" t="s">
        <v>58</v>
      </c>
      <c r="E8" s="4" t="s">
        <v>4</v>
      </c>
      <c r="F8" s="4" t="s">
        <v>58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 t="s">
        <v>0</v>
      </c>
      <c r="B9" s="4" t="s">
        <v>1</v>
      </c>
      <c r="C9" s="4" t="s">
        <v>20</v>
      </c>
      <c r="D9" s="4" t="s">
        <v>19</v>
      </c>
      <c r="E9" s="4" t="s">
        <v>6</v>
      </c>
      <c r="F9" s="4" t="s">
        <v>19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1.55318E-2</v>
      </c>
      <c r="I10" s="13">
        <f t="shared" ref="I10:Q10" si="0">SUM(I3:I9)</f>
        <v>1.25215E-2</v>
      </c>
      <c r="J10" s="13">
        <f t="shared" si="0"/>
        <v>6.4959199999999996E-3</v>
      </c>
      <c r="K10" s="13">
        <f t="shared" si="0"/>
        <v>6.7930480000000003E-3</v>
      </c>
      <c r="L10" s="13">
        <f t="shared" si="0"/>
        <v>6.9976283000000002E-3</v>
      </c>
      <c r="M10" s="13">
        <f t="shared" si="0"/>
        <v>6.9276551E-3</v>
      </c>
      <c r="N10" s="13">
        <f t="shared" si="0"/>
        <v>6.5519793999999996E-3</v>
      </c>
      <c r="O10" s="13">
        <f t="shared" si="0"/>
        <v>6.2534857000000003E-3</v>
      </c>
      <c r="P10" s="13">
        <f t="shared" si="0"/>
        <v>6.1982911999999999E-3</v>
      </c>
      <c r="Q10" s="13">
        <f t="shared" si="0"/>
        <v>6.0916305699999906E-3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1" spans="1:25">
      <c r="S21" s="14"/>
      <c r="T21" s="14"/>
      <c r="U21" s="14"/>
      <c r="V21" s="14"/>
      <c r="W21" s="14"/>
      <c r="X21" s="14"/>
      <c r="Y21" s="14"/>
    </row>
    <row r="22" spans="1:25"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S23" s="14"/>
      <c r="T23" s="14"/>
      <c r="U23" s="14"/>
      <c r="V23" s="14"/>
      <c r="W23" s="14"/>
      <c r="X23" s="14"/>
      <c r="Y23" s="14"/>
    </row>
    <row r="32" spans="1:25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3" si="1">SUMIF($E$3:$E$23,$E41,J$3:J$23)</f>
        <v>0</v>
      </c>
      <c r="H41" s="13">
        <f t="shared" si="1"/>
        <v>0</v>
      </c>
      <c r="I41" s="13">
        <f t="shared" si="1"/>
        <v>0</v>
      </c>
      <c r="J41" s="13">
        <f t="shared" si="1"/>
        <v>0</v>
      </c>
      <c r="K41" s="13">
        <f t="shared" si="1"/>
        <v>0</v>
      </c>
      <c r="L41" s="13">
        <f t="shared" si="1"/>
        <v>0</v>
      </c>
      <c r="M41" s="13">
        <f t="shared" si="1"/>
        <v>0</v>
      </c>
      <c r="N41" s="13">
        <f t="shared" si="1"/>
        <v>0</v>
      </c>
      <c r="T41" s="13" t="s">
        <v>12</v>
      </c>
      <c r="V41" s="13">
        <v>0</v>
      </c>
      <c r="W41" s="13">
        <v>0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</v>
      </c>
      <c r="H42" s="13">
        <f t="shared" si="1"/>
        <v>0</v>
      </c>
      <c r="I42" s="13">
        <f t="shared" si="1"/>
        <v>0</v>
      </c>
      <c r="J42" s="13">
        <f t="shared" si="1"/>
        <v>0</v>
      </c>
      <c r="K42" s="13">
        <f t="shared" si="1"/>
        <v>0</v>
      </c>
      <c r="L42" s="13">
        <f t="shared" si="1"/>
        <v>0</v>
      </c>
      <c r="M42" s="13">
        <f t="shared" si="1"/>
        <v>0</v>
      </c>
      <c r="N42" s="13">
        <f t="shared" si="1"/>
        <v>0</v>
      </c>
      <c r="T42" s="13" t="s">
        <v>17</v>
      </c>
      <c r="V42" s="13">
        <v>0</v>
      </c>
      <c r="W42" s="13">
        <v>2.1227075999999999E-3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</v>
      </c>
      <c r="H43" s="13">
        <f t="shared" si="1"/>
        <v>0</v>
      </c>
      <c r="I43" s="13">
        <f t="shared" si="1"/>
        <v>0</v>
      </c>
      <c r="J43" s="13">
        <f t="shared" si="1"/>
        <v>0</v>
      </c>
      <c r="K43" s="13">
        <f t="shared" si="1"/>
        <v>0</v>
      </c>
      <c r="L43" s="13">
        <f t="shared" si="1"/>
        <v>0</v>
      </c>
      <c r="M43" s="13">
        <f t="shared" si="1"/>
        <v>0</v>
      </c>
      <c r="N43" s="13">
        <f t="shared" si="1"/>
        <v>0</v>
      </c>
      <c r="T43" s="13" t="s">
        <v>13</v>
      </c>
      <c r="V43" s="13">
        <v>0</v>
      </c>
      <c r="W43" s="13">
        <v>0</v>
      </c>
    </row>
    <row r="44" spans="1:23">
      <c r="E44" s="4" t="s">
        <v>111</v>
      </c>
      <c r="F44" s="13" t="s">
        <v>114</v>
      </c>
      <c r="G44" s="13">
        <f t="shared" ref="G44:N45" si="2">SUMIF($F$3:$F$23,$E44,J$3:J$23)</f>
        <v>0</v>
      </c>
      <c r="H44" s="13">
        <f t="shared" si="2"/>
        <v>0</v>
      </c>
      <c r="I44" s="13">
        <f t="shared" si="2"/>
        <v>3.7916300000000002E-5</v>
      </c>
      <c r="J44" s="13">
        <f t="shared" si="2"/>
        <v>2.7212710000000003E-4</v>
      </c>
      <c r="K44" s="13">
        <f t="shared" si="2"/>
        <v>1.2190644000000001E-3</v>
      </c>
      <c r="L44" s="13">
        <f t="shared" si="2"/>
        <v>2.7550127000000001E-3</v>
      </c>
      <c r="M44" s="13">
        <f t="shared" si="2"/>
        <v>3.8639083999999998E-3</v>
      </c>
      <c r="N44" s="13">
        <f t="shared" si="2"/>
        <v>4.5104204300000002E-3</v>
      </c>
    </row>
    <row r="45" spans="1:23">
      <c r="A45" s="13" t="s">
        <v>0</v>
      </c>
      <c r="B45" s="13" t="s">
        <v>7</v>
      </c>
      <c r="E45" s="13" t="s">
        <v>60</v>
      </c>
      <c r="F45" s="13" t="s">
        <v>15</v>
      </c>
      <c r="G45" s="13">
        <f t="shared" si="2"/>
        <v>6.4959199999999996E-3</v>
      </c>
      <c r="H45" s="13">
        <f t="shared" si="2"/>
        <v>6.7930480000000003E-3</v>
      </c>
      <c r="I45" s="13">
        <f t="shared" si="2"/>
        <v>6.9597119999999998E-3</v>
      </c>
      <c r="J45" s="13">
        <f t="shared" si="2"/>
        <v>6.655528E-3</v>
      </c>
      <c r="K45" s="13">
        <f t="shared" si="2"/>
        <v>5.3329149999999997E-3</v>
      </c>
      <c r="L45" s="13">
        <f t="shared" si="2"/>
        <v>3.4984730000000002E-3</v>
      </c>
      <c r="M45" s="13">
        <f t="shared" si="2"/>
        <v>2.3343828000000001E-3</v>
      </c>
      <c r="N45" s="13">
        <f t="shared" si="2"/>
        <v>1.5812101399999899E-3</v>
      </c>
      <c r="T45" s="13" t="s">
        <v>15</v>
      </c>
      <c r="V45" s="13">
        <v>0</v>
      </c>
      <c r="W45" s="13">
        <v>1.0508867999999998E-3</v>
      </c>
    </row>
    <row r="46" spans="1:23">
      <c r="A46" s="13" t="s">
        <v>0</v>
      </c>
      <c r="B46" s="13" t="s">
        <v>4</v>
      </c>
      <c r="E46" s="13" t="s">
        <v>4</v>
      </c>
      <c r="F46" s="13" t="s">
        <v>14</v>
      </c>
      <c r="G46" s="13">
        <f t="shared" ref="G46:N46" si="3">SUMIF($E$3:$E$23,$E46,J$3:J$23)</f>
        <v>0</v>
      </c>
      <c r="H46" s="13">
        <f t="shared" si="3"/>
        <v>0</v>
      </c>
      <c r="I46" s="13">
        <f t="shared" si="3"/>
        <v>0</v>
      </c>
      <c r="J46" s="13">
        <f t="shared" si="3"/>
        <v>0</v>
      </c>
      <c r="K46" s="13">
        <f t="shared" si="3"/>
        <v>0</v>
      </c>
      <c r="L46" s="13">
        <f t="shared" si="3"/>
        <v>0</v>
      </c>
      <c r="M46" s="13">
        <f t="shared" si="3"/>
        <v>0</v>
      </c>
      <c r="N46" s="13">
        <f t="shared" si="3"/>
        <v>0</v>
      </c>
      <c r="T46" s="13" t="s">
        <v>14</v>
      </c>
      <c r="V46" s="13">
        <v>0</v>
      </c>
      <c r="W46" s="13">
        <v>0</v>
      </c>
    </row>
    <row r="47" spans="1:23">
      <c r="A47" s="13" t="s">
        <v>26</v>
      </c>
      <c r="D47" s="13" t="s">
        <v>20</v>
      </c>
      <c r="E47" s="13" t="s">
        <v>4</v>
      </c>
      <c r="F47" s="13" t="s">
        <v>30</v>
      </c>
      <c r="G47" s="13">
        <f t="shared" ref="G47:N47" si="4">SUMIFS(H$34:H$37,$C$34:$C$37,$D47,$D$34:$D$37,$E47)</f>
        <v>0</v>
      </c>
      <c r="H47" s="13">
        <f t="shared" si="4"/>
        <v>0</v>
      </c>
      <c r="I47" s="13">
        <f t="shared" si="4"/>
        <v>0</v>
      </c>
      <c r="J47" s="13">
        <f t="shared" si="4"/>
        <v>0</v>
      </c>
      <c r="K47" s="13">
        <f t="shared" si="4"/>
        <v>0</v>
      </c>
      <c r="L47" s="13">
        <f t="shared" si="4"/>
        <v>0</v>
      </c>
      <c r="M47" s="13">
        <f t="shared" si="4"/>
        <v>0</v>
      </c>
      <c r="N47" s="13">
        <f t="shared" si="4"/>
        <v>0</v>
      </c>
      <c r="T47" s="13" t="s">
        <v>30</v>
      </c>
      <c r="V47" s="13">
        <v>0</v>
      </c>
      <c r="W47" s="13">
        <v>0</v>
      </c>
    </row>
    <row r="48" spans="1:23">
      <c r="A48" s="13" t="s">
        <v>27</v>
      </c>
      <c r="B48" s="13" t="s">
        <v>6</v>
      </c>
      <c r="E48" s="13" t="s">
        <v>6</v>
      </c>
      <c r="F48" s="13" t="s">
        <v>16</v>
      </c>
      <c r="G48" s="13">
        <f t="shared" ref="G48:N48" si="5">SUMIF($E$3:$E$23,$E48,J$3:J$23)</f>
        <v>0</v>
      </c>
      <c r="H48" s="13">
        <f t="shared" si="5"/>
        <v>0</v>
      </c>
      <c r="I48" s="13">
        <f t="shared" si="5"/>
        <v>0</v>
      </c>
      <c r="J48" s="13">
        <f t="shared" si="5"/>
        <v>0</v>
      </c>
      <c r="K48" s="13">
        <f t="shared" si="5"/>
        <v>0</v>
      </c>
      <c r="L48" s="13">
        <f t="shared" si="5"/>
        <v>0</v>
      </c>
      <c r="M48" s="13">
        <f t="shared" si="5"/>
        <v>0</v>
      </c>
      <c r="N48" s="13">
        <f t="shared" si="5"/>
        <v>0</v>
      </c>
      <c r="T48" s="13" t="s">
        <v>16</v>
      </c>
      <c r="V48" s="13">
        <v>0</v>
      </c>
      <c r="W48" s="13">
        <v>5.7777840000000007E-4</v>
      </c>
    </row>
    <row r="49" spans="1:23">
      <c r="A49" s="13" t="s">
        <v>28</v>
      </c>
      <c r="D49" s="13" t="s">
        <v>20</v>
      </c>
      <c r="E49" s="13" t="s">
        <v>6</v>
      </c>
      <c r="F49" s="13" t="s">
        <v>31</v>
      </c>
      <c r="G49" s="13">
        <f t="shared" ref="G49:N49" si="6">SUMIFS(H$34:H$37,$C$34:$C$37,$D49,$D$34:$D$37,$E49)</f>
        <v>0</v>
      </c>
      <c r="H49" s="13">
        <f t="shared" si="6"/>
        <v>0</v>
      </c>
      <c r="I49" s="13">
        <f t="shared" si="6"/>
        <v>0</v>
      </c>
      <c r="J49" s="13">
        <f t="shared" si="6"/>
        <v>0</v>
      </c>
      <c r="K49" s="13">
        <f t="shared" si="6"/>
        <v>0</v>
      </c>
      <c r="L49" s="13">
        <f t="shared" si="6"/>
        <v>0</v>
      </c>
      <c r="M49" s="13">
        <f t="shared" si="6"/>
        <v>0</v>
      </c>
      <c r="N49" s="13">
        <f t="shared" si="6"/>
        <v>0</v>
      </c>
      <c r="T49" s="13" t="s">
        <v>31</v>
      </c>
      <c r="V49" s="13">
        <v>0</v>
      </c>
      <c r="W49" s="13">
        <v>8.3736000000000006E-6</v>
      </c>
    </row>
    <row r="50" spans="1:23">
      <c r="A50" s="115" t="s">
        <v>29</v>
      </c>
      <c r="B50" s="115"/>
      <c r="C50" s="115"/>
      <c r="D50" s="115"/>
      <c r="E50" s="115"/>
      <c r="F50" s="115"/>
      <c r="G50" s="13">
        <f t="shared" ref="G50:N50" si="7">SUM(G41:G49)</f>
        <v>6.4959199999999996E-3</v>
      </c>
      <c r="H50" s="13">
        <f t="shared" si="7"/>
        <v>6.7930480000000003E-3</v>
      </c>
      <c r="I50" s="13">
        <f t="shared" si="7"/>
        <v>6.9976283000000002E-3</v>
      </c>
      <c r="J50" s="13">
        <f t="shared" si="7"/>
        <v>6.9276551E-3</v>
      </c>
      <c r="K50" s="13">
        <f t="shared" si="7"/>
        <v>6.5519793999999996E-3</v>
      </c>
      <c r="L50" s="13">
        <f t="shared" si="7"/>
        <v>6.2534857000000003E-3</v>
      </c>
      <c r="M50" s="13">
        <f t="shared" si="7"/>
        <v>6.1982911999999999E-3</v>
      </c>
      <c r="N50" s="13">
        <f t="shared" si="7"/>
        <v>6.0916305699999906E-3</v>
      </c>
    </row>
    <row r="51" spans="1:23">
      <c r="T51" s="13" t="s">
        <v>75</v>
      </c>
    </row>
  </sheetData>
  <mergeCells count="2">
    <mergeCell ref="A10:G10"/>
    <mergeCell ref="A50:F50"/>
  </mergeCells>
  <phoneticPr fontId="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243F-C938-439E-83E3-ACCE8B97F835}">
  <sheetPr codeName="Sheet37"/>
  <dimension ref="A1:W50"/>
  <sheetViews>
    <sheetView topLeftCell="A22" zoomScale="55" zoomScaleNormal="55" workbookViewId="0">
      <selection activeCell="A3" sqref="A3:Q7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108</v>
      </c>
      <c r="B3" s="4" t="s">
        <v>1</v>
      </c>
      <c r="C3" s="4" t="s">
        <v>64</v>
      </c>
      <c r="D3" s="4" t="s">
        <v>57</v>
      </c>
      <c r="E3" s="4" t="s">
        <v>3</v>
      </c>
      <c r="F3" s="4" t="s">
        <v>57</v>
      </c>
      <c r="G3" s="4">
        <v>0</v>
      </c>
      <c r="H3" s="4">
        <v>0</v>
      </c>
      <c r="I3" s="4">
        <v>0</v>
      </c>
      <c r="J3" s="4">
        <v>2.7628000000000002E-3</v>
      </c>
      <c r="K3" s="4">
        <v>2.9377449999999999E-3</v>
      </c>
      <c r="L3" s="4">
        <v>4.1114899999999998E-3</v>
      </c>
      <c r="M3" s="4">
        <v>6.6950849999999999E-3</v>
      </c>
      <c r="N3" s="4">
        <v>8.0368699999999998E-3</v>
      </c>
      <c r="O3" s="4">
        <v>7.1484490000000003E-3</v>
      </c>
      <c r="P3" s="4">
        <v>5.2409549999999899E-3</v>
      </c>
      <c r="Q3" s="4">
        <v>3.1060749999999998E-3</v>
      </c>
    </row>
    <row r="4" spans="1:17">
      <c r="A4" s="4" t="s">
        <v>108</v>
      </c>
      <c r="B4" s="4" t="s">
        <v>1</v>
      </c>
      <c r="C4" s="4" t="s">
        <v>64</v>
      </c>
      <c r="D4" s="4" t="s">
        <v>59</v>
      </c>
      <c r="E4" s="4" t="s">
        <v>5</v>
      </c>
      <c r="F4" s="4" t="s">
        <v>59</v>
      </c>
      <c r="G4" s="4">
        <v>5.2325000000000002E-3</v>
      </c>
      <c r="H4" s="4">
        <v>1.9004400000000001E-2</v>
      </c>
      <c r="I4" s="4">
        <v>2.8799700000000001E-2</v>
      </c>
      <c r="J4" s="4">
        <v>4.1901800000000003E-2</v>
      </c>
      <c r="K4" s="4">
        <v>4.2242120000000001E-2</v>
      </c>
      <c r="L4" s="4">
        <v>3.4566430000000002E-2</v>
      </c>
      <c r="M4" s="4">
        <v>2.9359030000000001E-2</v>
      </c>
      <c r="N4" s="4">
        <v>2.6093249999999998E-2</v>
      </c>
      <c r="O4" s="4">
        <v>2.588619E-2</v>
      </c>
      <c r="P4" s="4">
        <v>2.77656599999999E-2</v>
      </c>
      <c r="Q4" s="4">
        <v>3.1022379999999999E-2</v>
      </c>
    </row>
    <row r="5" spans="1:17">
      <c r="A5" s="4" t="s">
        <v>108</v>
      </c>
      <c r="B5" s="4" t="s">
        <v>1</v>
      </c>
      <c r="C5" s="4" t="s">
        <v>64</v>
      </c>
      <c r="D5" s="4" t="s">
        <v>60</v>
      </c>
      <c r="E5" s="4" t="s">
        <v>7</v>
      </c>
      <c r="F5" s="4" t="s">
        <v>60</v>
      </c>
      <c r="G5" s="4">
        <v>0</v>
      </c>
      <c r="H5" s="4">
        <v>1.0464999999999999E-3</v>
      </c>
      <c r="I5" s="14">
        <v>1.674E-4</v>
      </c>
      <c r="J5" s="14">
        <v>1.2559999999999999E-4</v>
      </c>
      <c r="K5" s="14">
        <v>1.2483009999999999E-4</v>
      </c>
      <c r="L5" s="14">
        <v>1.12297599999999E-4</v>
      </c>
      <c r="M5" s="14">
        <v>1.0763710000000001E-4</v>
      </c>
      <c r="N5" s="14">
        <v>9.8598429999999996E-5</v>
      </c>
      <c r="O5" s="14">
        <v>8.4682729999999997E-5</v>
      </c>
      <c r="P5" s="14">
        <v>6.5244729999999998E-5</v>
      </c>
      <c r="Q5" s="14">
        <v>4.3207020000000003E-5</v>
      </c>
    </row>
    <row r="6" spans="1:17">
      <c r="A6" s="4" t="s">
        <v>108</v>
      </c>
      <c r="B6" s="4" t="s">
        <v>1</v>
      </c>
      <c r="C6" s="4" t="s">
        <v>64</v>
      </c>
      <c r="D6" s="4" t="s">
        <v>65</v>
      </c>
      <c r="E6" s="4" t="s">
        <v>2</v>
      </c>
      <c r="F6" s="4" t="s">
        <v>65</v>
      </c>
      <c r="G6" s="4">
        <v>0</v>
      </c>
      <c r="H6" s="4">
        <v>0</v>
      </c>
      <c r="I6" s="4">
        <v>0</v>
      </c>
      <c r="J6" s="4">
        <v>0</v>
      </c>
      <c r="K6" s="14">
        <v>4.0914799999999997E-5</v>
      </c>
      <c r="L6" s="14">
        <v>1.6099229999999999E-4</v>
      </c>
      <c r="M6" s="14">
        <v>4.9291449999999996E-4</v>
      </c>
      <c r="N6" s="14">
        <v>9.5532159999999996E-4</v>
      </c>
      <c r="O6" s="14">
        <v>1.3235605999999899E-3</v>
      </c>
      <c r="P6" s="14">
        <v>1.8660062E-3</v>
      </c>
      <c r="Q6" s="4">
        <v>2.5491250000000002E-3</v>
      </c>
    </row>
    <row r="7" spans="1:17">
      <c r="A7" s="4" t="s">
        <v>108</v>
      </c>
      <c r="B7" s="4" t="s">
        <v>1</v>
      </c>
      <c r="C7" s="4" t="s">
        <v>64</v>
      </c>
      <c r="D7" s="4" t="s">
        <v>19</v>
      </c>
      <c r="E7" s="4" t="s">
        <v>6</v>
      </c>
      <c r="F7" s="4" t="s">
        <v>19</v>
      </c>
      <c r="G7" s="4">
        <v>6.4087699999999997E-2</v>
      </c>
      <c r="H7" s="4">
        <v>5.919E-2</v>
      </c>
      <c r="I7" s="4">
        <v>5.2492499999999997E-2</v>
      </c>
      <c r="J7" s="4">
        <v>1.9422999999999999E-2</v>
      </c>
      <c r="K7" s="4">
        <v>1.950081E-2</v>
      </c>
      <c r="L7" s="4">
        <v>1.8499910000000001E-2</v>
      </c>
      <c r="M7" s="4">
        <v>1.9607909999999999E-2</v>
      </c>
      <c r="N7" s="4">
        <v>1.9557010999999999E-2</v>
      </c>
      <c r="O7" s="4">
        <v>1.7833950000000001E-2</v>
      </c>
      <c r="P7" s="4">
        <v>1.4670030000000001E-2</v>
      </c>
      <c r="Q7" s="4">
        <v>1.033331E-2</v>
      </c>
    </row>
    <row r="8" spans="1:1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7.9240900000000003E-2</v>
      </c>
      <c r="I10" s="13">
        <f t="shared" ref="I10:Q10" si="0">SUM(I3:I9)</f>
        <v>8.1459599999999993E-2</v>
      </c>
      <c r="J10" s="13">
        <f t="shared" si="0"/>
        <v>6.4213199999999998E-2</v>
      </c>
      <c r="K10" s="13">
        <f t="shared" si="0"/>
        <v>6.4846419900000007E-2</v>
      </c>
      <c r="L10" s="13">
        <f t="shared" si="0"/>
        <v>5.7451119900000007E-2</v>
      </c>
      <c r="M10" s="13">
        <f t="shared" si="0"/>
        <v>5.6262576599999996E-2</v>
      </c>
      <c r="N10" s="13">
        <f t="shared" si="0"/>
        <v>5.4741051030000001E-2</v>
      </c>
      <c r="O10" s="13">
        <f t="shared" si="0"/>
        <v>5.2276832329999988E-2</v>
      </c>
      <c r="P10" s="13">
        <f t="shared" si="0"/>
        <v>4.9607895929999889E-2</v>
      </c>
      <c r="Q10" s="13">
        <f t="shared" si="0"/>
        <v>4.7054097019999998E-2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4.0914799999999997E-5</v>
      </c>
      <c r="I41" s="13">
        <f t="shared" si="1"/>
        <v>1.6099229999999999E-4</v>
      </c>
      <c r="J41" s="13">
        <f t="shared" si="1"/>
        <v>4.9291449999999996E-4</v>
      </c>
      <c r="K41" s="13">
        <f t="shared" si="1"/>
        <v>9.5532159999999996E-4</v>
      </c>
      <c r="L41" s="13">
        <f t="shared" si="1"/>
        <v>1.3235605999999899E-3</v>
      </c>
      <c r="M41" s="13">
        <f t="shared" si="1"/>
        <v>1.8660062E-3</v>
      </c>
      <c r="N41" s="13">
        <f t="shared" si="1"/>
        <v>2.5491250000000002E-3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4.1901800000000003E-2</v>
      </c>
      <c r="H42" s="13">
        <f t="shared" si="1"/>
        <v>4.2242120000000001E-2</v>
      </c>
      <c r="I42" s="13">
        <f t="shared" si="1"/>
        <v>3.4566430000000002E-2</v>
      </c>
      <c r="J42" s="13">
        <f t="shared" si="1"/>
        <v>2.9359030000000001E-2</v>
      </c>
      <c r="K42" s="13">
        <f t="shared" si="1"/>
        <v>2.6093249999999998E-2</v>
      </c>
      <c r="L42" s="13">
        <f t="shared" si="1"/>
        <v>2.588619E-2</v>
      </c>
      <c r="M42" s="13">
        <f t="shared" si="1"/>
        <v>2.77656599999999E-2</v>
      </c>
      <c r="N42" s="13">
        <f t="shared" si="1"/>
        <v>3.1022379999999999E-2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2.7628000000000002E-3</v>
      </c>
      <c r="H43" s="13">
        <f t="shared" si="1"/>
        <v>2.9377449999999999E-3</v>
      </c>
      <c r="I43" s="13">
        <f t="shared" si="1"/>
        <v>4.1114899999999998E-3</v>
      </c>
      <c r="J43" s="13">
        <f t="shared" si="1"/>
        <v>6.6950849999999999E-3</v>
      </c>
      <c r="K43" s="13">
        <f t="shared" si="1"/>
        <v>8.0368699999999998E-3</v>
      </c>
      <c r="L43" s="13">
        <f t="shared" si="1"/>
        <v>7.1484490000000003E-3</v>
      </c>
      <c r="M43" s="13">
        <f t="shared" si="1"/>
        <v>5.2409549999999899E-3</v>
      </c>
      <c r="N43" s="13">
        <f t="shared" si="1"/>
        <v>3.1060749999999998E-3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1.2559999999999999E-4</v>
      </c>
      <c r="H44" s="13">
        <f t="shared" si="1"/>
        <v>1.2483009999999999E-4</v>
      </c>
      <c r="I44" s="13">
        <f t="shared" si="1"/>
        <v>1.12297599999999E-4</v>
      </c>
      <c r="J44" s="13">
        <f t="shared" si="1"/>
        <v>1.0763710000000001E-4</v>
      </c>
      <c r="K44" s="13">
        <f t="shared" si="1"/>
        <v>9.8598429999999996E-5</v>
      </c>
      <c r="L44" s="13">
        <f t="shared" si="1"/>
        <v>8.4682729999999997E-5</v>
      </c>
      <c r="M44" s="13">
        <f t="shared" si="1"/>
        <v>6.5244729999999998E-5</v>
      </c>
      <c r="N44" s="13">
        <f t="shared" si="1"/>
        <v>4.3207020000000003E-5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0</v>
      </c>
      <c r="I45" s="13">
        <f t="shared" si="1"/>
        <v>0</v>
      </c>
      <c r="J45" s="13">
        <f t="shared" si="1"/>
        <v>0</v>
      </c>
      <c r="K45" s="13">
        <f t="shared" si="1"/>
        <v>0</v>
      </c>
      <c r="L45" s="13">
        <f t="shared" si="1"/>
        <v>0</v>
      </c>
      <c r="M45" s="13">
        <f t="shared" si="1"/>
        <v>0</v>
      </c>
      <c r="N45" s="13">
        <f t="shared" si="1"/>
        <v>0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2">SUMIF($E$3:$E$23,$E47,J$3:J$23)</f>
        <v>1.9422999999999999E-2</v>
      </c>
      <c r="H47" s="13">
        <f t="shared" si="2"/>
        <v>1.950081E-2</v>
      </c>
      <c r="I47" s="13">
        <f t="shared" si="2"/>
        <v>1.8499910000000001E-2</v>
      </c>
      <c r="J47" s="13">
        <f t="shared" si="2"/>
        <v>1.9607909999999999E-2</v>
      </c>
      <c r="K47" s="13">
        <f t="shared" si="2"/>
        <v>1.9557010999999999E-2</v>
      </c>
      <c r="L47" s="13">
        <f t="shared" si="2"/>
        <v>1.7833950000000001E-2</v>
      </c>
      <c r="M47" s="13">
        <f t="shared" si="2"/>
        <v>1.4670030000000001E-2</v>
      </c>
      <c r="N47" s="13">
        <f t="shared" si="2"/>
        <v>1.033331E-2</v>
      </c>
      <c r="T47" s="13" t="s">
        <v>16</v>
      </c>
    </row>
    <row r="48" spans="1:23">
      <c r="A48" s="13" t="s">
        <v>28</v>
      </c>
      <c r="E48" s="13" t="s">
        <v>6</v>
      </c>
      <c r="F48" s="13" t="s">
        <v>31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3">SUM(G41:G48)</f>
        <v>6.4213199999999998E-2</v>
      </c>
      <c r="H49" s="13">
        <f t="shared" si="3"/>
        <v>6.4846419900000007E-2</v>
      </c>
      <c r="I49" s="13">
        <f t="shared" si="3"/>
        <v>5.7451119900000007E-2</v>
      </c>
      <c r="J49" s="13">
        <f t="shared" si="3"/>
        <v>5.6262576600000003E-2</v>
      </c>
      <c r="K49" s="13">
        <f t="shared" si="3"/>
        <v>5.4741051029999994E-2</v>
      </c>
      <c r="L49" s="13">
        <f t="shared" si="3"/>
        <v>5.2276832329999988E-2</v>
      </c>
      <c r="M49" s="13">
        <f t="shared" si="3"/>
        <v>4.9607895929999889E-2</v>
      </c>
      <c r="N49" s="13">
        <f t="shared" si="3"/>
        <v>4.7054097019999998E-2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983B2-5F79-4585-A9AA-D72839AE340B}">
  <sheetPr codeName="Sheet46"/>
  <dimension ref="A1:W50"/>
  <sheetViews>
    <sheetView topLeftCell="A22" zoomScale="55" zoomScaleNormal="55" workbookViewId="0">
      <selection activeCell="A3" sqref="A3:Q7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120</v>
      </c>
      <c r="B3" s="4" t="s">
        <v>1</v>
      </c>
      <c r="C3" s="4" t="s">
        <v>64</v>
      </c>
      <c r="D3" s="4" t="s">
        <v>57</v>
      </c>
      <c r="E3" s="4" t="s">
        <v>3</v>
      </c>
      <c r="F3" s="4" t="s">
        <v>57</v>
      </c>
      <c r="G3" s="4">
        <v>0</v>
      </c>
      <c r="H3" s="4">
        <v>0</v>
      </c>
      <c r="I3" s="4">
        <v>0</v>
      </c>
      <c r="J3" s="4">
        <v>2.7628000000000002E-3</v>
      </c>
      <c r="K3" s="4">
        <v>2.9378259999999902E-3</v>
      </c>
      <c r="L3" s="4">
        <v>4.1086159999999998E-3</v>
      </c>
      <c r="M3" s="4">
        <v>6.6852749999999897E-3</v>
      </c>
      <c r="N3" s="4">
        <v>8.1160450000000006E-3</v>
      </c>
      <c r="O3" s="4">
        <v>7.2586359999999997E-3</v>
      </c>
      <c r="P3" s="4">
        <v>5.3444429999999999E-3</v>
      </c>
      <c r="Q3" s="4">
        <v>3.1776809999999999E-3</v>
      </c>
    </row>
    <row r="4" spans="1:17">
      <c r="A4" s="4" t="s">
        <v>120</v>
      </c>
      <c r="B4" s="4" t="s">
        <v>1</v>
      </c>
      <c r="C4" s="4" t="s">
        <v>64</v>
      </c>
      <c r="D4" s="4" t="s">
        <v>59</v>
      </c>
      <c r="E4" s="4" t="s">
        <v>5</v>
      </c>
      <c r="F4" s="4" t="s">
        <v>59</v>
      </c>
      <c r="G4" s="4">
        <v>5.2325000000000002E-3</v>
      </c>
      <c r="H4" s="4">
        <v>1.9004400000000001E-2</v>
      </c>
      <c r="I4" s="4">
        <v>2.8799700000000001E-2</v>
      </c>
      <c r="J4" s="4">
        <v>4.1901800000000003E-2</v>
      </c>
      <c r="K4" s="4">
        <v>4.2241840000000003E-2</v>
      </c>
      <c r="L4" s="4">
        <v>3.4575519999999998E-2</v>
      </c>
      <c r="M4" s="4">
        <v>2.9385390000000001E-2</v>
      </c>
      <c r="N4" s="4">
        <v>2.6065829999999901E-2</v>
      </c>
      <c r="O4" s="4">
        <v>2.5780979999999998E-2</v>
      </c>
      <c r="P4" s="4">
        <v>2.7618179999999999E-2</v>
      </c>
      <c r="Q4" s="4">
        <v>3.088018E-2</v>
      </c>
    </row>
    <row r="5" spans="1:17">
      <c r="A5" s="4" t="s">
        <v>120</v>
      </c>
      <c r="B5" s="4" t="s">
        <v>1</v>
      </c>
      <c r="C5" s="4" t="s">
        <v>64</v>
      </c>
      <c r="D5" s="4" t="s">
        <v>60</v>
      </c>
      <c r="E5" s="4" t="s">
        <v>7</v>
      </c>
      <c r="F5" s="4" t="s">
        <v>60</v>
      </c>
      <c r="G5" s="4">
        <v>0</v>
      </c>
      <c r="H5" s="4">
        <v>1.0464999999999999E-3</v>
      </c>
      <c r="I5" s="14">
        <v>1.674E-4</v>
      </c>
      <c r="J5" s="14">
        <v>1.2559999999999999E-4</v>
      </c>
      <c r="K5" s="14">
        <v>1.2482840000000001E-4</v>
      </c>
      <c r="L5" s="14">
        <v>1.123495E-4</v>
      </c>
      <c r="M5" s="14">
        <v>1.078344E-4</v>
      </c>
      <c r="N5" s="14">
        <v>9.8945619999999998E-5</v>
      </c>
      <c r="O5" s="14">
        <v>8.5093659999999999E-5</v>
      </c>
      <c r="P5" s="14">
        <v>6.5693759999999995E-5</v>
      </c>
      <c r="Q5" s="14">
        <v>4.3614790000000001E-5</v>
      </c>
    </row>
    <row r="6" spans="1:17">
      <c r="A6" s="4" t="s">
        <v>120</v>
      </c>
      <c r="B6" s="4" t="s">
        <v>1</v>
      </c>
      <c r="C6" s="4" t="s">
        <v>64</v>
      </c>
      <c r="D6" s="4" t="s">
        <v>65</v>
      </c>
      <c r="E6" s="4" t="s">
        <v>2</v>
      </c>
      <c r="F6" s="4" t="s">
        <v>65</v>
      </c>
      <c r="G6" s="4">
        <v>0</v>
      </c>
      <c r="H6" s="4">
        <v>0</v>
      </c>
      <c r="I6" s="4">
        <v>0</v>
      </c>
      <c r="J6" s="4">
        <v>0</v>
      </c>
      <c r="K6" s="14">
        <v>4.0911899999999997E-5</v>
      </c>
      <c r="L6" s="14">
        <v>1.6106310000000001E-4</v>
      </c>
      <c r="M6" s="14">
        <v>4.9069930000000003E-4</v>
      </c>
      <c r="N6" s="14">
        <v>9.5311116999999995E-4</v>
      </c>
      <c r="O6" s="14">
        <v>1.3186535000000001E-3</v>
      </c>
      <c r="P6" s="14">
        <v>1.8590166E-3</v>
      </c>
      <c r="Q6" s="4">
        <v>2.5442249999999998E-3</v>
      </c>
    </row>
    <row r="7" spans="1:17">
      <c r="A7" s="4" t="s">
        <v>120</v>
      </c>
      <c r="B7" s="4" t="s">
        <v>1</v>
      </c>
      <c r="C7" s="4" t="s">
        <v>64</v>
      </c>
      <c r="D7" s="4" t="s">
        <v>19</v>
      </c>
      <c r="E7" s="4" t="s">
        <v>6</v>
      </c>
      <c r="F7" s="4" t="s">
        <v>19</v>
      </c>
      <c r="G7" s="4">
        <v>6.4087699999999997E-2</v>
      </c>
      <c r="H7" s="4">
        <v>5.919E-2</v>
      </c>
      <c r="I7" s="4">
        <v>5.2492499999999997E-2</v>
      </c>
      <c r="J7" s="4">
        <v>1.9422999999999999E-2</v>
      </c>
      <c r="K7" s="4">
        <v>1.9501399999999999E-2</v>
      </c>
      <c r="L7" s="4">
        <v>1.8506379999999999E-2</v>
      </c>
      <c r="M7" s="4">
        <v>1.9622469999999999E-2</v>
      </c>
      <c r="N7" s="4">
        <v>1.9631889E-2</v>
      </c>
      <c r="O7" s="4">
        <v>1.793285E-2</v>
      </c>
      <c r="P7" s="4">
        <v>1.4780949999999999E-2</v>
      </c>
      <c r="Q7" s="4">
        <v>1.04403999999999E-2</v>
      </c>
    </row>
    <row r="8" spans="1:1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7.9240900000000003E-2</v>
      </c>
      <c r="I10" s="13">
        <f t="shared" ref="I10:Q10" si="0">SUM(I3:I9)</f>
        <v>8.1459599999999993E-2</v>
      </c>
      <c r="J10" s="13">
        <f t="shared" si="0"/>
        <v>6.4213199999999998E-2</v>
      </c>
      <c r="K10" s="13">
        <f t="shared" si="0"/>
        <v>6.484680629999999E-2</v>
      </c>
      <c r="L10" s="13">
        <f t="shared" si="0"/>
        <v>5.7463928599999992E-2</v>
      </c>
      <c r="M10" s="13">
        <f t="shared" si="0"/>
        <v>5.6291668699999992E-2</v>
      </c>
      <c r="N10" s="13">
        <f t="shared" si="0"/>
        <v>5.4865820789999901E-2</v>
      </c>
      <c r="O10" s="13">
        <f t="shared" si="0"/>
        <v>5.2376213160000004E-2</v>
      </c>
      <c r="P10" s="13">
        <f t="shared" si="0"/>
        <v>4.9668283359999996E-2</v>
      </c>
      <c r="Q10" s="13">
        <f t="shared" si="0"/>
        <v>4.7086100789999898E-2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4.0911899999999997E-5</v>
      </c>
      <c r="I41" s="13">
        <f t="shared" si="1"/>
        <v>1.6106310000000001E-4</v>
      </c>
      <c r="J41" s="13">
        <f t="shared" si="1"/>
        <v>4.9069930000000003E-4</v>
      </c>
      <c r="K41" s="13">
        <f t="shared" si="1"/>
        <v>9.5311116999999995E-4</v>
      </c>
      <c r="L41" s="13">
        <f t="shared" si="1"/>
        <v>1.3186535000000001E-3</v>
      </c>
      <c r="M41" s="13">
        <f t="shared" si="1"/>
        <v>1.8590166E-3</v>
      </c>
      <c r="N41" s="13">
        <f t="shared" si="1"/>
        <v>2.5442249999999998E-3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4.1901800000000003E-2</v>
      </c>
      <c r="H42" s="13">
        <f t="shared" si="1"/>
        <v>4.2241840000000003E-2</v>
      </c>
      <c r="I42" s="13">
        <f t="shared" si="1"/>
        <v>3.4575519999999998E-2</v>
      </c>
      <c r="J42" s="13">
        <f t="shared" si="1"/>
        <v>2.9385390000000001E-2</v>
      </c>
      <c r="K42" s="13">
        <f t="shared" si="1"/>
        <v>2.6065829999999901E-2</v>
      </c>
      <c r="L42" s="13">
        <f t="shared" si="1"/>
        <v>2.5780979999999998E-2</v>
      </c>
      <c r="M42" s="13">
        <f t="shared" si="1"/>
        <v>2.7618179999999999E-2</v>
      </c>
      <c r="N42" s="13">
        <f t="shared" si="1"/>
        <v>3.088018E-2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2.7628000000000002E-3</v>
      </c>
      <c r="H43" s="13">
        <f t="shared" si="1"/>
        <v>2.9378259999999902E-3</v>
      </c>
      <c r="I43" s="13">
        <f t="shared" si="1"/>
        <v>4.1086159999999998E-3</v>
      </c>
      <c r="J43" s="13">
        <f t="shared" si="1"/>
        <v>6.6852749999999897E-3</v>
      </c>
      <c r="K43" s="13">
        <f t="shared" si="1"/>
        <v>8.1160450000000006E-3</v>
      </c>
      <c r="L43" s="13">
        <f t="shared" si="1"/>
        <v>7.2586359999999997E-3</v>
      </c>
      <c r="M43" s="13">
        <f t="shared" si="1"/>
        <v>5.3444429999999999E-3</v>
      </c>
      <c r="N43" s="13">
        <f t="shared" si="1"/>
        <v>3.1776809999999999E-3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1.2559999999999999E-4</v>
      </c>
      <c r="H44" s="13">
        <f t="shared" si="1"/>
        <v>1.2482840000000001E-4</v>
      </c>
      <c r="I44" s="13">
        <f t="shared" si="1"/>
        <v>1.123495E-4</v>
      </c>
      <c r="J44" s="13">
        <f t="shared" si="1"/>
        <v>1.078344E-4</v>
      </c>
      <c r="K44" s="13">
        <f t="shared" si="1"/>
        <v>9.8945619999999998E-5</v>
      </c>
      <c r="L44" s="13">
        <f t="shared" si="1"/>
        <v>8.5093659999999999E-5</v>
      </c>
      <c r="M44" s="13">
        <f t="shared" si="1"/>
        <v>6.5693759999999995E-5</v>
      </c>
      <c r="N44" s="13">
        <f t="shared" si="1"/>
        <v>4.3614790000000001E-5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0</v>
      </c>
      <c r="I45" s="13">
        <f t="shared" si="1"/>
        <v>0</v>
      </c>
      <c r="J45" s="13">
        <f t="shared" si="1"/>
        <v>0</v>
      </c>
      <c r="K45" s="13">
        <f t="shared" si="1"/>
        <v>0</v>
      </c>
      <c r="L45" s="13">
        <f t="shared" si="1"/>
        <v>0</v>
      </c>
      <c r="M45" s="13">
        <f t="shared" si="1"/>
        <v>0</v>
      </c>
      <c r="N45" s="13">
        <f t="shared" si="1"/>
        <v>0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2">SUMIF($E$3:$E$23,$E47,J$3:J$23)</f>
        <v>1.9422999999999999E-2</v>
      </c>
      <c r="H47" s="13">
        <f t="shared" si="2"/>
        <v>1.9501399999999999E-2</v>
      </c>
      <c r="I47" s="13">
        <f t="shared" si="2"/>
        <v>1.8506379999999999E-2</v>
      </c>
      <c r="J47" s="13">
        <f t="shared" si="2"/>
        <v>1.9622469999999999E-2</v>
      </c>
      <c r="K47" s="13">
        <f t="shared" si="2"/>
        <v>1.9631889E-2</v>
      </c>
      <c r="L47" s="13">
        <f t="shared" si="2"/>
        <v>1.793285E-2</v>
      </c>
      <c r="M47" s="13">
        <f t="shared" si="2"/>
        <v>1.4780949999999999E-2</v>
      </c>
      <c r="N47" s="13">
        <f t="shared" si="2"/>
        <v>1.04403999999999E-2</v>
      </c>
      <c r="T47" s="13" t="s">
        <v>16</v>
      </c>
    </row>
    <row r="48" spans="1:23">
      <c r="A48" s="13" t="s">
        <v>28</v>
      </c>
      <c r="E48" s="13" t="s">
        <v>6</v>
      </c>
      <c r="F48" s="13" t="s">
        <v>31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3">SUM(G41:G48)</f>
        <v>6.4213199999999998E-2</v>
      </c>
      <c r="H49" s="13">
        <f t="shared" si="3"/>
        <v>6.484680629999999E-2</v>
      </c>
      <c r="I49" s="13">
        <f t="shared" si="3"/>
        <v>5.7463928599999992E-2</v>
      </c>
      <c r="J49" s="13">
        <f t="shared" si="3"/>
        <v>5.6291668699999992E-2</v>
      </c>
      <c r="K49" s="13">
        <f t="shared" si="3"/>
        <v>5.4865820789999901E-2</v>
      </c>
      <c r="L49" s="13">
        <f t="shared" si="3"/>
        <v>5.2376213159999997E-2</v>
      </c>
      <c r="M49" s="13">
        <f t="shared" si="3"/>
        <v>4.9668283359999996E-2</v>
      </c>
      <c r="N49" s="13">
        <f t="shared" si="3"/>
        <v>4.7086100789999898E-2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8F236-7A14-4835-BDE9-5CA29243EEAD}">
  <sheetPr codeName="Sheet39"/>
  <dimension ref="A1:W50"/>
  <sheetViews>
    <sheetView topLeftCell="A30" zoomScaleNormal="100" workbookViewId="0">
      <selection activeCell="A3" sqref="A3:Q5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108</v>
      </c>
      <c r="B3" s="4" t="s">
        <v>1</v>
      </c>
      <c r="C3" s="4" t="s">
        <v>66</v>
      </c>
      <c r="D3" s="4" t="s">
        <v>59</v>
      </c>
      <c r="E3" s="4" t="s">
        <v>5</v>
      </c>
      <c r="F3" s="4" t="s">
        <v>59</v>
      </c>
      <c r="G3" s="4">
        <v>3.6418100000000001E-3</v>
      </c>
      <c r="H3" s="4">
        <v>4.7302400000000001E-3</v>
      </c>
      <c r="I3" s="4">
        <v>6.0696700000000001E-3</v>
      </c>
      <c r="J3" s="4">
        <v>5.86039E-3</v>
      </c>
      <c r="K3" s="4">
        <v>5.9121999999999899E-3</v>
      </c>
      <c r="L3" s="4">
        <v>4.8666669999999999E-3</v>
      </c>
      <c r="M3" s="4">
        <v>4.2917099999999998E-3</v>
      </c>
      <c r="N3" s="4">
        <v>3.9388619999999996E-3</v>
      </c>
      <c r="O3" s="4">
        <v>3.903686E-3</v>
      </c>
      <c r="P3" s="4">
        <v>4.0883739999999997E-3</v>
      </c>
      <c r="Q3" s="4">
        <v>4.4234169999999998E-3</v>
      </c>
    </row>
    <row r="4" spans="1:17">
      <c r="A4" s="4" t="s">
        <v>108</v>
      </c>
      <c r="B4" s="4" t="s">
        <v>1</v>
      </c>
      <c r="C4" s="4" t="s">
        <v>66</v>
      </c>
      <c r="D4" s="4" t="s">
        <v>65</v>
      </c>
      <c r="E4" s="4" t="s">
        <v>2</v>
      </c>
      <c r="F4" s="4" t="s">
        <v>65</v>
      </c>
      <c r="G4" s="4">
        <v>0</v>
      </c>
      <c r="H4" s="4">
        <v>0</v>
      </c>
      <c r="I4" s="4">
        <v>0</v>
      </c>
      <c r="J4" s="4">
        <v>0</v>
      </c>
      <c r="K4" s="14">
        <v>5.7407300000000003E-6</v>
      </c>
      <c r="L4" s="14">
        <v>2.287727E-5</v>
      </c>
      <c r="M4" s="14">
        <v>7.4184310000000001E-5</v>
      </c>
      <c r="N4" s="14">
        <v>1.4522444000000001E-4</v>
      </c>
      <c r="O4" s="14">
        <v>1.9917485000000001E-4</v>
      </c>
      <c r="P4" s="14">
        <v>2.7311999999999898E-4</v>
      </c>
      <c r="Q4" s="14">
        <v>3.619405E-4</v>
      </c>
    </row>
    <row r="5" spans="1:17">
      <c r="A5" s="4" t="s">
        <v>108</v>
      </c>
      <c r="B5" s="4" t="s">
        <v>1</v>
      </c>
      <c r="C5" s="4" t="s">
        <v>66</v>
      </c>
      <c r="D5" s="4" t="s">
        <v>19</v>
      </c>
      <c r="E5" s="4" t="s">
        <v>6</v>
      </c>
      <c r="F5" s="4" t="s">
        <v>19</v>
      </c>
      <c r="G5" s="4">
        <v>4.7302200000000003E-3</v>
      </c>
      <c r="H5" s="4">
        <v>2.4697199999999999E-3</v>
      </c>
      <c r="I5" s="14">
        <v>3.5580799999999999E-3</v>
      </c>
      <c r="J5" s="14">
        <v>2.679E-3</v>
      </c>
      <c r="K5" s="14">
        <v>2.6916039999999998E-3</v>
      </c>
      <c r="L5" s="14">
        <v>2.5693370000000001E-3</v>
      </c>
      <c r="M5" s="14">
        <v>2.8445440000000001E-3</v>
      </c>
      <c r="N5" s="14">
        <v>2.9120118999999998E-3</v>
      </c>
      <c r="O5" s="14">
        <v>2.6551679999999999E-3</v>
      </c>
      <c r="P5" s="14">
        <v>2.1482269999999999E-3</v>
      </c>
      <c r="Q5" s="14">
        <v>1.473366E-3</v>
      </c>
    </row>
    <row r="6" spans="1:17">
      <c r="A6" s="4"/>
      <c r="B6" s="4"/>
      <c r="C6" s="4"/>
      <c r="D6" s="4"/>
      <c r="E6" s="4"/>
      <c r="F6" s="4"/>
      <c r="G6" s="4"/>
      <c r="H6" s="4"/>
      <c r="I6" s="4"/>
      <c r="J6" s="4"/>
      <c r="K6" s="14"/>
      <c r="L6" s="14"/>
      <c r="M6" s="4"/>
      <c r="N6" s="4"/>
      <c r="O6" s="4"/>
      <c r="P6" s="4"/>
      <c r="Q6" s="4"/>
    </row>
    <row r="7" spans="1:1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1:1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7.19996E-3</v>
      </c>
      <c r="I10" s="13">
        <f t="shared" ref="I10:Q10" si="0">SUM(I3:I9)</f>
        <v>9.6277500000000009E-3</v>
      </c>
      <c r="J10" s="13">
        <f t="shared" si="0"/>
        <v>8.5393900000000009E-3</v>
      </c>
      <c r="K10" s="13">
        <f t="shared" si="0"/>
        <v>8.6095447299999895E-3</v>
      </c>
      <c r="L10" s="13">
        <f t="shared" si="0"/>
        <v>7.4588812700000003E-3</v>
      </c>
      <c r="M10" s="13">
        <f t="shared" si="0"/>
        <v>7.2104383100000001E-3</v>
      </c>
      <c r="N10" s="13">
        <f t="shared" si="0"/>
        <v>6.9960983399999996E-3</v>
      </c>
      <c r="O10" s="13">
        <f t="shared" si="0"/>
        <v>6.7580288500000002E-3</v>
      </c>
      <c r="P10" s="13">
        <f t="shared" si="0"/>
        <v>6.5097209999999987E-3</v>
      </c>
      <c r="Q10" s="13">
        <f t="shared" si="0"/>
        <v>6.2587235000000005E-3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5.7407300000000003E-6</v>
      </c>
      <c r="I41" s="13">
        <f t="shared" si="1"/>
        <v>2.287727E-5</v>
      </c>
      <c r="J41" s="13">
        <f t="shared" si="1"/>
        <v>7.4184310000000001E-5</v>
      </c>
      <c r="K41" s="13">
        <f t="shared" si="1"/>
        <v>1.4522444000000001E-4</v>
      </c>
      <c r="L41" s="13">
        <f t="shared" si="1"/>
        <v>1.9917485000000001E-4</v>
      </c>
      <c r="M41" s="13">
        <f t="shared" si="1"/>
        <v>2.7311999999999898E-4</v>
      </c>
      <c r="N41" s="13">
        <f t="shared" si="1"/>
        <v>3.619405E-4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5.86039E-3</v>
      </c>
      <c r="H42" s="13">
        <f t="shared" si="1"/>
        <v>5.9121999999999899E-3</v>
      </c>
      <c r="I42" s="13">
        <f t="shared" si="1"/>
        <v>4.8666669999999999E-3</v>
      </c>
      <c r="J42" s="13">
        <f t="shared" si="1"/>
        <v>4.2917099999999998E-3</v>
      </c>
      <c r="K42" s="13">
        <f t="shared" si="1"/>
        <v>3.9388619999999996E-3</v>
      </c>
      <c r="L42" s="13">
        <f t="shared" si="1"/>
        <v>3.903686E-3</v>
      </c>
      <c r="M42" s="13">
        <f t="shared" si="1"/>
        <v>4.0883739999999997E-3</v>
      </c>
      <c r="N42" s="13">
        <f t="shared" si="1"/>
        <v>4.4234169999999998E-3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</v>
      </c>
      <c r="H43" s="13">
        <f t="shared" si="1"/>
        <v>0</v>
      </c>
      <c r="I43" s="13">
        <f t="shared" si="1"/>
        <v>0</v>
      </c>
      <c r="J43" s="13">
        <f t="shared" si="1"/>
        <v>0</v>
      </c>
      <c r="K43" s="13">
        <f t="shared" si="1"/>
        <v>0</v>
      </c>
      <c r="L43" s="13">
        <f t="shared" si="1"/>
        <v>0</v>
      </c>
      <c r="M43" s="13">
        <f t="shared" si="1"/>
        <v>0</v>
      </c>
      <c r="N43" s="13">
        <f t="shared" si="1"/>
        <v>0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0</v>
      </c>
      <c r="H44" s="13">
        <f t="shared" si="1"/>
        <v>0</v>
      </c>
      <c r="I44" s="13">
        <f t="shared" si="1"/>
        <v>0</v>
      </c>
      <c r="J44" s="13">
        <f t="shared" si="1"/>
        <v>0</v>
      </c>
      <c r="K44" s="13">
        <f t="shared" si="1"/>
        <v>0</v>
      </c>
      <c r="L44" s="13">
        <f t="shared" si="1"/>
        <v>0</v>
      </c>
      <c r="M44" s="13">
        <f t="shared" si="1"/>
        <v>0</v>
      </c>
      <c r="N44" s="13">
        <f t="shared" si="1"/>
        <v>0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0</v>
      </c>
      <c r="I45" s="13">
        <f t="shared" si="1"/>
        <v>0</v>
      </c>
      <c r="J45" s="13">
        <f t="shared" si="1"/>
        <v>0</v>
      </c>
      <c r="K45" s="13">
        <f t="shared" si="1"/>
        <v>0</v>
      </c>
      <c r="L45" s="13">
        <f t="shared" si="1"/>
        <v>0</v>
      </c>
      <c r="M45" s="13">
        <f t="shared" si="1"/>
        <v>0</v>
      </c>
      <c r="N45" s="13">
        <f t="shared" si="1"/>
        <v>0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2">SUMIF($E$3:$E$23,$E47,J$3:J$23)</f>
        <v>2.679E-3</v>
      </c>
      <c r="H47" s="13">
        <f t="shared" si="2"/>
        <v>2.6916039999999998E-3</v>
      </c>
      <c r="I47" s="13">
        <f t="shared" si="2"/>
        <v>2.5693370000000001E-3</v>
      </c>
      <c r="J47" s="13">
        <f t="shared" si="2"/>
        <v>2.8445440000000001E-3</v>
      </c>
      <c r="K47" s="13">
        <f t="shared" si="2"/>
        <v>2.9120118999999998E-3</v>
      </c>
      <c r="L47" s="13">
        <f t="shared" si="2"/>
        <v>2.6551679999999999E-3</v>
      </c>
      <c r="M47" s="13">
        <f t="shared" si="2"/>
        <v>2.1482269999999999E-3</v>
      </c>
      <c r="N47" s="13">
        <f t="shared" si="2"/>
        <v>1.473366E-3</v>
      </c>
      <c r="T47" s="13" t="s">
        <v>16</v>
      </c>
    </row>
    <row r="48" spans="1:23">
      <c r="A48" s="13" t="s">
        <v>28</v>
      </c>
      <c r="E48" s="13" t="s">
        <v>6</v>
      </c>
      <c r="F48" s="13" t="s">
        <v>31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3">SUM(G41:G48)</f>
        <v>8.5393900000000009E-3</v>
      </c>
      <c r="H49" s="13">
        <f t="shared" si="3"/>
        <v>8.6095447299999895E-3</v>
      </c>
      <c r="I49" s="13">
        <f t="shared" si="3"/>
        <v>7.4588812700000003E-3</v>
      </c>
      <c r="J49" s="13">
        <f t="shared" si="3"/>
        <v>7.2104383100000001E-3</v>
      </c>
      <c r="K49" s="13">
        <f t="shared" si="3"/>
        <v>6.9960983399999996E-3</v>
      </c>
      <c r="L49" s="13">
        <f t="shared" si="3"/>
        <v>6.7580288500000002E-3</v>
      </c>
      <c r="M49" s="13">
        <f t="shared" si="3"/>
        <v>6.5097209999999987E-3</v>
      </c>
      <c r="N49" s="13">
        <f t="shared" si="3"/>
        <v>6.2587235000000005E-3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FDC34-C286-403B-BB85-B6048A6B43D7}">
  <sheetPr codeName="Sheet47"/>
  <dimension ref="A1:W50"/>
  <sheetViews>
    <sheetView topLeftCell="A49" zoomScaleNormal="100" workbookViewId="0">
      <selection activeCell="N82" sqref="N82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120</v>
      </c>
      <c r="B3" s="4" t="s">
        <v>1</v>
      </c>
      <c r="C3" s="4" t="s">
        <v>66</v>
      </c>
      <c r="D3" s="4" t="s">
        <v>59</v>
      </c>
      <c r="E3" s="4" t="s">
        <v>5</v>
      </c>
      <c r="F3" s="4" t="s">
        <v>59</v>
      </c>
      <c r="G3" s="4">
        <v>3.6418100000000001E-3</v>
      </c>
      <c r="H3" s="4">
        <v>4.7302400000000001E-3</v>
      </c>
      <c r="I3" s="4">
        <v>6.0696700000000001E-3</v>
      </c>
      <c r="J3" s="4">
        <v>5.86039E-3</v>
      </c>
      <c r="K3" s="4">
        <v>5.9121599999999996E-3</v>
      </c>
      <c r="L3" s="4">
        <v>4.8679929999999897E-3</v>
      </c>
      <c r="M3" s="4">
        <v>4.2950849999999997E-3</v>
      </c>
      <c r="N3" s="4">
        <v>3.9363999999999996E-3</v>
      </c>
      <c r="O3" s="4">
        <v>3.893133E-3</v>
      </c>
      <c r="P3" s="4">
        <v>4.0732420000000004E-3</v>
      </c>
      <c r="Q3" s="4">
        <v>4.4081629999999997E-3</v>
      </c>
    </row>
    <row r="4" spans="1:17">
      <c r="A4" s="4" t="s">
        <v>120</v>
      </c>
      <c r="B4" s="4" t="s">
        <v>1</v>
      </c>
      <c r="C4" s="4" t="s">
        <v>66</v>
      </c>
      <c r="D4" s="4" t="s">
        <v>65</v>
      </c>
      <c r="E4" s="4" t="s">
        <v>2</v>
      </c>
      <c r="F4" s="4" t="s">
        <v>65</v>
      </c>
      <c r="G4" s="4">
        <v>0</v>
      </c>
      <c r="H4" s="4">
        <v>0</v>
      </c>
      <c r="I4" s="4">
        <v>0</v>
      </c>
      <c r="J4" s="4">
        <v>0</v>
      </c>
      <c r="K4" s="14">
        <v>5.7403300000000003E-6</v>
      </c>
      <c r="L4" s="14">
        <v>2.2888349999999999E-5</v>
      </c>
      <c r="M4" s="14">
        <v>7.3828030000000001E-5</v>
      </c>
      <c r="N4" s="14">
        <v>1.449698E-4</v>
      </c>
      <c r="O4" s="14">
        <v>1.9876674000000001E-4</v>
      </c>
      <c r="P4" s="14">
        <v>2.7255889999999998E-4</v>
      </c>
      <c r="Q4" s="14">
        <v>3.6162649999999999E-4</v>
      </c>
    </row>
    <row r="5" spans="1:17">
      <c r="A5" s="4" t="s">
        <v>120</v>
      </c>
      <c r="B5" s="4" t="s">
        <v>1</v>
      </c>
      <c r="C5" s="4" t="s">
        <v>66</v>
      </c>
      <c r="D5" s="4" t="s">
        <v>19</v>
      </c>
      <c r="E5" s="4" t="s">
        <v>6</v>
      </c>
      <c r="F5" s="4" t="s">
        <v>19</v>
      </c>
      <c r="G5" s="4">
        <v>4.7302200000000003E-3</v>
      </c>
      <c r="H5" s="4">
        <v>2.4697199999999999E-3</v>
      </c>
      <c r="I5" s="14">
        <v>3.5580799999999999E-3</v>
      </c>
      <c r="J5" s="14">
        <v>2.679E-3</v>
      </c>
      <c r="K5" s="14">
        <v>2.6916850000000001E-3</v>
      </c>
      <c r="L5" s="14">
        <v>2.5702889999999999E-3</v>
      </c>
      <c r="M5" s="14">
        <v>2.8462840000000001E-3</v>
      </c>
      <c r="N5" s="14">
        <v>2.9243007000000001E-3</v>
      </c>
      <c r="O5" s="14">
        <v>2.6729249999999901E-3</v>
      </c>
      <c r="P5" s="14">
        <v>2.1676619999999999E-3</v>
      </c>
      <c r="Q5" s="14">
        <v>1.4908040000000001E-3</v>
      </c>
    </row>
    <row r="6" spans="1:17">
      <c r="A6" s="4"/>
      <c r="B6" s="4"/>
      <c r="C6" s="4"/>
      <c r="D6" s="4"/>
      <c r="E6" s="4"/>
      <c r="F6" s="4"/>
      <c r="G6" s="4"/>
      <c r="H6" s="4"/>
      <c r="I6" s="4"/>
      <c r="J6" s="4"/>
      <c r="K6" s="14"/>
      <c r="L6" s="14"/>
      <c r="M6" s="4"/>
      <c r="N6" s="4"/>
      <c r="O6" s="4"/>
      <c r="P6" s="4"/>
      <c r="Q6" s="4"/>
    </row>
    <row r="7" spans="1:1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spans="1:17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7.19996E-3</v>
      </c>
      <c r="I10" s="13">
        <f t="shared" ref="I10:Q10" si="0">SUM(I3:I9)</f>
        <v>9.6277500000000009E-3</v>
      </c>
      <c r="J10" s="13">
        <f t="shared" si="0"/>
        <v>8.5393900000000009E-3</v>
      </c>
      <c r="K10" s="13">
        <f t="shared" si="0"/>
        <v>8.609585329999999E-3</v>
      </c>
      <c r="L10" s="13">
        <f t="shared" si="0"/>
        <v>7.4611703499999895E-3</v>
      </c>
      <c r="M10" s="13">
        <f t="shared" si="0"/>
        <v>7.2151970299999995E-3</v>
      </c>
      <c r="N10" s="13">
        <f t="shared" si="0"/>
        <v>7.0056705E-3</v>
      </c>
      <c r="O10" s="13">
        <f t="shared" si="0"/>
        <v>6.7648247399999901E-3</v>
      </c>
      <c r="P10" s="13">
        <f t="shared" si="0"/>
        <v>6.5134629000000001E-3</v>
      </c>
      <c r="Q10" s="13">
        <f t="shared" si="0"/>
        <v>6.2605934999999998E-3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5.7403300000000003E-6</v>
      </c>
      <c r="I41" s="13">
        <f t="shared" si="1"/>
        <v>2.2888349999999999E-5</v>
      </c>
      <c r="J41" s="13">
        <f t="shared" si="1"/>
        <v>7.3828030000000001E-5</v>
      </c>
      <c r="K41" s="13">
        <f t="shared" si="1"/>
        <v>1.449698E-4</v>
      </c>
      <c r="L41" s="13">
        <f t="shared" si="1"/>
        <v>1.9876674000000001E-4</v>
      </c>
      <c r="M41" s="13">
        <f t="shared" si="1"/>
        <v>2.7255889999999998E-4</v>
      </c>
      <c r="N41" s="13">
        <f t="shared" si="1"/>
        <v>3.6162649999999999E-4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5.86039E-3</v>
      </c>
      <c r="H42" s="13">
        <f t="shared" si="1"/>
        <v>5.9121599999999996E-3</v>
      </c>
      <c r="I42" s="13">
        <f t="shared" si="1"/>
        <v>4.8679929999999897E-3</v>
      </c>
      <c r="J42" s="13">
        <f t="shared" si="1"/>
        <v>4.2950849999999997E-3</v>
      </c>
      <c r="K42" s="13">
        <f t="shared" si="1"/>
        <v>3.9363999999999996E-3</v>
      </c>
      <c r="L42" s="13">
        <f t="shared" si="1"/>
        <v>3.893133E-3</v>
      </c>
      <c r="M42" s="13">
        <f t="shared" si="1"/>
        <v>4.0732420000000004E-3</v>
      </c>
      <c r="N42" s="13">
        <f t="shared" si="1"/>
        <v>4.4081629999999997E-3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</v>
      </c>
      <c r="H43" s="13">
        <f t="shared" si="1"/>
        <v>0</v>
      </c>
      <c r="I43" s="13">
        <f t="shared" si="1"/>
        <v>0</v>
      </c>
      <c r="J43" s="13">
        <f t="shared" si="1"/>
        <v>0</v>
      </c>
      <c r="K43" s="13">
        <f t="shared" si="1"/>
        <v>0</v>
      </c>
      <c r="L43" s="13">
        <f t="shared" si="1"/>
        <v>0</v>
      </c>
      <c r="M43" s="13">
        <f t="shared" si="1"/>
        <v>0</v>
      </c>
      <c r="N43" s="13">
        <f t="shared" si="1"/>
        <v>0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0</v>
      </c>
      <c r="H44" s="13">
        <f t="shared" si="1"/>
        <v>0</v>
      </c>
      <c r="I44" s="13">
        <f t="shared" si="1"/>
        <v>0</v>
      </c>
      <c r="J44" s="13">
        <f t="shared" si="1"/>
        <v>0</v>
      </c>
      <c r="K44" s="13">
        <f t="shared" si="1"/>
        <v>0</v>
      </c>
      <c r="L44" s="13">
        <f t="shared" si="1"/>
        <v>0</v>
      </c>
      <c r="M44" s="13">
        <f t="shared" si="1"/>
        <v>0</v>
      </c>
      <c r="N44" s="13">
        <f t="shared" si="1"/>
        <v>0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0</v>
      </c>
      <c r="I45" s="13">
        <f t="shared" si="1"/>
        <v>0</v>
      </c>
      <c r="J45" s="13">
        <f t="shared" si="1"/>
        <v>0</v>
      </c>
      <c r="K45" s="13">
        <f t="shared" si="1"/>
        <v>0</v>
      </c>
      <c r="L45" s="13">
        <f t="shared" si="1"/>
        <v>0</v>
      </c>
      <c r="M45" s="13">
        <f t="shared" si="1"/>
        <v>0</v>
      </c>
      <c r="N45" s="13">
        <f t="shared" si="1"/>
        <v>0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2">SUMIF($E$3:$E$23,$E47,J$3:J$23)</f>
        <v>2.679E-3</v>
      </c>
      <c r="H47" s="13">
        <f t="shared" si="2"/>
        <v>2.6916850000000001E-3</v>
      </c>
      <c r="I47" s="13">
        <f t="shared" si="2"/>
        <v>2.5702889999999999E-3</v>
      </c>
      <c r="J47" s="13">
        <f t="shared" si="2"/>
        <v>2.8462840000000001E-3</v>
      </c>
      <c r="K47" s="13">
        <f t="shared" si="2"/>
        <v>2.9243007000000001E-3</v>
      </c>
      <c r="L47" s="13">
        <f t="shared" si="2"/>
        <v>2.6729249999999901E-3</v>
      </c>
      <c r="M47" s="13">
        <f t="shared" si="2"/>
        <v>2.1676619999999999E-3</v>
      </c>
      <c r="N47" s="13">
        <f t="shared" si="2"/>
        <v>1.4908040000000001E-3</v>
      </c>
      <c r="T47" s="13" t="s">
        <v>16</v>
      </c>
    </row>
    <row r="48" spans="1:23">
      <c r="A48" s="13" t="s">
        <v>28</v>
      </c>
      <c r="E48" s="13" t="s">
        <v>6</v>
      </c>
      <c r="F48" s="13" t="s">
        <v>31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3">SUM(G41:G48)</f>
        <v>8.5393900000000009E-3</v>
      </c>
      <c r="H49" s="13">
        <f t="shared" si="3"/>
        <v>8.609585329999999E-3</v>
      </c>
      <c r="I49" s="13">
        <f t="shared" si="3"/>
        <v>7.4611703499999895E-3</v>
      </c>
      <c r="J49" s="13">
        <f t="shared" si="3"/>
        <v>7.2151970299999995E-3</v>
      </c>
      <c r="K49" s="13">
        <f t="shared" si="3"/>
        <v>7.0056705E-3</v>
      </c>
      <c r="L49" s="13">
        <f t="shared" si="3"/>
        <v>6.7648247399999901E-3</v>
      </c>
      <c r="M49" s="13">
        <f t="shared" si="3"/>
        <v>6.5134629000000001E-3</v>
      </c>
      <c r="N49" s="13">
        <f t="shared" si="3"/>
        <v>6.2605934999999998E-3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3F3-1369-4832-92F8-29BCD36D3E79}">
  <sheetPr codeName="Sheet41"/>
  <dimension ref="A1:W50"/>
  <sheetViews>
    <sheetView topLeftCell="A46" zoomScale="85" zoomScaleNormal="85" workbookViewId="0"/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108</v>
      </c>
      <c r="B3" s="4" t="s">
        <v>1</v>
      </c>
      <c r="C3" s="4" t="s">
        <v>67</v>
      </c>
      <c r="D3" s="4" t="s">
        <v>57</v>
      </c>
      <c r="E3" s="4" t="s">
        <v>3</v>
      </c>
      <c r="F3" s="4" t="s">
        <v>57</v>
      </c>
      <c r="G3" s="4">
        <v>0</v>
      </c>
      <c r="H3" s="4">
        <v>0</v>
      </c>
      <c r="I3" s="4">
        <v>0</v>
      </c>
      <c r="J3" s="4">
        <v>1.0884E-3</v>
      </c>
      <c r="K3" s="4">
        <v>1.4458369999999999E-3</v>
      </c>
      <c r="L3" s="4">
        <v>3.1589690000000002E-3</v>
      </c>
      <c r="M3" s="4">
        <v>5.9551359999999998E-3</v>
      </c>
      <c r="N3" s="4">
        <v>7.7676739999999996E-3</v>
      </c>
      <c r="O3" s="4">
        <v>7.4338019999999998E-3</v>
      </c>
      <c r="P3" s="4">
        <v>6.1648889999999998E-3</v>
      </c>
      <c r="Q3" s="4">
        <v>4.3603349999999999E-3</v>
      </c>
    </row>
    <row r="4" spans="1:17">
      <c r="A4" s="4" t="s">
        <v>108</v>
      </c>
      <c r="B4" s="4" t="s">
        <v>1</v>
      </c>
      <c r="C4" s="4" t="s">
        <v>67</v>
      </c>
      <c r="D4" s="4" t="s">
        <v>58</v>
      </c>
      <c r="E4" s="4" t="s">
        <v>4</v>
      </c>
      <c r="F4" s="4" t="s">
        <v>58</v>
      </c>
      <c r="G4" s="4">
        <v>0</v>
      </c>
      <c r="H4" s="4">
        <v>0</v>
      </c>
      <c r="I4" s="4">
        <v>0</v>
      </c>
      <c r="J4" s="4">
        <v>0</v>
      </c>
      <c r="K4" s="4">
        <v>1.81066E-3</v>
      </c>
      <c r="L4" s="4">
        <v>3.0881099999999998E-3</v>
      </c>
      <c r="M4" s="4">
        <v>4.2500699999999999E-3</v>
      </c>
      <c r="N4" s="4">
        <v>4.5667980000000004E-3</v>
      </c>
      <c r="O4" s="4">
        <v>3.9714169999999997E-3</v>
      </c>
      <c r="P4" s="4">
        <v>3.2617789999999998E-3</v>
      </c>
      <c r="Q4" s="4">
        <v>2.308554E-3</v>
      </c>
    </row>
    <row r="5" spans="1:17">
      <c r="A5" s="4" t="s">
        <v>108</v>
      </c>
      <c r="B5" s="4" t="s">
        <v>1</v>
      </c>
      <c r="C5" s="4" t="s">
        <v>67</v>
      </c>
      <c r="D5" s="4" t="s">
        <v>59</v>
      </c>
      <c r="E5" s="4" t="s">
        <v>5</v>
      </c>
      <c r="F5" s="4" t="s">
        <v>59</v>
      </c>
      <c r="G5" s="4">
        <v>0</v>
      </c>
      <c r="H5" s="4">
        <v>0</v>
      </c>
      <c r="I5" s="4">
        <v>0</v>
      </c>
      <c r="J5" s="4">
        <v>0</v>
      </c>
      <c r="K5" s="14">
        <v>1.2425700000000001E-4</v>
      </c>
      <c r="L5" s="14">
        <v>2.851118E-4</v>
      </c>
      <c r="M5" s="14">
        <v>5.4835759999999996E-4</v>
      </c>
      <c r="N5" s="14">
        <v>8.0673180000000004E-4</v>
      </c>
      <c r="O5" s="14">
        <v>1.0250526E-3</v>
      </c>
      <c r="P5" s="14">
        <v>1.5267614999999999E-3</v>
      </c>
      <c r="Q5" s="14">
        <v>2.4678189E-3</v>
      </c>
    </row>
    <row r="6" spans="1:17">
      <c r="A6" s="4" t="s">
        <v>108</v>
      </c>
      <c r="B6" s="4" t="s">
        <v>1</v>
      </c>
      <c r="C6" s="4" t="s">
        <v>67</v>
      </c>
      <c r="D6" s="4" t="s">
        <v>60</v>
      </c>
      <c r="E6" s="4" t="s">
        <v>7</v>
      </c>
      <c r="F6" s="4" t="s">
        <v>60</v>
      </c>
      <c r="G6" s="4">
        <v>0</v>
      </c>
      <c r="H6" s="4">
        <v>0</v>
      </c>
      <c r="I6" s="4">
        <v>0</v>
      </c>
      <c r="J6" s="14">
        <v>3.3489899999999999E-4</v>
      </c>
      <c r="K6" s="14">
        <v>9.1913200000000002E-4</v>
      </c>
      <c r="L6" s="4">
        <v>2.1662699999999901E-3</v>
      </c>
      <c r="M6" s="4">
        <v>4.075057E-3</v>
      </c>
      <c r="N6" s="4">
        <v>5.5463200000000004E-3</v>
      </c>
      <c r="O6" s="4">
        <v>5.7614099999999998E-3</v>
      </c>
      <c r="P6" s="4">
        <v>5.7686809999999899E-3</v>
      </c>
      <c r="Q6" s="4">
        <v>5.17456899999999E-3</v>
      </c>
    </row>
    <row r="7" spans="1:17">
      <c r="A7" s="4" t="s">
        <v>108</v>
      </c>
      <c r="B7" s="4" t="s">
        <v>1</v>
      </c>
      <c r="C7" s="4" t="s">
        <v>67</v>
      </c>
      <c r="D7" s="4" t="s">
        <v>65</v>
      </c>
      <c r="E7" s="4" t="s">
        <v>2</v>
      </c>
      <c r="F7" s="4" t="s">
        <v>65</v>
      </c>
      <c r="G7" s="4">
        <v>0</v>
      </c>
      <c r="H7" s="4">
        <v>0</v>
      </c>
      <c r="I7" s="4">
        <v>0</v>
      </c>
      <c r="J7" s="4">
        <v>0</v>
      </c>
      <c r="K7" s="14">
        <v>1.0746100000000001E-4</v>
      </c>
      <c r="L7" s="14">
        <v>3.6498640000000001E-4</v>
      </c>
      <c r="M7" s="14">
        <v>8.7734670000000001E-4</v>
      </c>
      <c r="N7" s="14">
        <v>1.5704987999999899E-3</v>
      </c>
      <c r="O7" s="14">
        <v>2.2210266999999999E-3</v>
      </c>
      <c r="P7" s="4">
        <v>3.442367E-3</v>
      </c>
      <c r="Q7" s="14">
        <v>5.5773619999999998E-3</v>
      </c>
    </row>
    <row r="8" spans="1:17">
      <c r="A8" s="4" t="s">
        <v>108</v>
      </c>
      <c r="B8" s="4" t="s">
        <v>1</v>
      </c>
      <c r="C8" s="4" t="s">
        <v>67</v>
      </c>
      <c r="D8" s="4" t="s">
        <v>19</v>
      </c>
      <c r="E8" s="4" t="s">
        <v>6</v>
      </c>
      <c r="F8" s="4" t="s">
        <v>19</v>
      </c>
      <c r="G8" s="4">
        <v>2.1348599999999999E-2</v>
      </c>
      <c r="H8" s="4">
        <v>2.5199699999999998E-2</v>
      </c>
      <c r="I8" s="4">
        <v>3.4157800000000002E-2</v>
      </c>
      <c r="J8" s="4">
        <v>3.4408800000000003E-2</v>
      </c>
      <c r="K8" s="4">
        <v>3.2287780000000002E-2</v>
      </c>
      <c r="L8" s="4">
        <v>2.6075520000000001E-2</v>
      </c>
      <c r="M8" s="4">
        <v>1.9313819999999999E-2</v>
      </c>
      <c r="N8" s="4">
        <v>1.4091724999999999E-2</v>
      </c>
      <c r="O8" s="4">
        <v>1.21853969999999E-2</v>
      </c>
      <c r="P8" s="4">
        <v>1.018547E-2</v>
      </c>
      <c r="Q8" s="4">
        <v>7.8699649999999996E-3</v>
      </c>
    </row>
    <row r="9" spans="1:17">
      <c r="A9" s="4" t="s">
        <v>108</v>
      </c>
      <c r="B9" s="4" t="s">
        <v>1</v>
      </c>
      <c r="C9" s="4" t="s">
        <v>21</v>
      </c>
      <c r="D9" s="4" t="s">
        <v>19</v>
      </c>
      <c r="E9" s="4" t="s">
        <v>6</v>
      </c>
      <c r="F9" s="4" t="s">
        <v>19</v>
      </c>
      <c r="G9" s="4">
        <v>3.2608900000000003E-2</v>
      </c>
      <c r="H9" s="4">
        <v>5.08599E-2</v>
      </c>
      <c r="I9" s="4">
        <v>5.3873799999999999E-2</v>
      </c>
      <c r="J9" s="4">
        <v>4.94367E-2</v>
      </c>
      <c r="K9" s="4">
        <v>5.16847E-2</v>
      </c>
      <c r="L9" s="4">
        <v>5.0143600000000003E-2</v>
      </c>
      <c r="M9" s="4">
        <v>5.0363400000000003E-2</v>
      </c>
      <c r="N9" s="4">
        <v>5.0219300000000001E-2</v>
      </c>
      <c r="O9" s="4">
        <v>4.9207599999999997E-2</v>
      </c>
      <c r="P9" s="4">
        <v>4.7676799999999998E-2</v>
      </c>
      <c r="Q9" s="4">
        <v>4.5770699999999997E-2</v>
      </c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7.6059600000000005E-2</v>
      </c>
      <c r="I10" s="13">
        <f t="shared" ref="I10:Q10" si="0">SUM(I3:I9)</f>
        <v>8.8031600000000002E-2</v>
      </c>
      <c r="J10" s="13">
        <f t="shared" si="0"/>
        <v>8.5268799000000006E-2</v>
      </c>
      <c r="K10" s="13">
        <f t="shared" si="0"/>
        <v>8.8379826999999994E-2</v>
      </c>
      <c r="L10" s="13">
        <f t="shared" si="0"/>
        <v>8.5282567199999992E-2</v>
      </c>
      <c r="M10" s="13">
        <f t="shared" si="0"/>
        <v>8.5383187299999996E-2</v>
      </c>
      <c r="N10" s="13">
        <f t="shared" si="0"/>
        <v>8.4569047600000002E-2</v>
      </c>
      <c r="O10" s="13">
        <f t="shared" si="0"/>
        <v>8.1805705299999892E-2</v>
      </c>
      <c r="P10" s="13">
        <f t="shared" si="0"/>
        <v>7.8026747499999993E-2</v>
      </c>
      <c r="Q10" s="13">
        <f t="shared" si="0"/>
        <v>7.3529303899999982E-2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108</v>
      </c>
      <c r="B36" s="13" t="s">
        <v>1</v>
      </c>
      <c r="C36" s="13" t="s">
        <v>21</v>
      </c>
      <c r="D36" s="13" t="s">
        <v>6</v>
      </c>
      <c r="E36" s="13">
        <v>3.2608900000000003E-2</v>
      </c>
      <c r="F36" s="13">
        <v>5.08599E-2</v>
      </c>
      <c r="G36" s="13">
        <v>5.3873799999999999E-2</v>
      </c>
      <c r="H36" s="13">
        <v>4.94367E-2</v>
      </c>
      <c r="I36" s="13">
        <v>5.16847E-2</v>
      </c>
      <c r="J36" s="13">
        <v>5.0143600000000003E-2</v>
      </c>
      <c r="K36" s="13">
        <v>5.0363400000000003E-2</v>
      </c>
      <c r="L36" s="13">
        <v>5.0219300000000001E-2</v>
      </c>
      <c r="M36" s="13">
        <v>4.9207599999999997E-2</v>
      </c>
      <c r="N36" s="13">
        <v>4.7676799999999998E-2</v>
      </c>
      <c r="O36" s="13">
        <v>4.5770699999999997E-2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1.0746100000000001E-4</v>
      </c>
      <c r="I41" s="13">
        <f t="shared" si="1"/>
        <v>3.6498640000000001E-4</v>
      </c>
      <c r="J41" s="13">
        <f t="shared" si="1"/>
        <v>8.7734670000000001E-4</v>
      </c>
      <c r="K41" s="13">
        <f t="shared" si="1"/>
        <v>1.5704987999999899E-3</v>
      </c>
      <c r="L41" s="13">
        <f t="shared" si="1"/>
        <v>2.2210266999999999E-3</v>
      </c>
      <c r="M41" s="13">
        <f t="shared" si="1"/>
        <v>3.442367E-3</v>
      </c>
      <c r="N41" s="13">
        <f t="shared" si="1"/>
        <v>5.5773619999999998E-3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</v>
      </c>
      <c r="H42" s="13">
        <f t="shared" si="1"/>
        <v>1.2425700000000001E-4</v>
      </c>
      <c r="I42" s="13">
        <f t="shared" si="1"/>
        <v>2.851118E-4</v>
      </c>
      <c r="J42" s="13">
        <f t="shared" si="1"/>
        <v>5.4835759999999996E-4</v>
      </c>
      <c r="K42" s="13">
        <f t="shared" si="1"/>
        <v>8.0673180000000004E-4</v>
      </c>
      <c r="L42" s="13">
        <f t="shared" si="1"/>
        <v>1.0250526E-3</v>
      </c>
      <c r="M42" s="13">
        <f t="shared" si="1"/>
        <v>1.5267614999999999E-3</v>
      </c>
      <c r="N42" s="13">
        <f t="shared" si="1"/>
        <v>2.4678189E-3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1.0884E-3</v>
      </c>
      <c r="H43" s="13">
        <f t="shared" si="1"/>
        <v>1.4458369999999999E-3</v>
      </c>
      <c r="I43" s="13">
        <f t="shared" si="1"/>
        <v>3.1589690000000002E-3</v>
      </c>
      <c r="J43" s="13">
        <f t="shared" si="1"/>
        <v>5.9551359999999998E-3</v>
      </c>
      <c r="K43" s="13">
        <f t="shared" si="1"/>
        <v>7.7676739999999996E-3</v>
      </c>
      <c r="L43" s="13">
        <f t="shared" si="1"/>
        <v>7.4338019999999998E-3</v>
      </c>
      <c r="M43" s="13">
        <f t="shared" si="1"/>
        <v>6.1648889999999998E-3</v>
      </c>
      <c r="N43" s="13">
        <f t="shared" si="1"/>
        <v>4.3603349999999999E-3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3.3489899999999999E-4</v>
      </c>
      <c r="H44" s="13">
        <f t="shared" si="1"/>
        <v>9.1913200000000002E-4</v>
      </c>
      <c r="I44" s="13">
        <f t="shared" si="1"/>
        <v>2.1662699999999901E-3</v>
      </c>
      <c r="J44" s="13">
        <f t="shared" si="1"/>
        <v>4.075057E-3</v>
      </c>
      <c r="K44" s="13">
        <f t="shared" si="1"/>
        <v>5.5463200000000004E-3</v>
      </c>
      <c r="L44" s="13">
        <f t="shared" si="1"/>
        <v>5.7614099999999998E-3</v>
      </c>
      <c r="M44" s="13">
        <f t="shared" si="1"/>
        <v>5.7686809999999899E-3</v>
      </c>
      <c r="N44" s="13">
        <f t="shared" si="1"/>
        <v>5.17456899999999E-3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1.81066E-3</v>
      </c>
      <c r="I45" s="13">
        <f t="shared" si="1"/>
        <v>3.0881099999999998E-3</v>
      </c>
      <c r="J45" s="13">
        <f t="shared" si="1"/>
        <v>4.2500699999999999E-3</v>
      </c>
      <c r="K45" s="13">
        <f t="shared" si="1"/>
        <v>4.5667980000000004E-3</v>
      </c>
      <c r="L45" s="13">
        <f t="shared" si="1"/>
        <v>3.9714169999999997E-3</v>
      </c>
      <c r="M45" s="13">
        <f t="shared" si="1"/>
        <v>3.2617789999999998E-3</v>
      </c>
      <c r="N45" s="13">
        <f t="shared" si="1"/>
        <v>2.308554E-3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3.4408800000000003E-2</v>
      </c>
      <c r="H47" s="13">
        <f t="shared" si="3"/>
        <v>3.2287780000000002E-2</v>
      </c>
      <c r="I47" s="13">
        <f t="shared" si="3"/>
        <v>2.6075519999999998E-2</v>
      </c>
      <c r="J47" s="13">
        <f t="shared" si="3"/>
        <v>1.9313819999999995E-2</v>
      </c>
      <c r="K47" s="13">
        <f t="shared" si="3"/>
        <v>1.4091724999999992E-2</v>
      </c>
      <c r="L47" s="13">
        <f t="shared" si="3"/>
        <v>1.2185396999999897E-2</v>
      </c>
      <c r="M47" s="13">
        <f t="shared" si="3"/>
        <v>1.0185470000000002E-2</v>
      </c>
      <c r="N47" s="13">
        <f t="shared" si="3"/>
        <v>7.8699649999999996E-3</v>
      </c>
      <c r="T47" s="13" t="s">
        <v>16</v>
      </c>
    </row>
    <row r="48" spans="1:23">
      <c r="A48" s="13" t="s">
        <v>28</v>
      </c>
      <c r="D48" s="4" t="s">
        <v>21</v>
      </c>
      <c r="E48" s="13" t="s">
        <v>6</v>
      </c>
      <c r="F48" s="13" t="s">
        <v>31</v>
      </c>
      <c r="G48" s="13">
        <f t="shared" ref="G48:N48" si="4">SUMIFS(H$34:H$37,$C$34:$C$37,$D48,$D$34:$D$37,$E48)</f>
        <v>4.94367E-2</v>
      </c>
      <c r="H48" s="13">
        <f t="shared" si="4"/>
        <v>5.16847E-2</v>
      </c>
      <c r="I48" s="13">
        <f t="shared" si="4"/>
        <v>5.0143600000000003E-2</v>
      </c>
      <c r="J48" s="13">
        <f t="shared" si="4"/>
        <v>5.0363400000000003E-2</v>
      </c>
      <c r="K48" s="13">
        <f t="shared" si="4"/>
        <v>5.0219300000000001E-2</v>
      </c>
      <c r="L48" s="13">
        <f t="shared" si="4"/>
        <v>4.9207599999999997E-2</v>
      </c>
      <c r="M48" s="13">
        <f t="shared" si="4"/>
        <v>4.7676799999999998E-2</v>
      </c>
      <c r="N48" s="13">
        <f t="shared" si="4"/>
        <v>4.5770699999999997E-2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8.5268799000000006E-2</v>
      </c>
      <c r="H49" s="13">
        <f t="shared" si="5"/>
        <v>8.8379826999999994E-2</v>
      </c>
      <c r="I49" s="13">
        <f t="shared" si="5"/>
        <v>8.5282567199999992E-2</v>
      </c>
      <c r="J49" s="13">
        <f t="shared" si="5"/>
        <v>8.5383187299999996E-2</v>
      </c>
      <c r="K49" s="13">
        <f t="shared" si="5"/>
        <v>8.4569047599999975E-2</v>
      </c>
      <c r="L49" s="13">
        <f t="shared" si="5"/>
        <v>8.1805705299999892E-2</v>
      </c>
      <c r="M49" s="13">
        <f t="shared" si="5"/>
        <v>7.8026747499999993E-2</v>
      </c>
      <c r="N49" s="13">
        <f t="shared" si="5"/>
        <v>7.3529303899999982E-2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A87A-9099-48B5-9D27-BE568654B28E}">
  <sheetPr codeName="Sheet48"/>
  <dimension ref="A1:W50"/>
  <sheetViews>
    <sheetView zoomScale="55" zoomScaleNormal="55" workbookViewId="0">
      <selection activeCell="A3" sqref="A3:Q9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120</v>
      </c>
      <c r="B3" s="4" t="s">
        <v>1</v>
      </c>
      <c r="C3" s="4" t="s">
        <v>67</v>
      </c>
      <c r="D3" s="4" t="s">
        <v>57</v>
      </c>
      <c r="E3" s="4" t="s">
        <v>3</v>
      </c>
      <c r="F3" s="4" t="s">
        <v>57</v>
      </c>
      <c r="G3" s="4">
        <v>0</v>
      </c>
      <c r="H3" s="4">
        <v>0</v>
      </c>
      <c r="I3" s="4">
        <v>0</v>
      </c>
      <c r="J3" s="4">
        <v>1.0884E-3</v>
      </c>
      <c r="K3" s="4">
        <v>1.4458889999999999E-3</v>
      </c>
      <c r="L3" s="4">
        <v>3.1543219999999898E-3</v>
      </c>
      <c r="M3" s="4">
        <v>5.9402420000000001E-3</v>
      </c>
      <c r="N3" s="4">
        <v>7.8166739999999992E-3</v>
      </c>
      <c r="O3" s="4">
        <v>7.5085759999999899E-3</v>
      </c>
      <c r="P3" s="4">
        <v>6.2422689999999999E-3</v>
      </c>
      <c r="Q3" s="4">
        <v>4.4226379999999996E-3</v>
      </c>
    </row>
    <row r="4" spans="1:17">
      <c r="A4" s="4" t="s">
        <v>120</v>
      </c>
      <c r="B4" s="4" t="s">
        <v>1</v>
      </c>
      <c r="C4" s="4" t="s">
        <v>67</v>
      </c>
      <c r="D4" s="4" t="s">
        <v>58</v>
      </c>
      <c r="E4" s="4" t="s">
        <v>4</v>
      </c>
      <c r="F4" s="4" t="s">
        <v>58</v>
      </c>
      <c r="G4" s="4">
        <v>0</v>
      </c>
      <c r="H4" s="4">
        <v>0</v>
      </c>
      <c r="I4" s="4">
        <v>0</v>
      </c>
      <c r="J4" s="4">
        <v>0</v>
      </c>
      <c r="K4" s="4">
        <v>1.8106000000000001E-3</v>
      </c>
      <c r="L4" s="4">
        <v>3.0937299999999998E-3</v>
      </c>
      <c r="M4" s="4">
        <v>4.2698320000000003E-3</v>
      </c>
      <c r="N4" s="4">
        <v>4.5978379999999999E-3</v>
      </c>
      <c r="O4" s="4">
        <v>4.0059240000000001E-3</v>
      </c>
      <c r="P4" s="4">
        <v>3.2945539999999999E-3</v>
      </c>
      <c r="Q4" s="4">
        <v>2.3363589999999901E-3</v>
      </c>
    </row>
    <row r="5" spans="1:17">
      <c r="A5" s="4" t="s">
        <v>120</v>
      </c>
      <c r="B5" s="4" t="s">
        <v>1</v>
      </c>
      <c r="C5" s="4" t="s">
        <v>67</v>
      </c>
      <c r="D5" s="4" t="s">
        <v>59</v>
      </c>
      <c r="E5" s="4" t="s">
        <v>5</v>
      </c>
      <c r="F5" s="4" t="s">
        <v>59</v>
      </c>
      <c r="G5" s="4">
        <v>0</v>
      </c>
      <c r="H5" s="4">
        <v>0</v>
      </c>
      <c r="I5" s="4">
        <v>0</v>
      </c>
      <c r="J5" s="4">
        <v>0</v>
      </c>
      <c r="K5" s="14">
        <v>1.24249E-4</v>
      </c>
      <c r="L5" s="14">
        <v>2.8518210000000002E-4</v>
      </c>
      <c r="M5" s="14">
        <v>5.4856179999999998E-4</v>
      </c>
      <c r="N5" s="14">
        <v>8.0159079999999998E-4</v>
      </c>
      <c r="O5" s="14">
        <v>1.0123732999999899E-3</v>
      </c>
      <c r="P5" s="14">
        <v>1.5057454999999999E-3</v>
      </c>
      <c r="Q5" s="14">
        <v>2.4382548999999998E-3</v>
      </c>
    </row>
    <row r="6" spans="1:17">
      <c r="A6" s="4" t="s">
        <v>120</v>
      </c>
      <c r="B6" s="4" t="s">
        <v>1</v>
      </c>
      <c r="C6" s="4" t="s">
        <v>67</v>
      </c>
      <c r="D6" s="4" t="s">
        <v>60</v>
      </c>
      <c r="E6" s="4" t="s">
        <v>7</v>
      </c>
      <c r="F6" s="4" t="s">
        <v>60</v>
      </c>
      <c r="G6" s="4">
        <v>0</v>
      </c>
      <c r="H6" s="4">
        <v>0</v>
      </c>
      <c r="I6" s="4">
        <v>0</v>
      </c>
      <c r="J6" s="14">
        <v>3.3489899999999999E-4</v>
      </c>
      <c r="K6" s="14">
        <v>9.1906599999999996E-4</v>
      </c>
      <c r="L6" s="4">
        <v>2.1675069999999999E-3</v>
      </c>
      <c r="M6" s="4">
        <v>4.0812052000000001E-3</v>
      </c>
      <c r="N6" s="4">
        <v>5.5438299999999996E-3</v>
      </c>
      <c r="O6" s="4">
        <v>5.7539459999999898E-3</v>
      </c>
      <c r="P6" s="4">
        <v>5.7670199999999899E-3</v>
      </c>
      <c r="Q6" s="4">
        <v>5.1858059999999899E-3</v>
      </c>
    </row>
    <row r="7" spans="1:17">
      <c r="A7" s="4" t="s">
        <v>120</v>
      </c>
      <c r="B7" s="4" t="s">
        <v>1</v>
      </c>
      <c r="C7" s="4" t="s">
        <v>67</v>
      </c>
      <c r="D7" s="4" t="s">
        <v>65</v>
      </c>
      <c r="E7" s="4" t="s">
        <v>2</v>
      </c>
      <c r="F7" s="4" t="s">
        <v>65</v>
      </c>
      <c r="G7" s="4">
        <v>0</v>
      </c>
      <c r="H7" s="4">
        <v>0</v>
      </c>
      <c r="I7" s="4">
        <v>0</v>
      </c>
      <c r="J7" s="4">
        <v>0</v>
      </c>
      <c r="K7" s="14">
        <v>1.07451E-4</v>
      </c>
      <c r="L7" s="14">
        <v>3.64908E-4</v>
      </c>
      <c r="M7" s="14">
        <v>8.7285699999999999E-4</v>
      </c>
      <c r="N7" s="14">
        <v>1.5591685999999899E-3</v>
      </c>
      <c r="O7" s="14">
        <v>2.1961261999999902E-3</v>
      </c>
      <c r="P7" s="4">
        <v>3.4011739999999999E-3</v>
      </c>
      <c r="Q7" s="14">
        <v>5.5243979999999998E-3</v>
      </c>
    </row>
    <row r="8" spans="1:17">
      <c r="A8" s="4" t="s">
        <v>120</v>
      </c>
      <c r="B8" s="4" t="s">
        <v>1</v>
      </c>
      <c r="C8" s="4" t="s">
        <v>67</v>
      </c>
      <c r="D8" s="4" t="s">
        <v>19</v>
      </c>
      <c r="E8" s="4" t="s">
        <v>6</v>
      </c>
      <c r="F8" s="4" t="s">
        <v>19</v>
      </c>
      <c r="G8" s="4">
        <v>2.1348599999999999E-2</v>
      </c>
      <c r="H8" s="4">
        <v>2.5199699999999998E-2</v>
      </c>
      <c r="I8" s="4">
        <v>3.4157800000000002E-2</v>
      </c>
      <c r="J8" s="4">
        <v>3.4408800000000003E-2</v>
      </c>
      <c r="K8" s="4">
        <v>3.2288459999999998E-2</v>
      </c>
      <c r="L8" s="4">
        <v>2.607721E-2</v>
      </c>
      <c r="M8" s="4">
        <v>1.931401E-2</v>
      </c>
      <c r="N8" s="4">
        <v>1.4091742000000001E-2</v>
      </c>
      <c r="O8" s="4">
        <v>1.2178829999999899E-2</v>
      </c>
      <c r="P8" s="4">
        <v>1.01847999999999E-2</v>
      </c>
      <c r="Q8" s="4">
        <v>7.8866560000000006E-3</v>
      </c>
    </row>
    <row r="9" spans="1:17">
      <c r="A9" s="4" t="s">
        <v>120</v>
      </c>
      <c r="B9" s="4" t="s">
        <v>1</v>
      </c>
      <c r="C9" s="4" t="s">
        <v>21</v>
      </c>
      <c r="D9" s="4" t="s">
        <v>19</v>
      </c>
      <c r="E9" s="4" t="s">
        <v>6</v>
      </c>
      <c r="F9" s="4" t="s">
        <v>19</v>
      </c>
      <c r="G9" s="4">
        <v>3.2608900000000003E-2</v>
      </c>
      <c r="H9" s="4">
        <v>5.08599E-2</v>
      </c>
      <c r="I9" s="4">
        <v>5.3873799999999999E-2</v>
      </c>
      <c r="J9" s="4">
        <v>4.94367E-2</v>
      </c>
      <c r="K9" s="4">
        <v>5.1685399999999999E-2</v>
      </c>
      <c r="L9" s="4">
        <v>5.0149699999999998E-2</v>
      </c>
      <c r="M9" s="4">
        <v>5.0374299999999997E-2</v>
      </c>
      <c r="N9" s="4">
        <v>5.0294899999999997E-2</v>
      </c>
      <c r="O9" s="4">
        <v>4.9271000000000002E-2</v>
      </c>
      <c r="P9" s="4">
        <v>4.77198E-2</v>
      </c>
      <c r="Q9" s="4">
        <v>4.5801399999999999E-2</v>
      </c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7.6059600000000005E-2</v>
      </c>
      <c r="I10" s="13">
        <f t="shared" ref="I10:Q10" si="0">SUM(I3:I9)</f>
        <v>8.8031600000000002E-2</v>
      </c>
      <c r="J10" s="13">
        <f t="shared" si="0"/>
        <v>8.5268799000000006E-2</v>
      </c>
      <c r="K10" s="13">
        <f t="shared" si="0"/>
        <v>8.8381114999999996E-2</v>
      </c>
      <c r="L10" s="13">
        <f t="shared" si="0"/>
        <v>8.5292559099999998E-2</v>
      </c>
      <c r="M10" s="13">
        <f t="shared" si="0"/>
        <v>8.5401008E-2</v>
      </c>
      <c r="N10" s="13">
        <f t="shared" si="0"/>
        <v>8.4705743399999978E-2</v>
      </c>
      <c r="O10" s="13">
        <f t="shared" si="0"/>
        <v>8.1926775499999854E-2</v>
      </c>
      <c r="P10" s="13">
        <f t="shared" si="0"/>
        <v>7.8115362499999896E-2</v>
      </c>
      <c r="Q10" s="13">
        <f t="shared" si="0"/>
        <v>7.359551189999998E-2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108</v>
      </c>
      <c r="B36" s="13" t="s">
        <v>1</v>
      </c>
      <c r="C36" s="13" t="s">
        <v>21</v>
      </c>
      <c r="D36" s="13" t="s">
        <v>6</v>
      </c>
      <c r="E36" s="13">
        <v>3.2608900000000003E-2</v>
      </c>
      <c r="F36" s="13">
        <v>5.08599E-2</v>
      </c>
      <c r="G36" s="13">
        <v>5.3873799999999999E-2</v>
      </c>
      <c r="H36" s="13">
        <v>4.94367E-2</v>
      </c>
      <c r="I36" s="13">
        <v>5.16847E-2</v>
      </c>
      <c r="J36" s="13">
        <v>5.0143600000000003E-2</v>
      </c>
      <c r="K36" s="13">
        <v>5.0363400000000003E-2</v>
      </c>
      <c r="L36" s="13">
        <v>5.0219300000000001E-2</v>
      </c>
      <c r="M36" s="13">
        <v>4.9207599999999997E-2</v>
      </c>
      <c r="N36" s="13">
        <v>4.7676799999999998E-2</v>
      </c>
      <c r="O36" s="13">
        <v>4.5770699999999997E-2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1.07451E-4</v>
      </c>
      <c r="I41" s="13">
        <f t="shared" si="1"/>
        <v>3.64908E-4</v>
      </c>
      <c r="J41" s="13">
        <f t="shared" si="1"/>
        <v>8.7285699999999999E-4</v>
      </c>
      <c r="K41" s="13">
        <f t="shared" si="1"/>
        <v>1.5591685999999899E-3</v>
      </c>
      <c r="L41" s="13">
        <f t="shared" si="1"/>
        <v>2.1961261999999902E-3</v>
      </c>
      <c r="M41" s="13">
        <f t="shared" si="1"/>
        <v>3.4011739999999999E-3</v>
      </c>
      <c r="N41" s="13">
        <f t="shared" si="1"/>
        <v>5.5243979999999998E-3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</v>
      </c>
      <c r="H42" s="13">
        <f t="shared" si="1"/>
        <v>1.24249E-4</v>
      </c>
      <c r="I42" s="13">
        <f t="shared" si="1"/>
        <v>2.8518210000000002E-4</v>
      </c>
      <c r="J42" s="13">
        <f t="shared" si="1"/>
        <v>5.4856179999999998E-4</v>
      </c>
      <c r="K42" s="13">
        <f t="shared" si="1"/>
        <v>8.0159079999999998E-4</v>
      </c>
      <c r="L42" s="13">
        <f t="shared" si="1"/>
        <v>1.0123732999999899E-3</v>
      </c>
      <c r="M42" s="13">
        <f t="shared" si="1"/>
        <v>1.5057454999999999E-3</v>
      </c>
      <c r="N42" s="13">
        <f t="shared" si="1"/>
        <v>2.4382548999999998E-3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1.0884E-3</v>
      </c>
      <c r="H43" s="13">
        <f t="shared" si="1"/>
        <v>1.4458889999999999E-3</v>
      </c>
      <c r="I43" s="13">
        <f t="shared" si="1"/>
        <v>3.1543219999999898E-3</v>
      </c>
      <c r="J43" s="13">
        <f t="shared" si="1"/>
        <v>5.9402420000000001E-3</v>
      </c>
      <c r="K43" s="13">
        <f t="shared" si="1"/>
        <v>7.8166739999999992E-3</v>
      </c>
      <c r="L43" s="13">
        <f t="shared" si="1"/>
        <v>7.5085759999999899E-3</v>
      </c>
      <c r="M43" s="13">
        <f t="shared" si="1"/>
        <v>6.2422689999999999E-3</v>
      </c>
      <c r="N43" s="13">
        <f t="shared" si="1"/>
        <v>4.4226379999999996E-3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3.3489899999999999E-4</v>
      </c>
      <c r="H44" s="13">
        <f t="shared" si="1"/>
        <v>9.1906599999999996E-4</v>
      </c>
      <c r="I44" s="13">
        <f t="shared" si="1"/>
        <v>2.1675069999999999E-3</v>
      </c>
      <c r="J44" s="13">
        <f t="shared" si="1"/>
        <v>4.0812052000000001E-3</v>
      </c>
      <c r="K44" s="13">
        <f t="shared" si="1"/>
        <v>5.5438299999999996E-3</v>
      </c>
      <c r="L44" s="13">
        <f t="shared" si="1"/>
        <v>5.7539459999999898E-3</v>
      </c>
      <c r="M44" s="13">
        <f t="shared" si="1"/>
        <v>5.7670199999999899E-3</v>
      </c>
      <c r="N44" s="13">
        <f t="shared" si="1"/>
        <v>5.1858059999999899E-3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1.8106000000000001E-3</v>
      </c>
      <c r="I45" s="13">
        <f t="shared" si="1"/>
        <v>3.0937299999999998E-3</v>
      </c>
      <c r="J45" s="13">
        <f t="shared" si="1"/>
        <v>4.2698320000000003E-3</v>
      </c>
      <c r="K45" s="13">
        <f t="shared" si="1"/>
        <v>4.5978379999999999E-3</v>
      </c>
      <c r="L45" s="13">
        <f t="shared" si="1"/>
        <v>4.0059240000000001E-3</v>
      </c>
      <c r="M45" s="13">
        <f t="shared" si="1"/>
        <v>3.2945539999999999E-3</v>
      </c>
      <c r="N45" s="13">
        <f t="shared" si="1"/>
        <v>2.3363589999999901E-3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3.4408800000000003E-2</v>
      </c>
      <c r="H47" s="13">
        <f t="shared" si="3"/>
        <v>3.2289159999999997E-2</v>
      </c>
      <c r="I47" s="13">
        <f t="shared" si="3"/>
        <v>2.6083309999999992E-2</v>
      </c>
      <c r="J47" s="13">
        <f t="shared" si="3"/>
        <v>1.9324910000000001E-2</v>
      </c>
      <c r="K47" s="13">
        <f t="shared" si="3"/>
        <v>1.4167341999999992E-2</v>
      </c>
      <c r="L47" s="13">
        <f t="shared" si="3"/>
        <v>1.2242229999999903E-2</v>
      </c>
      <c r="M47" s="13">
        <f t="shared" si="3"/>
        <v>1.0227799999999905E-2</v>
      </c>
      <c r="N47" s="13">
        <f t="shared" si="3"/>
        <v>7.9173560000000004E-3</v>
      </c>
      <c r="T47" s="13" t="s">
        <v>16</v>
      </c>
    </row>
    <row r="48" spans="1:23">
      <c r="A48" s="13" t="s">
        <v>28</v>
      </c>
      <c r="D48" s="4" t="s">
        <v>21</v>
      </c>
      <c r="E48" s="13" t="s">
        <v>6</v>
      </c>
      <c r="F48" s="13" t="s">
        <v>31</v>
      </c>
      <c r="G48" s="13">
        <f t="shared" ref="G48:N48" si="4">SUMIFS(H$34:H$37,$C$34:$C$37,$D48,$D$34:$D$37,$E48)</f>
        <v>4.94367E-2</v>
      </c>
      <c r="H48" s="13">
        <f t="shared" si="4"/>
        <v>5.16847E-2</v>
      </c>
      <c r="I48" s="13">
        <f t="shared" si="4"/>
        <v>5.0143600000000003E-2</v>
      </c>
      <c r="J48" s="13">
        <f t="shared" si="4"/>
        <v>5.0363400000000003E-2</v>
      </c>
      <c r="K48" s="13">
        <f t="shared" si="4"/>
        <v>5.0219300000000001E-2</v>
      </c>
      <c r="L48" s="13">
        <f t="shared" si="4"/>
        <v>4.9207599999999997E-2</v>
      </c>
      <c r="M48" s="13">
        <f t="shared" si="4"/>
        <v>4.7676799999999998E-2</v>
      </c>
      <c r="N48" s="13">
        <f t="shared" si="4"/>
        <v>4.5770699999999997E-2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8.5268799000000006E-2</v>
      </c>
      <c r="H49" s="13">
        <f t="shared" si="5"/>
        <v>8.8381114999999996E-2</v>
      </c>
      <c r="I49" s="13">
        <f t="shared" si="5"/>
        <v>8.5292559099999984E-2</v>
      </c>
      <c r="J49" s="13">
        <f t="shared" si="5"/>
        <v>8.5401008E-2</v>
      </c>
      <c r="K49" s="13">
        <f t="shared" si="5"/>
        <v>8.4705743399999978E-2</v>
      </c>
      <c r="L49" s="13">
        <f t="shared" si="5"/>
        <v>8.1926775499999854E-2</v>
      </c>
      <c r="M49" s="13">
        <f t="shared" si="5"/>
        <v>7.8115362499999896E-2</v>
      </c>
      <c r="N49" s="13">
        <f t="shared" si="5"/>
        <v>7.359551189999998E-2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0B5D-D6E8-4270-983A-AA218F33E318}">
  <sheetPr codeName="Sheet55"/>
  <dimension ref="A1:W50"/>
  <sheetViews>
    <sheetView topLeftCell="A10" zoomScale="55" zoomScaleNormal="55" workbookViewId="0">
      <selection activeCell="A3" sqref="A3:Q9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4" t="s">
        <v>119</v>
      </c>
      <c r="B3" s="4" t="s">
        <v>1</v>
      </c>
      <c r="C3" s="4" t="s">
        <v>67</v>
      </c>
      <c r="D3" s="4" t="s">
        <v>57</v>
      </c>
      <c r="E3" s="4" t="s">
        <v>3</v>
      </c>
      <c r="F3" s="4" t="s">
        <v>57</v>
      </c>
      <c r="G3" s="4">
        <v>0</v>
      </c>
      <c r="H3" s="4">
        <v>0</v>
      </c>
      <c r="I3" s="4">
        <v>0</v>
      </c>
      <c r="J3" s="4">
        <v>1.0884E-3</v>
      </c>
      <c r="K3" s="4">
        <v>1.4458219999999901E-3</v>
      </c>
      <c r="L3" s="4">
        <v>3.1567570000000001E-3</v>
      </c>
      <c r="M3" s="4">
        <v>5.9379389999999997E-3</v>
      </c>
      <c r="N3" s="4">
        <v>7.8553319999999996E-3</v>
      </c>
      <c r="O3" s="4">
        <v>7.5710859999999899E-3</v>
      </c>
      <c r="P3" s="4">
        <v>6.3146799999999996E-3</v>
      </c>
      <c r="Q3" s="4">
        <v>4.4920300000000002E-3</v>
      </c>
    </row>
    <row r="4" spans="1:17">
      <c r="A4" s="4" t="s">
        <v>119</v>
      </c>
      <c r="B4" s="4" t="s">
        <v>1</v>
      </c>
      <c r="C4" s="4" t="s">
        <v>67</v>
      </c>
      <c r="D4" s="4" t="s">
        <v>58</v>
      </c>
      <c r="E4" s="4" t="s">
        <v>4</v>
      </c>
      <c r="F4" s="4" t="s">
        <v>58</v>
      </c>
      <c r="G4" s="4">
        <v>0</v>
      </c>
      <c r="H4" s="4">
        <v>0</v>
      </c>
      <c r="I4" s="4">
        <v>0</v>
      </c>
      <c r="J4" s="4">
        <v>0</v>
      </c>
      <c r="K4" s="4">
        <v>1.81065E-3</v>
      </c>
      <c r="L4" s="4">
        <v>3.0912399999999999E-3</v>
      </c>
      <c r="M4" s="4">
        <v>4.2770120000000002E-3</v>
      </c>
      <c r="N4" s="4">
        <v>4.6150879999999998E-3</v>
      </c>
      <c r="O4" s="4">
        <v>4.0308399999999999E-3</v>
      </c>
      <c r="P4" s="4">
        <v>3.3243779999999998E-3</v>
      </c>
      <c r="Q4" s="4">
        <v>2.368191E-3</v>
      </c>
    </row>
    <row r="5" spans="1:17">
      <c r="A5" s="4" t="s">
        <v>119</v>
      </c>
      <c r="B5" s="4" t="s">
        <v>1</v>
      </c>
      <c r="C5" s="4" t="s">
        <v>67</v>
      </c>
      <c r="D5" s="4" t="s">
        <v>59</v>
      </c>
      <c r="E5" s="4" t="s">
        <v>5</v>
      </c>
      <c r="F5" s="4" t="s">
        <v>59</v>
      </c>
      <c r="G5" s="4">
        <v>0</v>
      </c>
      <c r="H5" s="4">
        <v>0</v>
      </c>
      <c r="I5" s="4">
        <v>0</v>
      </c>
      <c r="J5" s="4">
        <v>0</v>
      </c>
      <c r="K5" s="14">
        <v>1.24256E-4</v>
      </c>
      <c r="L5" s="14">
        <v>2.8515410000000001E-4</v>
      </c>
      <c r="M5" s="14">
        <v>5.4865619999999997E-4</v>
      </c>
      <c r="N5" s="14">
        <v>7.981145E-4</v>
      </c>
      <c r="O5" s="14">
        <v>1.0024133999999899E-3</v>
      </c>
      <c r="P5" s="14">
        <v>1.4854454999999999E-3</v>
      </c>
      <c r="Q5" s="14">
        <v>2.4022639999999999E-3</v>
      </c>
    </row>
    <row r="6" spans="1:17">
      <c r="A6" s="4" t="s">
        <v>119</v>
      </c>
      <c r="B6" s="4" t="s">
        <v>1</v>
      </c>
      <c r="C6" s="4" t="s">
        <v>67</v>
      </c>
      <c r="D6" s="4" t="s">
        <v>60</v>
      </c>
      <c r="E6" s="4" t="s">
        <v>7</v>
      </c>
      <c r="F6" s="4" t="s">
        <v>60</v>
      </c>
      <c r="G6" s="4">
        <v>0</v>
      </c>
      <c r="H6" s="4">
        <v>0</v>
      </c>
      <c r="I6" s="4">
        <v>0</v>
      </c>
      <c r="J6" s="14">
        <v>3.3489899999999999E-4</v>
      </c>
      <c r="K6" s="14">
        <v>9.1913499999999996E-4</v>
      </c>
      <c r="L6" s="4">
        <v>2.1670029999999998E-3</v>
      </c>
      <c r="M6" s="4">
        <v>4.0842203000000001E-3</v>
      </c>
      <c r="N6" s="4">
        <v>5.5415429999999899E-3</v>
      </c>
      <c r="O6" s="4">
        <v>5.7486450000000001E-3</v>
      </c>
      <c r="P6" s="4">
        <v>5.7681620000000003E-3</v>
      </c>
      <c r="Q6" s="4">
        <v>5.2033380000000001E-3</v>
      </c>
    </row>
    <row r="7" spans="1:17">
      <c r="A7" s="4" t="s">
        <v>119</v>
      </c>
      <c r="B7" s="4" t="s">
        <v>1</v>
      </c>
      <c r="C7" s="4" t="s">
        <v>67</v>
      </c>
      <c r="D7" s="4" t="s">
        <v>65</v>
      </c>
      <c r="E7" s="4" t="s">
        <v>2</v>
      </c>
      <c r="F7" s="4" t="s">
        <v>65</v>
      </c>
      <c r="G7" s="4">
        <v>0</v>
      </c>
      <c r="H7" s="4">
        <v>0</v>
      </c>
      <c r="I7" s="4">
        <v>0</v>
      </c>
      <c r="J7" s="4">
        <v>0</v>
      </c>
      <c r="K7" s="14">
        <v>1.0746100000000001E-4</v>
      </c>
      <c r="L7" s="14">
        <v>3.6495750000000002E-4</v>
      </c>
      <c r="M7" s="14">
        <v>8.7057659999999995E-4</v>
      </c>
      <c r="N7" s="14">
        <v>1.5518228000000001E-3</v>
      </c>
      <c r="O7" s="14">
        <v>2.1780304999999998E-3</v>
      </c>
      <c r="P7" s="4">
        <v>3.3637129999999999E-3</v>
      </c>
      <c r="Q7" s="14">
        <v>5.4620199999999997E-3</v>
      </c>
    </row>
    <row r="8" spans="1:17">
      <c r="A8" s="4" t="s">
        <v>119</v>
      </c>
      <c r="B8" s="4" t="s">
        <v>1</v>
      </c>
      <c r="C8" s="4" t="s">
        <v>67</v>
      </c>
      <c r="D8" s="4" t="s">
        <v>19</v>
      </c>
      <c r="E8" s="4" t="s">
        <v>6</v>
      </c>
      <c r="F8" s="4" t="s">
        <v>19</v>
      </c>
      <c r="G8" s="4">
        <v>2.1348599999999999E-2</v>
      </c>
      <c r="H8" s="4">
        <v>2.5199699999999998E-2</v>
      </c>
      <c r="I8" s="4">
        <v>3.4157800000000002E-2</v>
      </c>
      <c r="J8" s="4">
        <v>3.4408800000000003E-2</v>
      </c>
      <c r="K8" s="4">
        <v>3.2287799999999998E-2</v>
      </c>
      <c r="L8" s="4">
        <v>2.6076140000000001E-2</v>
      </c>
      <c r="M8" s="4">
        <v>1.9312869999999999E-2</v>
      </c>
      <c r="N8" s="4">
        <v>1.4090764E-2</v>
      </c>
      <c r="O8" s="4">
        <v>1.2174908E-2</v>
      </c>
      <c r="P8" s="4">
        <v>1.0187750000000001E-2</v>
      </c>
      <c r="Q8" s="4">
        <v>7.9126849999999992E-3</v>
      </c>
    </row>
    <row r="9" spans="1:17">
      <c r="A9" s="4" t="s">
        <v>119</v>
      </c>
      <c r="B9" s="4" t="s">
        <v>1</v>
      </c>
      <c r="C9" s="4" t="s">
        <v>21</v>
      </c>
      <c r="D9" s="4" t="s">
        <v>19</v>
      </c>
      <c r="E9" s="4" t="s">
        <v>6</v>
      </c>
      <c r="F9" s="4" t="s">
        <v>19</v>
      </c>
      <c r="G9" s="4">
        <v>3.2608900000000003E-2</v>
      </c>
      <c r="H9" s="4">
        <v>5.08599E-2</v>
      </c>
      <c r="I9" s="4">
        <v>5.3873799999999999E-2</v>
      </c>
      <c r="J9" s="4">
        <v>4.94367E-2</v>
      </c>
      <c r="K9" s="4">
        <v>5.16847E-2</v>
      </c>
      <c r="L9" s="4">
        <v>5.0146999999999997E-2</v>
      </c>
      <c r="M9" s="4">
        <v>5.0380399999999999E-2</v>
      </c>
      <c r="N9" s="4">
        <v>5.0345800000000003E-2</v>
      </c>
      <c r="O9" s="4">
        <v>4.9327799999999998E-2</v>
      </c>
      <c r="P9" s="4">
        <v>4.7769699999999998E-2</v>
      </c>
      <c r="Q9" s="4">
        <v>4.5846499999999998E-2</v>
      </c>
    </row>
    <row r="10" spans="1:17">
      <c r="A10" s="115" t="s">
        <v>29</v>
      </c>
      <c r="B10" s="115"/>
      <c r="C10" s="115"/>
      <c r="D10" s="115"/>
      <c r="E10" s="115"/>
      <c r="F10" s="115"/>
      <c r="G10" s="115"/>
      <c r="H10" s="13">
        <f>SUM(H3:H9)</f>
        <v>7.6059600000000005E-2</v>
      </c>
      <c r="I10" s="13">
        <f t="shared" ref="I10:Q10" si="0">SUM(I3:I9)</f>
        <v>8.8031600000000002E-2</v>
      </c>
      <c r="J10" s="13">
        <f t="shared" si="0"/>
        <v>8.5268799000000006E-2</v>
      </c>
      <c r="K10" s="13">
        <f t="shared" si="0"/>
        <v>8.8379823999999996E-2</v>
      </c>
      <c r="L10" s="13">
        <f t="shared" si="0"/>
        <v>8.5288251600000003E-2</v>
      </c>
      <c r="M10" s="13">
        <f t="shared" si="0"/>
        <v>8.5411674100000001E-2</v>
      </c>
      <c r="N10" s="13">
        <f t="shared" si="0"/>
        <v>8.4798464299999987E-2</v>
      </c>
      <c r="O10" s="13">
        <f t="shared" si="0"/>
        <v>8.2033722899999981E-2</v>
      </c>
      <c r="P10" s="13">
        <f t="shared" si="0"/>
        <v>7.8213828499999999E-2</v>
      </c>
      <c r="Q10" s="13">
        <f t="shared" si="0"/>
        <v>7.3687028000000002E-2</v>
      </c>
    </row>
    <row r="11" spans="1:17">
      <c r="K11" s="14"/>
      <c r="L11" s="14"/>
      <c r="M11" s="14"/>
      <c r="N11" s="14"/>
      <c r="O11" s="14"/>
      <c r="P11" s="14"/>
      <c r="Q11" s="14"/>
    </row>
    <row r="12" spans="1:17">
      <c r="K12" s="14"/>
      <c r="L12" s="14"/>
      <c r="M12" s="14"/>
      <c r="N12" s="14"/>
      <c r="O12" s="14"/>
      <c r="P12" s="14"/>
      <c r="Q12" s="14"/>
    </row>
    <row r="13" spans="1:17">
      <c r="H13" s="14"/>
      <c r="I13" s="14"/>
      <c r="J13" s="14"/>
      <c r="K13" s="14"/>
      <c r="L13" s="14"/>
      <c r="M13" s="14"/>
      <c r="N13" s="14"/>
      <c r="O13" s="14"/>
      <c r="P13" s="14"/>
      <c r="Q13" s="14"/>
    </row>
    <row r="14" spans="1:17">
      <c r="K14" s="14"/>
      <c r="L14" s="14"/>
      <c r="M14" s="14"/>
      <c r="N14" s="14"/>
      <c r="O14" s="14"/>
      <c r="P14" s="14"/>
      <c r="Q14" s="14"/>
    </row>
    <row r="15" spans="1:17">
      <c r="K15" s="14"/>
      <c r="L15" s="14"/>
      <c r="M15" s="14"/>
      <c r="N15" s="14"/>
      <c r="O15" s="14"/>
      <c r="P15" s="14"/>
      <c r="Q15" s="14"/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108</v>
      </c>
      <c r="B36" s="13" t="s">
        <v>1</v>
      </c>
      <c r="C36" s="13" t="s">
        <v>21</v>
      </c>
      <c r="D36" s="13" t="s">
        <v>6</v>
      </c>
      <c r="E36" s="13">
        <v>3.2608900000000003E-2</v>
      </c>
      <c r="F36" s="13">
        <v>5.08599E-2</v>
      </c>
      <c r="G36" s="13">
        <v>5.3873799999999999E-2</v>
      </c>
      <c r="H36" s="13">
        <v>4.94367E-2</v>
      </c>
      <c r="I36" s="13">
        <v>5.16847E-2</v>
      </c>
      <c r="J36" s="13">
        <v>5.0143600000000003E-2</v>
      </c>
      <c r="K36" s="13">
        <v>5.0363400000000003E-2</v>
      </c>
      <c r="L36" s="13">
        <v>5.0219300000000001E-2</v>
      </c>
      <c r="M36" s="13">
        <v>4.9207599999999997E-2</v>
      </c>
      <c r="N36" s="13">
        <v>4.7676799999999998E-2</v>
      </c>
      <c r="O36" s="13">
        <v>4.5770699999999997E-2</v>
      </c>
    </row>
    <row r="37" spans="1:23">
      <c r="A37" s="13" t="s">
        <v>0</v>
      </c>
      <c r="B37" s="13" t="s">
        <v>1</v>
      </c>
      <c r="C37" s="13" t="s">
        <v>22</v>
      </c>
      <c r="D37" s="13" t="s">
        <v>6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1.0746100000000001E-4</v>
      </c>
      <c r="I41" s="13">
        <f t="shared" si="1"/>
        <v>3.6495750000000002E-4</v>
      </c>
      <c r="J41" s="13">
        <f t="shared" si="1"/>
        <v>8.7057659999999995E-4</v>
      </c>
      <c r="K41" s="13">
        <f t="shared" si="1"/>
        <v>1.5518228000000001E-3</v>
      </c>
      <c r="L41" s="13">
        <f t="shared" si="1"/>
        <v>2.1780304999999998E-3</v>
      </c>
      <c r="M41" s="13">
        <f t="shared" si="1"/>
        <v>3.3637129999999999E-3</v>
      </c>
      <c r="N41" s="13">
        <f t="shared" si="1"/>
        <v>5.4620199999999997E-3</v>
      </c>
      <c r="T41" s="13" t="s">
        <v>12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</v>
      </c>
      <c r="H42" s="13">
        <f t="shared" si="1"/>
        <v>1.24256E-4</v>
      </c>
      <c r="I42" s="13">
        <f t="shared" si="1"/>
        <v>2.8515410000000001E-4</v>
      </c>
      <c r="J42" s="13">
        <f t="shared" si="1"/>
        <v>5.4865619999999997E-4</v>
      </c>
      <c r="K42" s="13">
        <f t="shared" si="1"/>
        <v>7.981145E-4</v>
      </c>
      <c r="L42" s="13">
        <f t="shared" si="1"/>
        <v>1.0024133999999899E-3</v>
      </c>
      <c r="M42" s="13">
        <f t="shared" si="1"/>
        <v>1.4854454999999999E-3</v>
      </c>
      <c r="N42" s="13">
        <f t="shared" si="1"/>
        <v>2.4022639999999999E-3</v>
      </c>
      <c r="T42" s="13" t="s">
        <v>17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1.0884E-3</v>
      </c>
      <c r="H43" s="13">
        <f t="shared" si="1"/>
        <v>1.4458219999999901E-3</v>
      </c>
      <c r="I43" s="13">
        <f t="shared" si="1"/>
        <v>3.1567570000000001E-3</v>
      </c>
      <c r="J43" s="13">
        <f t="shared" si="1"/>
        <v>5.9379389999999997E-3</v>
      </c>
      <c r="K43" s="13">
        <f t="shared" si="1"/>
        <v>7.8553319999999996E-3</v>
      </c>
      <c r="L43" s="13">
        <f t="shared" si="1"/>
        <v>7.5710859999999899E-3</v>
      </c>
      <c r="M43" s="13">
        <f t="shared" si="1"/>
        <v>6.3146799999999996E-3</v>
      </c>
      <c r="N43" s="13">
        <f t="shared" si="1"/>
        <v>4.4920300000000002E-3</v>
      </c>
      <c r="T43" s="13" t="s">
        <v>13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3.3489899999999999E-4</v>
      </c>
      <c r="H44" s="13">
        <f t="shared" si="1"/>
        <v>9.1913499999999996E-4</v>
      </c>
      <c r="I44" s="13">
        <f t="shared" si="1"/>
        <v>2.1670029999999998E-3</v>
      </c>
      <c r="J44" s="13">
        <f t="shared" si="1"/>
        <v>4.0842203000000001E-3</v>
      </c>
      <c r="K44" s="13">
        <f t="shared" si="1"/>
        <v>5.5415429999999899E-3</v>
      </c>
      <c r="L44" s="13">
        <f t="shared" si="1"/>
        <v>5.7486450000000001E-3</v>
      </c>
      <c r="M44" s="13">
        <f t="shared" si="1"/>
        <v>5.7681620000000003E-3</v>
      </c>
      <c r="N44" s="13">
        <f t="shared" si="1"/>
        <v>5.2033380000000001E-3</v>
      </c>
      <c r="T44" s="13" t="s">
        <v>15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</v>
      </c>
      <c r="H45" s="13">
        <f t="shared" si="1"/>
        <v>1.81065E-3</v>
      </c>
      <c r="I45" s="13">
        <f t="shared" si="1"/>
        <v>3.0912399999999999E-3</v>
      </c>
      <c r="J45" s="13">
        <f t="shared" si="1"/>
        <v>4.2770120000000002E-3</v>
      </c>
      <c r="K45" s="13">
        <f t="shared" si="1"/>
        <v>4.6150879999999998E-3</v>
      </c>
      <c r="L45" s="13">
        <f t="shared" si="1"/>
        <v>4.0308399999999999E-3</v>
      </c>
      <c r="M45" s="13">
        <f t="shared" si="1"/>
        <v>3.3243779999999998E-3</v>
      </c>
      <c r="N45" s="13">
        <f t="shared" si="1"/>
        <v>2.368191E-3</v>
      </c>
      <c r="T45" s="13" t="s">
        <v>14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3.4408800000000003E-2</v>
      </c>
      <c r="H47" s="13">
        <f t="shared" si="3"/>
        <v>3.2287800000000005E-2</v>
      </c>
      <c r="I47" s="13">
        <f t="shared" si="3"/>
        <v>2.6079539999999991E-2</v>
      </c>
      <c r="J47" s="13">
        <f t="shared" si="3"/>
        <v>1.9329869999999999E-2</v>
      </c>
      <c r="K47" s="13">
        <f t="shared" si="3"/>
        <v>1.4217264E-2</v>
      </c>
      <c r="L47" s="13">
        <f t="shared" si="3"/>
        <v>1.2295107999999999E-2</v>
      </c>
      <c r="M47" s="13">
        <f t="shared" si="3"/>
        <v>1.0280650000000002E-2</v>
      </c>
      <c r="N47" s="13">
        <f t="shared" si="3"/>
        <v>7.9884850000000035E-3</v>
      </c>
      <c r="T47" s="13" t="s">
        <v>16</v>
      </c>
    </row>
    <row r="48" spans="1:23">
      <c r="A48" s="13" t="s">
        <v>28</v>
      </c>
      <c r="D48" s="4" t="s">
        <v>21</v>
      </c>
      <c r="E48" s="13" t="s">
        <v>6</v>
      </c>
      <c r="F48" s="13" t="s">
        <v>31</v>
      </c>
      <c r="G48" s="13">
        <f t="shared" ref="G48:N48" si="4">SUMIFS(H$34:H$37,$C$34:$C$37,$D48,$D$34:$D$37,$E48)</f>
        <v>4.94367E-2</v>
      </c>
      <c r="H48" s="13">
        <f t="shared" si="4"/>
        <v>5.16847E-2</v>
      </c>
      <c r="I48" s="13">
        <f t="shared" si="4"/>
        <v>5.0143600000000003E-2</v>
      </c>
      <c r="J48" s="13">
        <f t="shared" si="4"/>
        <v>5.0363400000000003E-2</v>
      </c>
      <c r="K48" s="13">
        <f t="shared" si="4"/>
        <v>5.0219300000000001E-2</v>
      </c>
      <c r="L48" s="13">
        <f t="shared" si="4"/>
        <v>4.9207599999999997E-2</v>
      </c>
      <c r="M48" s="13">
        <f t="shared" si="4"/>
        <v>4.7676799999999998E-2</v>
      </c>
      <c r="N48" s="13">
        <f t="shared" si="4"/>
        <v>4.5770699999999997E-2</v>
      </c>
      <c r="T48" s="13" t="s">
        <v>31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8.5268799000000006E-2</v>
      </c>
      <c r="H49" s="13">
        <f t="shared" si="5"/>
        <v>8.8379823999999996E-2</v>
      </c>
      <c r="I49" s="13">
        <f t="shared" si="5"/>
        <v>8.5288251600000003E-2</v>
      </c>
      <c r="J49" s="13">
        <f t="shared" si="5"/>
        <v>8.5411674100000001E-2</v>
      </c>
      <c r="K49" s="13">
        <f t="shared" si="5"/>
        <v>8.4798464299999987E-2</v>
      </c>
      <c r="L49" s="13">
        <f t="shared" si="5"/>
        <v>8.2033722899999967E-2</v>
      </c>
      <c r="M49" s="13">
        <f t="shared" si="5"/>
        <v>7.8213828499999999E-2</v>
      </c>
      <c r="N49" s="13">
        <f t="shared" si="5"/>
        <v>7.3687028000000002E-2</v>
      </c>
    </row>
    <row r="50" spans="1:20">
      <c r="T50" s="13" t="s">
        <v>75</v>
      </c>
    </row>
  </sheetData>
  <mergeCells count="2">
    <mergeCell ref="A10:G10"/>
    <mergeCell ref="A49:F49"/>
  </mergeCells>
  <phoneticPr fontId="1" type="noConversion"/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8873-962A-4DB8-A109-50459CC43C07}">
  <sheetPr codeName="Sheet43"/>
  <dimension ref="A1:W50"/>
  <sheetViews>
    <sheetView topLeftCell="A46" zoomScale="85" zoomScaleNormal="85" workbookViewId="0">
      <selection activeCell="A3" sqref="A3:Q14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25" t="s">
        <v>108</v>
      </c>
      <c r="B3" s="25" t="s">
        <v>1</v>
      </c>
      <c r="C3" s="25" t="s">
        <v>68</v>
      </c>
      <c r="D3" s="25" t="s">
        <v>57</v>
      </c>
      <c r="E3" s="25" t="s">
        <v>3</v>
      </c>
      <c r="F3" s="25" t="s">
        <v>57</v>
      </c>
      <c r="G3" s="25">
        <v>7.4416999999999999E-3</v>
      </c>
      <c r="H3" s="25">
        <v>6.0756999999999999E-2</v>
      </c>
      <c r="I3" s="25">
        <v>8.3468000000000001E-2</v>
      </c>
      <c r="J3" s="25">
        <v>0.105323</v>
      </c>
      <c r="K3" s="25">
        <v>0.11378655</v>
      </c>
      <c r="L3" s="25">
        <v>0.11562204</v>
      </c>
      <c r="M3" s="25">
        <v>0.13402063</v>
      </c>
      <c r="N3" s="25">
        <v>0.15680336</v>
      </c>
      <c r="O3" s="25">
        <v>0.1561717</v>
      </c>
      <c r="P3" s="25">
        <v>0.14154653</v>
      </c>
      <c r="Q3" s="25">
        <v>0.11719354999999999</v>
      </c>
    </row>
    <row r="4" spans="1:17">
      <c r="A4" s="25" t="s">
        <v>108</v>
      </c>
      <c r="B4" s="25" t="s">
        <v>1</v>
      </c>
      <c r="C4" s="25" t="s">
        <v>68</v>
      </c>
      <c r="D4" s="25" t="s">
        <v>57</v>
      </c>
      <c r="E4" s="25" t="s">
        <v>3</v>
      </c>
      <c r="F4" s="25" t="s">
        <v>69</v>
      </c>
      <c r="G4" s="25">
        <v>0</v>
      </c>
      <c r="H4" s="25">
        <v>2.1419999999999998E-3</v>
      </c>
      <c r="I4" s="25">
        <v>4.1219999999999998E-3</v>
      </c>
      <c r="J4" s="25">
        <v>4.248E-3</v>
      </c>
      <c r="K4" s="25">
        <v>4.6143690000000001E-3</v>
      </c>
      <c r="L4" s="25">
        <v>5.6061490000000004E-3</v>
      </c>
      <c r="M4" s="25">
        <v>1.21310139999999E-2</v>
      </c>
      <c r="N4" s="25">
        <v>2.0292889000000001E-2</v>
      </c>
      <c r="O4" s="25">
        <v>2.1909117999999901E-2</v>
      </c>
      <c r="P4" s="25">
        <v>2.00628705999999E-2</v>
      </c>
      <c r="Q4" s="25">
        <v>1.55727526E-2</v>
      </c>
    </row>
    <row r="5" spans="1:17">
      <c r="A5" s="25" t="s">
        <v>108</v>
      </c>
      <c r="B5" s="25" t="s">
        <v>1</v>
      </c>
      <c r="C5" s="25" t="s">
        <v>68</v>
      </c>
      <c r="D5" s="25" t="s">
        <v>58</v>
      </c>
      <c r="E5" s="25" t="s">
        <v>4</v>
      </c>
      <c r="F5" s="25" t="s">
        <v>58</v>
      </c>
      <c r="G5" s="25">
        <v>0.16164100000000001</v>
      </c>
      <c r="H5" s="25">
        <v>0.48991299999999999</v>
      </c>
      <c r="I5" s="25">
        <v>0.63810900000000004</v>
      </c>
      <c r="J5" s="25">
        <v>2.1982600000000001E-2</v>
      </c>
      <c r="K5" s="26">
        <v>2.3633080000000001E-2</v>
      </c>
      <c r="L5" s="26">
        <v>2.3021183000000001E-2</v>
      </c>
      <c r="M5" s="26">
        <v>2.0970529000000002E-2</v>
      </c>
      <c r="N5" s="26">
        <v>1.5534490999999999E-2</v>
      </c>
      <c r="O5" s="26">
        <v>9.4291749999999997E-3</v>
      </c>
      <c r="P5" s="26">
        <v>6.1700050000000001E-3</v>
      </c>
      <c r="Q5" s="26">
        <v>4.4843215999999997E-3</v>
      </c>
    </row>
    <row r="6" spans="1:17">
      <c r="A6" s="25" t="s">
        <v>108</v>
      </c>
      <c r="B6" s="25" t="s">
        <v>1</v>
      </c>
      <c r="C6" s="25" t="s">
        <v>68</v>
      </c>
      <c r="D6" s="25" t="s">
        <v>58</v>
      </c>
      <c r="E6" s="25" t="s">
        <v>4</v>
      </c>
      <c r="F6" s="25" t="s">
        <v>70</v>
      </c>
      <c r="G6" s="25">
        <v>8.48304E-2</v>
      </c>
      <c r="H6" s="25">
        <v>0.211954</v>
      </c>
      <c r="I6" s="25">
        <v>0.27050400000000002</v>
      </c>
      <c r="J6" s="26">
        <v>0.29669800000000002</v>
      </c>
      <c r="K6" s="26">
        <v>0.32029279999999999</v>
      </c>
      <c r="L6" s="25">
        <v>0.31327535000000001</v>
      </c>
      <c r="M6" s="25">
        <v>0.286690309999999</v>
      </c>
      <c r="N6" s="25">
        <v>0.20872004</v>
      </c>
      <c r="O6" s="25">
        <v>0.11664256000000001</v>
      </c>
      <c r="P6" s="25">
        <v>6.6581189999999998E-2</v>
      </c>
      <c r="Q6" s="25">
        <v>4.0871273999999999E-2</v>
      </c>
    </row>
    <row r="7" spans="1:17">
      <c r="A7" s="25" t="s">
        <v>108</v>
      </c>
      <c r="B7" s="25" t="s">
        <v>1</v>
      </c>
      <c r="C7" s="25" t="s">
        <v>68</v>
      </c>
      <c r="D7" s="25" t="s">
        <v>59</v>
      </c>
      <c r="E7" s="25" t="s">
        <v>5</v>
      </c>
      <c r="F7" s="25" t="s">
        <v>59</v>
      </c>
      <c r="G7" s="25">
        <v>0.11110399999999999</v>
      </c>
      <c r="H7" s="25">
        <v>0.328934</v>
      </c>
      <c r="I7" s="25">
        <v>0.46490999999999999</v>
      </c>
      <c r="J7" s="25">
        <v>0.54062200000000005</v>
      </c>
      <c r="K7" s="26">
        <v>0.57920570000000005</v>
      </c>
      <c r="L7" s="26">
        <v>0.55749389999999999</v>
      </c>
      <c r="M7" s="26">
        <v>0.54686411999999995</v>
      </c>
      <c r="N7" s="25">
        <v>0.51559308999999998</v>
      </c>
      <c r="O7" s="25">
        <v>0.50021808000000001</v>
      </c>
      <c r="P7" s="25">
        <v>0.51324771000000002</v>
      </c>
      <c r="Q7" s="25">
        <v>0.55090640999999996</v>
      </c>
    </row>
    <row r="8" spans="1:17">
      <c r="A8" s="25" t="s">
        <v>108</v>
      </c>
      <c r="B8" s="25" t="s">
        <v>1</v>
      </c>
      <c r="C8" s="25" t="s">
        <v>68</v>
      </c>
      <c r="D8" s="25" t="s">
        <v>60</v>
      </c>
      <c r="E8" s="25" t="s">
        <v>7</v>
      </c>
      <c r="F8" s="25" t="s">
        <v>60</v>
      </c>
      <c r="G8" s="25">
        <v>0</v>
      </c>
      <c r="H8" s="25">
        <v>0.11128399999999999</v>
      </c>
      <c r="I8" s="25">
        <v>0.14635400000000001</v>
      </c>
      <c r="J8" s="25">
        <v>0.18251600000000001</v>
      </c>
      <c r="K8" s="25">
        <v>0.19522909999999999</v>
      </c>
      <c r="L8" s="25">
        <v>0.19290958</v>
      </c>
      <c r="M8" s="25">
        <v>0.19281694999999999</v>
      </c>
      <c r="N8" s="25">
        <v>0.18324807999999901</v>
      </c>
      <c r="O8" s="25">
        <v>0.16265386000000001</v>
      </c>
      <c r="P8" s="25">
        <v>0.1457251</v>
      </c>
      <c r="Q8" s="25">
        <v>0.12774429900000001</v>
      </c>
    </row>
    <row r="9" spans="1:17">
      <c r="A9" s="25" t="s">
        <v>108</v>
      </c>
      <c r="B9" s="25" t="s">
        <v>1</v>
      </c>
      <c r="C9" s="25" t="s">
        <v>68</v>
      </c>
      <c r="D9" s="25" t="s">
        <v>60</v>
      </c>
      <c r="E9" s="25" t="s">
        <v>7</v>
      </c>
      <c r="F9" s="25" t="s">
        <v>71</v>
      </c>
      <c r="G9" s="25">
        <v>0</v>
      </c>
      <c r="H9" s="25">
        <v>4.4654399999999997E-2</v>
      </c>
      <c r="I9" s="25">
        <v>3.1607999999999997E-2</v>
      </c>
      <c r="J9" s="25">
        <v>4.32576E-2</v>
      </c>
      <c r="K9" s="25">
        <v>4.6176830000000002E-2</v>
      </c>
      <c r="L9" s="25">
        <v>4.7397460000000002E-2</v>
      </c>
      <c r="M9" s="25">
        <v>5.7682229999999897E-2</v>
      </c>
      <c r="N9" s="25">
        <v>7.2701160000000001E-2</v>
      </c>
      <c r="O9" s="25">
        <v>7.4599860000000004E-2</v>
      </c>
      <c r="P9" s="25">
        <v>6.8604371999999997E-2</v>
      </c>
      <c r="Q9" s="25">
        <v>5.6991158E-2</v>
      </c>
    </row>
    <row r="10" spans="1:17">
      <c r="A10" s="24" t="s">
        <v>108</v>
      </c>
      <c r="B10" s="24" t="s">
        <v>1</v>
      </c>
      <c r="C10" s="24" t="s">
        <v>68</v>
      </c>
      <c r="D10" s="24" t="s">
        <v>65</v>
      </c>
      <c r="E10" s="24" t="s">
        <v>2</v>
      </c>
      <c r="F10" s="24" t="s">
        <v>65</v>
      </c>
      <c r="G10" s="24">
        <v>0</v>
      </c>
      <c r="H10" s="24">
        <v>0</v>
      </c>
      <c r="I10" s="24">
        <v>0</v>
      </c>
      <c r="J10" s="24">
        <v>0</v>
      </c>
      <c r="K10" s="26">
        <v>4.5949400000000002E-4</v>
      </c>
      <c r="L10" s="26">
        <v>7.2723899999999997E-4</v>
      </c>
      <c r="M10" s="24">
        <v>3.3658679999999902E-3</v>
      </c>
      <c r="N10" s="24">
        <v>1.2146518E-2</v>
      </c>
      <c r="O10" s="24">
        <v>2.5372148000000001E-2</v>
      </c>
      <c r="P10" s="24">
        <v>3.5338925100000002E-2</v>
      </c>
      <c r="Q10" s="24">
        <v>4.4733681499999997E-2</v>
      </c>
    </row>
    <row r="11" spans="1:17">
      <c r="A11" s="24" t="s">
        <v>108</v>
      </c>
      <c r="B11" s="24" t="s">
        <v>1</v>
      </c>
      <c r="C11" s="24" t="s">
        <v>68</v>
      </c>
      <c r="D11" s="24" t="s">
        <v>65</v>
      </c>
      <c r="E11" s="24" t="s">
        <v>2</v>
      </c>
      <c r="F11" s="24" t="s">
        <v>72</v>
      </c>
      <c r="G11" s="24">
        <v>0</v>
      </c>
      <c r="H11" s="24">
        <v>0</v>
      </c>
      <c r="I11" s="24">
        <v>0</v>
      </c>
      <c r="J11" s="24">
        <v>0</v>
      </c>
      <c r="K11" s="26">
        <v>1.4071E-4</v>
      </c>
      <c r="L11" s="26">
        <v>3.9716300000000002E-4</v>
      </c>
      <c r="M11" s="26">
        <v>4.1448919999999998E-3</v>
      </c>
      <c r="N11" s="26">
        <v>2.5828476999999999E-2</v>
      </c>
      <c r="O11" s="26">
        <v>6.5690771699999997E-2</v>
      </c>
      <c r="P11" s="26">
        <v>9.6271312499999998E-2</v>
      </c>
      <c r="Q11" s="26">
        <v>0.12511291077</v>
      </c>
    </row>
    <row r="12" spans="1:17">
      <c r="A12" s="24" t="s">
        <v>108</v>
      </c>
      <c r="B12" s="24" t="s">
        <v>1</v>
      </c>
      <c r="C12" s="24" t="s">
        <v>68</v>
      </c>
      <c r="D12" s="24" t="s">
        <v>19</v>
      </c>
      <c r="E12" s="24" t="s">
        <v>6</v>
      </c>
      <c r="F12" s="24" t="s">
        <v>19</v>
      </c>
      <c r="G12" s="24">
        <v>0.26414799999999999</v>
      </c>
      <c r="H12" s="24">
        <v>0.25026999999999999</v>
      </c>
      <c r="I12" s="24">
        <v>0.194684</v>
      </c>
      <c r="J12" s="24">
        <v>0.14664099999999999</v>
      </c>
      <c r="K12" s="26">
        <v>0.15688759999999999</v>
      </c>
      <c r="L12" s="26">
        <v>0.15575623999999999</v>
      </c>
      <c r="M12" s="26">
        <v>0.16224405</v>
      </c>
      <c r="N12" s="26">
        <v>0.17004279</v>
      </c>
      <c r="O12" s="26">
        <v>0.17179940999999899</v>
      </c>
      <c r="P12" s="26">
        <v>0.16484199999999999</v>
      </c>
      <c r="Q12" s="26">
        <v>0.14717049999999901</v>
      </c>
    </row>
    <row r="13" spans="1:17">
      <c r="A13" s="24" t="s">
        <v>108</v>
      </c>
      <c r="B13" s="24" t="s">
        <v>1</v>
      </c>
      <c r="C13" s="24" t="s">
        <v>68</v>
      </c>
      <c r="D13" s="24" t="s">
        <v>19</v>
      </c>
      <c r="E13" s="24" t="s">
        <v>6</v>
      </c>
      <c r="F13" s="24" t="s">
        <v>73</v>
      </c>
      <c r="G13" s="24">
        <v>0</v>
      </c>
      <c r="H13" s="26">
        <v>7.1294399999999994E-2</v>
      </c>
      <c r="I13" s="26">
        <v>5.7196799999999999E-2</v>
      </c>
      <c r="J13" s="26">
        <v>2.7835200000000001E-2</v>
      </c>
      <c r="K13" s="26">
        <v>2.9370529999999999E-2</v>
      </c>
      <c r="L13" s="26">
        <v>2.985869E-2</v>
      </c>
      <c r="M13" s="26">
        <v>3.4616889999999997E-2</v>
      </c>
      <c r="N13" s="26">
        <v>4.2693670000000003E-2</v>
      </c>
      <c r="O13" s="26">
        <v>4.6936379999999903E-2</v>
      </c>
      <c r="P13" s="26">
        <v>4.4706432999999997E-2</v>
      </c>
      <c r="Q13" s="26">
        <v>3.5964228600000002E-2</v>
      </c>
    </row>
    <row r="14" spans="1:17">
      <c r="A14" s="24" t="s">
        <v>108</v>
      </c>
      <c r="B14" s="24" t="s">
        <v>1</v>
      </c>
      <c r="C14" s="24" t="s">
        <v>22</v>
      </c>
      <c r="D14" s="24" t="s">
        <v>19</v>
      </c>
      <c r="E14" s="24" t="s">
        <v>6</v>
      </c>
      <c r="F14" s="24" t="s">
        <v>19</v>
      </c>
      <c r="G14" s="24">
        <v>0</v>
      </c>
      <c r="H14" s="24">
        <v>3.1394999999999999E-2</v>
      </c>
      <c r="I14" s="24">
        <v>3.1520699999999999E-2</v>
      </c>
      <c r="J14" s="24">
        <v>2.9218299999999999E-2</v>
      </c>
      <c r="K14" s="26">
        <v>3.3106900000000002E-2</v>
      </c>
      <c r="L14" s="26">
        <v>3.3078999999999997E-2</v>
      </c>
      <c r="M14" s="26">
        <v>4.2749799999999998E-2</v>
      </c>
      <c r="N14" s="26">
        <v>6.8832000000000004E-2</v>
      </c>
      <c r="O14" s="26">
        <v>0.100799</v>
      </c>
      <c r="P14" s="26">
        <v>0.120243</v>
      </c>
      <c r="Q14" s="26">
        <v>0.13309000000000001</v>
      </c>
    </row>
    <row r="15" spans="1:17">
      <c r="A15" s="115" t="s">
        <v>29</v>
      </c>
      <c r="B15" s="115"/>
      <c r="C15" s="115"/>
      <c r="D15" s="115"/>
      <c r="E15" s="115"/>
      <c r="F15" s="115"/>
      <c r="G15" s="115"/>
      <c r="H15" s="13">
        <f>SUM(H3:H14)</f>
        <v>1.6025977999999999</v>
      </c>
      <c r="I15" s="13">
        <f t="shared" ref="I15:Q15" si="0">SUM(I3:I14)</f>
        <v>1.9224765000000004</v>
      </c>
      <c r="J15" s="13">
        <f t="shared" si="0"/>
        <v>1.3983416999999998</v>
      </c>
      <c r="K15" s="13">
        <f t="shared" si="0"/>
        <v>1.5029036629999999</v>
      </c>
      <c r="L15" s="13">
        <f t="shared" si="0"/>
        <v>1.4751439939999997</v>
      </c>
      <c r="M15" s="13">
        <f t="shared" si="0"/>
        <v>1.4982972829999985</v>
      </c>
      <c r="N15" s="13">
        <f t="shared" si="0"/>
        <v>1.4924365649999991</v>
      </c>
      <c r="O15" s="13">
        <f t="shared" si="0"/>
        <v>1.4522220626999991</v>
      </c>
      <c r="P15" s="13">
        <f t="shared" si="0"/>
        <v>1.4233394482000001</v>
      </c>
      <c r="Q15" s="13">
        <f t="shared" si="0"/>
        <v>1.3998350860699988</v>
      </c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106</v>
      </c>
      <c r="B37" s="13" t="s">
        <v>1</v>
      </c>
      <c r="C37" s="13" t="s">
        <v>22</v>
      </c>
      <c r="D37" s="13" t="s">
        <v>6</v>
      </c>
      <c r="E37" s="13">
        <v>0</v>
      </c>
      <c r="F37" s="13">
        <v>3.1394999999999999E-2</v>
      </c>
      <c r="G37" s="13">
        <v>3.1520699999999999E-2</v>
      </c>
      <c r="H37" s="13">
        <v>2.9218299999999999E-2</v>
      </c>
      <c r="I37" s="13">
        <v>3.3101499999999999E-2</v>
      </c>
      <c r="J37" s="13">
        <v>3.9242300000000001E-2</v>
      </c>
      <c r="K37" s="13">
        <v>5.1965600000000001E-2</v>
      </c>
      <c r="L37" s="13">
        <v>8.1377500000000005E-2</v>
      </c>
      <c r="M37" s="13">
        <v>0.11777</v>
      </c>
      <c r="N37" s="13">
        <v>0.14177500000000001</v>
      </c>
      <c r="O37" s="13">
        <v>0.157805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6.0020400000000002E-4</v>
      </c>
      <c r="I41" s="13">
        <f t="shared" si="1"/>
        <v>1.124402E-3</v>
      </c>
      <c r="J41" s="13">
        <f t="shared" si="1"/>
        <v>7.5107599999999896E-3</v>
      </c>
      <c r="K41" s="13">
        <f t="shared" si="1"/>
        <v>3.7974994999999998E-2</v>
      </c>
      <c r="L41" s="13">
        <f t="shared" si="1"/>
        <v>9.1062919699999995E-2</v>
      </c>
      <c r="M41" s="13">
        <f t="shared" si="1"/>
        <v>0.13161023760000001</v>
      </c>
      <c r="N41" s="13">
        <f t="shared" si="1"/>
        <v>0.16984659226999999</v>
      </c>
      <c r="T41" s="13" t="s">
        <v>12</v>
      </c>
      <c r="V41" s="13">
        <v>0</v>
      </c>
      <c r="W41" s="13">
        <v>0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0.54062200000000005</v>
      </c>
      <c r="H42" s="13">
        <f t="shared" si="1"/>
        <v>0.57920570000000005</v>
      </c>
      <c r="I42" s="13">
        <f t="shared" si="1"/>
        <v>0.55749389999999999</v>
      </c>
      <c r="J42" s="13">
        <f t="shared" si="1"/>
        <v>0.54686411999999995</v>
      </c>
      <c r="K42" s="13">
        <f t="shared" si="1"/>
        <v>0.51559308999999998</v>
      </c>
      <c r="L42" s="13">
        <f t="shared" si="1"/>
        <v>0.50021808000000001</v>
      </c>
      <c r="M42" s="13">
        <f t="shared" si="1"/>
        <v>0.51324771000000002</v>
      </c>
      <c r="N42" s="13">
        <f t="shared" si="1"/>
        <v>0.55090640999999996</v>
      </c>
      <c r="T42" s="13" t="s">
        <v>17</v>
      </c>
      <c r="V42" s="13">
        <v>0.37534159584000004</v>
      </c>
      <c r="W42" s="13">
        <v>0.35700006239999998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0.109571</v>
      </c>
      <c r="H43" s="13">
        <f t="shared" si="1"/>
        <v>0.11840091899999999</v>
      </c>
      <c r="I43" s="13">
        <f t="shared" si="1"/>
        <v>0.121228189</v>
      </c>
      <c r="J43" s="13">
        <f t="shared" si="1"/>
        <v>0.14615164399999991</v>
      </c>
      <c r="K43" s="13">
        <f t="shared" si="1"/>
        <v>0.17709624900000001</v>
      </c>
      <c r="L43" s="13">
        <f t="shared" si="1"/>
        <v>0.17808081799999989</v>
      </c>
      <c r="M43" s="13">
        <f t="shared" si="1"/>
        <v>0.1616094005999999</v>
      </c>
      <c r="N43" s="13">
        <f t="shared" si="1"/>
        <v>0.1327663026</v>
      </c>
      <c r="T43" s="13" t="s">
        <v>13</v>
      </c>
      <c r="V43" s="13">
        <v>0</v>
      </c>
      <c r="W43" s="13">
        <v>0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0.22577360000000002</v>
      </c>
      <c r="H44" s="13">
        <f t="shared" si="1"/>
        <v>0.24140592999999999</v>
      </c>
      <c r="I44" s="13">
        <f t="shared" si="1"/>
        <v>0.24030704</v>
      </c>
      <c r="J44" s="13">
        <f t="shared" si="1"/>
        <v>0.25049917999999988</v>
      </c>
      <c r="K44" s="13">
        <f t="shared" si="1"/>
        <v>0.25594923999999902</v>
      </c>
      <c r="L44" s="13">
        <f t="shared" si="1"/>
        <v>0.23725372</v>
      </c>
      <c r="M44" s="13">
        <f t="shared" si="1"/>
        <v>0.21432947199999999</v>
      </c>
      <c r="N44" s="13">
        <f t="shared" si="1"/>
        <v>0.18473545699999999</v>
      </c>
      <c r="T44" s="13" t="s">
        <v>15</v>
      </c>
      <c r="V44" s="13">
        <v>0.13793663808000003</v>
      </c>
      <c r="W44" s="13">
        <v>0.16462078920000003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0.31868060000000004</v>
      </c>
      <c r="H45" s="13">
        <f t="shared" si="1"/>
        <v>0.34392588000000002</v>
      </c>
      <c r="I45" s="13">
        <f t="shared" si="1"/>
        <v>0.33629653300000001</v>
      </c>
      <c r="J45" s="13">
        <f t="shared" si="1"/>
        <v>0.30766083899999902</v>
      </c>
      <c r="K45" s="13">
        <f t="shared" si="1"/>
        <v>0.22425453100000001</v>
      </c>
      <c r="L45" s="13">
        <f t="shared" si="1"/>
        <v>0.12607173500000002</v>
      </c>
      <c r="M45" s="13">
        <f t="shared" si="1"/>
        <v>7.2751195000000005E-2</v>
      </c>
      <c r="N45" s="13">
        <f t="shared" si="1"/>
        <v>4.53555956E-2</v>
      </c>
      <c r="T45" s="13" t="s">
        <v>14</v>
      </c>
      <c r="V45" s="13">
        <v>0.12472477199999998</v>
      </c>
      <c r="W45" s="13">
        <v>7.0212635999999983E-3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  <c r="V46" s="13">
        <v>0</v>
      </c>
      <c r="W46" s="13">
        <v>3.1400999999999998E-4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0.1744762</v>
      </c>
      <c r="H47" s="13">
        <f t="shared" si="3"/>
        <v>0.18626352999999998</v>
      </c>
      <c r="I47" s="13">
        <f t="shared" si="3"/>
        <v>0.17945162999999997</v>
      </c>
      <c r="J47" s="13">
        <f t="shared" si="3"/>
        <v>0.18764513999999999</v>
      </c>
      <c r="K47" s="13">
        <f t="shared" si="3"/>
        <v>0.20019096000000003</v>
      </c>
      <c r="L47" s="13">
        <f t="shared" si="3"/>
        <v>0.20176478999999886</v>
      </c>
      <c r="M47" s="13">
        <f t="shared" si="3"/>
        <v>0.18801643299999996</v>
      </c>
      <c r="N47" s="13">
        <f t="shared" si="3"/>
        <v>0.15841972859999906</v>
      </c>
      <c r="T47" s="13" t="s">
        <v>16</v>
      </c>
      <c r="V47" s="13">
        <v>0.11406015504000006</v>
      </c>
      <c r="W47" s="13">
        <v>5.2184275199999956E-2</v>
      </c>
    </row>
    <row r="48" spans="1:23">
      <c r="A48" s="13" t="s">
        <v>28</v>
      </c>
      <c r="D48" s="13" t="s">
        <v>22</v>
      </c>
      <c r="E48" s="13" t="s">
        <v>6</v>
      </c>
      <c r="F48" s="13" t="s">
        <v>31</v>
      </c>
      <c r="G48" s="13">
        <f t="shared" ref="G48:N48" si="4">SUMIFS(H$34:H$37,$C$34:$C$37,$D48,$D$34:$D$37,$E48)</f>
        <v>2.9218299999999999E-2</v>
      </c>
      <c r="H48" s="13">
        <f t="shared" si="4"/>
        <v>3.3101499999999999E-2</v>
      </c>
      <c r="I48" s="13">
        <f t="shared" si="4"/>
        <v>3.9242300000000001E-2</v>
      </c>
      <c r="J48" s="13">
        <f t="shared" si="4"/>
        <v>5.1965600000000001E-2</v>
      </c>
      <c r="K48" s="13">
        <f t="shared" si="4"/>
        <v>8.1377500000000005E-2</v>
      </c>
      <c r="L48" s="13">
        <f t="shared" si="4"/>
        <v>0.11777</v>
      </c>
      <c r="M48" s="13">
        <f t="shared" si="4"/>
        <v>0.14177500000000001</v>
      </c>
      <c r="N48" s="13">
        <f t="shared" si="4"/>
        <v>0.157805</v>
      </c>
      <c r="T48" s="13" t="s">
        <v>31</v>
      </c>
      <c r="V48" s="13">
        <v>8.7541801200000015E-3</v>
      </c>
      <c r="W48" s="13">
        <v>7.234790399999998E-3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1.3983417</v>
      </c>
      <c r="H49" s="13">
        <f t="shared" si="5"/>
        <v>1.5029036629999999</v>
      </c>
      <c r="I49" s="13">
        <f t="shared" si="5"/>
        <v>1.475143994</v>
      </c>
      <c r="J49" s="13">
        <f t="shared" si="5"/>
        <v>1.4982972829999985</v>
      </c>
      <c r="K49" s="13">
        <f t="shared" si="5"/>
        <v>1.4924365649999991</v>
      </c>
      <c r="L49" s="13">
        <f t="shared" si="5"/>
        <v>1.4522220626999987</v>
      </c>
      <c r="M49" s="13">
        <f t="shared" si="5"/>
        <v>1.4233394481999999</v>
      </c>
      <c r="N49" s="13">
        <f t="shared" si="5"/>
        <v>1.3998350860699991</v>
      </c>
    </row>
    <row r="50" spans="1:20">
      <c r="T50" s="13" t="s">
        <v>75</v>
      </c>
    </row>
  </sheetData>
  <mergeCells count="2">
    <mergeCell ref="A15:G15"/>
    <mergeCell ref="A49:F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CD66B-FF6E-4732-86ED-9B25A5471E8C}">
  <sheetPr codeName="Sheet49"/>
  <dimension ref="A1:W50"/>
  <sheetViews>
    <sheetView topLeftCell="A28" zoomScale="85" zoomScaleNormal="85" workbookViewId="0">
      <selection activeCell="A3" sqref="A3:Q14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25" t="s">
        <v>120</v>
      </c>
      <c r="B3" s="25" t="s">
        <v>1</v>
      </c>
      <c r="C3" s="25" t="s">
        <v>68</v>
      </c>
      <c r="D3" s="25" t="s">
        <v>57</v>
      </c>
      <c r="E3" s="25" t="s">
        <v>3</v>
      </c>
      <c r="F3" s="25" t="s">
        <v>57</v>
      </c>
      <c r="G3" s="25">
        <v>7.4416999999999999E-3</v>
      </c>
      <c r="H3" s="25">
        <v>6.0756999999999999E-2</v>
      </c>
      <c r="I3" s="25">
        <v>8.3468000000000001E-2</v>
      </c>
      <c r="J3" s="25">
        <v>0.105323</v>
      </c>
      <c r="K3" s="25">
        <v>0.11378795</v>
      </c>
      <c r="L3" s="25">
        <v>0.11565280999999999</v>
      </c>
      <c r="M3" s="25">
        <v>0.13403203</v>
      </c>
      <c r="N3" s="25">
        <v>0.15840774999999899</v>
      </c>
      <c r="O3" s="25">
        <v>0.15862203999999999</v>
      </c>
      <c r="P3" s="25">
        <v>0.144138559999999</v>
      </c>
      <c r="Q3" s="25">
        <v>0.11965451099999901</v>
      </c>
    </row>
    <row r="4" spans="1:17">
      <c r="A4" s="25" t="s">
        <v>120</v>
      </c>
      <c r="B4" s="25" t="s">
        <v>1</v>
      </c>
      <c r="C4" s="25" t="s">
        <v>68</v>
      </c>
      <c r="D4" s="25" t="s">
        <v>57</v>
      </c>
      <c r="E4" s="25" t="s">
        <v>3</v>
      </c>
      <c r="F4" s="25" t="s">
        <v>69</v>
      </c>
      <c r="G4" s="25">
        <v>0</v>
      </c>
      <c r="H4" s="25">
        <v>2.1419999999999998E-3</v>
      </c>
      <c r="I4" s="25">
        <v>4.1219999999999998E-3</v>
      </c>
      <c r="J4" s="25">
        <v>4.248E-3</v>
      </c>
      <c r="K4" s="25">
        <v>4.6144719999999997E-3</v>
      </c>
      <c r="L4" s="25">
        <v>5.6069309999999999E-3</v>
      </c>
      <c r="M4" s="25">
        <v>1.2080511E-2</v>
      </c>
      <c r="N4" s="25">
        <v>2.0868083999999999E-2</v>
      </c>
      <c r="O4" s="25">
        <v>2.2671246999999999E-2</v>
      </c>
      <c r="P4" s="25">
        <v>2.0828769600000002E-2</v>
      </c>
      <c r="Q4" s="25">
        <v>1.6271237799999901E-2</v>
      </c>
    </row>
    <row r="5" spans="1:17">
      <c r="A5" s="25" t="s">
        <v>120</v>
      </c>
      <c r="B5" s="25" t="s">
        <v>1</v>
      </c>
      <c r="C5" s="25" t="s">
        <v>68</v>
      </c>
      <c r="D5" s="25" t="s">
        <v>58</v>
      </c>
      <c r="E5" s="25" t="s">
        <v>4</v>
      </c>
      <c r="F5" s="25" t="s">
        <v>58</v>
      </c>
      <c r="G5" s="25">
        <v>0.16164100000000001</v>
      </c>
      <c r="H5" s="25">
        <v>0.48991299999999999</v>
      </c>
      <c r="I5" s="25">
        <v>0.63810900000000004</v>
      </c>
      <c r="J5" s="25">
        <v>2.1982600000000001E-2</v>
      </c>
      <c r="K5" s="26">
        <v>2.3633040000000001E-2</v>
      </c>
      <c r="L5" s="26">
        <v>2.3023181E-2</v>
      </c>
      <c r="M5" s="26">
        <v>2.0979743999999901E-2</v>
      </c>
      <c r="N5" s="26">
        <v>1.5559557E-2</v>
      </c>
      <c r="O5" s="26">
        <v>9.4660459999999901E-3</v>
      </c>
      <c r="P5" s="26">
        <v>6.2113029999999996E-3</v>
      </c>
      <c r="Q5" s="26">
        <v>4.5305425E-3</v>
      </c>
    </row>
    <row r="6" spans="1:17">
      <c r="A6" s="25" t="s">
        <v>120</v>
      </c>
      <c r="B6" s="25" t="s">
        <v>1</v>
      </c>
      <c r="C6" s="25" t="s">
        <v>68</v>
      </c>
      <c r="D6" s="25" t="s">
        <v>58</v>
      </c>
      <c r="E6" s="25" t="s">
        <v>4</v>
      </c>
      <c r="F6" s="25" t="s">
        <v>70</v>
      </c>
      <c r="G6" s="25">
        <v>8.48304E-2</v>
      </c>
      <c r="H6" s="25">
        <v>0.211954</v>
      </c>
      <c r="I6" s="25">
        <v>0.27050400000000002</v>
      </c>
      <c r="J6" s="26">
        <v>0.29669800000000002</v>
      </c>
      <c r="K6" s="26">
        <v>0.32029339999999901</v>
      </c>
      <c r="L6" s="25">
        <v>0.31332666999999997</v>
      </c>
      <c r="M6" s="25">
        <v>0.28691970999999999</v>
      </c>
      <c r="N6" s="25">
        <v>0.20945967999999901</v>
      </c>
      <c r="O6" s="25">
        <v>0.11769950999999999</v>
      </c>
      <c r="P6" s="25">
        <v>6.7653389999999994E-2</v>
      </c>
      <c r="Q6" s="25">
        <v>4.1874377999999997E-2</v>
      </c>
    </row>
    <row r="7" spans="1:17">
      <c r="A7" s="25" t="s">
        <v>120</v>
      </c>
      <c r="B7" s="25" t="s">
        <v>1</v>
      </c>
      <c r="C7" s="25" t="s">
        <v>68</v>
      </c>
      <c r="D7" s="25" t="s">
        <v>59</v>
      </c>
      <c r="E7" s="25" t="s">
        <v>5</v>
      </c>
      <c r="F7" s="25" t="s">
        <v>59</v>
      </c>
      <c r="G7" s="25">
        <v>0.11110399999999999</v>
      </c>
      <c r="H7" s="25">
        <v>0.328934</v>
      </c>
      <c r="I7" s="25">
        <v>0.46490999999999999</v>
      </c>
      <c r="J7" s="25">
        <v>0.54062200000000005</v>
      </c>
      <c r="K7" s="26">
        <v>0.57920439999999995</v>
      </c>
      <c r="L7" s="26">
        <v>0.55759360000000002</v>
      </c>
      <c r="M7" s="26">
        <v>0.54711710000000002</v>
      </c>
      <c r="N7" s="25">
        <v>0.51494909</v>
      </c>
      <c r="O7" s="25">
        <v>0.49766075999999998</v>
      </c>
      <c r="P7" s="25">
        <v>0.50962803999999995</v>
      </c>
      <c r="Q7" s="25">
        <v>0.54684215999999997</v>
      </c>
    </row>
    <row r="8" spans="1:17">
      <c r="A8" s="25" t="s">
        <v>120</v>
      </c>
      <c r="B8" s="25" t="s">
        <v>1</v>
      </c>
      <c r="C8" s="25" t="s">
        <v>68</v>
      </c>
      <c r="D8" s="25" t="s">
        <v>60</v>
      </c>
      <c r="E8" s="25" t="s">
        <v>7</v>
      </c>
      <c r="F8" s="25" t="s">
        <v>60</v>
      </c>
      <c r="G8" s="25">
        <v>0</v>
      </c>
      <c r="H8" s="25">
        <v>0.11128399999999999</v>
      </c>
      <c r="I8" s="25">
        <v>0.14635400000000001</v>
      </c>
      <c r="J8" s="25">
        <v>0.18251600000000001</v>
      </c>
      <c r="K8" s="25">
        <v>0.19522809999999999</v>
      </c>
      <c r="L8" s="25">
        <v>0.19294512</v>
      </c>
      <c r="M8" s="25">
        <v>0.19295409999999999</v>
      </c>
      <c r="N8" s="25">
        <v>0.18354808</v>
      </c>
      <c r="O8" s="25">
        <v>0.16304309</v>
      </c>
      <c r="P8" s="25">
        <v>0.14617799000000001</v>
      </c>
      <c r="Q8" s="25">
        <v>0.12823499799999999</v>
      </c>
    </row>
    <row r="9" spans="1:17">
      <c r="A9" s="25" t="s">
        <v>120</v>
      </c>
      <c r="B9" s="25" t="s">
        <v>1</v>
      </c>
      <c r="C9" s="25" t="s">
        <v>68</v>
      </c>
      <c r="D9" s="25" t="s">
        <v>60</v>
      </c>
      <c r="E9" s="25" t="s">
        <v>7</v>
      </c>
      <c r="F9" s="25" t="s">
        <v>71</v>
      </c>
      <c r="G9" s="25">
        <v>0</v>
      </c>
      <c r="H9" s="25">
        <v>4.4654399999999997E-2</v>
      </c>
      <c r="I9" s="25">
        <v>3.1607999999999997E-2</v>
      </c>
      <c r="J9" s="25">
        <v>4.32576E-2</v>
      </c>
      <c r="K9" s="25">
        <v>4.6176540000000002E-2</v>
      </c>
      <c r="L9" s="25">
        <v>4.741886E-2</v>
      </c>
      <c r="M9" s="25">
        <v>5.77663E-2</v>
      </c>
      <c r="N9" s="25">
        <v>7.3121179999999994E-2</v>
      </c>
      <c r="O9" s="25">
        <v>7.5310199999999994E-2</v>
      </c>
      <c r="P9" s="25">
        <v>6.9372348E-2</v>
      </c>
      <c r="Q9" s="25">
        <v>5.7712785000000003E-2</v>
      </c>
    </row>
    <row r="10" spans="1:17">
      <c r="A10" s="24" t="s">
        <v>120</v>
      </c>
      <c r="B10" s="24" t="s">
        <v>1</v>
      </c>
      <c r="C10" s="24" t="s">
        <v>68</v>
      </c>
      <c r="D10" s="24" t="s">
        <v>65</v>
      </c>
      <c r="E10" s="24" t="s">
        <v>2</v>
      </c>
      <c r="F10" s="24" t="s">
        <v>65</v>
      </c>
      <c r="G10" s="24">
        <v>0</v>
      </c>
      <c r="H10" s="24">
        <v>0</v>
      </c>
      <c r="I10" s="24">
        <v>0</v>
      </c>
      <c r="J10" s="24">
        <v>0</v>
      </c>
      <c r="K10" s="26">
        <v>4.5946700000000002E-4</v>
      </c>
      <c r="L10" s="26">
        <v>7.2923699999999998E-4</v>
      </c>
      <c r="M10" s="24">
        <v>3.3644019999999998E-3</v>
      </c>
      <c r="N10" s="24">
        <v>1.2117974E-2</v>
      </c>
      <c r="O10" s="24">
        <v>2.5198106000000001E-2</v>
      </c>
      <c r="P10" s="24">
        <v>3.5068669699999999E-2</v>
      </c>
      <c r="Q10" s="24">
        <v>4.4424969299999999E-2</v>
      </c>
    </row>
    <row r="11" spans="1:17">
      <c r="A11" s="24" t="s">
        <v>120</v>
      </c>
      <c r="B11" s="24" t="s">
        <v>1</v>
      </c>
      <c r="C11" s="24" t="s">
        <v>68</v>
      </c>
      <c r="D11" s="24" t="s">
        <v>65</v>
      </c>
      <c r="E11" s="24" t="s">
        <v>2</v>
      </c>
      <c r="F11" s="24" t="s">
        <v>72</v>
      </c>
      <c r="G11" s="24">
        <v>0</v>
      </c>
      <c r="H11" s="24">
        <v>0</v>
      </c>
      <c r="I11" s="24">
        <v>0</v>
      </c>
      <c r="J11" s="24">
        <v>0</v>
      </c>
      <c r="K11" s="26">
        <v>1.4069700000000001E-4</v>
      </c>
      <c r="L11" s="26">
        <v>3.9860299999999998E-4</v>
      </c>
      <c r="M11" s="26">
        <v>4.0774000000000001E-3</v>
      </c>
      <c r="N11" s="26">
        <v>2.5839556E-2</v>
      </c>
      <c r="O11" s="26">
        <v>6.55614053E-2</v>
      </c>
      <c r="P11" s="26">
        <v>9.5992563999999905E-2</v>
      </c>
      <c r="Q11" s="26">
        <v>0.12495933533</v>
      </c>
    </row>
    <row r="12" spans="1:17">
      <c r="A12" s="24" t="s">
        <v>120</v>
      </c>
      <c r="B12" s="24" t="s">
        <v>1</v>
      </c>
      <c r="C12" s="24" t="s">
        <v>68</v>
      </c>
      <c r="D12" s="24" t="s">
        <v>19</v>
      </c>
      <c r="E12" s="24" t="s">
        <v>6</v>
      </c>
      <c r="F12" s="24" t="s">
        <v>19</v>
      </c>
      <c r="G12" s="24">
        <v>0.26414799999999999</v>
      </c>
      <c r="H12" s="24">
        <v>0.25026999999999999</v>
      </c>
      <c r="I12" s="24">
        <v>0.194684</v>
      </c>
      <c r="J12" s="24">
        <v>0.14664099999999999</v>
      </c>
      <c r="K12" s="26">
        <v>0.15689049999999999</v>
      </c>
      <c r="L12" s="26">
        <v>0.155792759999999</v>
      </c>
      <c r="M12" s="26">
        <v>0.16233259</v>
      </c>
      <c r="N12" s="26">
        <v>0.17046458</v>
      </c>
      <c r="O12" s="26">
        <v>0.17236497000000001</v>
      </c>
      <c r="P12" s="26">
        <v>0.16550030999999901</v>
      </c>
      <c r="Q12" s="26">
        <v>0.14798281399999999</v>
      </c>
    </row>
    <row r="13" spans="1:17">
      <c r="A13" s="24" t="s">
        <v>120</v>
      </c>
      <c r="B13" s="24" t="s">
        <v>1</v>
      </c>
      <c r="C13" s="24" t="s">
        <v>68</v>
      </c>
      <c r="D13" s="24" t="s">
        <v>19</v>
      </c>
      <c r="E13" s="24" t="s">
        <v>6</v>
      </c>
      <c r="F13" s="24" t="s">
        <v>73</v>
      </c>
      <c r="G13" s="24">
        <v>0</v>
      </c>
      <c r="H13" s="26">
        <v>7.1294399999999994E-2</v>
      </c>
      <c r="I13" s="26">
        <v>5.7196799999999999E-2</v>
      </c>
      <c r="J13" s="26">
        <v>2.7835200000000001E-2</v>
      </c>
      <c r="K13" s="26">
        <v>2.9371299999999999E-2</v>
      </c>
      <c r="L13" s="26">
        <v>2.9869349999999999E-2</v>
      </c>
      <c r="M13" s="26">
        <v>3.4634940000000003E-2</v>
      </c>
      <c r="N13" s="26">
        <v>4.293429E-2</v>
      </c>
      <c r="O13" s="26">
        <v>4.7347849999999997E-2</v>
      </c>
      <c r="P13" s="26">
        <v>4.5178790999999899E-2</v>
      </c>
      <c r="Q13" s="26">
        <v>3.6494658499999999E-2</v>
      </c>
    </row>
    <row r="14" spans="1:17">
      <c r="A14" s="24" t="s">
        <v>120</v>
      </c>
      <c r="B14" s="24" t="s">
        <v>1</v>
      </c>
      <c r="C14" s="24" t="s">
        <v>22</v>
      </c>
      <c r="D14" s="24" t="s">
        <v>19</v>
      </c>
      <c r="E14" s="24" t="s">
        <v>6</v>
      </c>
      <c r="F14" s="24" t="s">
        <v>19</v>
      </c>
      <c r="G14" s="24">
        <v>0</v>
      </c>
      <c r="H14" s="24">
        <v>3.1394999999999999E-2</v>
      </c>
      <c r="I14" s="24">
        <v>3.1520699999999999E-2</v>
      </c>
      <c r="J14" s="24">
        <v>2.9218299999999999E-2</v>
      </c>
      <c r="K14" s="26">
        <v>3.3106999999999998E-2</v>
      </c>
      <c r="L14" s="26">
        <v>3.3093999999999998E-2</v>
      </c>
      <c r="M14" s="26">
        <v>4.2794899999999997E-2</v>
      </c>
      <c r="N14" s="26">
        <v>6.9062999999999999E-2</v>
      </c>
      <c r="O14" s="26">
        <v>0.100953</v>
      </c>
      <c r="P14" s="26">
        <v>0.120283</v>
      </c>
      <c r="Q14" s="26">
        <v>0.13309499999999999</v>
      </c>
    </row>
    <row r="15" spans="1:17">
      <c r="A15" s="115" t="s">
        <v>29</v>
      </c>
      <c r="B15" s="115"/>
      <c r="C15" s="115"/>
      <c r="D15" s="115"/>
      <c r="E15" s="115"/>
      <c r="F15" s="115"/>
      <c r="G15" s="115"/>
      <c r="H15" s="13">
        <f>SUM(H3:H14)</f>
        <v>1.6025977999999999</v>
      </c>
      <c r="I15" s="13">
        <f t="shared" ref="I15:Q15" si="0">SUM(I3:I14)</f>
        <v>1.9224765000000004</v>
      </c>
      <c r="J15" s="13">
        <f t="shared" si="0"/>
        <v>1.3983416999999998</v>
      </c>
      <c r="K15" s="13">
        <f t="shared" si="0"/>
        <v>1.5029068659999989</v>
      </c>
      <c r="L15" s="13">
        <f t="shared" si="0"/>
        <v>1.4754511219999993</v>
      </c>
      <c r="M15" s="13">
        <f t="shared" si="0"/>
        <v>1.4990537270000002</v>
      </c>
      <c r="N15" s="13">
        <f t="shared" si="0"/>
        <v>1.496332820999998</v>
      </c>
      <c r="O15" s="13">
        <f t="shared" si="0"/>
        <v>1.4558982243</v>
      </c>
      <c r="P15" s="13">
        <f t="shared" si="0"/>
        <v>1.4260337352999977</v>
      </c>
      <c r="Q15" s="13">
        <f t="shared" si="0"/>
        <v>1.4020773894299987</v>
      </c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106</v>
      </c>
      <c r="B37" s="13" t="s">
        <v>1</v>
      </c>
      <c r="C37" s="13" t="s">
        <v>22</v>
      </c>
      <c r="D37" s="13" t="s">
        <v>6</v>
      </c>
      <c r="E37" s="13">
        <v>0</v>
      </c>
      <c r="F37" s="13">
        <v>3.1394999999999999E-2</v>
      </c>
      <c r="G37" s="13">
        <v>3.1520699999999999E-2</v>
      </c>
      <c r="H37" s="13">
        <v>2.9218299999999999E-2</v>
      </c>
      <c r="I37" s="13">
        <v>3.3101499999999999E-2</v>
      </c>
      <c r="J37" s="13">
        <v>3.9242300000000001E-2</v>
      </c>
      <c r="K37" s="13">
        <v>5.1965600000000001E-2</v>
      </c>
      <c r="L37" s="13">
        <v>8.1377500000000005E-2</v>
      </c>
      <c r="M37" s="13">
        <v>0.11777</v>
      </c>
      <c r="N37" s="13">
        <v>0.14177500000000001</v>
      </c>
      <c r="O37" s="13">
        <v>0.157805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6.0016400000000004E-4</v>
      </c>
      <c r="I41" s="13">
        <f t="shared" si="1"/>
        <v>1.12784E-3</v>
      </c>
      <c r="J41" s="13">
        <f t="shared" si="1"/>
        <v>7.441802E-3</v>
      </c>
      <c r="K41" s="13">
        <f t="shared" si="1"/>
        <v>3.7957530000000003E-2</v>
      </c>
      <c r="L41" s="13">
        <f t="shared" si="1"/>
        <v>9.0759511299999998E-2</v>
      </c>
      <c r="M41" s="13">
        <f t="shared" si="1"/>
        <v>0.13106123369999989</v>
      </c>
      <c r="N41" s="13">
        <f t="shared" si="1"/>
        <v>0.16938430463000001</v>
      </c>
      <c r="T41" s="13" t="s">
        <v>12</v>
      </c>
      <c r="V41" s="13">
        <v>0</v>
      </c>
      <c r="W41" s="13">
        <v>0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0.54062200000000005</v>
      </c>
      <c r="H42" s="13">
        <f t="shared" si="1"/>
        <v>0.57920439999999995</v>
      </c>
      <c r="I42" s="13">
        <f t="shared" si="1"/>
        <v>0.55759360000000002</v>
      </c>
      <c r="J42" s="13">
        <f t="shared" si="1"/>
        <v>0.54711710000000002</v>
      </c>
      <c r="K42" s="13">
        <f t="shared" si="1"/>
        <v>0.51494909</v>
      </c>
      <c r="L42" s="13">
        <f t="shared" si="1"/>
        <v>0.49766075999999998</v>
      </c>
      <c r="M42" s="13">
        <f t="shared" si="1"/>
        <v>0.50962803999999995</v>
      </c>
      <c r="N42" s="13">
        <f t="shared" si="1"/>
        <v>0.54684215999999997</v>
      </c>
      <c r="T42" s="13" t="s">
        <v>17</v>
      </c>
      <c r="V42" s="13">
        <v>0.37534159584000004</v>
      </c>
      <c r="W42" s="13">
        <v>0.35700006239999998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0.109571</v>
      </c>
      <c r="H43" s="13">
        <f t="shared" si="1"/>
        <v>0.11840242199999999</v>
      </c>
      <c r="I43" s="13">
        <f t="shared" si="1"/>
        <v>0.12125974099999999</v>
      </c>
      <c r="J43" s="13">
        <f t="shared" si="1"/>
        <v>0.14611254099999998</v>
      </c>
      <c r="K43" s="13">
        <f t="shared" si="1"/>
        <v>0.179275833999999</v>
      </c>
      <c r="L43" s="13">
        <f t="shared" si="1"/>
        <v>0.181293287</v>
      </c>
      <c r="M43" s="13">
        <f t="shared" si="1"/>
        <v>0.16496732959999899</v>
      </c>
      <c r="N43" s="13">
        <f t="shared" si="1"/>
        <v>0.13592574879999891</v>
      </c>
      <c r="T43" s="13" t="s">
        <v>13</v>
      </c>
      <c r="V43" s="13">
        <v>0</v>
      </c>
      <c r="W43" s="13">
        <v>0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0.22577360000000002</v>
      </c>
      <c r="H44" s="13">
        <f t="shared" si="1"/>
        <v>0.24140464</v>
      </c>
      <c r="I44" s="13">
        <f t="shared" si="1"/>
        <v>0.24036398</v>
      </c>
      <c r="J44" s="13">
        <f t="shared" si="1"/>
        <v>0.25072040000000001</v>
      </c>
      <c r="K44" s="13">
        <f t="shared" si="1"/>
        <v>0.25666926000000001</v>
      </c>
      <c r="L44" s="13">
        <f t="shared" si="1"/>
        <v>0.23835329</v>
      </c>
      <c r="M44" s="13">
        <f t="shared" si="1"/>
        <v>0.21555033800000001</v>
      </c>
      <c r="N44" s="13">
        <f t="shared" si="1"/>
        <v>0.18594778299999998</v>
      </c>
      <c r="T44" s="13" t="s">
        <v>15</v>
      </c>
      <c r="V44" s="13">
        <v>0.13793663808000003</v>
      </c>
      <c r="W44" s="13">
        <v>0.16462078920000003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0.31868060000000004</v>
      </c>
      <c r="H45" s="13">
        <f t="shared" si="1"/>
        <v>0.343926439999999</v>
      </c>
      <c r="I45" s="13">
        <f t="shared" si="1"/>
        <v>0.33634985099999998</v>
      </c>
      <c r="J45" s="13">
        <f t="shared" si="1"/>
        <v>0.30789945399999991</v>
      </c>
      <c r="K45" s="13">
        <f t="shared" si="1"/>
        <v>0.22501923699999901</v>
      </c>
      <c r="L45" s="13">
        <f t="shared" si="1"/>
        <v>0.12716555599999999</v>
      </c>
      <c r="M45" s="13">
        <f t="shared" si="1"/>
        <v>7.3864692999999995E-2</v>
      </c>
      <c r="N45" s="13">
        <f t="shared" si="1"/>
        <v>4.6404920499999995E-2</v>
      </c>
      <c r="T45" s="13" t="s">
        <v>14</v>
      </c>
      <c r="V45" s="13">
        <v>0.12472477199999998</v>
      </c>
      <c r="W45" s="13">
        <v>7.0212635999999983E-3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  <c r="V46" s="13">
        <v>0</v>
      </c>
      <c r="W46" s="13">
        <v>3.1400999999999998E-4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0.1744762</v>
      </c>
      <c r="H47" s="13">
        <f t="shared" si="3"/>
        <v>0.18626729999999997</v>
      </c>
      <c r="I47" s="13">
        <f t="shared" si="3"/>
        <v>0.179513809999999</v>
      </c>
      <c r="J47" s="13">
        <f t="shared" si="3"/>
        <v>0.18779683</v>
      </c>
      <c r="K47" s="13">
        <f t="shared" si="3"/>
        <v>0.20108437000000001</v>
      </c>
      <c r="L47" s="13">
        <f t="shared" si="3"/>
        <v>0.20289582</v>
      </c>
      <c r="M47" s="13">
        <f t="shared" si="3"/>
        <v>0.18918710099999889</v>
      </c>
      <c r="N47" s="13">
        <f t="shared" si="3"/>
        <v>0.15976747249999998</v>
      </c>
      <c r="T47" s="13" t="s">
        <v>16</v>
      </c>
      <c r="V47" s="13">
        <v>0.11406015504000006</v>
      </c>
      <c r="W47" s="13">
        <v>5.2184275199999956E-2</v>
      </c>
    </row>
    <row r="48" spans="1:23">
      <c r="A48" s="13" t="s">
        <v>28</v>
      </c>
      <c r="D48" s="13" t="s">
        <v>22</v>
      </c>
      <c r="E48" s="13" t="s">
        <v>6</v>
      </c>
      <c r="F48" s="13" t="s">
        <v>31</v>
      </c>
      <c r="G48" s="13">
        <f t="shared" ref="G48:N48" si="4">SUMIFS(H$34:H$37,$C$34:$C$37,$D48,$D$34:$D$37,$E48)</f>
        <v>2.9218299999999999E-2</v>
      </c>
      <c r="H48" s="13">
        <f t="shared" si="4"/>
        <v>3.3101499999999999E-2</v>
      </c>
      <c r="I48" s="13">
        <f t="shared" si="4"/>
        <v>3.9242300000000001E-2</v>
      </c>
      <c r="J48" s="13">
        <f t="shared" si="4"/>
        <v>5.1965600000000001E-2</v>
      </c>
      <c r="K48" s="13">
        <f t="shared" si="4"/>
        <v>8.1377500000000005E-2</v>
      </c>
      <c r="L48" s="13">
        <f t="shared" si="4"/>
        <v>0.11777</v>
      </c>
      <c r="M48" s="13">
        <f t="shared" si="4"/>
        <v>0.14177500000000001</v>
      </c>
      <c r="N48" s="13">
        <f t="shared" si="4"/>
        <v>0.157805</v>
      </c>
      <c r="T48" s="13" t="s">
        <v>31</v>
      </c>
      <c r="V48" s="13">
        <v>8.7541801200000015E-3</v>
      </c>
      <c r="W48" s="13">
        <v>7.234790399999998E-3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1.3983417</v>
      </c>
      <c r="H49" s="13">
        <f t="shared" si="5"/>
        <v>1.5029068659999987</v>
      </c>
      <c r="I49" s="13">
        <f t="shared" si="5"/>
        <v>1.4754511219999988</v>
      </c>
      <c r="J49" s="13">
        <f t="shared" si="5"/>
        <v>1.4990537269999999</v>
      </c>
      <c r="K49" s="13">
        <f t="shared" si="5"/>
        <v>1.4963328209999982</v>
      </c>
      <c r="L49" s="13">
        <f t="shared" si="5"/>
        <v>1.4558982242999998</v>
      </c>
      <c r="M49" s="13">
        <f t="shared" si="5"/>
        <v>1.4260337352999974</v>
      </c>
      <c r="N49" s="13">
        <f t="shared" si="5"/>
        <v>1.4020773894299987</v>
      </c>
    </row>
    <row r="50" spans="1:20">
      <c r="T50" s="13" t="s">
        <v>75</v>
      </c>
    </row>
  </sheetData>
  <mergeCells count="2">
    <mergeCell ref="A15:G15"/>
    <mergeCell ref="A49:F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6E2C1-EBE8-46F9-80E4-ED09F86479BD}">
  <sheetPr codeName="Sheet56"/>
  <dimension ref="A1:W50"/>
  <sheetViews>
    <sheetView topLeftCell="A46" zoomScale="85" zoomScaleNormal="85" workbookViewId="0">
      <selection activeCell="I78" sqref="I78"/>
    </sheetView>
  </sheetViews>
  <sheetFormatPr defaultColWidth="8.69921875" defaultRowHeight="17.399999999999999"/>
  <cols>
    <col min="1" max="16384" width="8.69921875" style="13"/>
  </cols>
  <sheetData>
    <row r="1" spans="1:17">
      <c r="A1" s="1" t="s">
        <v>54</v>
      </c>
    </row>
    <row r="2" spans="1:17">
      <c r="A2" s="13" t="s">
        <v>8</v>
      </c>
      <c r="B2" s="13" t="s">
        <v>9</v>
      </c>
      <c r="C2" s="13" t="s">
        <v>39</v>
      </c>
      <c r="D2" s="13" t="s">
        <v>40</v>
      </c>
      <c r="E2" s="13" t="s">
        <v>10</v>
      </c>
      <c r="F2" s="13" t="s">
        <v>42</v>
      </c>
      <c r="G2" s="13">
        <v>1990</v>
      </c>
      <c r="H2" s="13">
        <v>2005</v>
      </c>
      <c r="I2" s="13">
        <v>2010</v>
      </c>
      <c r="J2" s="13">
        <v>2015</v>
      </c>
      <c r="K2" s="13">
        <v>2020</v>
      </c>
      <c r="L2" s="13">
        <v>2025</v>
      </c>
      <c r="M2" s="13">
        <v>2030</v>
      </c>
      <c r="N2" s="13">
        <v>2035</v>
      </c>
      <c r="O2" s="13">
        <v>2040</v>
      </c>
      <c r="P2" s="13">
        <v>2045</v>
      </c>
      <c r="Q2" s="13">
        <v>2050</v>
      </c>
    </row>
    <row r="3" spans="1:17">
      <c r="A3" s="25" t="s">
        <v>119</v>
      </c>
      <c r="B3" s="25" t="s">
        <v>1</v>
      </c>
      <c r="C3" s="25" t="s">
        <v>68</v>
      </c>
      <c r="D3" s="25" t="s">
        <v>57</v>
      </c>
      <c r="E3" s="25" t="s">
        <v>3</v>
      </c>
      <c r="F3" s="25" t="s">
        <v>57</v>
      </c>
      <c r="G3" s="25">
        <v>7.4416999999999999E-3</v>
      </c>
      <c r="H3" s="25">
        <v>6.0756999999999999E-2</v>
      </c>
      <c r="I3" s="25">
        <v>8.3468000000000001E-2</v>
      </c>
      <c r="J3" s="25">
        <v>0.105323</v>
      </c>
      <c r="K3" s="25">
        <v>0.11378625000000001</v>
      </c>
      <c r="L3" s="25">
        <v>0.11564143</v>
      </c>
      <c r="M3" s="25">
        <v>0.13406852</v>
      </c>
      <c r="N3" s="25">
        <v>0.15954394999999999</v>
      </c>
      <c r="O3" s="25">
        <v>0.16058906000000001</v>
      </c>
      <c r="P3" s="25">
        <v>0.14632384999999901</v>
      </c>
      <c r="Q3" s="25">
        <v>0.121832943</v>
      </c>
    </row>
    <row r="4" spans="1:17">
      <c r="A4" s="25" t="s">
        <v>119</v>
      </c>
      <c r="B4" s="25" t="s">
        <v>1</v>
      </c>
      <c r="C4" s="25" t="s">
        <v>68</v>
      </c>
      <c r="D4" s="25" t="s">
        <v>57</v>
      </c>
      <c r="E4" s="25" t="s">
        <v>3</v>
      </c>
      <c r="F4" s="25" t="s">
        <v>69</v>
      </c>
      <c r="G4" s="25">
        <v>0</v>
      </c>
      <c r="H4" s="25">
        <v>2.1419999999999998E-3</v>
      </c>
      <c r="I4" s="25">
        <v>4.1219999999999998E-3</v>
      </c>
      <c r="J4" s="25">
        <v>4.248E-3</v>
      </c>
      <c r="K4" s="25">
        <v>4.6143529999999999E-3</v>
      </c>
      <c r="L4" s="25">
        <v>5.6074740000000003E-3</v>
      </c>
      <c r="M4" s="25">
        <v>1.2069078E-2</v>
      </c>
      <c r="N4" s="25">
        <v>2.1303519E-2</v>
      </c>
      <c r="O4" s="25">
        <v>2.3289310000000001E-2</v>
      </c>
      <c r="P4" s="25">
        <v>2.1457588999999999E-2</v>
      </c>
      <c r="Q4" s="25">
        <v>1.6857270800000001E-2</v>
      </c>
    </row>
    <row r="5" spans="1:17">
      <c r="A5" s="25" t="s">
        <v>119</v>
      </c>
      <c r="B5" s="25" t="s">
        <v>1</v>
      </c>
      <c r="C5" s="25" t="s">
        <v>68</v>
      </c>
      <c r="D5" s="25" t="s">
        <v>58</v>
      </c>
      <c r="E5" s="25" t="s">
        <v>4</v>
      </c>
      <c r="F5" s="25" t="s">
        <v>58</v>
      </c>
      <c r="G5" s="25">
        <v>0.16164100000000001</v>
      </c>
      <c r="H5" s="25">
        <v>0.48991299999999999</v>
      </c>
      <c r="I5" s="25">
        <v>0.63810900000000004</v>
      </c>
      <c r="J5" s="25">
        <v>2.1982600000000001E-2</v>
      </c>
      <c r="K5" s="26">
        <v>2.3633060000000001E-2</v>
      </c>
      <c r="L5" s="26">
        <v>2.3022383E-2</v>
      </c>
      <c r="M5" s="26">
        <v>2.0984517000000001E-2</v>
      </c>
      <c r="N5" s="26">
        <v>1.5575228E-2</v>
      </c>
      <c r="O5" s="26">
        <v>9.4939580000000003E-3</v>
      </c>
      <c r="P5" s="26">
        <v>6.2465589999999996E-3</v>
      </c>
      <c r="Q5" s="26">
        <v>4.5780227999999996E-3</v>
      </c>
    </row>
    <row r="6" spans="1:17">
      <c r="A6" s="25" t="s">
        <v>119</v>
      </c>
      <c r="B6" s="25" t="s">
        <v>1</v>
      </c>
      <c r="C6" s="25" t="s">
        <v>68</v>
      </c>
      <c r="D6" s="25" t="s">
        <v>58</v>
      </c>
      <c r="E6" s="25" t="s">
        <v>4</v>
      </c>
      <c r="F6" s="25" t="s">
        <v>70</v>
      </c>
      <c r="G6" s="25">
        <v>8.48304E-2</v>
      </c>
      <c r="H6" s="25">
        <v>0.211954</v>
      </c>
      <c r="I6" s="25">
        <v>0.27050400000000002</v>
      </c>
      <c r="J6" s="26">
        <v>0.29669800000000002</v>
      </c>
      <c r="K6" s="26">
        <v>0.32029269999999999</v>
      </c>
      <c r="L6" s="25">
        <v>0.31330536999999897</v>
      </c>
      <c r="M6" s="25">
        <v>0.28702475999999999</v>
      </c>
      <c r="N6" s="25">
        <v>0.20992274</v>
      </c>
      <c r="O6" s="25">
        <v>0.11847209</v>
      </c>
      <c r="P6" s="25">
        <v>6.8495970000000003E-2</v>
      </c>
      <c r="Q6" s="25">
        <v>4.2790168000000003E-2</v>
      </c>
    </row>
    <row r="7" spans="1:17">
      <c r="A7" s="25" t="s">
        <v>119</v>
      </c>
      <c r="B7" s="25" t="s">
        <v>1</v>
      </c>
      <c r="C7" s="25" t="s">
        <v>68</v>
      </c>
      <c r="D7" s="25" t="s">
        <v>59</v>
      </c>
      <c r="E7" s="25" t="s">
        <v>5</v>
      </c>
      <c r="F7" s="25" t="s">
        <v>59</v>
      </c>
      <c r="G7" s="25">
        <v>0.11110399999999999</v>
      </c>
      <c r="H7" s="25">
        <v>0.328934</v>
      </c>
      <c r="I7" s="25">
        <v>0.46490999999999999</v>
      </c>
      <c r="J7" s="25">
        <v>0.54062200000000005</v>
      </c>
      <c r="K7" s="26">
        <v>0.57920539999999998</v>
      </c>
      <c r="L7" s="26">
        <v>0.55755180000000004</v>
      </c>
      <c r="M7" s="26">
        <v>0.54726330000000001</v>
      </c>
      <c r="N7" s="25">
        <v>0.51450302000000003</v>
      </c>
      <c r="O7" s="25">
        <v>0.49571015000000002</v>
      </c>
      <c r="P7" s="25">
        <v>0.50663322</v>
      </c>
      <c r="Q7" s="25">
        <v>0.54304651999999998</v>
      </c>
    </row>
    <row r="8" spans="1:17">
      <c r="A8" s="25" t="s">
        <v>119</v>
      </c>
      <c r="B8" s="25" t="s">
        <v>1</v>
      </c>
      <c r="C8" s="25" t="s">
        <v>68</v>
      </c>
      <c r="D8" s="25" t="s">
        <v>60</v>
      </c>
      <c r="E8" s="25" t="s">
        <v>7</v>
      </c>
      <c r="F8" s="25" t="s">
        <v>60</v>
      </c>
      <c r="G8" s="25">
        <v>0</v>
      </c>
      <c r="H8" s="25">
        <v>0.11128399999999999</v>
      </c>
      <c r="I8" s="25">
        <v>0.14635400000000001</v>
      </c>
      <c r="J8" s="25">
        <v>0.18251600000000001</v>
      </c>
      <c r="K8" s="25">
        <v>0.19522919999999999</v>
      </c>
      <c r="L8" s="25">
        <v>0.19293167</v>
      </c>
      <c r="M8" s="25">
        <v>0.19303330999999899</v>
      </c>
      <c r="N8" s="25">
        <v>0.18374421999999899</v>
      </c>
      <c r="O8" s="25">
        <v>0.16336408999999999</v>
      </c>
      <c r="P8" s="25">
        <v>0.14661805</v>
      </c>
      <c r="Q8" s="25">
        <v>0.12877777099999899</v>
      </c>
    </row>
    <row r="9" spans="1:17">
      <c r="A9" s="25" t="s">
        <v>119</v>
      </c>
      <c r="B9" s="25" t="s">
        <v>1</v>
      </c>
      <c r="C9" s="25" t="s">
        <v>68</v>
      </c>
      <c r="D9" s="25" t="s">
        <v>60</v>
      </c>
      <c r="E9" s="25" t="s">
        <v>7</v>
      </c>
      <c r="F9" s="25" t="s">
        <v>71</v>
      </c>
      <c r="G9" s="25">
        <v>0</v>
      </c>
      <c r="H9" s="25">
        <v>4.4654399999999997E-2</v>
      </c>
      <c r="I9" s="25">
        <v>3.1607999999999997E-2</v>
      </c>
      <c r="J9" s="25">
        <v>4.32576E-2</v>
      </c>
      <c r="K9" s="25">
        <v>4.6176889999999998E-2</v>
      </c>
      <c r="L9" s="25">
        <v>4.7410630000000002E-2</v>
      </c>
      <c r="M9" s="25">
        <v>5.7818469999999997E-2</v>
      </c>
      <c r="N9" s="25">
        <v>7.3407609999999998E-2</v>
      </c>
      <c r="O9" s="25">
        <v>7.5875209999999998E-2</v>
      </c>
      <c r="P9" s="25">
        <v>7.0029422999999993E-2</v>
      </c>
      <c r="Q9" s="25">
        <v>5.8366854000000003E-2</v>
      </c>
    </row>
    <row r="10" spans="1:17">
      <c r="A10" s="24" t="s">
        <v>119</v>
      </c>
      <c r="B10" s="24" t="s">
        <v>1</v>
      </c>
      <c r="C10" s="24" t="s">
        <v>68</v>
      </c>
      <c r="D10" s="24" t="s">
        <v>65</v>
      </c>
      <c r="E10" s="24" t="s">
        <v>2</v>
      </c>
      <c r="F10" s="24" t="s">
        <v>65</v>
      </c>
      <c r="G10" s="24">
        <v>0</v>
      </c>
      <c r="H10" s="24">
        <v>0</v>
      </c>
      <c r="I10" s="24">
        <v>0</v>
      </c>
      <c r="J10" s="24">
        <v>0</v>
      </c>
      <c r="K10" s="26">
        <v>4.5949499999999998E-4</v>
      </c>
      <c r="L10" s="26">
        <v>7.2847199999999997E-4</v>
      </c>
      <c r="M10" s="24">
        <v>3.3653479999999898E-3</v>
      </c>
      <c r="N10" s="24">
        <v>1.2100090000000001E-2</v>
      </c>
      <c r="O10" s="24">
        <v>2.5072895000000001E-2</v>
      </c>
      <c r="P10" s="24">
        <v>3.4851578199999997E-2</v>
      </c>
      <c r="Q10" s="24">
        <v>4.4134076399999903E-2</v>
      </c>
    </row>
    <row r="11" spans="1:17">
      <c r="A11" s="24" t="s">
        <v>119</v>
      </c>
      <c r="B11" s="24" t="s">
        <v>1</v>
      </c>
      <c r="C11" s="24" t="s">
        <v>68</v>
      </c>
      <c r="D11" s="24" t="s">
        <v>65</v>
      </c>
      <c r="E11" s="24" t="s">
        <v>2</v>
      </c>
      <c r="F11" s="24" t="s">
        <v>72</v>
      </c>
      <c r="G11" s="24">
        <v>0</v>
      </c>
      <c r="H11" s="24">
        <v>0</v>
      </c>
      <c r="I11" s="24">
        <v>0</v>
      </c>
      <c r="J11" s="24">
        <v>0</v>
      </c>
      <c r="K11" s="26">
        <v>1.4071299999999999E-4</v>
      </c>
      <c r="L11" s="26">
        <v>3.9808599999999899E-4</v>
      </c>
      <c r="M11" s="26">
        <v>4.0450690000000001E-3</v>
      </c>
      <c r="N11" s="26">
        <v>2.5840477000000001E-2</v>
      </c>
      <c r="O11" s="26">
        <v>6.5605048400000004E-2</v>
      </c>
      <c r="P11" s="26">
        <v>9.5977761800000005E-2</v>
      </c>
      <c r="Q11" s="26">
        <v>0.12506470005000001</v>
      </c>
    </row>
    <row r="12" spans="1:17">
      <c r="A12" s="24" t="s">
        <v>119</v>
      </c>
      <c r="B12" s="24" t="s">
        <v>1</v>
      </c>
      <c r="C12" s="24" t="s">
        <v>68</v>
      </c>
      <c r="D12" s="24" t="s">
        <v>19</v>
      </c>
      <c r="E12" s="24" t="s">
        <v>6</v>
      </c>
      <c r="F12" s="24" t="s">
        <v>19</v>
      </c>
      <c r="G12" s="24">
        <v>0.26414799999999999</v>
      </c>
      <c r="H12" s="24">
        <v>0.25026999999999999</v>
      </c>
      <c r="I12" s="24">
        <v>0.194684</v>
      </c>
      <c r="J12" s="24">
        <v>0.14664099999999999</v>
      </c>
      <c r="K12" s="26">
        <v>0.15688759999999999</v>
      </c>
      <c r="L12" s="26">
        <v>0.15577653</v>
      </c>
      <c r="M12" s="26">
        <v>0.16238007999999901</v>
      </c>
      <c r="N12" s="26">
        <v>0.17073996</v>
      </c>
      <c r="O12" s="26">
        <v>0.17283664999999901</v>
      </c>
      <c r="P12" s="26">
        <v>0.16613495</v>
      </c>
      <c r="Q12" s="26">
        <v>0.148898903</v>
      </c>
    </row>
    <row r="13" spans="1:17">
      <c r="A13" s="24" t="s">
        <v>119</v>
      </c>
      <c r="B13" s="24" t="s">
        <v>1</v>
      </c>
      <c r="C13" s="24" t="s">
        <v>68</v>
      </c>
      <c r="D13" s="24" t="s">
        <v>19</v>
      </c>
      <c r="E13" s="24" t="s">
        <v>6</v>
      </c>
      <c r="F13" s="24" t="s">
        <v>73</v>
      </c>
      <c r="G13" s="24">
        <v>0</v>
      </c>
      <c r="H13" s="26">
        <v>7.1294399999999994E-2</v>
      </c>
      <c r="I13" s="26">
        <v>5.7196799999999999E-2</v>
      </c>
      <c r="J13" s="26">
        <v>2.7835200000000001E-2</v>
      </c>
      <c r="K13" s="26">
        <v>2.937056E-2</v>
      </c>
      <c r="L13" s="26">
        <v>2.9864720000000001E-2</v>
      </c>
      <c r="M13" s="26">
        <v>3.4645139999999998E-2</v>
      </c>
      <c r="N13" s="26">
        <v>4.309607E-2</v>
      </c>
      <c r="O13" s="26">
        <v>4.7682789999999899E-2</v>
      </c>
      <c r="P13" s="26">
        <v>4.5604246000000001E-2</v>
      </c>
      <c r="Q13" s="26">
        <v>3.70601994E-2</v>
      </c>
    </row>
    <row r="14" spans="1:17">
      <c r="A14" s="24" t="s">
        <v>119</v>
      </c>
      <c r="B14" s="24" t="s">
        <v>1</v>
      </c>
      <c r="C14" s="24" t="s">
        <v>22</v>
      </c>
      <c r="D14" s="24" t="s">
        <v>19</v>
      </c>
      <c r="E14" s="24" t="s">
        <v>6</v>
      </c>
      <c r="F14" s="24" t="s">
        <v>19</v>
      </c>
      <c r="G14" s="24">
        <v>0</v>
      </c>
      <c r="H14" s="24">
        <v>3.1394999999999999E-2</v>
      </c>
      <c r="I14" s="24">
        <v>3.1520699999999999E-2</v>
      </c>
      <c r="J14" s="24">
        <v>2.9218299999999999E-2</v>
      </c>
      <c r="K14" s="26">
        <v>3.3106900000000002E-2</v>
      </c>
      <c r="L14" s="26">
        <v>3.3087900000000003E-2</v>
      </c>
      <c r="M14" s="26">
        <v>4.2827299999999999E-2</v>
      </c>
      <c r="N14" s="26">
        <v>6.9226499999999996E-2</v>
      </c>
      <c r="O14" s="26">
        <v>0.101109</v>
      </c>
      <c r="P14" s="26">
        <v>0.120362</v>
      </c>
      <c r="Q14" s="26">
        <v>0.133136</v>
      </c>
    </row>
    <row r="15" spans="1:17">
      <c r="A15" s="115" t="s">
        <v>29</v>
      </c>
      <c r="B15" s="115"/>
      <c r="C15" s="115"/>
      <c r="D15" s="115"/>
      <c r="E15" s="115"/>
      <c r="F15" s="115"/>
      <c r="G15" s="115"/>
      <c r="H15" s="13">
        <f>SUM(H3:H14)</f>
        <v>1.6025977999999999</v>
      </c>
      <c r="I15" s="13">
        <f t="shared" ref="I15:Q15" si="0">SUM(I3:I14)</f>
        <v>1.9224765000000004</v>
      </c>
      <c r="J15" s="13">
        <f t="shared" si="0"/>
        <v>1.3983416999999998</v>
      </c>
      <c r="K15" s="13">
        <f t="shared" si="0"/>
        <v>1.5029031209999999</v>
      </c>
      <c r="L15" s="13">
        <f t="shared" si="0"/>
        <v>1.4753264649999989</v>
      </c>
      <c r="M15" s="13">
        <f t="shared" si="0"/>
        <v>1.4995248919999979</v>
      </c>
      <c r="N15" s="13">
        <f t="shared" si="0"/>
        <v>1.499003383999999</v>
      </c>
      <c r="O15" s="13">
        <f t="shared" si="0"/>
        <v>1.4591002513999989</v>
      </c>
      <c r="P15" s="13">
        <f t="shared" si="0"/>
        <v>1.4287351969999991</v>
      </c>
      <c r="Q15" s="13">
        <f t="shared" si="0"/>
        <v>1.4045434284499987</v>
      </c>
    </row>
    <row r="23" spans="1:13">
      <c r="J23" s="14"/>
      <c r="K23" s="14"/>
      <c r="L23" s="14"/>
      <c r="M23" s="14"/>
    </row>
    <row r="32" spans="1:13">
      <c r="A32" s="1" t="s">
        <v>23</v>
      </c>
    </row>
    <row r="33" spans="1:23">
      <c r="A33" s="13" t="s">
        <v>8</v>
      </c>
      <c r="B33" s="13" t="s">
        <v>9</v>
      </c>
      <c r="C33" s="13" t="s">
        <v>24</v>
      </c>
      <c r="D33" s="13" t="s">
        <v>10</v>
      </c>
      <c r="E33" s="13">
        <v>1990</v>
      </c>
      <c r="F33" s="13">
        <v>2005</v>
      </c>
      <c r="G33" s="13">
        <v>2010</v>
      </c>
      <c r="H33" s="13">
        <v>2015</v>
      </c>
      <c r="I33" s="13">
        <v>2020</v>
      </c>
      <c r="J33" s="13">
        <v>2025</v>
      </c>
      <c r="K33" s="13">
        <v>2030</v>
      </c>
      <c r="L33" s="13">
        <v>2035</v>
      </c>
      <c r="M33" s="13">
        <v>2040</v>
      </c>
      <c r="N33" s="13">
        <v>2045</v>
      </c>
      <c r="O33" s="13">
        <v>2050</v>
      </c>
    </row>
    <row r="34" spans="1:23">
      <c r="A34" s="13" t="s">
        <v>0</v>
      </c>
      <c r="B34" s="13" t="s">
        <v>1</v>
      </c>
      <c r="C34" s="13" t="s">
        <v>20</v>
      </c>
      <c r="D34" s="13" t="s">
        <v>4</v>
      </c>
    </row>
    <row r="35" spans="1:23">
      <c r="A35" s="13" t="s">
        <v>0</v>
      </c>
      <c r="B35" s="13" t="s">
        <v>1</v>
      </c>
      <c r="C35" s="13" t="s">
        <v>20</v>
      </c>
      <c r="D35" s="13" t="s">
        <v>6</v>
      </c>
    </row>
    <row r="36" spans="1:23">
      <c r="A36" s="13" t="s">
        <v>0</v>
      </c>
      <c r="B36" s="13" t="s">
        <v>1</v>
      </c>
      <c r="C36" s="13" t="s">
        <v>21</v>
      </c>
      <c r="D36" s="13" t="s">
        <v>6</v>
      </c>
    </row>
    <row r="37" spans="1:23">
      <c r="A37" s="13" t="s">
        <v>106</v>
      </c>
      <c r="B37" s="13" t="s">
        <v>1</v>
      </c>
      <c r="C37" s="13" t="s">
        <v>22</v>
      </c>
      <c r="D37" s="13" t="s">
        <v>6</v>
      </c>
      <c r="E37" s="13">
        <v>0</v>
      </c>
      <c r="F37" s="13">
        <v>3.1394999999999999E-2</v>
      </c>
      <c r="G37" s="13">
        <v>3.1520699999999999E-2</v>
      </c>
      <c r="H37" s="13">
        <v>2.9218299999999999E-2</v>
      </c>
      <c r="I37" s="13">
        <v>3.3101499999999999E-2</v>
      </c>
      <c r="J37" s="13">
        <v>3.9242300000000001E-2</v>
      </c>
      <c r="K37" s="13">
        <v>5.1965600000000001E-2</v>
      </c>
      <c r="L37" s="13">
        <v>8.1377500000000005E-2</v>
      </c>
      <c r="M37" s="13">
        <v>0.11777</v>
      </c>
      <c r="N37" s="13">
        <v>0.14177500000000001</v>
      </c>
      <c r="O37" s="13">
        <v>0.157805</v>
      </c>
    </row>
    <row r="39" spans="1:23">
      <c r="A39" s="1" t="s">
        <v>11</v>
      </c>
      <c r="T39" s="1" t="s">
        <v>74</v>
      </c>
    </row>
    <row r="40" spans="1:23">
      <c r="A40" s="13" t="s">
        <v>8</v>
      </c>
      <c r="B40" s="13" t="s">
        <v>9</v>
      </c>
      <c r="F40" s="13" t="s">
        <v>10</v>
      </c>
      <c r="G40" s="13">
        <v>2015</v>
      </c>
      <c r="H40" s="13">
        <v>2020</v>
      </c>
      <c r="I40" s="13">
        <v>2025</v>
      </c>
      <c r="J40" s="13">
        <v>2030</v>
      </c>
      <c r="K40" s="13">
        <v>2035</v>
      </c>
      <c r="L40" s="13">
        <v>2040</v>
      </c>
      <c r="M40" s="13">
        <v>2045</v>
      </c>
      <c r="N40" s="13">
        <v>2050</v>
      </c>
      <c r="U40" s="13">
        <v>2005</v>
      </c>
      <c r="V40" s="13">
        <v>2010</v>
      </c>
      <c r="W40" s="13">
        <v>2015</v>
      </c>
    </row>
    <row r="41" spans="1:23">
      <c r="A41" s="13" t="s">
        <v>0</v>
      </c>
      <c r="B41" s="13" t="s">
        <v>2</v>
      </c>
      <c r="E41" s="13" t="s">
        <v>2</v>
      </c>
      <c r="F41" s="13" t="s">
        <v>12</v>
      </c>
      <c r="G41" s="13">
        <f t="shared" ref="G41:N45" si="1">SUMIF($E$3:$E$23,$E41,J$3:J$23)</f>
        <v>0</v>
      </c>
      <c r="H41" s="13">
        <f t="shared" si="1"/>
        <v>6.0020799999999997E-4</v>
      </c>
      <c r="I41" s="13">
        <f t="shared" si="1"/>
        <v>1.1265579999999989E-3</v>
      </c>
      <c r="J41" s="13">
        <f t="shared" si="1"/>
        <v>7.4104169999999903E-3</v>
      </c>
      <c r="K41" s="13">
        <f t="shared" si="1"/>
        <v>3.7940567000000001E-2</v>
      </c>
      <c r="L41" s="13">
        <f t="shared" si="1"/>
        <v>9.0677943400000002E-2</v>
      </c>
      <c r="M41" s="13">
        <f t="shared" si="1"/>
        <v>0.13082934000000002</v>
      </c>
      <c r="N41" s="13">
        <f t="shared" si="1"/>
        <v>0.16919877644999992</v>
      </c>
      <c r="T41" s="13" t="s">
        <v>12</v>
      </c>
      <c r="V41" s="13">
        <v>0</v>
      </c>
      <c r="W41" s="13">
        <v>0</v>
      </c>
    </row>
    <row r="42" spans="1:23">
      <c r="A42" s="13" t="s">
        <v>0</v>
      </c>
      <c r="B42" s="13" t="s">
        <v>5</v>
      </c>
      <c r="E42" s="13" t="s">
        <v>5</v>
      </c>
      <c r="F42" s="13" t="s">
        <v>17</v>
      </c>
      <c r="G42" s="13">
        <f t="shared" si="1"/>
        <v>0.54062200000000005</v>
      </c>
      <c r="H42" s="13">
        <f t="shared" si="1"/>
        <v>0.57920539999999998</v>
      </c>
      <c r="I42" s="13">
        <f t="shared" si="1"/>
        <v>0.55755180000000004</v>
      </c>
      <c r="J42" s="13">
        <f t="shared" si="1"/>
        <v>0.54726330000000001</v>
      </c>
      <c r="K42" s="13">
        <f t="shared" si="1"/>
        <v>0.51450302000000003</v>
      </c>
      <c r="L42" s="13">
        <f t="shared" si="1"/>
        <v>0.49571015000000002</v>
      </c>
      <c r="M42" s="13">
        <f t="shared" si="1"/>
        <v>0.50663322</v>
      </c>
      <c r="N42" s="13">
        <f t="shared" si="1"/>
        <v>0.54304651999999998</v>
      </c>
      <c r="T42" s="13" t="s">
        <v>17</v>
      </c>
      <c r="V42" s="13">
        <v>0.37534159584000004</v>
      </c>
      <c r="W42" s="13">
        <v>0.35700006239999998</v>
      </c>
    </row>
    <row r="43" spans="1:23">
      <c r="A43" s="13" t="s">
        <v>0</v>
      </c>
      <c r="B43" s="13" t="s">
        <v>3</v>
      </c>
      <c r="E43" s="13" t="s">
        <v>3</v>
      </c>
      <c r="F43" s="13" t="s">
        <v>13</v>
      </c>
      <c r="G43" s="13">
        <f t="shared" si="1"/>
        <v>0.109571</v>
      </c>
      <c r="H43" s="13">
        <f t="shared" si="1"/>
        <v>0.11840060300000001</v>
      </c>
      <c r="I43" s="13">
        <f t="shared" si="1"/>
        <v>0.121248904</v>
      </c>
      <c r="J43" s="13">
        <f t="shared" si="1"/>
        <v>0.14613759800000001</v>
      </c>
      <c r="K43" s="13">
        <f t="shared" si="1"/>
        <v>0.18084746899999998</v>
      </c>
      <c r="L43" s="13">
        <f t="shared" si="1"/>
        <v>0.18387837000000001</v>
      </c>
      <c r="M43" s="13">
        <f t="shared" si="1"/>
        <v>0.16778143899999901</v>
      </c>
      <c r="N43" s="13">
        <f t="shared" si="1"/>
        <v>0.13869021379999999</v>
      </c>
      <c r="T43" s="13" t="s">
        <v>13</v>
      </c>
      <c r="V43" s="13">
        <v>0</v>
      </c>
      <c r="W43" s="13">
        <v>0</v>
      </c>
    </row>
    <row r="44" spans="1:23">
      <c r="A44" s="13" t="s">
        <v>0</v>
      </c>
      <c r="B44" s="13" t="s">
        <v>7</v>
      </c>
      <c r="E44" s="13" t="s">
        <v>7</v>
      </c>
      <c r="F44" s="13" t="s">
        <v>15</v>
      </c>
      <c r="G44" s="13">
        <f t="shared" si="1"/>
        <v>0.22577360000000002</v>
      </c>
      <c r="H44" s="13">
        <f t="shared" si="1"/>
        <v>0.24140608999999999</v>
      </c>
      <c r="I44" s="13">
        <f t="shared" si="1"/>
        <v>0.24034230000000001</v>
      </c>
      <c r="J44" s="13">
        <f t="shared" si="1"/>
        <v>0.25085177999999897</v>
      </c>
      <c r="K44" s="13">
        <f t="shared" si="1"/>
        <v>0.25715182999999897</v>
      </c>
      <c r="L44" s="13">
        <f t="shared" si="1"/>
        <v>0.23923929999999999</v>
      </c>
      <c r="M44" s="13">
        <f t="shared" si="1"/>
        <v>0.21664747299999998</v>
      </c>
      <c r="N44" s="13">
        <f t="shared" si="1"/>
        <v>0.18714462499999898</v>
      </c>
      <c r="T44" s="13" t="s">
        <v>15</v>
      </c>
      <c r="V44" s="13">
        <v>0.13793663808000003</v>
      </c>
      <c r="W44" s="13">
        <v>0.16462078920000003</v>
      </c>
    </row>
    <row r="45" spans="1:23">
      <c r="A45" s="13" t="s">
        <v>0</v>
      </c>
      <c r="B45" s="13" t="s">
        <v>4</v>
      </c>
      <c r="E45" s="13" t="s">
        <v>4</v>
      </c>
      <c r="F45" s="13" t="s">
        <v>14</v>
      </c>
      <c r="G45" s="13">
        <f t="shared" si="1"/>
        <v>0.31868060000000004</v>
      </c>
      <c r="H45" s="13">
        <f t="shared" si="1"/>
        <v>0.34392575999999997</v>
      </c>
      <c r="I45" s="13">
        <f t="shared" si="1"/>
        <v>0.33632775299999895</v>
      </c>
      <c r="J45" s="13">
        <f t="shared" si="1"/>
        <v>0.30800927699999997</v>
      </c>
      <c r="K45" s="13">
        <f t="shared" si="1"/>
        <v>0.22549796799999999</v>
      </c>
      <c r="L45" s="13">
        <f t="shared" si="1"/>
        <v>0.127966048</v>
      </c>
      <c r="M45" s="13">
        <f t="shared" si="1"/>
        <v>7.4742529000000002E-2</v>
      </c>
      <c r="N45" s="13">
        <f t="shared" si="1"/>
        <v>4.7368190800000001E-2</v>
      </c>
      <c r="T45" s="13" t="s">
        <v>14</v>
      </c>
      <c r="V45" s="13">
        <v>0.12472477199999998</v>
      </c>
      <c r="W45" s="13">
        <v>7.0212635999999983E-3</v>
      </c>
    </row>
    <row r="46" spans="1:23">
      <c r="A46" s="13" t="s">
        <v>26</v>
      </c>
      <c r="E46" s="13" t="s">
        <v>4</v>
      </c>
      <c r="F46" s="13" t="s">
        <v>30</v>
      </c>
      <c r="G46" s="13">
        <f t="shared" ref="G46:N46" si="2">SUMIFS(H$34:H$37,$C$34:$C$37,$D46,$D$34:$D$37,$E46)</f>
        <v>0</v>
      </c>
      <c r="H46" s="13">
        <f t="shared" si="2"/>
        <v>0</v>
      </c>
      <c r="I46" s="13">
        <f t="shared" si="2"/>
        <v>0</v>
      </c>
      <c r="J46" s="13">
        <f t="shared" si="2"/>
        <v>0</v>
      </c>
      <c r="K46" s="13">
        <f t="shared" si="2"/>
        <v>0</v>
      </c>
      <c r="L46" s="13">
        <f t="shared" si="2"/>
        <v>0</v>
      </c>
      <c r="M46" s="13">
        <f t="shared" si="2"/>
        <v>0</v>
      </c>
      <c r="N46" s="13">
        <f t="shared" si="2"/>
        <v>0</v>
      </c>
      <c r="T46" s="13" t="s">
        <v>30</v>
      </c>
      <c r="V46" s="13">
        <v>0</v>
      </c>
      <c r="W46" s="13">
        <v>3.1400999999999998E-4</v>
      </c>
    </row>
    <row r="47" spans="1:23">
      <c r="A47" s="13" t="s">
        <v>27</v>
      </c>
      <c r="B47" s="13" t="s">
        <v>6</v>
      </c>
      <c r="E47" s="13" t="s">
        <v>6</v>
      </c>
      <c r="F47" s="13" t="s">
        <v>16</v>
      </c>
      <c r="G47" s="13">
        <f t="shared" ref="G47:N47" si="3">SUMIF($E$3:$E$23,$E47,J$3:J$23)-G48</f>
        <v>0.1744762</v>
      </c>
      <c r="H47" s="13">
        <f t="shared" si="3"/>
        <v>0.18626355999999997</v>
      </c>
      <c r="I47" s="13">
        <f t="shared" si="3"/>
        <v>0.17948685</v>
      </c>
      <c r="J47" s="13">
        <f t="shared" si="3"/>
        <v>0.18788691999999901</v>
      </c>
      <c r="K47" s="13">
        <f t="shared" si="3"/>
        <v>0.20168503000000004</v>
      </c>
      <c r="L47" s="13">
        <f t="shared" si="3"/>
        <v>0.20385843999999892</v>
      </c>
      <c r="M47" s="13">
        <f t="shared" si="3"/>
        <v>0.19032619599999998</v>
      </c>
      <c r="N47" s="13">
        <f t="shared" si="3"/>
        <v>0.1612901024</v>
      </c>
      <c r="T47" s="13" t="s">
        <v>16</v>
      </c>
      <c r="V47" s="13">
        <v>0.11406015504000006</v>
      </c>
      <c r="W47" s="13">
        <v>5.2184275199999956E-2</v>
      </c>
    </row>
    <row r="48" spans="1:23">
      <c r="A48" s="13" t="s">
        <v>28</v>
      </c>
      <c r="D48" s="13" t="s">
        <v>22</v>
      </c>
      <c r="E48" s="13" t="s">
        <v>6</v>
      </c>
      <c r="F48" s="13" t="s">
        <v>31</v>
      </c>
      <c r="G48" s="13">
        <f t="shared" ref="G48:N48" si="4">SUMIFS(H$34:H$37,$C$34:$C$37,$D48,$D$34:$D$37,$E48)</f>
        <v>2.9218299999999999E-2</v>
      </c>
      <c r="H48" s="13">
        <f t="shared" si="4"/>
        <v>3.3101499999999999E-2</v>
      </c>
      <c r="I48" s="13">
        <f t="shared" si="4"/>
        <v>3.9242300000000001E-2</v>
      </c>
      <c r="J48" s="13">
        <f t="shared" si="4"/>
        <v>5.1965600000000001E-2</v>
      </c>
      <c r="K48" s="13">
        <f t="shared" si="4"/>
        <v>8.1377500000000005E-2</v>
      </c>
      <c r="L48" s="13">
        <f t="shared" si="4"/>
        <v>0.11777</v>
      </c>
      <c r="M48" s="13">
        <f t="shared" si="4"/>
        <v>0.14177500000000001</v>
      </c>
      <c r="N48" s="13">
        <f t="shared" si="4"/>
        <v>0.157805</v>
      </c>
      <c r="T48" s="13" t="s">
        <v>31</v>
      </c>
      <c r="V48" s="13">
        <v>8.7541801200000015E-3</v>
      </c>
      <c r="W48" s="13">
        <v>7.234790399999998E-3</v>
      </c>
    </row>
    <row r="49" spans="1:20">
      <c r="A49" s="115" t="s">
        <v>29</v>
      </c>
      <c r="B49" s="115"/>
      <c r="C49" s="115"/>
      <c r="D49" s="115"/>
      <c r="E49" s="115"/>
      <c r="F49" s="115"/>
      <c r="G49" s="13">
        <f t="shared" ref="G49:N49" si="5">SUM(G41:G48)</f>
        <v>1.3983417</v>
      </c>
      <c r="H49" s="13">
        <f t="shared" si="5"/>
        <v>1.5029031209999999</v>
      </c>
      <c r="I49" s="13">
        <f t="shared" si="5"/>
        <v>1.4753264649999989</v>
      </c>
      <c r="J49" s="13">
        <f t="shared" si="5"/>
        <v>1.4995248919999979</v>
      </c>
      <c r="K49" s="13">
        <f t="shared" si="5"/>
        <v>1.4990033839999992</v>
      </c>
      <c r="L49" s="13">
        <f t="shared" si="5"/>
        <v>1.4591002513999989</v>
      </c>
      <c r="M49" s="13">
        <f t="shared" si="5"/>
        <v>1.4287351969999991</v>
      </c>
      <c r="N49" s="13">
        <f t="shared" si="5"/>
        <v>1.4045434284499989</v>
      </c>
    </row>
    <row r="50" spans="1:20">
      <c r="T50" s="13" t="s">
        <v>75</v>
      </c>
    </row>
  </sheetData>
  <mergeCells count="2">
    <mergeCell ref="A15:G15"/>
    <mergeCell ref="A49:F4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74422D6096A1824BB63D98607F2EC006" ma:contentTypeVersion="11" ma:contentTypeDescription="새 문서를 만듭니다." ma:contentTypeScope="" ma:versionID="7e876c1369f9bb6738cceb8b8b937941">
  <xsd:schema xmlns:xsd="http://www.w3.org/2001/XMLSchema" xmlns:xs="http://www.w3.org/2001/XMLSchema" xmlns:p="http://schemas.microsoft.com/office/2006/metadata/properties" xmlns:ns3="fd63c08c-c2fd-41c0-b905-afece601793d" targetNamespace="http://schemas.microsoft.com/office/2006/metadata/properties" ma:root="true" ma:fieldsID="4736295763303c8565a8c41c97559ca0" ns3:_="">
    <xsd:import namespace="fd63c08c-c2fd-41c0-b905-afece60179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63c08c-c2fd-41c0-b905-afece60179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C867389-6D6C-4889-A947-93EB6CF4AA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016731-A2AC-4269-8F01-27B2E028099E}">
  <ds:schemaRefs>
    <ds:schemaRef ds:uri="http://schemas.microsoft.com/office/2006/metadata/properties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http://www.w3.org/XML/1998/namespace"/>
    <ds:schemaRef ds:uri="fd63c08c-c2fd-41c0-b905-afece601793d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5E8DCE3-475E-4791-9AE2-583335A2B9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63c08c-c2fd-41c0-b905-afece60179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60</vt:i4>
      </vt:variant>
    </vt:vector>
  </HeadingPairs>
  <TitlesOfParts>
    <vt:vector size="60" baseType="lpstr">
      <vt:lpstr>ghg_sort</vt:lpstr>
      <vt:lpstr>CurPol_GHG_by_sector</vt:lpstr>
      <vt:lpstr>NZ-0p_GHG_by_sector</vt:lpstr>
      <vt:lpstr>NZ2050_GHG_by_sector</vt:lpstr>
      <vt:lpstr>NZ-0p_CCS</vt:lpstr>
      <vt:lpstr>NZ-22p_CCS</vt:lpstr>
      <vt:lpstr>CP_CO2_by_sector</vt:lpstr>
      <vt:lpstr>NZ-0p_CO2_by_sector</vt:lpstr>
      <vt:lpstr>NZ-22p_CO2_by_sector</vt:lpstr>
      <vt:lpstr>NZ-0p_Hydrogen production</vt:lpstr>
      <vt:lpstr>CP_iron_steel_tech_cost</vt:lpstr>
      <vt:lpstr>NZ-0p_iron_steel_tech_cost</vt:lpstr>
      <vt:lpstr>NZ-22p_iron_steel_tech_cost</vt:lpstr>
      <vt:lpstr>NZ-0p_primary</vt:lpstr>
      <vt:lpstr>CurPol_electricity</vt:lpstr>
      <vt:lpstr>NZ-0p_electricity</vt:lpstr>
      <vt:lpstr>NZ2050_electricity</vt:lpstr>
      <vt:lpstr>Sheet1</vt:lpstr>
      <vt:lpstr>CurPol_final_energy</vt:lpstr>
      <vt:lpstr>NZ-0p_building_final_energy</vt:lpstr>
      <vt:lpstr>NZ2050_final_energy</vt:lpstr>
      <vt:lpstr>CurPol_industry_final_energ (2)</vt:lpstr>
      <vt:lpstr>NZ2050_industry_final_energy</vt:lpstr>
      <vt:lpstr>전력선형</vt:lpstr>
      <vt:lpstr>전력선형(보정)</vt:lpstr>
      <vt:lpstr>철강CP</vt:lpstr>
      <vt:lpstr>철강NZ</vt:lpstr>
      <vt:lpstr>석유화학CP</vt:lpstr>
      <vt:lpstr>석유화학NZ</vt:lpstr>
      <vt:lpstr>반디CP+NZ</vt:lpstr>
      <vt:lpstr>시멘트</vt:lpstr>
      <vt:lpstr>기타산업 (2)</vt:lpstr>
      <vt:lpstr>건물</vt:lpstr>
      <vt:lpstr>수송</vt:lpstr>
      <vt:lpstr>NZ2050EF_industry_final_energy</vt:lpstr>
      <vt:lpstr>NZ-0p_industry_final_energy</vt:lpstr>
      <vt:lpstr>NZ-22p_industry_final_energy</vt:lpstr>
      <vt:lpstr>Shareweights</vt:lpstr>
      <vt:lpstr>Costs</vt:lpstr>
      <vt:lpstr>NZ-0p_iron_steel_production</vt:lpstr>
      <vt:lpstr>NZ-0p_iron_steel_energy</vt:lpstr>
      <vt:lpstr>CP_iron_steel_energy_tech</vt:lpstr>
      <vt:lpstr>NZ-0p_iron_steel_energy_tech</vt:lpstr>
      <vt:lpstr>NZ-22p_iron_steel_energy_tech</vt:lpstr>
      <vt:lpstr>CP_chemical_CO2</vt:lpstr>
      <vt:lpstr>NZ_chemical_CO2</vt:lpstr>
      <vt:lpstr>NZ_cement_CO2</vt:lpstr>
      <vt:lpstr>NZ-22p_cement_energy</vt:lpstr>
      <vt:lpstr>NZ-0p_fertilizer_energy</vt:lpstr>
      <vt:lpstr>NZ-10p_fertilizer_energy</vt:lpstr>
      <vt:lpstr>NZ-0p_agriculture_energy</vt:lpstr>
      <vt:lpstr>NZ-10p_agriculture_energy</vt:lpstr>
      <vt:lpstr>NZ-0p_mining_energy</vt:lpstr>
      <vt:lpstr>NZ-10p_mining_energy</vt:lpstr>
      <vt:lpstr>NZ-0p_construction_energy</vt:lpstr>
      <vt:lpstr>NZ-10p_construction_energy</vt:lpstr>
      <vt:lpstr>NZ-22p_construction_energy</vt:lpstr>
      <vt:lpstr>NZ-0p_other_industry_energy</vt:lpstr>
      <vt:lpstr>NZ-10p_other_industry_energy</vt:lpstr>
      <vt:lpstr>NZ-22p_other_industry_energy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HANJU LEE</dc:creator>
  <cp:lastModifiedBy>류광남</cp:lastModifiedBy>
  <dcterms:created xsi:type="dcterms:W3CDTF">2021-10-24T05:34:08Z</dcterms:created>
  <dcterms:modified xsi:type="dcterms:W3CDTF">2023-03-16T16:08:37Z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0x01010074422D6096A1824BB63D98607F2EC006</vt:lpwstr>
  </property>
</Properties>
</file>